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sw-my.sharepoint.com/personal/z5554629_ad_unsw_edu_au/Documents/UNSW (ADFA)/Project Data/AAA - Linked Estimates Completed Projects/Finalised/"/>
    </mc:Choice>
  </mc:AlternateContent>
  <xr:revisionPtr revIDLastSave="6" documentId="8_{E0734B9D-CBA0-444C-90E9-7D843E1E4106}" xr6:coauthVersionLast="45" xr6:coauthVersionMax="45" xr10:uidLastSave="{5E9678A8-53D3-43B7-8B93-78546ECF8DE8}"/>
  <bookViews>
    <workbookView xWindow="-120" yWindow="-120" windowWidth="29040" windowHeight="17640" activeTab="6" xr2:uid="{BEF00FC8-C178-45B7-AA10-5350881130A0}"/>
  </bookViews>
  <sheets>
    <sheet name="Estimate" sheetId="10" r:id="rId1"/>
    <sheet name="Resources" sheetId="2" r:id="rId2"/>
    <sheet name="Model Inputs" sheetId="3" r:id="rId3"/>
    <sheet name="Non-Work Days" sheetId="4" r:id="rId4"/>
    <sheet name="Program Links" sheetId="7" r:id="rId5"/>
    <sheet name="Budget &amp; Revenue" sheetId="5" r:id="rId6"/>
    <sheet name="Portfolio WBS" sheetId="6" r:id="rId7"/>
    <sheet name="Actual Costs" sheetId="8" r:id="rId8"/>
  </sheets>
  <definedNames>
    <definedName name="Workhrs">'Non-Work Days'!$C$71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6" i="7" l="1"/>
  <c r="H6" i="7"/>
  <c r="I6" i="7"/>
  <c r="J6" i="7"/>
  <c r="K6" i="7"/>
  <c r="L6" i="7"/>
  <c r="M6" i="7"/>
  <c r="N6" i="7"/>
  <c r="O6" i="7"/>
  <c r="P6" i="7"/>
  <c r="Q6" i="7"/>
  <c r="R6" i="7"/>
  <c r="S6" i="7"/>
  <c r="T6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T1" i="7"/>
  <c r="S1" i="7"/>
  <c r="G1" i="7"/>
  <c r="H1" i="7"/>
  <c r="I1" i="7"/>
  <c r="J1" i="7"/>
  <c r="K1" i="7"/>
  <c r="L1" i="7"/>
  <c r="M1" i="7"/>
  <c r="N1" i="7"/>
  <c r="O1" i="7"/>
  <c r="P1" i="7"/>
  <c r="Q1" i="7"/>
  <c r="R1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5" i="7"/>
  <c r="F4" i="7"/>
  <c r="L1720" i="10"/>
  <c r="L1718" i="10" s="1"/>
  <c r="B244" i="7"/>
  <c r="C244" i="7"/>
  <c r="B245" i="7"/>
  <c r="C245" i="7"/>
  <c r="B246" i="7"/>
  <c r="C246" i="7"/>
  <c r="B247" i="7"/>
  <c r="C247" i="7"/>
  <c r="B248" i="7"/>
  <c r="C248" i="7"/>
  <c r="B249" i="7"/>
  <c r="C249" i="7"/>
  <c r="B250" i="7"/>
  <c r="C250" i="7"/>
  <c r="B251" i="7"/>
  <c r="C251" i="7"/>
  <c r="B252" i="7"/>
  <c r="C252" i="7"/>
  <c r="B253" i="7"/>
  <c r="C253" i="7"/>
  <c r="B254" i="7"/>
  <c r="C254" i="7"/>
  <c r="B255" i="7"/>
  <c r="C255" i="7"/>
  <c r="B256" i="7"/>
  <c r="C256" i="7"/>
  <c r="B257" i="7"/>
  <c r="C257" i="7"/>
  <c r="B258" i="7"/>
  <c r="C258" i="7"/>
  <c r="B259" i="7"/>
  <c r="C259" i="7"/>
  <c r="B260" i="7"/>
  <c r="C260" i="7"/>
  <c r="B261" i="7"/>
  <c r="C261" i="7"/>
  <c r="B262" i="7"/>
  <c r="C262" i="7"/>
  <c r="B263" i="7"/>
  <c r="C263" i="7"/>
  <c r="B264" i="7"/>
  <c r="C264" i="7"/>
  <c r="B265" i="7"/>
  <c r="C265" i="7"/>
  <c r="B266" i="7"/>
  <c r="C266" i="7"/>
  <c r="B267" i="7"/>
  <c r="C267" i="7"/>
  <c r="B268" i="7"/>
  <c r="C268" i="7"/>
  <c r="B269" i="7"/>
  <c r="C269" i="7"/>
  <c r="B270" i="7"/>
  <c r="C270" i="7"/>
  <c r="B271" i="7"/>
  <c r="C271" i="7"/>
  <c r="B272" i="7"/>
  <c r="C272" i="7"/>
  <c r="B273" i="7"/>
  <c r="C273" i="7"/>
  <c r="B274" i="7"/>
  <c r="C274" i="7"/>
  <c r="B275" i="7"/>
  <c r="C275" i="7"/>
  <c r="B276" i="7"/>
  <c r="C276" i="7"/>
  <c r="B277" i="7"/>
  <c r="C277" i="7"/>
  <c r="B278" i="7"/>
  <c r="C278" i="7"/>
  <c r="B279" i="7"/>
  <c r="C279" i="7"/>
  <c r="B280" i="7"/>
  <c r="C280" i="7"/>
  <c r="B281" i="7"/>
  <c r="C281" i="7"/>
  <c r="B282" i="7"/>
  <c r="C282" i="7"/>
  <c r="B283" i="7"/>
  <c r="C283" i="7"/>
  <c r="B284" i="7"/>
  <c r="C284" i="7"/>
  <c r="B285" i="7"/>
  <c r="C285" i="7"/>
  <c r="B286" i="7"/>
  <c r="C286" i="7"/>
  <c r="B287" i="7"/>
  <c r="C287" i="7"/>
  <c r="B288" i="7"/>
  <c r="C288" i="7"/>
  <c r="B289" i="7"/>
  <c r="C289" i="7"/>
  <c r="B290" i="7"/>
  <c r="C290" i="7"/>
  <c r="B291" i="7"/>
  <c r="C291" i="7"/>
  <c r="M596" i="5" l="1"/>
  <c r="M597" i="5"/>
  <c r="M598" i="5"/>
  <c r="AO598" i="5" s="1"/>
  <c r="AM646" i="5"/>
  <c r="AM643" i="5"/>
  <c r="BB643" i="5" s="1"/>
  <c r="AM642" i="5"/>
  <c r="BB642" i="5" s="1"/>
  <c r="AM641" i="5"/>
  <c r="BB641" i="5" s="1"/>
  <c r="AM640" i="5"/>
  <c r="BB640" i="5" s="1"/>
  <c r="AM639" i="5"/>
  <c r="BB639" i="5" s="1"/>
  <c r="AM638" i="5"/>
  <c r="BB638" i="5" s="1"/>
  <c r="AM637" i="5"/>
  <c r="BB637" i="5" s="1"/>
  <c r="AM636" i="5"/>
  <c r="BB636" i="5" s="1"/>
  <c r="AM635" i="5"/>
  <c r="BB635" i="5" s="1"/>
  <c r="AM634" i="5"/>
  <c r="BB634" i="5" s="1"/>
  <c r="AM633" i="5"/>
  <c r="BB633" i="5" s="1"/>
  <c r="AM632" i="5"/>
  <c r="BB632" i="5" s="1"/>
  <c r="AM631" i="5"/>
  <c r="BB631" i="5" s="1"/>
  <c r="AM630" i="5"/>
  <c r="BB630" i="5" s="1"/>
  <c r="AM629" i="5"/>
  <c r="BB629" i="5" s="1"/>
  <c r="AM628" i="5"/>
  <c r="BB628" i="5" s="1"/>
  <c r="AM627" i="5"/>
  <c r="BB627" i="5" s="1"/>
  <c r="AM626" i="5"/>
  <c r="BB626" i="5" s="1"/>
  <c r="AM625" i="5"/>
  <c r="BB625" i="5" s="1"/>
  <c r="AM624" i="5"/>
  <c r="BB624" i="5" s="1"/>
  <c r="AM623" i="5"/>
  <c r="BB623" i="5" s="1"/>
  <c r="AM622" i="5"/>
  <c r="BB622" i="5" s="1"/>
  <c r="AM621" i="5"/>
  <c r="BB621" i="5" s="1"/>
  <c r="AM620" i="5"/>
  <c r="BB620" i="5" s="1"/>
  <c r="AM619" i="5"/>
  <c r="BB619" i="5" s="1"/>
  <c r="AM618" i="5"/>
  <c r="BB618" i="5" s="1"/>
  <c r="AM617" i="5"/>
  <c r="BB617" i="5" s="1"/>
  <c r="AM616" i="5"/>
  <c r="BB616" i="5" s="1"/>
  <c r="AM615" i="5"/>
  <c r="BB615" i="5" s="1"/>
  <c r="AM614" i="5"/>
  <c r="BB614" i="5" s="1"/>
  <c r="AM613" i="5"/>
  <c r="BB613" i="5" s="1"/>
  <c r="AM612" i="5"/>
  <c r="BB612" i="5" s="1"/>
  <c r="AM611" i="5"/>
  <c r="BB611" i="5" s="1"/>
  <c r="AM610" i="5"/>
  <c r="BB610" i="5" s="1"/>
  <c r="AM609" i="5"/>
  <c r="BB609" i="5" s="1"/>
  <c r="AM608" i="5"/>
  <c r="BB608" i="5" s="1"/>
  <c r="AM607" i="5"/>
  <c r="BB607" i="5" s="1"/>
  <c r="AM606" i="5"/>
  <c r="BB606" i="5" s="1"/>
  <c r="AM605" i="5"/>
  <c r="BB605" i="5" s="1"/>
  <c r="AM604" i="5"/>
  <c r="BB604" i="5" s="1"/>
  <c r="AM603" i="5"/>
  <c r="BB603" i="5" s="1"/>
  <c r="AM602" i="5"/>
  <c r="BB602" i="5" s="1"/>
  <c r="AM601" i="5"/>
  <c r="BB601" i="5" s="1"/>
  <c r="AM600" i="5"/>
  <c r="BB600" i="5" s="1"/>
  <c r="AM599" i="5"/>
  <c r="BB599" i="5" s="1"/>
  <c r="AM598" i="5"/>
  <c r="BB598" i="5" s="1"/>
  <c r="AM597" i="5"/>
  <c r="BB597" i="5" s="1"/>
  <c r="AM596" i="5"/>
  <c r="BB596" i="5" s="1"/>
  <c r="AM595" i="5"/>
  <c r="BB595" i="5" s="1"/>
  <c r="AM594" i="5"/>
  <c r="AM593" i="5"/>
  <c r="BB593" i="5" s="1"/>
  <c r="AM592" i="5"/>
  <c r="BB592" i="5" s="1"/>
  <c r="AM590" i="5"/>
  <c r="BB590" i="5" s="1"/>
  <c r="AM589" i="5"/>
  <c r="AM588" i="5"/>
  <c r="BB588" i="5" s="1"/>
  <c r="AM587" i="5"/>
  <c r="BB587" i="5" s="1"/>
  <c r="AM586" i="5"/>
  <c r="BB586" i="5" s="1"/>
  <c r="AM585" i="5"/>
  <c r="BB585" i="5" s="1"/>
  <c r="AM584" i="5"/>
  <c r="BB584" i="5" s="1"/>
  <c r="AM583" i="5"/>
  <c r="BB583" i="5" s="1"/>
  <c r="AM582" i="5"/>
  <c r="BB582" i="5" s="1"/>
  <c r="AM581" i="5"/>
  <c r="BB581" i="5" s="1"/>
  <c r="AM580" i="5"/>
  <c r="BB580" i="5" s="1"/>
  <c r="AM579" i="5"/>
  <c r="BB579" i="5" s="1"/>
  <c r="AM578" i="5"/>
  <c r="BB578" i="5" s="1"/>
  <c r="AM577" i="5"/>
  <c r="BB577" i="5" s="1"/>
  <c r="AM576" i="5"/>
  <c r="BB576" i="5" s="1"/>
  <c r="AM575" i="5"/>
  <c r="BB575" i="5" s="1"/>
  <c r="AM574" i="5"/>
  <c r="BB574" i="5" s="1"/>
  <c r="AM573" i="5"/>
  <c r="BB573" i="5" s="1"/>
  <c r="AM572" i="5"/>
  <c r="BB572" i="5" s="1"/>
  <c r="AM571" i="5"/>
  <c r="BB571" i="5" s="1"/>
  <c r="AM570" i="5"/>
  <c r="BB570" i="5" s="1"/>
  <c r="AM569" i="5"/>
  <c r="BB569" i="5" s="1"/>
  <c r="AM568" i="5"/>
  <c r="BB568" i="5" s="1"/>
  <c r="AM567" i="5"/>
  <c r="BB567" i="5" s="1"/>
  <c r="AM566" i="5"/>
  <c r="BB566" i="5" s="1"/>
  <c r="AM565" i="5"/>
  <c r="BB565" i="5" s="1"/>
  <c r="AM564" i="5"/>
  <c r="BB564" i="5" s="1"/>
  <c r="AM563" i="5"/>
  <c r="BB563" i="5" s="1"/>
  <c r="AM562" i="5"/>
  <c r="BB562" i="5" s="1"/>
  <c r="AM561" i="5"/>
  <c r="BB561" i="5" s="1"/>
  <c r="AM560" i="5"/>
  <c r="BB560" i="5" s="1"/>
  <c r="AM559" i="5"/>
  <c r="BB559" i="5" s="1"/>
  <c r="AM558" i="5"/>
  <c r="BB558" i="5" s="1"/>
  <c r="AM557" i="5"/>
  <c r="BB557" i="5" s="1"/>
  <c r="AM556" i="5"/>
  <c r="BB556" i="5" s="1"/>
  <c r="AM555" i="5"/>
  <c r="BB555" i="5" s="1"/>
  <c r="AM554" i="5"/>
  <c r="BB554" i="5" s="1"/>
  <c r="AM553" i="5"/>
  <c r="BB553" i="5" s="1"/>
  <c r="AM552" i="5"/>
  <c r="BB552" i="5" s="1"/>
  <c r="AM551" i="5"/>
  <c r="BB551" i="5" s="1"/>
  <c r="AM550" i="5"/>
  <c r="BB550" i="5" s="1"/>
  <c r="AM549" i="5"/>
  <c r="BB549" i="5" s="1"/>
  <c r="AM548" i="5"/>
  <c r="BB548" i="5" s="1"/>
  <c r="AM547" i="5"/>
  <c r="BB547" i="5" s="1"/>
  <c r="AM546" i="5"/>
  <c r="BB546" i="5" s="1"/>
  <c r="AM545" i="5"/>
  <c r="BB545" i="5" s="1"/>
  <c r="AM544" i="5"/>
  <c r="BB544" i="5" s="1"/>
  <c r="AM543" i="5"/>
  <c r="BB543" i="5" s="1"/>
  <c r="AM542" i="5"/>
  <c r="BB542" i="5" s="1"/>
  <c r="AM541" i="5"/>
  <c r="BB541" i="5" s="1"/>
  <c r="AM540" i="5"/>
  <c r="BB540" i="5" s="1"/>
  <c r="AM539" i="5"/>
  <c r="BB539" i="5" s="1"/>
  <c r="AM538" i="5"/>
  <c r="BB538" i="5" s="1"/>
  <c r="AM537" i="5"/>
  <c r="BB537" i="5" s="1"/>
  <c r="AM536" i="5"/>
  <c r="BB536" i="5" s="1"/>
  <c r="AM535" i="5"/>
  <c r="BB535" i="5" s="1"/>
  <c r="AM534" i="5"/>
  <c r="BB534" i="5" s="1"/>
  <c r="AM533" i="5"/>
  <c r="BB533" i="5" s="1"/>
  <c r="AM532" i="5"/>
  <c r="BB532" i="5" s="1"/>
  <c r="AM531" i="5"/>
  <c r="BB531" i="5" s="1"/>
  <c r="AM530" i="5"/>
  <c r="BB530" i="5" s="1"/>
  <c r="AM529" i="5"/>
  <c r="BB529" i="5" s="1"/>
  <c r="AM528" i="5"/>
  <c r="BB528" i="5" s="1"/>
  <c r="AM527" i="5"/>
  <c r="BB527" i="5" s="1"/>
  <c r="AM526" i="5"/>
  <c r="BB526" i="5" s="1"/>
  <c r="AM525" i="5"/>
  <c r="BB525" i="5" s="1"/>
  <c r="AM524" i="5"/>
  <c r="BB524" i="5" s="1"/>
  <c r="AM523" i="5"/>
  <c r="BB523" i="5" s="1"/>
  <c r="AM522" i="5"/>
  <c r="BB522" i="5" s="1"/>
  <c r="AM521" i="5"/>
  <c r="BB521" i="5" s="1"/>
  <c r="AM520" i="5"/>
  <c r="BB520" i="5" s="1"/>
  <c r="AM519" i="5"/>
  <c r="BB519" i="5" s="1"/>
  <c r="AM518" i="5"/>
  <c r="BB518" i="5" s="1"/>
  <c r="AM517" i="5"/>
  <c r="BB517" i="5" s="1"/>
  <c r="AM516" i="5"/>
  <c r="BB516" i="5" s="1"/>
  <c r="AM515" i="5"/>
  <c r="BB515" i="5" s="1"/>
  <c r="AM514" i="5"/>
  <c r="BB514" i="5" s="1"/>
  <c r="AM513" i="5"/>
  <c r="BB513" i="5" s="1"/>
  <c r="AM512" i="5"/>
  <c r="BB512" i="5" s="1"/>
  <c r="AM511" i="5"/>
  <c r="BB511" i="5" s="1"/>
  <c r="AM510" i="5"/>
  <c r="BB510" i="5" s="1"/>
  <c r="AM509" i="5"/>
  <c r="BB509" i="5" s="1"/>
  <c r="AM508" i="5"/>
  <c r="BB508" i="5" s="1"/>
  <c r="AM507" i="5"/>
  <c r="BB507" i="5" s="1"/>
  <c r="AM506" i="5"/>
  <c r="BB506" i="5" s="1"/>
  <c r="AM505" i="5"/>
  <c r="BB505" i="5" s="1"/>
  <c r="AM504" i="5"/>
  <c r="BB504" i="5" s="1"/>
  <c r="AM503" i="5"/>
  <c r="BB503" i="5" s="1"/>
  <c r="AM502" i="5"/>
  <c r="BB502" i="5" s="1"/>
  <c r="AM501" i="5"/>
  <c r="BB501" i="5" s="1"/>
  <c r="AM500" i="5"/>
  <c r="BB500" i="5" s="1"/>
  <c r="AM499" i="5"/>
  <c r="BB499" i="5" s="1"/>
  <c r="AM498" i="5"/>
  <c r="BB498" i="5" s="1"/>
  <c r="AM497" i="5"/>
  <c r="BB497" i="5" s="1"/>
  <c r="AM496" i="5"/>
  <c r="BB496" i="5" s="1"/>
  <c r="AM495" i="5"/>
  <c r="BB495" i="5" s="1"/>
  <c r="AM494" i="5"/>
  <c r="BB494" i="5" s="1"/>
  <c r="AM493" i="5"/>
  <c r="BB493" i="5" s="1"/>
  <c r="AM492" i="5"/>
  <c r="BB492" i="5" s="1"/>
  <c r="AM491" i="5"/>
  <c r="BB491" i="5" s="1"/>
  <c r="AM490" i="5"/>
  <c r="BB490" i="5" s="1"/>
  <c r="AM489" i="5"/>
  <c r="BB489" i="5" s="1"/>
  <c r="AM488" i="5"/>
  <c r="BB488" i="5" s="1"/>
  <c r="AM487" i="5"/>
  <c r="BB487" i="5" s="1"/>
  <c r="AM486" i="5"/>
  <c r="BB486" i="5" s="1"/>
  <c r="AM485" i="5"/>
  <c r="BB485" i="5" s="1"/>
  <c r="AM484" i="5"/>
  <c r="BB484" i="5" s="1"/>
  <c r="AM483" i="5"/>
  <c r="BB483" i="5" s="1"/>
  <c r="AM482" i="5"/>
  <c r="BB482" i="5" s="1"/>
  <c r="AM481" i="5"/>
  <c r="BB481" i="5" s="1"/>
  <c r="AM480" i="5"/>
  <c r="BB480" i="5" s="1"/>
  <c r="AM479" i="5"/>
  <c r="BB479" i="5" s="1"/>
  <c r="AM478" i="5"/>
  <c r="BB478" i="5" s="1"/>
  <c r="AM477" i="5"/>
  <c r="BB477" i="5" s="1"/>
  <c r="AM476" i="5"/>
  <c r="BB476" i="5" s="1"/>
  <c r="AM475" i="5"/>
  <c r="BB475" i="5" s="1"/>
  <c r="AM474" i="5"/>
  <c r="BB474" i="5" s="1"/>
  <c r="AM473" i="5"/>
  <c r="BB473" i="5" s="1"/>
  <c r="AM472" i="5"/>
  <c r="BB472" i="5" s="1"/>
  <c r="AM471" i="5"/>
  <c r="BB471" i="5" s="1"/>
  <c r="AM470" i="5"/>
  <c r="BB470" i="5" s="1"/>
  <c r="AM469" i="5"/>
  <c r="BB469" i="5" s="1"/>
  <c r="AM468" i="5"/>
  <c r="BB468" i="5" s="1"/>
  <c r="AM467" i="5"/>
  <c r="BB467" i="5" s="1"/>
  <c r="AM466" i="5"/>
  <c r="BB466" i="5" s="1"/>
  <c r="AM465" i="5"/>
  <c r="BB465" i="5" s="1"/>
  <c r="AM464" i="5"/>
  <c r="BB464" i="5" s="1"/>
  <c r="AM463" i="5"/>
  <c r="BB463" i="5" s="1"/>
  <c r="AM462" i="5"/>
  <c r="BB462" i="5" s="1"/>
  <c r="AM461" i="5"/>
  <c r="BB461" i="5" s="1"/>
  <c r="AM460" i="5"/>
  <c r="BB460" i="5" s="1"/>
  <c r="AM459" i="5"/>
  <c r="BB459" i="5" s="1"/>
  <c r="AM458" i="5"/>
  <c r="BB458" i="5" s="1"/>
  <c r="AM457" i="5"/>
  <c r="BB457" i="5" s="1"/>
  <c r="AM456" i="5"/>
  <c r="BB456" i="5" s="1"/>
  <c r="AM455" i="5"/>
  <c r="BB455" i="5" s="1"/>
  <c r="AM454" i="5"/>
  <c r="BB454" i="5" s="1"/>
  <c r="AM453" i="5"/>
  <c r="BB453" i="5" s="1"/>
  <c r="AM452" i="5"/>
  <c r="BB452" i="5" s="1"/>
  <c r="AM451" i="5"/>
  <c r="BB451" i="5" s="1"/>
  <c r="AM450" i="5"/>
  <c r="BB450" i="5" s="1"/>
  <c r="AM449" i="5"/>
  <c r="BB449" i="5" s="1"/>
  <c r="AM448" i="5"/>
  <c r="BB448" i="5" s="1"/>
  <c r="AM447" i="5"/>
  <c r="BB447" i="5" s="1"/>
  <c r="AM446" i="5"/>
  <c r="BB446" i="5" s="1"/>
  <c r="AM445" i="5"/>
  <c r="BB445" i="5" s="1"/>
  <c r="AM444" i="5"/>
  <c r="BB444" i="5" s="1"/>
  <c r="AM443" i="5"/>
  <c r="BB443" i="5" s="1"/>
  <c r="AM442" i="5"/>
  <c r="BB442" i="5" s="1"/>
  <c r="AM441" i="5"/>
  <c r="BB441" i="5" s="1"/>
  <c r="AM440" i="5"/>
  <c r="BB440" i="5" s="1"/>
  <c r="AM439" i="5"/>
  <c r="BB439" i="5" s="1"/>
  <c r="AM438" i="5"/>
  <c r="BB438" i="5" s="1"/>
  <c r="AM437" i="5"/>
  <c r="BB437" i="5" s="1"/>
  <c r="AM436" i="5"/>
  <c r="BB436" i="5" s="1"/>
  <c r="AM435" i="5"/>
  <c r="BB435" i="5" s="1"/>
  <c r="AM434" i="5"/>
  <c r="BB434" i="5" s="1"/>
  <c r="AM433" i="5"/>
  <c r="BB433" i="5" s="1"/>
  <c r="AM432" i="5"/>
  <c r="BB432" i="5" s="1"/>
  <c r="AM431" i="5"/>
  <c r="BB431" i="5" s="1"/>
  <c r="AM430" i="5"/>
  <c r="BB430" i="5" s="1"/>
  <c r="AM429" i="5"/>
  <c r="BB429" i="5" s="1"/>
  <c r="AM428" i="5"/>
  <c r="BB428" i="5" s="1"/>
  <c r="AM427" i="5"/>
  <c r="BB427" i="5" s="1"/>
  <c r="AM426" i="5"/>
  <c r="BB426" i="5" s="1"/>
  <c r="AM425" i="5"/>
  <c r="BB425" i="5" s="1"/>
  <c r="AM424" i="5"/>
  <c r="BB424" i="5" s="1"/>
  <c r="AM423" i="5"/>
  <c r="BB423" i="5" s="1"/>
  <c r="AM422" i="5"/>
  <c r="BB422" i="5" s="1"/>
  <c r="AM421" i="5"/>
  <c r="BB421" i="5" s="1"/>
  <c r="AM420" i="5"/>
  <c r="BB420" i="5" s="1"/>
  <c r="AM419" i="5"/>
  <c r="BB419" i="5" s="1"/>
  <c r="AM418" i="5"/>
  <c r="BB418" i="5" s="1"/>
  <c r="AM417" i="5"/>
  <c r="BB417" i="5" s="1"/>
  <c r="AM416" i="5"/>
  <c r="BB416" i="5" s="1"/>
  <c r="AM415" i="5"/>
  <c r="BB415" i="5" s="1"/>
  <c r="AM414" i="5"/>
  <c r="BB414" i="5" s="1"/>
  <c r="AM413" i="5"/>
  <c r="BB413" i="5" s="1"/>
  <c r="AM412" i="5"/>
  <c r="BB412" i="5" s="1"/>
  <c r="AM411" i="5"/>
  <c r="BB411" i="5" s="1"/>
  <c r="AM410" i="5"/>
  <c r="BB410" i="5" s="1"/>
  <c r="AM409" i="5"/>
  <c r="BB409" i="5" s="1"/>
  <c r="AM408" i="5"/>
  <c r="BB408" i="5" s="1"/>
  <c r="AM407" i="5"/>
  <c r="BB407" i="5" s="1"/>
  <c r="AM406" i="5"/>
  <c r="BB406" i="5" s="1"/>
  <c r="AM405" i="5"/>
  <c r="BB405" i="5" s="1"/>
  <c r="AM404" i="5"/>
  <c r="BB404" i="5" s="1"/>
  <c r="AM403" i="5"/>
  <c r="BB403" i="5" s="1"/>
  <c r="AM402" i="5"/>
  <c r="BB402" i="5" s="1"/>
  <c r="AM401" i="5"/>
  <c r="BB401" i="5" s="1"/>
  <c r="AM400" i="5"/>
  <c r="BB400" i="5" s="1"/>
  <c r="AM399" i="5"/>
  <c r="BB399" i="5" s="1"/>
  <c r="AM398" i="5"/>
  <c r="BB398" i="5" s="1"/>
  <c r="AM397" i="5"/>
  <c r="BB397" i="5" s="1"/>
  <c r="AM396" i="5"/>
  <c r="BB396" i="5" s="1"/>
  <c r="AM395" i="5"/>
  <c r="BB395" i="5" s="1"/>
  <c r="AM394" i="5"/>
  <c r="BB394" i="5" s="1"/>
  <c r="AM393" i="5"/>
  <c r="BB393" i="5" s="1"/>
  <c r="AM392" i="5"/>
  <c r="BB392" i="5" s="1"/>
  <c r="AM391" i="5"/>
  <c r="BB391" i="5" s="1"/>
  <c r="AM390" i="5"/>
  <c r="BB390" i="5" s="1"/>
  <c r="AM389" i="5"/>
  <c r="BB389" i="5" s="1"/>
  <c r="AM388" i="5"/>
  <c r="BB388" i="5" s="1"/>
  <c r="AM387" i="5"/>
  <c r="BB387" i="5" s="1"/>
  <c r="AM386" i="5"/>
  <c r="BB386" i="5" s="1"/>
  <c r="AM385" i="5"/>
  <c r="BB385" i="5" s="1"/>
  <c r="AM384" i="5"/>
  <c r="BB384" i="5" s="1"/>
  <c r="AM383" i="5"/>
  <c r="BB383" i="5" s="1"/>
  <c r="AM382" i="5"/>
  <c r="BB382" i="5" s="1"/>
  <c r="AM381" i="5"/>
  <c r="BB381" i="5" s="1"/>
  <c r="AM380" i="5"/>
  <c r="BB380" i="5" s="1"/>
  <c r="AM379" i="5"/>
  <c r="BB379" i="5" s="1"/>
  <c r="AM378" i="5"/>
  <c r="BB378" i="5" s="1"/>
  <c r="AM377" i="5"/>
  <c r="BB377" i="5" s="1"/>
  <c r="AM376" i="5"/>
  <c r="BB376" i="5" s="1"/>
  <c r="AM375" i="5"/>
  <c r="BB375" i="5" s="1"/>
  <c r="AM374" i="5"/>
  <c r="BB374" i="5" s="1"/>
  <c r="AM373" i="5"/>
  <c r="BB373" i="5" s="1"/>
  <c r="AM372" i="5"/>
  <c r="BB372" i="5" s="1"/>
  <c r="AM371" i="5"/>
  <c r="BB371" i="5" s="1"/>
  <c r="AM370" i="5"/>
  <c r="BB370" i="5" s="1"/>
  <c r="AM369" i="5"/>
  <c r="BB369" i="5" s="1"/>
  <c r="AM368" i="5"/>
  <c r="BB368" i="5" s="1"/>
  <c r="AM367" i="5"/>
  <c r="BB367" i="5" s="1"/>
  <c r="AM366" i="5"/>
  <c r="BB366" i="5" s="1"/>
  <c r="AM365" i="5"/>
  <c r="BB365" i="5" s="1"/>
  <c r="AM364" i="5"/>
  <c r="BB364" i="5" s="1"/>
  <c r="AM363" i="5"/>
  <c r="BB363" i="5" s="1"/>
  <c r="AM362" i="5"/>
  <c r="BB362" i="5" s="1"/>
  <c r="AM361" i="5"/>
  <c r="BB361" i="5" s="1"/>
  <c r="AM360" i="5"/>
  <c r="BB360" i="5" s="1"/>
  <c r="AM359" i="5"/>
  <c r="BB359" i="5" s="1"/>
  <c r="AM358" i="5"/>
  <c r="BB358" i="5" s="1"/>
  <c r="AM357" i="5"/>
  <c r="BB357" i="5" s="1"/>
  <c r="AM356" i="5"/>
  <c r="BB356" i="5" s="1"/>
  <c r="AM355" i="5"/>
  <c r="BB355" i="5" s="1"/>
  <c r="AM354" i="5"/>
  <c r="BB354" i="5" s="1"/>
  <c r="AM353" i="5"/>
  <c r="BB353" i="5" s="1"/>
  <c r="AM352" i="5"/>
  <c r="BB352" i="5" s="1"/>
  <c r="AM351" i="5"/>
  <c r="BB351" i="5" s="1"/>
  <c r="AM350" i="5"/>
  <c r="BB350" i="5" s="1"/>
  <c r="AM349" i="5"/>
  <c r="BB349" i="5" s="1"/>
  <c r="AM348" i="5"/>
  <c r="BB348" i="5" s="1"/>
  <c r="AM347" i="5"/>
  <c r="BB347" i="5" s="1"/>
  <c r="AM346" i="5"/>
  <c r="BB346" i="5" s="1"/>
  <c r="AM345" i="5"/>
  <c r="BB345" i="5" s="1"/>
  <c r="AM344" i="5"/>
  <c r="BB344" i="5" s="1"/>
  <c r="AM343" i="5"/>
  <c r="BB343" i="5" s="1"/>
  <c r="AM342" i="5"/>
  <c r="BB342" i="5" s="1"/>
  <c r="AM341" i="5"/>
  <c r="BB341" i="5" s="1"/>
  <c r="AM340" i="5"/>
  <c r="BB340" i="5" s="1"/>
  <c r="AM339" i="5"/>
  <c r="BB339" i="5" s="1"/>
  <c r="AM338" i="5"/>
  <c r="BB338" i="5" s="1"/>
  <c r="AM337" i="5"/>
  <c r="BB337" i="5" s="1"/>
  <c r="AM336" i="5"/>
  <c r="BB336" i="5" s="1"/>
  <c r="AM335" i="5"/>
  <c r="BB335" i="5" s="1"/>
  <c r="AM334" i="5"/>
  <c r="BB334" i="5" s="1"/>
  <c r="AM333" i="5"/>
  <c r="BB333" i="5" s="1"/>
  <c r="AM332" i="5"/>
  <c r="BB332" i="5" s="1"/>
  <c r="AM331" i="5"/>
  <c r="BB331" i="5" s="1"/>
  <c r="AM330" i="5"/>
  <c r="BB330" i="5" s="1"/>
  <c r="AM329" i="5"/>
  <c r="BB329" i="5" s="1"/>
  <c r="AM328" i="5"/>
  <c r="BB328" i="5" s="1"/>
  <c r="AM327" i="5"/>
  <c r="BB327" i="5" s="1"/>
  <c r="AM326" i="5"/>
  <c r="BB326" i="5" s="1"/>
  <c r="AM325" i="5"/>
  <c r="BB325" i="5" s="1"/>
  <c r="AM324" i="5"/>
  <c r="BB324" i="5" s="1"/>
  <c r="AM323" i="5"/>
  <c r="BB323" i="5" s="1"/>
  <c r="AM322" i="5"/>
  <c r="BB322" i="5" s="1"/>
  <c r="AM321" i="5"/>
  <c r="BB321" i="5" s="1"/>
  <c r="AM320" i="5"/>
  <c r="BB320" i="5" s="1"/>
  <c r="AM319" i="5"/>
  <c r="BB319" i="5" s="1"/>
  <c r="AM318" i="5"/>
  <c r="BB318" i="5" s="1"/>
  <c r="AM317" i="5"/>
  <c r="BB317" i="5" s="1"/>
  <c r="AM316" i="5"/>
  <c r="BB316" i="5" s="1"/>
  <c r="AM315" i="5"/>
  <c r="BB315" i="5" s="1"/>
  <c r="AM314" i="5"/>
  <c r="BB314" i="5" s="1"/>
  <c r="AM313" i="5"/>
  <c r="BB313" i="5" s="1"/>
  <c r="AM312" i="5"/>
  <c r="BB312" i="5" s="1"/>
  <c r="AM311" i="5"/>
  <c r="BB311" i="5" s="1"/>
  <c r="AM310" i="5"/>
  <c r="BB310" i="5" s="1"/>
  <c r="AM309" i="5"/>
  <c r="BB309" i="5" s="1"/>
  <c r="AM308" i="5"/>
  <c r="BB308" i="5" s="1"/>
  <c r="AM307" i="5"/>
  <c r="BB307" i="5" s="1"/>
  <c r="AM306" i="5"/>
  <c r="BB306" i="5" s="1"/>
  <c r="AM305" i="5"/>
  <c r="BB305" i="5" s="1"/>
  <c r="AM304" i="5"/>
  <c r="BB304" i="5" s="1"/>
  <c r="AM303" i="5"/>
  <c r="BB303" i="5" s="1"/>
  <c r="AM302" i="5"/>
  <c r="BB302" i="5" s="1"/>
  <c r="AM301" i="5"/>
  <c r="BB301" i="5" s="1"/>
  <c r="AM300" i="5"/>
  <c r="BB300" i="5" s="1"/>
  <c r="AM299" i="5"/>
  <c r="BB299" i="5" s="1"/>
  <c r="AM298" i="5"/>
  <c r="BB298" i="5" s="1"/>
  <c r="AM297" i="5"/>
  <c r="BB297" i="5" s="1"/>
  <c r="AM296" i="5"/>
  <c r="BB296" i="5" s="1"/>
  <c r="AM295" i="5"/>
  <c r="BB295" i="5" s="1"/>
  <c r="AM294" i="5"/>
  <c r="BB294" i="5" s="1"/>
  <c r="AM293" i="5"/>
  <c r="BB293" i="5" s="1"/>
  <c r="AM292" i="5"/>
  <c r="BB292" i="5" s="1"/>
  <c r="AM291" i="5"/>
  <c r="BB291" i="5" s="1"/>
  <c r="AM290" i="5"/>
  <c r="BB290" i="5" s="1"/>
  <c r="AM289" i="5"/>
  <c r="BB289" i="5" s="1"/>
  <c r="AM288" i="5"/>
  <c r="BB288" i="5" s="1"/>
  <c r="AM287" i="5"/>
  <c r="BB287" i="5" s="1"/>
  <c r="AM286" i="5"/>
  <c r="BB286" i="5" s="1"/>
  <c r="AM285" i="5"/>
  <c r="BB285" i="5" s="1"/>
  <c r="AM284" i="5"/>
  <c r="BB284" i="5" s="1"/>
  <c r="AM283" i="5"/>
  <c r="BB283" i="5" s="1"/>
  <c r="AM282" i="5"/>
  <c r="BB282" i="5" s="1"/>
  <c r="AM281" i="5"/>
  <c r="BB281" i="5" s="1"/>
  <c r="AM280" i="5"/>
  <c r="BB280" i="5" s="1"/>
  <c r="AM279" i="5"/>
  <c r="BB279" i="5" s="1"/>
  <c r="AM278" i="5"/>
  <c r="BB278" i="5" s="1"/>
  <c r="AM277" i="5"/>
  <c r="BB277" i="5" s="1"/>
  <c r="AM276" i="5"/>
  <c r="BB276" i="5" s="1"/>
  <c r="AM275" i="5"/>
  <c r="BB275" i="5" s="1"/>
  <c r="AM274" i="5"/>
  <c r="BB274" i="5" s="1"/>
  <c r="AM273" i="5"/>
  <c r="BB273" i="5" s="1"/>
  <c r="AM272" i="5"/>
  <c r="BB272" i="5" s="1"/>
  <c r="AM271" i="5"/>
  <c r="BB271" i="5" s="1"/>
  <c r="AM270" i="5"/>
  <c r="BB270" i="5" s="1"/>
  <c r="AM269" i="5"/>
  <c r="BB269" i="5" s="1"/>
  <c r="AM268" i="5"/>
  <c r="BB268" i="5" s="1"/>
  <c r="AM267" i="5"/>
  <c r="BB267" i="5" s="1"/>
  <c r="AM266" i="5"/>
  <c r="BB266" i="5" s="1"/>
  <c r="AM265" i="5"/>
  <c r="BB265" i="5" s="1"/>
  <c r="AM264" i="5"/>
  <c r="BB264" i="5" s="1"/>
  <c r="AM263" i="5"/>
  <c r="BB263" i="5" s="1"/>
  <c r="AM262" i="5"/>
  <c r="BB262" i="5" s="1"/>
  <c r="AM261" i="5"/>
  <c r="BB261" i="5" s="1"/>
  <c r="AM260" i="5"/>
  <c r="BB260" i="5" s="1"/>
  <c r="AM259" i="5"/>
  <c r="BB259" i="5" s="1"/>
  <c r="AM258" i="5"/>
  <c r="BB258" i="5" s="1"/>
  <c r="AM257" i="5"/>
  <c r="BB257" i="5" s="1"/>
  <c r="AM256" i="5"/>
  <c r="BB256" i="5" s="1"/>
  <c r="AM255" i="5"/>
  <c r="BB255" i="5" s="1"/>
  <c r="AM254" i="5"/>
  <c r="BB254" i="5" s="1"/>
  <c r="AM253" i="5"/>
  <c r="BB253" i="5" s="1"/>
  <c r="AM252" i="5"/>
  <c r="BB252" i="5" s="1"/>
  <c r="AM251" i="5"/>
  <c r="BB251" i="5" s="1"/>
  <c r="AM250" i="5"/>
  <c r="BB250" i="5" s="1"/>
  <c r="AM249" i="5"/>
  <c r="BB249" i="5" s="1"/>
  <c r="AM248" i="5"/>
  <c r="BB248" i="5" s="1"/>
  <c r="AM247" i="5"/>
  <c r="BB247" i="5" s="1"/>
  <c r="AM246" i="5"/>
  <c r="BB246" i="5" s="1"/>
  <c r="AM245" i="5"/>
  <c r="BB245" i="5" s="1"/>
  <c r="AM244" i="5"/>
  <c r="BB244" i="5" s="1"/>
  <c r="AM243" i="5"/>
  <c r="BB243" i="5" s="1"/>
  <c r="AM242" i="5"/>
  <c r="BB242" i="5" s="1"/>
  <c r="AM241" i="5"/>
  <c r="BB241" i="5" s="1"/>
  <c r="AM240" i="5"/>
  <c r="BB240" i="5" s="1"/>
  <c r="AM239" i="5"/>
  <c r="BB239" i="5" s="1"/>
  <c r="AM238" i="5"/>
  <c r="BB238" i="5" s="1"/>
  <c r="AM237" i="5"/>
  <c r="BB237" i="5" s="1"/>
  <c r="AM236" i="5"/>
  <c r="BB236" i="5" s="1"/>
  <c r="AM235" i="5"/>
  <c r="BB235" i="5" s="1"/>
  <c r="AM234" i="5"/>
  <c r="BB234" i="5" s="1"/>
  <c r="AM233" i="5"/>
  <c r="BB233" i="5" s="1"/>
  <c r="AM232" i="5"/>
  <c r="BB232" i="5" s="1"/>
  <c r="AM231" i="5"/>
  <c r="BB231" i="5" s="1"/>
  <c r="AM230" i="5"/>
  <c r="BB230" i="5" s="1"/>
  <c r="AM229" i="5"/>
  <c r="BB229" i="5" s="1"/>
  <c r="AM228" i="5"/>
  <c r="BB228" i="5" s="1"/>
  <c r="AM227" i="5"/>
  <c r="BB227" i="5" s="1"/>
  <c r="AM226" i="5"/>
  <c r="BB226" i="5" s="1"/>
  <c r="AM225" i="5"/>
  <c r="BB225" i="5" s="1"/>
  <c r="AM224" i="5"/>
  <c r="BB224" i="5" s="1"/>
  <c r="AM223" i="5"/>
  <c r="BB223" i="5" s="1"/>
  <c r="AM222" i="5"/>
  <c r="BB222" i="5" s="1"/>
  <c r="AM221" i="5"/>
  <c r="BB221" i="5" s="1"/>
  <c r="AM220" i="5"/>
  <c r="BB220" i="5" s="1"/>
  <c r="AM219" i="5"/>
  <c r="BB219" i="5" s="1"/>
  <c r="AM218" i="5"/>
  <c r="BB218" i="5" s="1"/>
  <c r="AM217" i="5"/>
  <c r="BB217" i="5" s="1"/>
  <c r="AM216" i="5"/>
  <c r="BB216" i="5" s="1"/>
  <c r="AM215" i="5"/>
  <c r="BB215" i="5" s="1"/>
  <c r="AM214" i="5"/>
  <c r="BB214" i="5" s="1"/>
  <c r="AM213" i="5"/>
  <c r="BB213" i="5" s="1"/>
  <c r="AM212" i="5"/>
  <c r="BB212" i="5" s="1"/>
  <c r="AM211" i="5"/>
  <c r="BB211" i="5" s="1"/>
  <c r="AM210" i="5"/>
  <c r="BB210" i="5" s="1"/>
  <c r="AM209" i="5"/>
  <c r="BB209" i="5" s="1"/>
  <c r="AM208" i="5"/>
  <c r="BB208" i="5" s="1"/>
  <c r="AM207" i="5"/>
  <c r="BB207" i="5" s="1"/>
  <c r="AM206" i="5"/>
  <c r="BB206" i="5" s="1"/>
  <c r="AM205" i="5"/>
  <c r="BB205" i="5" s="1"/>
  <c r="AM204" i="5"/>
  <c r="BB204" i="5" s="1"/>
  <c r="AM203" i="5"/>
  <c r="BB203" i="5" s="1"/>
  <c r="AM202" i="5"/>
  <c r="BB202" i="5" s="1"/>
  <c r="AM201" i="5"/>
  <c r="BB201" i="5" s="1"/>
  <c r="AM200" i="5"/>
  <c r="BB200" i="5" s="1"/>
  <c r="AM199" i="5"/>
  <c r="BB199" i="5" s="1"/>
  <c r="AM198" i="5"/>
  <c r="BB198" i="5" s="1"/>
  <c r="AM197" i="5"/>
  <c r="BB197" i="5" s="1"/>
  <c r="AM196" i="5"/>
  <c r="BB196" i="5" s="1"/>
  <c r="AM195" i="5"/>
  <c r="BB195" i="5" s="1"/>
  <c r="AM194" i="5"/>
  <c r="BB194" i="5" s="1"/>
  <c r="AM193" i="5"/>
  <c r="BB193" i="5" s="1"/>
  <c r="AM192" i="5"/>
  <c r="BB192" i="5" s="1"/>
  <c r="AM191" i="5"/>
  <c r="BB191" i="5" s="1"/>
  <c r="AM190" i="5"/>
  <c r="BB190" i="5" s="1"/>
  <c r="AM189" i="5"/>
  <c r="BB189" i="5" s="1"/>
  <c r="AM188" i="5"/>
  <c r="BB188" i="5" s="1"/>
  <c r="AM187" i="5"/>
  <c r="BB187" i="5" s="1"/>
  <c r="AM186" i="5"/>
  <c r="BB186" i="5" s="1"/>
  <c r="AM185" i="5"/>
  <c r="BB185" i="5" s="1"/>
  <c r="AM184" i="5"/>
  <c r="BB184" i="5" s="1"/>
  <c r="AM183" i="5"/>
  <c r="BB183" i="5" s="1"/>
  <c r="AM182" i="5"/>
  <c r="BB182" i="5" s="1"/>
  <c r="AM181" i="5"/>
  <c r="BB181" i="5" s="1"/>
  <c r="AM180" i="5"/>
  <c r="BB180" i="5" s="1"/>
  <c r="AM179" i="5"/>
  <c r="BB179" i="5" s="1"/>
  <c r="AM178" i="5"/>
  <c r="BB178" i="5" s="1"/>
  <c r="AM177" i="5"/>
  <c r="BB177" i="5" s="1"/>
  <c r="AM176" i="5"/>
  <c r="BB176" i="5" s="1"/>
  <c r="AM175" i="5"/>
  <c r="BB175" i="5" s="1"/>
  <c r="AM174" i="5"/>
  <c r="BB174" i="5" s="1"/>
  <c r="AM173" i="5"/>
  <c r="BB173" i="5" s="1"/>
  <c r="AM172" i="5"/>
  <c r="BB172" i="5" s="1"/>
  <c r="AM171" i="5"/>
  <c r="BB171" i="5" s="1"/>
  <c r="AM170" i="5"/>
  <c r="BB170" i="5" s="1"/>
  <c r="AM169" i="5"/>
  <c r="BB169" i="5" s="1"/>
  <c r="AM168" i="5"/>
  <c r="BB168" i="5" s="1"/>
  <c r="AM167" i="5"/>
  <c r="BB167" i="5" s="1"/>
  <c r="AM166" i="5"/>
  <c r="BB166" i="5" s="1"/>
  <c r="AM165" i="5"/>
  <c r="BB165" i="5" s="1"/>
  <c r="AM164" i="5"/>
  <c r="BB164" i="5" s="1"/>
  <c r="AM163" i="5"/>
  <c r="BB163" i="5" s="1"/>
  <c r="AM162" i="5"/>
  <c r="BB162" i="5" s="1"/>
  <c r="AM161" i="5"/>
  <c r="BB161" i="5" s="1"/>
  <c r="AM160" i="5"/>
  <c r="BB160" i="5" s="1"/>
  <c r="AM159" i="5"/>
  <c r="BB159" i="5" s="1"/>
  <c r="AM158" i="5"/>
  <c r="BB158" i="5" s="1"/>
  <c r="AM157" i="5"/>
  <c r="BB157" i="5" s="1"/>
  <c r="AM156" i="5"/>
  <c r="BB156" i="5" s="1"/>
  <c r="AM155" i="5"/>
  <c r="BB155" i="5" s="1"/>
  <c r="AM154" i="5"/>
  <c r="BB154" i="5" s="1"/>
  <c r="AM153" i="5"/>
  <c r="BB153" i="5" s="1"/>
  <c r="AM152" i="5"/>
  <c r="BB152" i="5" s="1"/>
  <c r="AM151" i="5"/>
  <c r="BB151" i="5" s="1"/>
  <c r="AM150" i="5"/>
  <c r="BB150" i="5" s="1"/>
  <c r="AM149" i="5"/>
  <c r="BB149" i="5" s="1"/>
  <c r="AM148" i="5"/>
  <c r="BB148" i="5" s="1"/>
  <c r="AM147" i="5"/>
  <c r="BB147" i="5" s="1"/>
  <c r="AM146" i="5"/>
  <c r="BB146" i="5" s="1"/>
  <c r="AM145" i="5"/>
  <c r="BB145" i="5" s="1"/>
  <c r="AM144" i="5"/>
  <c r="BB144" i="5" s="1"/>
  <c r="AM143" i="5"/>
  <c r="BB143" i="5" s="1"/>
  <c r="AM142" i="5"/>
  <c r="BB142" i="5" s="1"/>
  <c r="AM141" i="5"/>
  <c r="BB141" i="5" s="1"/>
  <c r="AM140" i="5"/>
  <c r="BB140" i="5" s="1"/>
  <c r="AM139" i="5"/>
  <c r="BB139" i="5" s="1"/>
  <c r="AM138" i="5"/>
  <c r="BB138" i="5" s="1"/>
  <c r="AM137" i="5"/>
  <c r="BB137" i="5" s="1"/>
  <c r="AM136" i="5"/>
  <c r="BB136" i="5" s="1"/>
  <c r="AM135" i="5"/>
  <c r="BB135" i="5" s="1"/>
  <c r="AM134" i="5"/>
  <c r="BB134" i="5" s="1"/>
  <c r="AM133" i="5"/>
  <c r="BB133" i="5" s="1"/>
  <c r="AM132" i="5"/>
  <c r="BB132" i="5" s="1"/>
  <c r="AM131" i="5"/>
  <c r="BB131" i="5" s="1"/>
  <c r="AM130" i="5"/>
  <c r="BB130" i="5" s="1"/>
  <c r="AM129" i="5"/>
  <c r="BB129" i="5" s="1"/>
  <c r="AM128" i="5"/>
  <c r="BB128" i="5" s="1"/>
  <c r="AM127" i="5"/>
  <c r="BB127" i="5" s="1"/>
  <c r="AM126" i="5"/>
  <c r="BB126" i="5" s="1"/>
  <c r="AM125" i="5"/>
  <c r="BB125" i="5" s="1"/>
  <c r="AM124" i="5"/>
  <c r="BB124" i="5" s="1"/>
  <c r="AM123" i="5"/>
  <c r="BB123" i="5" s="1"/>
  <c r="AM122" i="5"/>
  <c r="BB122" i="5" s="1"/>
  <c r="AM121" i="5"/>
  <c r="BB121" i="5" s="1"/>
  <c r="AM120" i="5"/>
  <c r="BB120" i="5" s="1"/>
  <c r="AM119" i="5"/>
  <c r="BB119" i="5" s="1"/>
  <c r="AM118" i="5"/>
  <c r="BB118" i="5" s="1"/>
  <c r="AM117" i="5"/>
  <c r="BB117" i="5" s="1"/>
  <c r="AM116" i="5"/>
  <c r="BB116" i="5" s="1"/>
  <c r="AM115" i="5"/>
  <c r="BB115" i="5" s="1"/>
  <c r="AM114" i="5"/>
  <c r="BB114" i="5" s="1"/>
  <c r="AM113" i="5"/>
  <c r="BB113" i="5" s="1"/>
  <c r="AM112" i="5"/>
  <c r="BB112" i="5" s="1"/>
  <c r="AM111" i="5"/>
  <c r="BB111" i="5" s="1"/>
  <c r="AM110" i="5"/>
  <c r="BB110" i="5" s="1"/>
  <c r="AM109" i="5"/>
  <c r="BB109" i="5" s="1"/>
  <c r="AM108" i="5"/>
  <c r="BB108" i="5" s="1"/>
  <c r="AM107" i="5"/>
  <c r="BB107" i="5" s="1"/>
  <c r="AM106" i="5"/>
  <c r="BB106" i="5" s="1"/>
  <c r="AM105" i="5"/>
  <c r="BB105" i="5" s="1"/>
  <c r="AM104" i="5"/>
  <c r="BB104" i="5" s="1"/>
  <c r="AM103" i="5"/>
  <c r="BB103" i="5" s="1"/>
  <c r="AM102" i="5"/>
  <c r="BB102" i="5" s="1"/>
  <c r="AM101" i="5"/>
  <c r="BB101" i="5" s="1"/>
  <c r="AM100" i="5"/>
  <c r="BB100" i="5" s="1"/>
  <c r="AM99" i="5"/>
  <c r="BB99" i="5" s="1"/>
  <c r="AM98" i="5"/>
  <c r="BB98" i="5" s="1"/>
  <c r="AM97" i="5"/>
  <c r="BB97" i="5" s="1"/>
  <c r="AM96" i="5"/>
  <c r="BB96" i="5" s="1"/>
  <c r="AM95" i="5"/>
  <c r="BB95" i="5" s="1"/>
  <c r="AM94" i="5"/>
  <c r="BB94" i="5" s="1"/>
  <c r="AM93" i="5"/>
  <c r="BB93" i="5" s="1"/>
  <c r="AM92" i="5"/>
  <c r="BB92" i="5" s="1"/>
  <c r="AM91" i="5"/>
  <c r="BB91" i="5" s="1"/>
  <c r="AM90" i="5"/>
  <c r="BB90" i="5" s="1"/>
  <c r="AM89" i="5"/>
  <c r="BB89" i="5" s="1"/>
  <c r="AM88" i="5"/>
  <c r="BB88" i="5" s="1"/>
  <c r="AM87" i="5"/>
  <c r="BB87" i="5" s="1"/>
  <c r="AM86" i="5"/>
  <c r="BB86" i="5" s="1"/>
  <c r="AM85" i="5"/>
  <c r="BB85" i="5" s="1"/>
  <c r="AM84" i="5"/>
  <c r="BB84" i="5" s="1"/>
  <c r="AM83" i="5"/>
  <c r="BB83" i="5" s="1"/>
  <c r="AM82" i="5"/>
  <c r="BB82" i="5" s="1"/>
  <c r="AM81" i="5"/>
  <c r="BB81" i="5" s="1"/>
  <c r="AM80" i="5"/>
  <c r="BB80" i="5" s="1"/>
  <c r="AM79" i="5"/>
  <c r="BB79" i="5" s="1"/>
  <c r="AM78" i="5"/>
  <c r="BB78" i="5" s="1"/>
  <c r="AM77" i="5"/>
  <c r="BB77" i="5" s="1"/>
  <c r="AM76" i="5"/>
  <c r="BB76" i="5" s="1"/>
  <c r="AM75" i="5"/>
  <c r="BB75" i="5" s="1"/>
  <c r="AM74" i="5"/>
  <c r="BB74" i="5" s="1"/>
  <c r="AM73" i="5"/>
  <c r="BB73" i="5" s="1"/>
  <c r="AM72" i="5"/>
  <c r="BB72" i="5" s="1"/>
  <c r="AM71" i="5"/>
  <c r="BB71" i="5" s="1"/>
  <c r="AM70" i="5"/>
  <c r="BB70" i="5" s="1"/>
  <c r="AM69" i="5"/>
  <c r="BB69" i="5" s="1"/>
  <c r="AM68" i="5"/>
  <c r="BB68" i="5" s="1"/>
  <c r="AM67" i="5"/>
  <c r="BB67" i="5" s="1"/>
  <c r="AM66" i="5"/>
  <c r="BB66" i="5" s="1"/>
  <c r="AM65" i="5"/>
  <c r="BB65" i="5" s="1"/>
  <c r="AM64" i="5"/>
  <c r="BB64" i="5" s="1"/>
  <c r="AM63" i="5"/>
  <c r="BB63" i="5" s="1"/>
  <c r="AM62" i="5"/>
  <c r="BB62" i="5" s="1"/>
  <c r="AM61" i="5"/>
  <c r="BB61" i="5" s="1"/>
  <c r="AM60" i="5"/>
  <c r="BB60" i="5" s="1"/>
  <c r="AM59" i="5"/>
  <c r="BB59" i="5" s="1"/>
  <c r="AM58" i="5"/>
  <c r="BB58" i="5" s="1"/>
  <c r="AM57" i="5"/>
  <c r="BB57" i="5" s="1"/>
  <c r="AM56" i="5"/>
  <c r="BB56" i="5" s="1"/>
  <c r="AM55" i="5"/>
  <c r="BB55" i="5" s="1"/>
  <c r="AM54" i="5"/>
  <c r="BB54" i="5" s="1"/>
  <c r="AM53" i="5"/>
  <c r="BB53" i="5" s="1"/>
  <c r="AM52" i="5"/>
  <c r="BB52" i="5" s="1"/>
  <c r="AM51" i="5"/>
  <c r="BB51" i="5" s="1"/>
  <c r="AM50" i="5"/>
  <c r="BB50" i="5" s="1"/>
  <c r="AM49" i="5"/>
  <c r="BB49" i="5" s="1"/>
  <c r="AM48" i="5"/>
  <c r="BB48" i="5" s="1"/>
  <c r="AM47" i="5"/>
  <c r="BB47" i="5" s="1"/>
  <c r="AM46" i="5"/>
  <c r="BB46" i="5" s="1"/>
  <c r="AM45" i="5"/>
  <c r="BB45" i="5" s="1"/>
  <c r="AM44" i="5"/>
  <c r="BB44" i="5" s="1"/>
  <c r="AM43" i="5"/>
  <c r="BB43" i="5" s="1"/>
  <c r="AM42" i="5"/>
  <c r="BB42" i="5" s="1"/>
  <c r="AM41" i="5"/>
  <c r="BB41" i="5" s="1"/>
  <c r="AM40" i="5"/>
  <c r="BB40" i="5" s="1"/>
  <c r="AM39" i="5"/>
  <c r="BB39" i="5" s="1"/>
  <c r="AM38" i="5"/>
  <c r="BB38" i="5" s="1"/>
  <c r="AM37" i="5"/>
  <c r="BB37" i="5" s="1"/>
  <c r="AM36" i="5"/>
  <c r="BB36" i="5" s="1"/>
  <c r="AM35" i="5"/>
  <c r="BB35" i="5" s="1"/>
  <c r="AM34" i="5"/>
  <c r="BB34" i="5" s="1"/>
  <c r="AM33" i="5"/>
  <c r="BB33" i="5" s="1"/>
  <c r="AM32" i="5"/>
  <c r="BB32" i="5" s="1"/>
  <c r="AM31" i="5"/>
  <c r="BB31" i="5" s="1"/>
  <c r="AM30" i="5"/>
  <c r="BB30" i="5" s="1"/>
  <c r="AM29" i="5"/>
  <c r="BB29" i="5" s="1"/>
  <c r="AM28" i="5"/>
  <c r="BB28" i="5" s="1"/>
  <c r="AM27" i="5"/>
  <c r="BB27" i="5" s="1"/>
  <c r="AM26" i="5"/>
  <c r="BB26" i="5" s="1"/>
  <c r="AM25" i="5"/>
  <c r="BB25" i="5" s="1"/>
  <c r="AM24" i="5"/>
  <c r="BB24" i="5" s="1"/>
  <c r="AM23" i="5"/>
  <c r="BB23" i="5" s="1"/>
  <c r="AM22" i="5"/>
  <c r="BB22" i="5" s="1"/>
  <c r="AM21" i="5"/>
  <c r="BB21" i="5" s="1"/>
  <c r="AM20" i="5"/>
  <c r="BB20" i="5" s="1"/>
  <c r="AM19" i="5"/>
  <c r="BB19" i="5" s="1"/>
  <c r="AM18" i="5"/>
  <c r="BB18" i="5" s="1"/>
  <c r="AM17" i="5"/>
  <c r="BB17" i="5" s="1"/>
  <c r="AM16" i="5"/>
  <c r="BB16" i="5" s="1"/>
  <c r="AM15" i="5"/>
  <c r="BB15" i="5" s="1"/>
  <c r="AM14" i="5"/>
  <c r="BB14" i="5" s="1"/>
  <c r="AM13" i="5"/>
  <c r="BB13" i="5" s="1"/>
  <c r="AM12" i="5"/>
  <c r="BB12" i="5" s="1"/>
  <c r="AM11" i="5"/>
  <c r="BB11" i="5" s="1"/>
  <c r="AM10" i="5"/>
  <c r="BB10" i="5" s="1"/>
  <c r="AM9" i="5"/>
  <c r="BB9" i="5" s="1"/>
  <c r="AM8" i="5"/>
  <c r="BB8" i="5" s="1"/>
  <c r="AK646" i="5"/>
  <c r="AK643" i="5"/>
  <c r="BA643" i="5" s="1"/>
  <c r="AK642" i="5"/>
  <c r="BA642" i="5" s="1"/>
  <c r="AK641" i="5"/>
  <c r="BA641" i="5" s="1"/>
  <c r="AK640" i="5"/>
  <c r="BA640" i="5" s="1"/>
  <c r="AK639" i="5"/>
  <c r="BA639" i="5" s="1"/>
  <c r="AK638" i="5"/>
  <c r="BA638" i="5" s="1"/>
  <c r="AK637" i="5"/>
  <c r="BA637" i="5" s="1"/>
  <c r="AK636" i="5"/>
  <c r="BA636" i="5" s="1"/>
  <c r="AK635" i="5"/>
  <c r="BA635" i="5" s="1"/>
  <c r="AK634" i="5"/>
  <c r="BA634" i="5" s="1"/>
  <c r="AK633" i="5"/>
  <c r="BA633" i="5" s="1"/>
  <c r="AK632" i="5"/>
  <c r="BA632" i="5" s="1"/>
  <c r="AK631" i="5"/>
  <c r="BA631" i="5" s="1"/>
  <c r="AK630" i="5"/>
  <c r="BA630" i="5" s="1"/>
  <c r="AK629" i="5"/>
  <c r="BA629" i="5" s="1"/>
  <c r="AK628" i="5"/>
  <c r="BA628" i="5" s="1"/>
  <c r="AK627" i="5"/>
  <c r="BA627" i="5" s="1"/>
  <c r="AK626" i="5"/>
  <c r="BA626" i="5" s="1"/>
  <c r="AK625" i="5"/>
  <c r="BA625" i="5" s="1"/>
  <c r="AK624" i="5"/>
  <c r="BA624" i="5" s="1"/>
  <c r="AK623" i="5"/>
  <c r="BA623" i="5" s="1"/>
  <c r="AK622" i="5"/>
  <c r="BA622" i="5" s="1"/>
  <c r="AK621" i="5"/>
  <c r="BA621" i="5" s="1"/>
  <c r="AK620" i="5"/>
  <c r="BA620" i="5" s="1"/>
  <c r="AK619" i="5"/>
  <c r="BA619" i="5" s="1"/>
  <c r="AK618" i="5"/>
  <c r="BA618" i="5" s="1"/>
  <c r="AK617" i="5"/>
  <c r="BA617" i="5" s="1"/>
  <c r="AK616" i="5"/>
  <c r="BA616" i="5" s="1"/>
  <c r="AK615" i="5"/>
  <c r="BA615" i="5" s="1"/>
  <c r="AK614" i="5"/>
  <c r="BA614" i="5" s="1"/>
  <c r="AK613" i="5"/>
  <c r="BA613" i="5" s="1"/>
  <c r="AK612" i="5"/>
  <c r="BA612" i="5" s="1"/>
  <c r="AK611" i="5"/>
  <c r="BA611" i="5" s="1"/>
  <c r="AK610" i="5"/>
  <c r="BA610" i="5" s="1"/>
  <c r="AK609" i="5"/>
  <c r="BA609" i="5" s="1"/>
  <c r="AK608" i="5"/>
  <c r="BA608" i="5" s="1"/>
  <c r="AK607" i="5"/>
  <c r="BA607" i="5" s="1"/>
  <c r="AK606" i="5"/>
  <c r="BA606" i="5" s="1"/>
  <c r="AK605" i="5"/>
  <c r="BA605" i="5" s="1"/>
  <c r="AK604" i="5"/>
  <c r="BA604" i="5" s="1"/>
  <c r="AK603" i="5"/>
  <c r="BA603" i="5" s="1"/>
  <c r="AK602" i="5"/>
  <c r="BA602" i="5" s="1"/>
  <c r="AK601" i="5"/>
  <c r="BA601" i="5" s="1"/>
  <c r="AK600" i="5"/>
  <c r="BA600" i="5" s="1"/>
  <c r="AK599" i="5"/>
  <c r="BA599" i="5" s="1"/>
  <c r="AK598" i="5"/>
  <c r="BA598" i="5" s="1"/>
  <c r="AK597" i="5"/>
  <c r="BA597" i="5" s="1"/>
  <c r="AK596" i="5"/>
  <c r="BA596" i="5" s="1"/>
  <c r="AK595" i="5"/>
  <c r="BA595" i="5" s="1"/>
  <c r="AK594" i="5"/>
  <c r="BA594" i="5" s="1"/>
  <c r="AK593" i="5"/>
  <c r="BA593" i="5" s="1"/>
  <c r="AK592" i="5"/>
  <c r="BA592" i="5" s="1"/>
  <c r="AK590" i="5"/>
  <c r="BA590" i="5" s="1"/>
  <c r="AK589" i="5"/>
  <c r="AK588" i="5"/>
  <c r="BA588" i="5" s="1"/>
  <c r="AK587" i="5"/>
  <c r="BA587" i="5" s="1"/>
  <c r="AK586" i="5"/>
  <c r="BA586" i="5" s="1"/>
  <c r="AK585" i="5"/>
  <c r="BA585" i="5" s="1"/>
  <c r="AK584" i="5"/>
  <c r="BA584" i="5" s="1"/>
  <c r="AK583" i="5"/>
  <c r="BA583" i="5" s="1"/>
  <c r="AK582" i="5"/>
  <c r="BA582" i="5" s="1"/>
  <c r="AK581" i="5"/>
  <c r="BA581" i="5" s="1"/>
  <c r="AK580" i="5"/>
  <c r="BA580" i="5" s="1"/>
  <c r="AK579" i="5"/>
  <c r="BA579" i="5" s="1"/>
  <c r="AK578" i="5"/>
  <c r="BA578" i="5" s="1"/>
  <c r="AK577" i="5"/>
  <c r="BA577" i="5" s="1"/>
  <c r="AK576" i="5"/>
  <c r="BA576" i="5" s="1"/>
  <c r="AK575" i="5"/>
  <c r="BA575" i="5" s="1"/>
  <c r="AK574" i="5"/>
  <c r="BA574" i="5" s="1"/>
  <c r="AK573" i="5"/>
  <c r="BA573" i="5" s="1"/>
  <c r="AK572" i="5"/>
  <c r="BA572" i="5" s="1"/>
  <c r="AK571" i="5"/>
  <c r="BA571" i="5" s="1"/>
  <c r="AK570" i="5"/>
  <c r="BA570" i="5" s="1"/>
  <c r="AK569" i="5"/>
  <c r="BA569" i="5" s="1"/>
  <c r="AK568" i="5"/>
  <c r="BA568" i="5" s="1"/>
  <c r="AK567" i="5"/>
  <c r="BA567" i="5" s="1"/>
  <c r="AK566" i="5"/>
  <c r="BA566" i="5" s="1"/>
  <c r="AK565" i="5"/>
  <c r="BA565" i="5" s="1"/>
  <c r="AK564" i="5"/>
  <c r="BA564" i="5" s="1"/>
  <c r="AK563" i="5"/>
  <c r="BA563" i="5" s="1"/>
  <c r="AK562" i="5"/>
  <c r="BA562" i="5" s="1"/>
  <c r="AK561" i="5"/>
  <c r="BA561" i="5" s="1"/>
  <c r="AK560" i="5"/>
  <c r="BA560" i="5" s="1"/>
  <c r="AK559" i="5"/>
  <c r="BA559" i="5" s="1"/>
  <c r="AK558" i="5"/>
  <c r="BA558" i="5" s="1"/>
  <c r="AK557" i="5"/>
  <c r="BA557" i="5" s="1"/>
  <c r="AK556" i="5"/>
  <c r="BA556" i="5" s="1"/>
  <c r="AK555" i="5"/>
  <c r="BA555" i="5" s="1"/>
  <c r="AK554" i="5"/>
  <c r="BA554" i="5" s="1"/>
  <c r="AK553" i="5"/>
  <c r="BA553" i="5" s="1"/>
  <c r="AK552" i="5"/>
  <c r="BA552" i="5" s="1"/>
  <c r="AK551" i="5"/>
  <c r="BA551" i="5" s="1"/>
  <c r="AK550" i="5"/>
  <c r="BA550" i="5" s="1"/>
  <c r="AK549" i="5"/>
  <c r="BA549" i="5" s="1"/>
  <c r="AK548" i="5"/>
  <c r="BA548" i="5" s="1"/>
  <c r="AK547" i="5"/>
  <c r="BA547" i="5" s="1"/>
  <c r="AK546" i="5"/>
  <c r="BA546" i="5" s="1"/>
  <c r="AK545" i="5"/>
  <c r="BA545" i="5" s="1"/>
  <c r="AK544" i="5"/>
  <c r="BA544" i="5" s="1"/>
  <c r="AK543" i="5"/>
  <c r="BA543" i="5" s="1"/>
  <c r="AK542" i="5"/>
  <c r="BA542" i="5" s="1"/>
  <c r="AK541" i="5"/>
  <c r="BA541" i="5" s="1"/>
  <c r="AK540" i="5"/>
  <c r="BA540" i="5" s="1"/>
  <c r="AK539" i="5"/>
  <c r="BA539" i="5" s="1"/>
  <c r="AK538" i="5"/>
  <c r="BA538" i="5" s="1"/>
  <c r="AK537" i="5"/>
  <c r="BA537" i="5" s="1"/>
  <c r="AK536" i="5"/>
  <c r="BA536" i="5" s="1"/>
  <c r="AK535" i="5"/>
  <c r="BA535" i="5" s="1"/>
  <c r="AK534" i="5"/>
  <c r="BA534" i="5" s="1"/>
  <c r="AK533" i="5"/>
  <c r="BA533" i="5" s="1"/>
  <c r="AK532" i="5"/>
  <c r="BA532" i="5" s="1"/>
  <c r="AK531" i="5"/>
  <c r="BA531" i="5" s="1"/>
  <c r="AK530" i="5"/>
  <c r="BA530" i="5" s="1"/>
  <c r="AK529" i="5"/>
  <c r="BA529" i="5" s="1"/>
  <c r="AK528" i="5"/>
  <c r="BA528" i="5" s="1"/>
  <c r="AK527" i="5"/>
  <c r="BA527" i="5" s="1"/>
  <c r="AK526" i="5"/>
  <c r="BA526" i="5" s="1"/>
  <c r="AK525" i="5"/>
  <c r="BA525" i="5" s="1"/>
  <c r="AK524" i="5"/>
  <c r="BA524" i="5" s="1"/>
  <c r="AK523" i="5"/>
  <c r="BA523" i="5" s="1"/>
  <c r="AK522" i="5"/>
  <c r="BA522" i="5" s="1"/>
  <c r="AK521" i="5"/>
  <c r="BA521" i="5" s="1"/>
  <c r="AK520" i="5"/>
  <c r="BA520" i="5" s="1"/>
  <c r="AK519" i="5"/>
  <c r="BA519" i="5" s="1"/>
  <c r="AK518" i="5"/>
  <c r="BA518" i="5" s="1"/>
  <c r="AK517" i="5"/>
  <c r="BA517" i="5" s="1"/>
  <c r="AK516" i="5"/>
  <c r="BA516" i="5" s="1"/>
  <c r="AK515" i="5"/>
  <c r="BA515" i="5" s="1"/>
  <c r="AK514" i="5"/>
  <c r="BA514" i="5" s="1"/>
  <c r="AK513" i="5"/>
  <c r="BA513" i="5" s="1"/>
  <c r="AK512" i="5"/>
  <c r="BA512" i="5" s="1"/>
  <c r="AK511" i="5"/>
  <c r="BA511" i="5" s="1"/>
  <c r="AK510" i="5"/>
  <c r="BA510" i="5" s="1"/>
  <c r="AK509" i="5"/>
  <c r="BA509" i="5" s="1"/>
  <c r="AK508" i="5"/>
  <c r="BA508" i="5" s="1"/>
  <c r="AK507" i="5"/>
  <c r="BA507" i="5" s="1"/>
  <c r="AK506" i="5"/>
  <c r="BA506" i="5" s="1"/>
  <c r="AK505" i="5"/>
  <c r="BA505" i="5" s="1"/>
  <c r="AK504" i="5"/>
  <c r="BA504" i="5" s="1"/>
  <c r="AK503" i="5"/>
  <c r="BA503" i="5" s="1"/>
  <c r="AK502" i="5"/>
  <c r="BA502" i="5" s="1"/>
  <c r="AK501" i="5"/>
  <c r="BA501" i="5" s="1"/>
  <c r="AK500" i="5"/>
  <c r="BA500" i="5" s="1"/>
  <c r="AK499" i="5"/>
  <c r="BA499" i="5" s="1"/>
  <c r="AK498" i="5"/>
  <c r="BA498" i="5" s="1"/>
  <c r="AK497" i="5"/>
  <c r="BA497" i="5" s="1"/>
  <c r="AK496" i="5"/>
  <c r="BA496" i="5" s="1"/>
  <c r="AK495" i="5"/>
  <c r="BA495" i="5" s="1"/>
  <c r="AK494" i="5"/>
  <c r="BA494" i="5" s="1"/>
  <c r="AK493" i="5"/>
  <c r="BA493" i="5" s="1"/>
  <c r="AK492" i="5"/>
  <c r="BA492" i="5" s="1"/>
  <c r="AK491" i="5"/>
  <c r="BA491" i="5" s="1"/>
  <c r="AK490" i="5"/>
  <c r="BA490" i="5" s="1"/>
  <c r="AK489" i="5"/>
  <c r="BA489" i="5" s="1"/>
  <c r="AK488" i="5"/>
  <c r="BA488" i="5" s="1"/>
  <c r="AK487" i="5"/>
  <c r="BA487" i="5" s="1"/>
  <c r="AK486" i="5"/>
  <c r="BA486" i="5" s="1"/>
  <c r="AK485" i="5"/>
  <c r="BA485" i="5" s="1"/>
  <c r="AK484" i="5"/>
  <c r="BA484" i="5" s="1"/>
  <c r="AK483" i="5"/>
  <c r="BA483" i="5" s="1"/>
  <c r="AK482" i="5"/>
  <c r="BA482" i="5" s="1"/>
  <c r="AK481" i="5"/>
  <c r="BA481" i="5" s="1"/>
  <c r="AK480" i="5"/>
  <c r="BA480" i="5" s="1"/>
  <c r="AK479" i="5"/>
  <c r="BA479" i="5" s="1"/>
  <c r="AK478" i="5"/>
  <c r="BA478" i="5" s="1"/>
  <c r="AK477" i="5"/>
  <c r="BA477" i="5" s="1"/>
  <c r="AK476" i="5"/>
  <c r="BA476" i="5" s="1"/>
  <c r="AK475" i="5"/>
  <c r="BA475" i="5" s="1"/>
  <c r="AK474" i="5"/>
  <c r="BA474" i="5" s="1"/>
  <c r="AK473" i="5"/>
  <c r="BA473" i="5" s="1"/>
  <c r="AK472" i="5"/>
  <c r="BA472" i="5" s="1"/>
  <c r="AK471" i="5"/>
  <c r="BA471" i="5" s="1"/>
  <c r="AK470" i="5"/>
  <c r="BA470" i="5" s="1"/>
  <c r="AK469" i="5"/>
  <c r="BA469" i="5" s="1"/>
  <c r="AK468" i="5"/>
  <c r="BA468" i="5" s="1"/>
  <c r="AK467" i="5"/>
  <c r="BA467" i="5" s="1"/>
  <c r="AK466" i="5"/>
  <c r="BA466" i="5" s="1"/>
  <c r="AK465" i="5"/>
  <c r="BA465" i="5" s="1"/>
  <c r="AK464" i="5"/>
  <c r="BA464" i="5" s="1"/>
  <c r="AK463" i="5"/>
  <c r="BA463" i="5" s="1"/>
  <c r="AK462" i="5"/>
  <c r="BA462" i="5" s="1"/>
  <c r="AK461" i="5"/>
  <c r="BA461" i="5" s="1"/>
  <c r="AK460" i="5"/>
  <c r="BA460" i="5" s="1"/>
  <c r="AK459" i="5"/>
  <c r="BA459" i="5" s="1"/>
  <c r="AK458" i="5"/>
  <c r="BA458" i="5" s="1"/>
  <c r="AK457" i="5"/>
  <c r="BA457" i="5" s="1"/>
  <c r="AK456" i="5"/>
  <c r="BA456" i="5" s="1"/>
  <c r="AK455" i="5"/>
  <c r="BA455" i="5" s="1"/>
  <c r="AK454" i="5"/>
  <c r="BA454" i="5" s="1"/>
  <c r="AK453" i="5"/>
  <c r="BA453" i="5" s="1"/>
  <c r="AK452" i="5"/>
  <c r="BA452" i="5" s="1"/>
  <c r="AK451" i="5"/>
  <c r="BA451" i="5" s="1"/>
  <c r="AK450" i="5"/>
  <c r="BA450" i="5" s="1"/>
  <c r="AK449" i="5"/>
  <c r="BA449" i="5" s="1"/>
  <c r="AK448" i="5"/>
  <c r="BA448" i="5" s="1"/>
  <c r="AK447" i="5"/>
  <c r="BA447" i="5" s="1"/>
  <c r="AK446" i="5"/>
  <c r="BA446" i="5" s="1"/>
  <c r="AK445" i="5"/>
  <c r="BA445" i="5" s="1"/>
  <c r="AK444" i="5"/>
  <c r="BA444" i="5" s="1"/>
  <c r="AK443" i="5"/>
  <c r="BA443" i="5" s="1"/>
  <c r="AK442" i="5"/>
  <c r="BA442" i="5" s="1"/>
  <c r="AK441" i="5"/>
  <c r="BA441" i="5" s="1"/>
  <c r="AK440" i="5"/>
  <c r="BA440" i="5" s="1"/>
  <c r="AK439" i="5"/>
  <c r="BA439" i="5" s="1"/>
  <c r="AK438" i="5"/>
  <c r="BA438" i="5" s="1"/>
  <c r="AK437" i="5"/>
  <c r="BA437" i="5" s="1"/>
  <c r="AK436" i="5"/>
  <c r="BA436" i="5" s="1"/>
  <c r="AK435" i="5"/>
  <c r="BA435" i="5" s="1"/>
  <c r="AK434" i="5"/>
  <c r="BA434" i="5" s="1"/>
  <c r="AK433" i="5"/>
  <c r="BA433" i="5" s="1"/>
  <c r="AK432" i="5"/>
  <c r="BA432" i="5" s="1"/>
  <c r="AK431" i="5"/>
  <c r="BA431" i="5" s="1"/>
  <c r="AK430" i="5"/>
  <c r="BA430" i="5" s="1"/>
  <c r="AK429" i="5"/>
  <c r="BA429" i="5" s="1"/>
  <c r="AK428" i="5"/>
  <c r="BA428" i="5" s="1"/>
  <c r="AK427" i="5"/>
  <c r="BA427" i="5" s="1"/>
  <c r="AK426" i="5"/>
  <c r="BA426" i="5" s="1"/>
  <c r="AK425" i="5"/>
  <c r="BA425" i="5" s="1"/>
  <c r="AK424" i="5"/>
  <c r="BA424" i="5" s="1"/>
  <c r="AK423" i="5"/>
  <c r="BA423" i="5" s="1"/>
  <c r="AK422" i="5"/>
  <c r="BA422" i="5" s="1"/>
  <c r="AK421" i="5"/>
  <c r="BA421" i="5" s="1"/>
  <c r="AK420" i="5"/>
  <c r="BA420" i="5" s="1"/>
  <c r="AK419" i="5"/>
  <c r="BA419" i="5" s="1"/>
  <c r="AK418" i="5"/>
  <c r="BA418" i="5" s="1"/>
  <c r="AK417" i="5"/>
  <c r="BA417" i="5" s="1"/>
  <c r="AK416" i="5"/>
  <c r="BA416" i="5" s="1"/>
  <c r="AK415" i="5"/>
  <c r="BA415" i="5" s="1"/>
  <c r="AK414" i="5"/>
  <c r="BA414" i="5" s="1"/>
  <c r="AK413" i="5"/>
  <c r="BA413" i="5" s="1"/>
  <c r="AK412" i="5"/>
  <c r="BA412" i="5" s="1"/>
  <c r="AK411" i="5"/>
  <c r="BA411" i="5" s="1"/>
  <c r="AK410" i="5"/>
  <c r="BA410" i="5" s="1"/>
  <c r="AK409" i="5"/>
  <c r="BA409" i="5" s="1"/>
  <c r="AK408" i="5"/>
  <c r="BA408" i="5" s="1"/>
  <c r="AK407" i="5"/>
  <c r="BA407" i="5" s="1"/>
  <c r="AK406" i="5"/>
  <c r="BA406" i="5" s="1"/>
  <c r="AK405" i="5"/>
  <c r="BA405" i="5" s="1"/>
  <c r="AK404" i="5"/>
  <c r="BA404" i="5" s="1"/>
  <c r="AK403" i="5"/>
  <c r="BA403" i="5" s="1"/>
  <c r="AK402" i="5"/>
  <c r="BA402" i="5" s="1"/>
  <c r="AK401" i="5"/>
  <c r="BA401" i="5" s="1"/>
  <c r="AK400" i="5"/>
  <c r="BA400" i="5" s="1"/>
  <c r="AK399" i="5"/>
  <c r="BA399" i="5" s="1"/>
  <c r="AK398" i="5"/>
  <c r="BA398" i="5" s="1"/>
  <c r="AK397" i="5"/>
  <c r="BA397" i="5" s="1"/>
  <c r="AK396" i="5"/>
  <c r="BA396" i="5" s="1"/>
  <c r="AK395" i="5"/>
  <c r="BA395" i="5" s="1"/>
  <c r="AK394" i="5"/>
  <c r="BA394" i="5" s="1"/>
  <c r="AK393" i="5"/>
  <c r="BA393" i="5" s="1"/>
  <c r="AK392" i="5"/>
  <c r="BA392" i="5" s="1"/>
  <c r="AK391" i="5"/>
  <c r="BA391" i="5" s="1"/>
  <c r="AK390" i="5"/>
  <c r="BA390" i="5" s="1"/>
  <c r="AK389" i="5"/>
  <c r="BA389" i="5" s="1"/>
  <c r="AK388" i="5"/>
  <c r="BA388" i="5" s="1"/>
  <c r="AK387" i="5"/>
  <c r="BA387" i="5" s="1"/>
  <c r="AK386" i="5"/>
  <c r="BA386" i="5" s="1"/>
  <c r="AK385" i="5"/>
  <c r="BA385" i="5" s="1"/>
  <c r="AK384" i="5"/>
  <c r="BA384" i="5" s="1"/>
  <c r="AK383" i="5"/>
  <c r="BA383" i="5" s="1"/>
  <c r="AK382" i="5"/>
  <c r="BA382" i="5" s="1"/>
  <c r="AK381" i="5"/>
  <c r="BA381" i="5" s="1"/>
  <c r="AK380" i="5"/>
  <c r="BA380" i="5" s="1"/>
  <c r="AK379" i="5"/>
  <c r="BA379" i="5" s="1"/>
  <c r="AK378" i="5"/>
  <c r="BA378" i="5" s="1"/>
  <c r="AK377" i="5"/>
  <c r="BA377" i="5" s="1"/>
  <c r="AK376" i="5"/>
  <c r="BA376" i="5" s="1"/>
  <c r="AK375" i="5"/>
  <c r="BA375" i="5" s="1"/>
  <c r="AK374" i="5"/>
  <c r="BA374" i="5" s="1"/>
  <c r="AK373" i="5"/>
  <c r="BA373" i="5" s="1"/>
  <c r="AK372" i="5"/>
  <c r="BA372" i="5" s="1"/>
  <c r="AK371" i="5"/>
  <c r="BA371" i="5" s="1"/>
  <c r="AK370" i="5"/>
  <c r="BA370" i="5" s="1"/>
  <c r="AK369" i="5"/>
  <c r="BA369" i="5" s="1"/>
  <c r="AK368" i="5"/>
  <c r="BA368" i="5" s="1"/>
  <c r="AK367" i="5"/>
  <c r="BA367" i="5" s="1"/>
  <c r="AK366" i="5"/>
  <c r="BA366" i="5" s="1"/>
  <c r="AK365" i="5"/>
  <c r="BA365" i="5" s="1"/>
  <c r="AK364" i="5"/>
  <c r="BA364" i="5" s="1"/>
  <c r="AK363" i="5"/>
  <c r="BA363" i="5" s="1"/>
  <c r="AK362" i="5"/>
  <c r="BA362" i="5" s="1"/>
  <c r="AK361" i="5"/>
  <c r="BA361" i="5" s="1"/>
  <c r="AK360" i="5"/>
  <c r="BA360" i="5" s="1"/>
  <c r="AK359" i="5"/>
  <c r="BA359" i="5" s="1"/>
  <c r="AK358" i="5"/>
  <c r="BA358" i="5" s="1"/>
  <c r="AK357" i="5"/>
  <c r="BA357" i="5" s="1"/>
  <c r="AK356" i="5"/>
  <c r="BA356" i="5" s="1"/>
  <c r="AK355" i="5"/>
  <c r="BA355" i="5" s="1"/>
  <c r="AK354" i="5"/>
  <c r="BA354" i="5" s="1"/>
  <c r="AK353" i="5"/>
  <c r="BA353" i="5" s="1"/>
  <c r="AK352" i="5"/>
  <c r="BA352" i="5" s="1"/>
  <c r="AK351" i="5"/>
  <c r="BA351" i="5" s="1"/>
  <c r="AK350" i="5"/>
  <c r="BA350" i="5" s="1"/>
  <c r="AK349" i="5"/>
  <c r="BA349" i="5" s="1"/>
  <c r="AK348" i="5"/>
  <c r="BA348" i="5" s="1"/>
  <c r="AK347" i="5"/>
  <c r="BA347" i="5" s="1"/>
  <c r="AK346" i="5"/>
  <c r="BA346" i="5" s="1"/>
  <c r="AK345" i="5"/>
  <c r="BA345" i="5" s="1"/>
  <c r="AK344" i="5"/>
  <c r="BA344" i="5" s="1"/>
  <c r="AK343" i="5"/>
  <c r="BA343" i="5" s="1"/>
  <c r="AK342" i="5"/>
  <c r="BA342" i="5" s="1"/>
  <c r="AK341" i="5"/>
  <c r="BA341" i="5" s="1"/>
  <c r="AK340" i="5"/>
  <c r="BA340" i="5" s="1"/>
  <c r="AK339" i="5"/>
  <c r="BA339" i="5" s="1"/>
  <c r="AK338" i="5"/>
  <c r="BA338" i="5" s="1"/>
  <c r="AK337" i="5"/>
  <c r="BA337" i="5" s="1"/>
  <c r="AK336" i="5"/>
  <c r="BA336" i="5" s="1"/>
  <c r="AK335" i="5"/>
  <c r="BA335" i="5" s="1"/>
  <c r="AK334" i="5"/>
  <c r="BA334" i="5" s="1"/>
  <c r="AK333" i="5"/>
  <c r="BA333" i="5" s="1"/>
  <c r="AK332" i="5"/>
  <c r="BA332" i="5" s="1"/>
  <c r="AK331" i="5"/>
  <c r="BA331" i="5" s="1"/>
  <c r="AK330" i="5"/>
  <c r="BA330" i="5" s="1"/>
  <c r="AK329" i="5"/>
  <c r="BA329" i="5" s="1"/>
  <c r="AK328" i="5"/>
  <c r="BA328" i="5" s="1"/>
  <c r="AK327" i="5"/>
  <c r="BA327" i="5" s="1"/>
  <c r="AK326" i="5"/>
  <c r="BA326" i="5" s="1"/>
  <c r="AK325" i="5"/>
  <c r="BA325" i="5" s="1"/>
  <c r="AK324" i="5"/>
  <c r="BA324" i="5" s="1"/>
  <c r="AK323" i="5"/>
  <c r="BA323" i="5" s="1"/>
  <c r="AK322" i="5"/>
  <c r="BA322" i="5" s="1"/>
  <c r="AK321" i="5"/>
  <c r="BA321" i="5" s="1"/>
  <c r="AK320" i="5"/>
  <c r="BA320" i="5" s="1"/>
  <c r="AK319" i="5"/>
  <c r="BA319" i="5" s="1"/>
  <c r="AK318" i="5"/>
  <c r="BA318" i="5" s="1"/>
  <c r="AK317" i="5"/>
  <c r="BA317" i="5" s="1"/>
  <c r="AK316" i="5"/>
  <c r="BA316" i="5" s="1"/>
  <c r="AK315" i="5"/>
  <c r="BA315" i="5" s="1"/>
  <c r="AK314" i="5"/>
  <c r="BA314" i="5" s="1"/>
  <c r="AK313" i="5"/>
  <c r="BA313" i="5" s="1"/>
  <c r="AK312" i="5"/>
  <c r="BA312" i="5" s="1"/>
  <c r="AK311" i="5"/>
  <c r="BA311" i="5" s="1"/>
  <c r="AK310" i="5"/>
  <c r="BA310" i="5" s="1"/>
  <c r="AK309" i="5"/>
  <c r="BA309" i="5" s="1"/>
  <c r="AK308" i="5"/>
  <c r="BA308" i="5" s="1"/>
  <c r="AK307" i="5"/>
  <c r="BA307" i="5" s="1"/>
  <c r="AK306" i="5"/>
  <c r="BA306" i="5" s="1"/>
  <c r="AK305" i="5"/>
  <c r="BA305" i="5" s="1"/>
  <c r="AK304" i="5"/>
  <c r="BA304" i="5" s="1"/>
  <c r="AK303" i="5"/>
  <c r="BA303" i="5" s="1"/>
  <c r="AK302" i="5"/>
  <c r="BA302" i="5" s="1"/>
  <c r="AK301" i="5"/>
  <c r="BA301" i="5" s="1"/>
  <c r="AK300" i="5"/>
  <c r="BA300" i="5" s="1"/>
  <c r="AK299" i="5"/>
  <c r="BA299" i="5" s="1"/>
  <c r="AK298" i="5"/>
  <c r="BA298" i="5" s="1"/>
  <c r="AK297" i="5"/>
  <c r="BA297" i="5" s="1"/>
  <c r="AK296" i="5"/>
  <c r="BA296" i="5" s="1"/>
  <c r="AK295" i="5"/>
  <c r="BA295" i="5" s="1"/>
  <c r="AK294" i="5"/>
  <c r="BA294" i="5" s="1"/>
  <c r="AK293" i="5"/>
  <c r="BA293" i="5" s="1"/>
  <c r="AK292" i="5"/>
  <c r="BA292" i="5" s="1"/>
  <c r="AK291" i="5"/>
  <c r="BA291" i="5" s="1"/>
  <c r="AK290" i="5"/>
  <c r="BA290" i="5" s="1"/>
  <c r="AK289" i="5"/>
  <c r="BA289" i="5" s="1"/>
  <c r="AK288" i="5"/>
  <c r="BA288" i="5" s="1"/>
  <c r="AK287" i="5"/>
  <c r="BA287" i="5" s="1"/>
  <c r="AK286" i="5"/>
  <c r="BA286" i="5" s="1"/>
  <c r="AK285" i="5"/>
  <c r="BA285" i="5" s="1"/>
  <c r="AK284" i="5"/>
  <c r="BA284" i="5" s="1"/>
  <c r="AK283" i="5"/>
  <c r="BA283" i="5" s="1"/>
  <c r="AK282" i="5"/>
  <c r="BA282" i="5" s="1"/>
  <c r="AK281" i="5"/>
  <c r="BA281" i="5" s="1"/>
  <c r="AK280" i="5"/>
  <c r="BA280" i="5" s="1"/>
  <c r="AK279" i="5"/>
  <c r="BA279" i="5" s="1"/>
  <c r="AK278" i="5"/>
  <c r="BA278" i="5" s="1"/>
  <c r="AK277" i="5"/>
  <c r="BA277" i="5" s="1"/>
  <c r="AK276" i="5"/>
  <c r="BA276" i="5" s="1"/>
  <c r="AK275" i="5"/>
  <c r="BA275" i="5" s="1"/>
  <c r="AK274" i="5"/>
  <c r="BA274" i="5" s="1"/>
  <c r="AK273" i="5"/>
  <c r="BA273" i="5" s="1"/>
  <c r="AK272" i="5"/>
  <c r="BA272" i="5" s="1"/>
  <c r="AK271" i="5"/>
  <c r="BA271" i="5" s="1"/>
  <c r="AK270" i="5"/>
  <c r="BA270" i="5" s="1"/>
  <c r="AK269" i="5"/>
  <c r="BA269" i="5" s="1"/>
  <c r="AK268" i="5"/>
  <c r="BA268" i="5" s="1"/>
  <c r="AK267" i="5"/>
  <c r="BA267" i="5" s="1"/>
  <c r="AK266" i="5"/>
  <c r="BA266" i="5" s="1"/>
  <c r="AK265" i="5"/>
  <c r="BA265" i="5" s="1"/>
  <c r="AK264" i="5"/>
  <c r="BA264" i="5" s="1"/>
  <c r="AK263" i="5"/>
  <c r="BA263" i="5" s="1"/>
  <c r="AK262" i="5"/>
  <c r="BA262" i="5" s="1"/>
  <c r="AK261" i="5"/>
  <c r="BA261" i="5" s="1"/>
  <c r="AK260" i="5"/>
  <c r="BA260" i="5" s="1"/>
  <c r="AK259" i="5"/>
  <c r="BA259" i="5" s="1"/>
  <c r="AK258" i="5"/>
  <c r="BA258" i="5" s="1"/>
  <c r="AK257" i="5"/>
  <c r="BA257" i="5" s="1"/>
  <c r="AK256" i="5"/>
  <c r="BA256" i="5" s="1"/>
  <c r="AK255" i="5"/>
  <c r="BA255" i="5" s="1"/>
  <c r="AK254" i="5"/>
  <c r="BA254" i="5" s="1"/>
  <c r="AK253" i="5"/>
  <c r="BA253" i="5" s="1"/>
  <c r="AK252" i="5"/>
  <c r="BA252" i="5" s="1"/>
  <c r="AK251" i="5"/>
  <c r="BA251" i="5" s="1"/>
  <c r="AK250" i="5"/>
  <c r="BA250" i="5" s="1"/>
  <c r="AK249" i="5"/>
  <c r="BA249" i="5" s="1"/>
  <c r="AK248" i="5"/>
  <c r="BA248" i="5" s="1"/>
  <c r="AK247" i="5"/>
  <c r="BA247" i="5" s="1"/>
  <c r="AK246" i="5"/>
  <c r="BA246" i="5" s="1"/>
  <c r="AK245" i="5"/>
  <c r="BA245" i="5" s="1"/>
  <c r="AK244" i="5"/>
  <c r="BA244" i="5" s="1"/>
  <c r="AK243" i="5"/>
  <c r="BA243" i="5" s="1"/>
  <c r="AK242" i="5"/>
  <c r="BA242" i="5" s="1"/>
  <c r="AK241" i="5"/>
  <c r="BA241" i="5" s="1"/>
  <c r="AK240" i="5"/>
  <c r="BA240" i="5" s="1"/>
  <c r="AK239" i="5"/>
  <c r="BA239" i="5" s="1"/>
  <c r="AK238" i="5"/>
  <c r="BA238" i="5" s="1"/>
  <c r="AK237" i="5"/>
  <c r="BA237" i="5" s="1"/>
  <c r="AK236" i="5"/>
  <c r="BA236" i="5" s="1"/>
  <c r="AK235" i="5"/>
  <c r="BA235" i="5" s="1"/>
  <c r="AK234" i="5"/>
  <c r="BA234" i="5" s="1"/>
  <c r="AK233" i="5"/>
  <c r="BA233" i="5" s="1"/>
  <c r="AK232" i="5"/>
  <c r="BA232" i="5" s="1"/>
  <c r="AK231" i="5"/>
  <c r="BA231" i="5" s="1"/>
  <c r="AK230" i="5"/>
  <c r="BA230" i="5" s="1"/>
  <c r="AK229" i="5"/>
  <c r="BA229" i="5" s="1"/>
  <c r="AK228" i="5"/>
  <c r="BA228" i="5" s="1"/>
  <c r="AK227" i="5"/>
  <c r="BA227" i="5" s="1"/>
  <c r="AK226" i="5"/>
  <c r="BA226" i="5" s="1"/>
  <c r="AK225" i="5"/>
  <c r="BA225" i="5" s="1"/>
  <c r="AK224" i="5"/>
  <c r="BA224" i="5" s="1"/>
  <c r="AK223" i="5"/>
  <c r="BA223" i="5" s="1"/>
  <c r="AK222" i="5"/>
  <c r="BA222" i="5" s="1"/>
  <c r="AK221" i="5"/>
  <c r="BA221" i="5" s="1"/>
  <c r="AK220" i="5"/>
  <c r="BA220" i="5" s="1"/>
  <c r="AK219" i="5"/>
  <c r="BA219" i="5" s="1"/>
  <c r="AK218" i="5"/>
  <c r="BA218" i="5" s="1"/>
  <c r="AK217" i="5"/>
  <c r="BA217" i="5" s="1"/>
  <c r="AK216" i="5"/>
  <c r="BA216" i="5" s="1"/>
  <c r="AK215" i="5"/>
  <c r="BA215" i="5" s="1"/>
  <c r="AK214" i="5"/>
  <c r="BA214" i="5" s="1"/>
  <c r="AK213" i="5"/>
  <c r="BA213" i="5" s="1"/>
  <c r="AK212" i="5"/>
  <c r="BA212" i="5" s="1"/>
  <c r="AK211" i="5"/>
  <c r="BA211" i="5" s="1"/>
  <c r="AK210" i="5"/>
  <c r="BA210" i="5" s="1"/>
  <c r="AK209" i="5"/>
  <c r="BA209" i="5" s="1"/>
  <c r="AK208" i="5"/>
  <c r="BA208" i="5" s="1"/>
  <c r="AK207" i="5"/>
  <c r="BA207" i="5" s="1"/>
  <c r="AK206" i="5"/>
  <c r="BA206" i="5" s="1"/>
  <c r="AK205" i="5"/>
  <c r="BA205" i="5" s="1"/>
  <c r="AK204" i="5"/>
  <c r="BA204" i="5" s="1"/>
  <c r="AK203" i="5"/>
  <c r="BA203" i="5" s="1"/>
  <c r="AK202" i="5"/>
  <c r="BA202" i="5" s="1"/>
  <c r="AK201" i="5"/>
  <c r="BA201" i="5" s="1"/>
  <c r="AK200" i="5"/>
  <c r="BA200" i="5" s="1"/>
  <c r="AK199" i="5"/>
  <c r="BA199" i="5" s="1"/>
  <c r="AK198" i="5"/>
  <c r="BA198" i="5" s="1"/>
  <c r="AK197" i="5"/>
  <c r="BA197" i="5" s="1"/>
  <c r="AK196" i="5"/>
  <c r="BA196" i="5" s="1"/>
  <c r="AK195" i="5"/>
  <c r="BA195" i="5" s="1"/>
  <c r="AK194" i="5"/>
  <c r="BA194" i="5" s="1"/>
  <c r="AK193" i="5"/>
  <c r="BA193" i="5" s="1"/>
  <c r="AK192" i="5"/>
  <c r="BA192" i="5" s="1"/>
  <c r="AK191" i="5"/>
  <c r="BA191" i="5" s="1"/>
  <c r="AK190" i="5"/>
  <c r="BA190" i="5" s="1"/>
  <c r="AK189" i="5"/>
  <c r="BA189" i="5" s="1"/>
  <c r="AK188" i="5"/>
  <c r="BA188" i="5" s="1"/>
  <c r="AK187" i="5"/>
  <c r="BA187" i="5" s="1"/>
  <c r="AK186" i="5"/>
  <c r="BA186" i="5" s="1"/>
  <c r="AK185" i="5"/>
  <c r="BA185" i="5" s="1"/>
  <c r="AK184" i="5"/>
  <c r="BA184" i="5" s="1"/>
  <c r="AK183" i="5"/>
  <c r="BA183" i="5" s="1"/>
  <c r="AK182" i="5"/>
  <c r="BA182" i="5" s="1"/>
  <c r="AK181" i="5"/>
  <c r="BA181" i="5" s="1"/>
  <c r="AK180" i="5"/>
  <c r="BA180" i="5" s="1"/>
  <c r="AK179" i="5"/>
  <c r="BA179" i="5" s="1"/>
  <c r="AK178" i="5"/>
  <c r="BA178" i="5" s="1"/>
  <c r="AK177" i="5"/>
  <c r="BA177" i="5" s="1"/>
  <c r="AK176" i="5"/>
  <c r="BA176" i="5" s="1"/>
  <c r="AK175" i="5"/>
  <c r="BA175" i="5" s="1"/>
  <c r="AK174" i="5"/>
  <c r="BA174" i="5" s="1"/>
  <c r="AK173" i="5"/>
  <c r="BA173" i="5" s="1"/>
  <c r="AK172" i="5"/>
  <c r="BA172" i="5" s="1"/>
  <c r="AK171" i="5"/>
  <c r="BA171" i="5" s="1"/>
  <c r="AK170" i="5"/>
  <c r="BA170" i="5" s="1"/>
  <c r="AK169" i="5"/>
  <c r="BA169" i="5" s="1"/>
  <c r="AK168" i="5"/>
  <c r="BA168" i="5" s="1"/>
  <c r="AK167" i="5"/>
  <c r="BA167" i="5" s="1"/>
  <c r="AK166" i="5"/>
  <c r="BA166" i="5" s="1"/>
  <c r="AK165" i="5"/>
  <c r="BA165" i="5" s="1"/>
  <c r="AK164" i="5"/>
  <c r="BA164" i="5" s="1"/>
  <c r="AK163" i="5"/>
  <c r="BA163" i="5" s="1"/>
  <c r="AK162" i="5"/>
  <c r="BA162" i="5" s="1"/>
  <c r="AK161" i="5"/>
  <c r="BA161" i="5" s="1"/>
  <c r="AK160" i="5"/>
  <c r="BA160" i="5" s="1"/>
  <c r="AK159" i="5"/>
  <c r="BA159" i="5" s="1"/>
  <c r="AK158" i="5"/>
  <c r="BA158" i="5" s="1"/>
  <c r="AK157" i="5"/>
  <c r="BA157" i="5" s="1"/>
  <c r="AK156" i="5"/>
  <c r="BA156" i="5" s="1"/>
  <c r="AK155" i="5"/>
  <c r="BA155" i="5" s="1"/>
  <c r="AK154" i="5"/>
  <c r="BA154" i="5" s="1"/>
  <c r="AK153" i="5"/>
  <c r="BA153" i="5" s="1"/>
  <c r="AK152" i="5"/>
  <c r="BA152" i="5" s="1"/>
  <c r="AK151" i="5"/>
  <c r="BA151" i="5" s="1"/>
  <c r="AK150" i="5"/>
  <c r="BA150" i="5" s="1"/>
  <c r="AK149" i="5"/>
  <c r="BA149" i="5" s="1"/>
  <c r="AK148" i="5"/>
  <c r="BA148" i="5" s="1"/>
  <c r="AK147" i="5"/>
  <c r="BA147" i="5" s="1"/>
  <c r="AK146" i="5"/>
  <c r="BA146" i="5" s="1"/>
  <c r="AK145" i="5"/>
  <c r="BA145" i="5" s="1"/>
  <c r="AK144" i="5"/>
  <c r="BA144" i="5" s="1"/>
  <c r="AK143" i="5"/>
  <c r="BA143" i="5" s="1"/>
  <c r="AK142" i="5"/>
  <c r="BA142" i="5" s="1"/>
  <c r="AK141" i="5"/>
  <c r="BA141" i="5" s="1"/>
  <c r="AK140" i="5"/>
  <c r="BA140" i="5" s="1"/>
  <c r="AK139" i="5"/>
  <c r="BA139" i="5" s="1"/>
  <c r="AK138" i="5"/>
  <c r="BA138" i="5" s="1"/>
  <c r="AK137" i="5"/>
  <c r="BA137" i="5" s="1"/>
  <c r="AK136" i="5"/>
  <c r="BA136" i="5" s="1"/>
  <c r="AK135" i="5"/>
  <c r="BA135" i="5" s="1"/>
  <c r="AK134" i="5"/>
  <c r="BA134" i="5" s="1"/>
  <c r="AK133" i="5"/>
  <c r="BA133" i="5" s="1"/>
  <c r="AK132" i="5"/>
  <c r="BA132" i="5" s="1"/>
  <c r="AK131" i="5"/>
  <c r="BA131" i="5" s="1"/>
  <c r="AK130" i="5"/>
  <c r="BA130" i="5" s="1"/>
  <c r="AK129" i="5"/>
  <c r="BA129" i="5" s="1"/>
  <c r="AK128" i="5"/>
  <c r="BA128" i="5" s="1"/>
  <c r="AK127" i="5"/>
  <c r="BA127" i="5" s="1"/>
  <c r="AK126" i="5"/>
  <c r="BA126" i="5" s="1"/>
  <c r="AK125" i="5"/>
  <c r="BA125" i="5" s="1"/>
  <c r="AK124" i="5"/>
  <c r="BA124" i="5" s="1"/>
  <c r="AK123" i="5"/>
  <c r="BA123" i="5" s="1"/>
  <c r="AK122" i="5"/>
  <c r="BA122" i="5" s="1"/>
  <c r="AK121" i="5"/>
  <c r="BA121" i="5" s="1"/>
  <c r="AK120" i="5"/>
  <c r="BA120" i="5" s="1"/>
  <c r="AK119" i="5"/>
  <c r="BA119" i="5" s="1"/>
  <c r="AK118" i="5"/>
  <c r="BA118" i="5" s="1"/>
  <c r="AK117" i="5"/>
  <c r="BA117" i="5" s="1"/>
  <c r="AK116" i="5"/>
  <c r="BA116" i="5" s="1"/>
  <c r="AK115" i="5"/>
  <c r="BA115" i="5" s="1"/>
  <c r="AK114" i="5"/>
  <c r="BA114" i="5" s="1"/>
  <c r="AK113" i="5"/>
  <c r="BA113" i="5" s="1"/>
  <c r="AK112" i="5"/>
  <c r="BA112" i="5" s="1"/>
  <c r="AK111" i="5"/>
  <c r="BA111" i="5" s="1"/>
  <c r="AK110" i="5"/>
  <c r="BA110" i="5" s="1"/>
  <c r="AK109" i="5"/>
  <c r="BA109" i="5" s="1"/>
  <c r="AK108" i="5"/>
  <c r="BA108" i="5" s="1"/>
  <c r="AK107" i="5"/>
  <c r="BA107" i="5" s="1"/>
  <c r="AK106" i="5"/>
  <c r="BA106" i="5" s="1"/>
  <c r="AK105" i="5"/>
  <c r="BA105" i="5" s="1"/>
  <c r="AK104" i="5"/>
  <c r="BA104" i="5" s="1"/>
  <c r="AK103" i="5"/>
  <c r="BA103" i="5" s="1"/>
  <c r="AK102" i="5"/>
  <c r="BA102" i="5" s="1"/>
  <c r="AK101" i="5"/>
  <c r="BA101" i="5" s="1"/>
  <c r="AK100" i="5"/>
  <c r="BA100" i="5" s="1"/>
  <c r="AK99" i="5"/>
  <c r="BA99" i="5" s="1"/>
  <c r="AK98" i="5"/>
  <c r="BA98" i="5" s="1"/>
  <c r="AK97" i="5"/>
  <c r="BA97" i="5" s="1"/>
  <c r="AK96" i="5"/>
  <c r="BA96" i="5" s="1"/>
  <c r="AK95" i="5"/>
  <c r="BA95" i="5" s="1"/>
  <c r="AK94" i="5"/>
  <c r="BA94" i="5" s="1"/>
  <c r="AK93" i="5"/>
  <c r="BA93" i="5" s="1"/>
  <c r="AK92" i="5"/>
  <c r="BA92" i="5" s="1"/>
  <c r="AK91" i="5"/>
  <c r="BA91" i="5" s="1"/>
  <c r="AK90" i="5"/>
  <c r="BA90" i="5" s="1"/>
  <c r="AK89" i="5"/>
  <c r="BA89" i="5" s="1"/>
  <c r="AK88" i="5"/>
  <c r="BA88" i="5" s="1"/>
  <c r="AK87" i="5"/>
  <c r="BA87" i="5" s="1"/>
  <c r="AK86" i="5"/>
  <c r="BA86" i="5" s="1"/>
  <c r="AK85" i="5"/>
  <c r="BA85" i="5" s="1"/>
  <c r="AK84" i="5"/>
  <c r="BA84" i="5" s="1"/>
  <c r="AK83" i="5"/>
  <c r="BA83" i="5" s="1"/>
  <c r="AK82" i="5"/>
  <c r="BA82" i="5" s="1"/>
  <c r="AK81" i="5"/>
  <c r="BA81" i="5" s="1"/>
  <c r="AK80" i="5"/>
  <c r="BA80" i="5" s="1"/>
  <c r="AK79" i="5"/>
  <c r="BA79" i="5" s="1"/>
  <c r="AK78" i="5"/>
  <c r="BA78" i="5" s="1"/>
  <c r="AK77" i="5"/>
  <c r="BA77" i="5" s="1"/>
  <c r="AK76" i="5"/>
  <c r="BA76" i="5" s="1"/>
  <c r="AK75" i="5"/>
  <c r="BA75" i="5" s="1"/>
  <c r="AK74" i="5"/>
  <c r="BA74" i="5" s="1"/>
  <c r="AK73" i="5"/>
  <c r="BA73" i="5" s="1"/>
  <c r="AK72" i="5"/>
  <c r="BA72" i="5" s="1"/>
  <c r="AK71" i="5"/>
  <c r="BA71" i="5" s="1"/>
  <c r="AK70" i="5"/>
  <c r="BA70" i="5" s="1"/>
  <c r="AK69" i="5"/>
  <c r="BA69" i="5" s="1"/>
  <c r="AK68" i="5"/>
  <c r="BA68" i="5" s="1"/>
  <c r="AK67" i="5"/>
  <c r="BA67" i="5" s="1"/>
  <c r="AK66" i="5"/>
  <c r="BA66" i="5" s="1"/>
  <c r="AK65" i="5"/>
  <c r="BA65" i="5" s="1"/>
  <c r="AK64" i="5"/>
  <c r="BA64" i="5" s="1"/>
  <c r="AK63" i="5"/>
  <c r="BA63" i="5" s="1"/>
  <c r="AK62" i="5"/>
  <c r="BA62" i="5" s="1"/>
  <c r="AK61" i="5"/>
  <c r="BA61" i="5" s="1"/>
  <c r="AK60" i="5"/>
  <c r="BA60" i="5" s="1"/>
  <c r="AK59" i="5"/>
  <c r="BA59" i="5" s="1"/>
  <c r="AK58" i="5"/>
  <c r="BA58" i="5" s="1"/>
  <c r="AK57" i="5"/>
  <c r="BA57" i="5" s="1"/>
  <c r="AK56" i="5"/>
  <c r="BA56" i="5" s="1"/>
  <c r="AK55" i="5"/>
  <c r="BA55" i="5" s="1"/>
  <c r="AK54" i="5"/>
  <c r="BA54" i="5" s="1"/>
  <c r="AK53" i="5"/>
  <c r="BA53" i="5" s="1"/>
  <c r="AK52" i="5"/>
  <c r="BA52" i="5" s="1"/>
  <c r="AK51" i="5"/>
  <c r="BA51" i="5" s="1"/>
  <c r="AK50" i="5"/>
  <c r="BA50" i="5" s="1"/>
  <c r="AK49" i="5"/>
  <c r="BA49" i="5" s="1"/>
  <c r="AK48" i="5"/>
  <c r="BA48" i="5" s="1"/>
  <c r="AK47" i="5"/>
  <c r="BA47" i="5" s="1"/>
  <c r="AK46" i="5"/>
  <c r="BA46" i="5" s="1"/>
  <c r="AK45" i="5"/>
  <c r="BA45" i="5" s="1"/>
  <c r="AK44" i="5"/>
  <c r="BA44" i="5" s="1"/>
  <c r="AK43" i="5"/>
  <c r="BA43" i="5" s="1"/>
  <c r="AK42" i="5"/>
  <c r="BA42" i="5" s="1"/>
  <c r="AK41" i="5"/>
  <c r="BA41" i="5" s="1"/>
  <c r="AK40" i="5"/>
  <c r="BA40" i="5" s="1"/>
  <c r="AK39" i="5"/>
  <c r="BA39" i="5" s="1"/>
  <c r="AK38" i="5"/>
  <c r="BA38" i="5" s="1"/>
  <c r="AK37" i="5"/>
  <c r="BA37" i="5" s="1"/>
  <c r="AK36" i="5"/>
  <c r="BA36" i="5" s="1"/>
  <c r="AK35" i="5"/>
  <c r="BA35" i="5" s="1"/>
  <c r="AK34" i="5"/>
  <c r="BA34" i="5" s="1"/>
  <c r="AK33" i="5"/>
  <c r="BA33" i="5" s="1"/>
  <c r="AK32" i="5"/>
  <c r="BA32" i="5" s="1"/>
  <c r="AK31" i="5"/>
  <c r="BA31" i="5" s="1"/>
  <c r="AK30" i="5"/>
  <c r="BA30" i="5" s="1"/>
  <c r="AK29" i="5"/>
  <c r="BA29" i="5" s="1"/>
  <c r="AK28" i="5"/>
  <c r="BA28" i="5" s="1"/>
  <c r="AK27" i="5"/>
  <c r="BA27" i="5" s="1"/>
  <c r="AK26" i="5"/>
  <c r="BA26" i="5" s="1"/>
  <c r="AK25" i="5"/>
  <c r="BA25" i="5" s="1"/>
  <c r="AK24" i="5"/>
  <c r="BA24" i="5" s="1"/>
  <c r="AK23" i="5"/>
  <c r="BA23" i="5" s="1"/>
  <c r="AK22" i="5"/>
  <c r="BA22" i="5" s="1"/>
  <c r="AK21" i="5"/>
  <c r="BA21" i="5" s="1"/>
  <c r="AK20" i="5"/>
  <c r="BA20" i="5" s="1"/>
  <c r="AK19" i="5"/>
  <c r="BA19" i="5" s="1"/>
  <c r="AK18" i="5"/>
  <c r="BA18" i="5" s="1"/>
  <c r="AK17" i="5"/>
  <c r="BA17" i="5" s="1"/>
  <c r="AK16" i="5"/>
  <c r="BA16" i="5" s="1"/>
  <c r="AK15" i="5"/>
  <c r="BA15" i="5" s="1"/>
  <c r="AK14" i="5"/>
  <c r="BA14" i="5" s="1"/>
  <c r="AK13" i="5"/>
  <c r="BA13" i="5" s="1"/>
  <c r="AK12" i="5"/>
  <c r="BA12" i="5" s="1"/>
  <c r="AK11" i="5"/>
  <c r="BA11" i="5" s="1"/>
  <c r="AK10" i="5"/>
  <c r="BA10" i="5" s="1"/>
  <c r="AK9" i="5"/>
  <c r="BA9" i="5" s="1"/>
  <c r="AK8" i="5"/>
  <c r="BA8" i="5" s="1"/>
  <c r="AI646" i="5"/>
  <c r="AI643" i="5"/>
  <c r="AZ643" i="5" s="1"/>
  <c r="AI642" i="5"/>
  <c r="AZ642" i="5" s="1"/>
  <c r="AI641" i="5"/>
  <c r="AZ641" i="5" s="1"/>
  <c r="AI640" i="5"/>
  <c r="AZ640" i="5" s="1"/>
  <c r="AI639" i="5"/>
  <c r="AZ639" i="5" s="1"/>
  <c r="AI638" i="5"/>
  <c r="AZ638" i="5" s="1"/>
  <c r="AI637" i="5"/>
  <c r="AZ637" i="5" s="1"/>
  <c r="AI636" i="5"/>
  <c r="AZ636" i="5" s="1"/>
  <c r="AI635" i="5"/>
  <c r="AZ635" i="5" s="1"/>
  <c r="AI634" i="5"/>
  <c r="AZ634" i="5" s="1"/>
  <c r="AI633" i="5"/>
  <c r="AZ633" i="5" s="1"/>
  <c r="AI632" i="5"/>
  <c r="AZ632" i="5" s="1"/>
  <c r="AI631" i="5"/>
  <c r="AZ631" i="5" s="1"/>
  <c r="AI630" i="5"/>
  <c r="AZ630" i="5" s="1"/>
  <c r="AI629" i="5"/>
  <c r="AZ629" i="5" s="1"/>
  <c r="AI628" i="5"/>
  <c r="AZ628" i="5" s="1"/>
  <c r="AI627" i="5"/>
  <c r="AZ627" i="5" s="1"/>
  <c r="AI626" i="5"/>
  <c r="AZ626" i="5" s="1"/>
  <c r="AI625" i="5"/>
  <c r="AZ625" i="5" s="1"/>
  <c r="AI624" i="5"/>
  <c r="AZ624" i="5" s="1"/>
  <c r="AI623" i="5"/>
  <c r="AZ623" i="5" s="1"/>
  <c r="AI622" i="5"/>
  <c r="AZ622" i="5" s="1"/>
  <c r="AI621" i="5"/>
  <c r="AZ621" i="5" s="1"/>
  <c r="AI620" i="5"/>
  <c r="AZ620" i="5" s="1"/>
  <c r="AI619" i="5"/>
  <c r="AZ619" i="5" s="1"/>
  <c r="AI618" i="5"/>
  <c r="AZ618" i="5" s="1"/>
  <c r="AI617" i="5"/>
  <c r="AZ617" i="5" s="1"/>
  <c r="AI616" i="5"/>
  <c r="AZ616" i="5" s="1"/>
  <c r="AI615" i="5"/>
  <c r="AZ615" i="5" s="1"/>
  <c r="AI614" i="5"/>
  <c r="AZ614" i="5" s="1"/>
  <c r="AI613" i="5"/>
  <c r="AZ613" i="5" s="1"/>
  <c r="AI612" i="5"/>
  <c r="AZ612" i="5" s="1"/>
  <c r="AI611" i="5"/>
  <c r="AZ611" i="5" s="1"/>
  <c r="AI610" i="5"/>
  <c r="AZ610" i="5" s="1"/>
  <c r="AI609" i="5"/>
  <c r="AZ609" i="5" s="1"/>
  <c r="AI608" i="5"/>
  <c r="AZ608" i="5" s="1"/>
  <c r="AI607" i="5"/>
  <c r="AZ607" i="5" s="1"/>
  <c r="AI606" i="5"/>
  <c r="AZ606" i="5" s="1"/>
  <c r="AI605" i="5"/>
  <c r="AZ605" i="5" s="1"/>
  <c r="AI604" i="5"/>
  <c r="AZ604" i="5" s="1"/>
  <c r="AI603" i="5"/>
  <c r="AZ603" i="5" s="1"/>
  <c r="AI602" i="5"/>
  <c r="AZ602" i="5" s="1"/>
  <c r="AI601" i="5"/>
  <c r="AZ601" i="5" s="1"/>
  <c r="AI600" i="5"/>
  <c r="AZ600" i="5" s="1"/>
  <c r="AI599" i="5"/>
  <c r="AZ599" i="5" s="1"/>
  <c r="AI598" i="5"/>
  <c r="AZ598" i="5" s="1"/>
  <c r="AI597" i="5"/>
  <c r="AZ597" i="5" s="1"/>
  <c r="AI596" i="5"/>
  <c r="AZ596" i="5" s="1"/>
  <c r="AI595" i="5"/>
  <c r="AZ595" i="5" s="1"/>
  <c r="AI594" i="5"/>
  <c r="AZ594" i="5" s="1"/>
  <c r="AI593" i="5"/>
  <c r="AZ593" i="5" s="1"/>
  <c r="AI592" i="5"/>
  <c r="AZ592" i="5" s="1"/>
  <c r="AI590" i="5"/>
  <c r="AZ590" i="5" s="1"/>
  <c r="AI589" i="5"/>
  <c r="AI588" i="5"/>
  <c r="AZ588" i="5" s="1"/>
  <c r="AI587" i="5"/>
  <c r="AZ587" i="5" s="1"/>
  <c r="AI586" i="5"/>
  <c r="AZ586" i="5" s="1"/>
  <c r="AI585" i="5"/>
  <c r="AZ585" i="5" s="1"/>
  <c r="AI584" i="5"/>
  <c r="AZ584" i="5" s="1"/>
  <c r="AI583" i="5"/>
  <c r="AZ583" i="5" s="1"/>
  <c r="AI582" i="5"/>
  <c r="AZ582" i="5" s="1"/>
  <c r="AI581" i="5"/>
  <c r="AZ581" i="5" s="1"/>
  <c r="AI580" i="5"/>
  <c r="AZ580" i="5" s="1"/>
  <c r="AI579" i="5"/>
  <c r="AZ579" i="5" s="1"/>
  <c r="AI578" i="5"/>
  <c r="AZ578" i="5" s="1"/>
  <c r="AI577" i="5"/>
  <c r="AZ577" i="5" s="1"/>
  <c r="AI576" i="5"/>
  <c r="AZ576" i="5" s="1"/>
  <c r="AI575" i="5"/>
  <c r="AZ575" i="5" s="1"/>
  <c r="AI574" i="5"/>
  <c r="AZ574" i="5" s="1"/>
  <c r="AI573" i="5"/>
  <c r="AZ573" i="5" s="1"/>
  <c r="AI572" i="5"/>
  <c r="AZ572" i="5" s="1"/>
  <c r="AI571" i="5"/>
  <c r="AZ571" i="5" s="1"/>
  <c r="AI570" i="5"/>
  <c r="AZ570" i="5" s="1"/>
  <c r="AI569" i="5"/>
  <c r="AZ569" i="5" s="1"/>
  <c r="AI568" i="5"/>
  <c r="AZ568" i="5" s="1"/>
  <c r="AI567" i="5"/>
  <c r="AZ567" i="5" s="1"/>
  <c r="AI566" i="5"/>
  <c r="AZ566" i="5" s="1"/>
  <c r="AI565" i="5"/>
  <c r="AZ565" i="5" s="1"/>
  <c r="AI564" i="5"/>
  <c r="AZ564" i="5" s="1"/>
  <c r="AI563" i="5"/>
  <c r="AZ563" i="5" s="1"/>
  <c r="AI562" i="5"/>
  <c r="AZ562" i="5" s="1"/>
  <c r="AI561" i="5"/>
  <c r="AZ561" i="5" s="1"/>
  <c r="AI560" i="5"/>
  <c r="AZ560" i="5" s="1"/>
  <c r="AI559" i="5"/>
  <c r="AZ559" i="5" s="1"/>
  <c r="AI558" i="5"/>
  <c r="AZ558" i="5" s="1"/>
  <c r="AI557" i="5"/>
  <c r="AZ557" i="5" s="1"/>
  <c r="AI556" i="5"/>
  <c r="AZ556" i="5" s="1"/>
  <c r="AI555" i="5"/>
  <c r="AZ555" i="5" s="1"/>
  <c r="AI554" i="5"/>
  <c r="AZ554" i="5" s="1"/>
  <c r="AI553" i="5"/>
  <c r="AZ553" i="5" s="1"/>
  <c r="AI552" i="5"/>
  <c r="AZ552" i="5" s="1"/>
  <c r="AI551" i="5"/>
  <c r="AZ551" i="5" s="1"/>
  <c r="AI550" i="5"/>
  <c r="AZ550" i="5" s="1"/>
  <c r="AI549" i="5"/>
  <c r="AZ549" i="5" s="1"/>
  <c r="AI548" i="5"/>
  <c r="AZ548" i="5" s="1"/>
  <c r="AI547" i="5"/>
  <c r="AZ547" i="5" s="1"/>
  <c r="AI546" i="5"/>
  <c r="AZ546" i="5" s="1"/>
  <c r="AI545" i="5"/>
  <c r="AZ545" i="5" s="1"/>
  <c r="AI544" i="5"/>
  <c r="AZ544" i="5" s="1"/>
  <c r="AI543" i="5"/>
  <c r="AZ543" i="5" s="1"/>
  <c r="AI542" i="5"/>
  <c r="AZ542" i="5" s="1"/>
  <c r="AI541" i="5"/>
  <c r="AZ541" i="5" s="1"/>
  <c r="AI540" i="5"/>
  <c r="AZ540" i="5" s="1"/>
  <c r="AI539" i="5"/>
  <c r="AZ539" i="5" s="1"/>
  <c r="AI538" i="5"/>
  <c r="AZ538" i="5" s="1"/>
  <c r="AI537" i="5"/>
  <c r="AZ537" i="5" s="1"/>
  <c r="AI536" i="5"/>
  <c r="AZ536" i="5" s="1"/>
  <c r="AI535" i="5"/>
  <c r="AZ535" i="5" s="1"/>
  <c r="AI534" i="5"/>
  <c r="AZ534" i="5" s="1"/>
  <c r="AI533" i="5"/>
  <c r="AZ533" i="5" s="1"/>
  <c r="AI532" i="5"/>
  <c r="AZ532" i="5" s="1"/>
  <c r="AI531" i="5"/>
  <c r="AZ531" i="5" s="1"/>
  <c r="AI530" i="5"/>
  <c r="AZ530" i="5" s="1"/>
  <c r="AI529" i="5"/>
  <c r="AZ529" i="5" s="1"/>
  <c r="AI528" i="5"/>
  <c r="AZ528" i="5" s="1"/>
  <c r="AI527" i="5"/>
  <c r="AZ527" i="5" s="1"/>
  <c r="AI526" i="5"/>
  <c r="AZ526" i="5" s="1"/>
  <c r="AI525" i="5"/>
  <c r="AZ525" i="5" s="1"/>
  <c r="AI524" i="5"/>
  <c r="AZ524" i="5" s="1"/>
  <c r="AI523" i="5"/>
  <c r="AZ523" i="5" s="1"/>
  <c r="AI522" i="5"/>
  <c r="AZ522" i="5" s="1"/>
  <c r="AI521" i="5"/>
  <c r="AZ521" i="5" s="1"/>
  <c r="AI520" i="5"/>
  <c r="AZ520" i="5" s="1"/>
  <c r="AI519" i="5"/>
  <c r="AZ519" i="5" s="1"/>
  <c r="AI518" i="5"/>
  <c r="AZ518" i="5" s="1"/>
  <c r="AI517" i="5"/>
  <c r="AZ517" i="5" s="1"/>
  <c r="AI516" i="5"/>
  <c r="AZ516" i="5" s="1"/>
  <c r="AI515" i="5"/>
  <c r="AZ515" i="5" s="1"/>
  <c r="AI514" i="5"/>
  <c r="AZ514" i="5" s="1"/>
  <c r="AI513" i="5"/>
  <c r="AZ513" i="5" s="1"/>
  <c r="AI512" i="5"/>
  <c r="AZ512" i="5" s="1"/>
  <c r="AI511" i="5"/>
  <c r="AZ511" i="5" s="1"/>
  <c r="AI510" i="5"/>
  <c r="AZ510" i="5" s="1"/>
  <c r="AI509" i="5"/>
  <c r="AZ509" i="5" s="1"/>
  <c r="AI508" i="5"/>
  <c r="AZ508" i="5" s="1"/>
  <c r="AI507" i="5"/>
  <c r="AZ507" i="5" s="1"/>
  <c r="AI506" i="5"/>
  <c r="AZ506" i="5" s="1"/>
  <c r="AI505" i="5"/>
  <c r="AZ505" i="5" s="1"/>
  <c r="AI504" i="5"/>
  <c r="AZ504" i="5" s="1"/>
  <c r="AI503" i="5"/>
  <c r="AZ503" i="5" s="1"/>
  <c r="AI502" i="5"/>
  <c r="AZ502" i="5" s="1"/>
  <c r="AI501" i="5"/>
  <c r="AZ501" i="5" s="1"/>
  <c r="AI500" i="5"/>
  <c r="AZ500" i="5" s="1"/>
  <c r="AI499" i="5"/>
  <c r="AZ499" i="5" s="1"/>
  <c r="AI498" i="5"/>
  <c r="AZ498" i="5" s="1"/>
  <c r="AI497" i="5"/>
  <c r="AZ497" i="5" s="1"/>
  <c r="AI496" i="5"/>
  <c r="AZ496" i="5" s="1"/>
  <c r="AI495" i="5"/>
  <c r="AZ495" i="5" s="1"/>
  <c r="AI494" i="5"/>
  <c r="AZ494" i="5" s="1"/>
  <c r="AI493" i="5"/>
  <c r="AZ493" i="5" s="1"/>
  <c r="AI492" i="5"/>
  <c r="AZ492" i="5" s="1"/>
  <c r="AI491" i="5"/>
  <c r="AZ491" i="5" s="1"/>
  <c r="AI490" i="5"/>
  <c r="AZ490" i="5" s="1"/>
  <c r="AI489" i="5"/>
  <c r="AZ489" i="5" s="1"/>
  <c r="AI488" i="5"/>
  <c r="AZ488" i="5" s="1"/>
  <c r="AI487" i="5"/>
  <c r="AZ487" i="5" s="1"/>
  <c r="AI486" i="5"/>
  <c r="AZ486" i="5" s="1"/>
  <c r="AI485" i="5"/>
  <c r="AZ485" i="5" s="1"/>
  <c r="AI484" i="5"/>
  <c r="AZ484" i="5" s="1"/>
  <c r="AI483" i="5"/>
  <c r="AZ483" i="5" s="1"/>
  <c r="AI482" i="5"/>
  <c r="AZ482" i="5" s="1"/>
  <c r="AI481" i="5"/>
  <c r="AZ481" i="5" s="1"/>
  <c r="AI480" i="5"/>
  <c r="AZ480" i="5" s="1"/>
  <c r="AI479" i="5"/>
  <c r="AZ479" i="5" s="1"/>
  <c r="AI478" i="5"/>
  <c r="AZ478" i="5" s="1"/>
  <c r="AI477" i="5"/>
  <c r="AZ477" i="5" s="1"/>
  <c r="AI476" i="5"/>
  <c r="AZ476" i="5" s="1"/>
  <c r="AI475" i="5"/>
  <c r="AZ475" i="5" s="1"/>
  <c r="AI474" i="5"/>
  <c r="AZ474" i="5" s="1"/>
  <c r="AI473" i="5"/>
  <c r="AZ473" i="5" s="1"/>
  <c r="AI472" i="5"/>
  <c r="AZ472" i="5" s="1"/>
  <c r="AI471" i="5"/>
  <c r="AZ471" i="5" s="1"/>
  <c r="AI470" i="5"/>
  <c r="AZ470" i="5" s="1"/>
  <c r="AI469" i="5"/>
  <c r="AZ469" i="5" s="1"/>
  <c r="AI468" i="5"/>
  <c r="AZ468" i="5" s="1"/>
  <c r="AI467" i="5"/>
  <c r="AZ467" i="5" s="1"/>
  <c r="AI466" i="5"/>
  <c r="AZ466" i="5" s="1"/>
  <c r="AI465" i="5"/>
  <c r="AZ465" i="5" s="1"/>
  <c r="AI464" i="5"/>
  <c r="AZ464" i="5" s="1"/>
  <c r="AI463" i="5"/>
  <c r="AZ463" i="5" s="1"/>
  <c r="AI462" i="5"/>
  <c r="AZ462" i="5" s="1"/>
  <c r="AI461" i="5"/>
  <c r="AZ461" i="5" s="1"/>
  <c r="AI460" i="5"/>
  <c r="AZ460" i="5" s="1"/>
  <c r="AI459" i="5"/>
  <c r="AZ459" i="5" s="1"/>
  <c r="AI458" i="5"/>
  <c r="AZ458" i="5" s="1"/>
  <c r="AI457" i="5"/>
  <c r="AZ457" i="5" s="1"/>
  <c r="AI456" i="5"/>
  <c r="AZ456" i="5" s="1"/>
  <c r="AI455" i="5"/>
  <c r="AZ455" i="5" s="1"/>
  <c r="AI454" i="5"/>
  <c r="AZ454" i="5" s="1"/>
  <c r="AI453" i="5"/>
  <c r="AZ453" i="5" s="1"/>
  <c r="AI452" i="5"/>
  <c r="AZ452" i="5" s="1"/>
  <c r="AI451" i="5"/>
  <c r="AZ451" i="5" s="1"/>
  <c r="AI450" i="5"/>
  <c r="AZ450" i="5" s="1"/>
  <c r="AI449" i="5"/>
  <c r="AZ449" i="5" s="1"/>
  <c r="AI448" i="5"/>
  <c r="AZ448" i="5" s="1"/>
  <c r="AI447" i="5"/>
  <c r="AZ447" i="5" s="1"/>
  <c r="AI446" i="5"/>
  <c r="AZ446" i="5" s="1"/>
  <c r="AI445" i="5"/>
  <c r="AZ445" i="5" s="1"/>
  <c r="AI444" i="5"/>
  <c r="AZ444" i="5" s="1"/>
  <c r="AI443" i="5"/>
  <c r="AZ443" i="5" s="1"/>
  <c r="AI442" i="5"/>
  <c r="AZ442" i="5" s="1"/>
  <c r="AI441" i="5"/>
  <c r="AZ441" i="5" s="1"/>
  <c r="AI440" i="5"/>
  <c r="AZ440" i="5" s="1"/>
  <c r="AI439" i="5"/>
  <c r="AZ439" i="5" s="1"/>
  <c r="AI438" i="5"/>
  <c r="AZ438" i="5" s="1"/>
  <c r="AI437" i="5"/>
  <c r="AZ437" i="5" s="1"/>
  <c r="AI436" i="5"/>
  <c r="AZ436" i="5" s="1"/>
  <c r="AI435" i="5"/>
  <c r="AZ435" i="5" s="1"/>
  <c r="AI434" i="5"/>
  <c r="AZ434" i="5" s="1"/>
  <c r="AI433" i="5"/>
  <c r="AZ433" i="5" s="1"/>
  <c r="AI432" i="5"/>
  <c r="AZ432" i="5" s="1"/>
  <c r="AI431" i="5"/>
  <c r="AZ431" i="5" s="1"/>
  <c r="AI430" i="5"/>
  <c r="AZ430" i="5" s="1"/>
  <c r="AI429" i="5"/>
  <c r="AZ429" i="5" s="1"/>
  <c r="AI428" i="5"/>
  <c r="AZ428" i="5" s="1"/>
  <c r="AI427" i="5"/>
  <c r="AZ427" i="5" s="1"/>
  <c r="AI426" i="5"/>
  <c r="AZ426" i="5" s="1"/>
  <c r="AI425" i="5"/>
  <c r="AZ425" i="5" s="1"/>
  <c r="AI424" i="5"/>
  <c r="AZ424" i="5" s="1"/>
  <c r="AI423" i="5"/>
  <c r="AZ423" i="5" s="1"/>
  <c r="AI422" i="5"/>
  <c r="AZ422" i="5" s="1"/>
  <c r="AI421" i="5"/>
  <c r="AZ421" i="5" s="1"/>
  <c r="AI420" i="5"/>
  <c r="AZ420" i="5" s="1"/>
  <c r="AI419" i="5"/>
  <c r="AZ419" i="5" s="1"/>
  <c r="AI418" i="5"/>
  <c r="AZ418" i="5" s="1"/>
  <c r="AI417" i="5"/>
  <c r="AZ417" i="5" s="1"/>
  <c r="AI416" i="5"/>
  <c r="AZ416" i="5" s="1"/>
  <c r="AI415" i="5"/>
  <c r="AZ415" i="5" s="1"/>
  <c r="AI414" i="5"/>
  <c r="AZ414" i="5" s="1"/>
  <c r="AI413" i="5"/>
  <c r="AZ413" i="5" s="1"/>
  <c r="AI412" i="5"/>
  <c r="AZ412" i="5" s="1"/>
  <c r="AI411" i="5"/>
  <c r="AZ411" i="5" s="1"/>
  <c r="AI410" i="5"/>
  <c r="AZ410" i="5" s="1"/>
  <c r="AI409" i="5"/>
  <c r="AZ409" i="5" s="1"/>
  <c r="AI408" i="5"/>
  <c r="AZ408" i="5" s="1"/>
  <c r="AI407" i="5"/>
  <c r="AZ407" i="5" s="1"/>
  <c r="AI406" i="5"/>
  <c r="AZ406" i="5" s="1"/>
  <c r="AI405" i="5"/>
  <c r="AZ405" i="5" s="1"/>
  <c r="AI404" i="5"/>
  <c r="AZ404" i="5" s="1"/>
  <c r="AI403" i="5"/>
  <c r="AZ403" i="5" s="1"/>
  <c r="AI402" i="5"/>
  <c r="AZ402" i="5" s="1"/>
  <c r="AI401" i="5"/>
  <c r="AZ401" i="5" s="1"/>
  <c r="AI400" i="5"/>
  <c r="AZ400" i="5" s="1"/>
  <c r="AI399" i="5"/>
  <c r="AZ399" i="5" s="1"/>
  <c r="AI398" i="5"/>
  <c r="AZ398" i="5" s="1"/>
  <c r="AI397" i="5"/>
  <c r="AZ397" i="5" s="1"/>
  <c r="AI396" i="5"/>
  <c r="AZ396" i="5" s="1"/>
  <c r="AI395" i="5"/>
  <c r="AZ395" i="5" s="1"/>
  <c r="AI394" i="5"/>
  <c r="AZ394" i="5" s="1"/>
  <c r="AI393" i="5"/>
  <c r="AZ393" i="5" s="1"/>
  <c r="AI392" i="5"/>
  <c r="AZ392" i="5" s="1"/>
  <c r="AI391" i="5"/>
  <c r="AZ391" i="5" s="1"/>
  <c r="AI390" i="5"/>
  <c r="AZ390" i="5" s="1"/>
  <c r="AI389" i="5"/>
  <c r="AZ389" i="5" s="1"/>
  <c r="AI388" i="5"/>
  <c r="AZ388" i="5" s="1"/>
  <c r="AI387" i="5"/>
  <c r="AZ387" i="5" s="1"/>
  <c r="AI386" i="5"/>
  <c r="AZ386" i="5" s="1"/>
  <c r="AI385" i="5"/>
  <c r="AZ385" i="5" s="1"/>
  <c r="AI384" i="5"/>
  <c r="AZ384" i="5" s="1"/>
  <c r="AI383" i="5"/>
  <c r="AZ383" i="5" s="1"/>
  <c r="AI382" i="5"/>
  <c r="AZ382" i="5" s="1"/>
  <c r="AI381" i="5"/>
  <c r="AZ381" i="5" s="1"/>
  <c r="AI380" i="5"/>
  <c r="AZ380" i="5" s="1"/>
  <c r="AI379" i="5"/>
  <c r="AZ379" i="5" s="1"/>
  <c r="AI378" i="5"/>
  <c r="AZ378" i="5" s="1"/>
  <c r="AI377" i="5"/>
  <c r="AZ377" i="5" s="1"/>
  <c r="AI376" i="5"/>
  <c r="AZ376" i="5" s="1"/>
  <c r="AI375" i="5"/>
  <c r="AZ375" i="5" s="1"/>
  <c r="AI374" i="5"/>
  <c r="AZ374" i="5" s="1"/>
  <c r="AI373" i="5"/>
  <c r="AZ373" i="5" s="1"/>
  <c r="AI372" i="5"/>
  <c r="AZ372" i="5" s="1"/>
  <c r="AI371" i="5"/>
  <c r="AZ371" i="5" s="1"/>
  <c r="AI370" i="5"/>
  <c r="AZ370" i="5" s="1"/>
  <c r="AI369" i="5"/>
  <c r="AZ369" i="5" s="1"/>
  <c r="AI368" i="5"/>
  <c r="AZ368" i="5" s="1"/>
  <c r="AI367" i="5"/>
  <c r="AZ367" i="5" s="1"/>
  <c r="AI366" i="5"/>
  <c r="AZ366" i="5" s="1"/>
  <c r="AI365" i="5"/>
  <c r="AZ365" i="5" s="1"/>
  <c r="AI364" i="5"/>
  <c r="AZ364" i="5" s="1"/>
  <c r="AI363" i="5"/>
  <c r="AZ363" i="5" s="1"/>
  <c r="AI362" i="5"/>
  <c r="AZ362" i="5" s="1"/>
  <c r="AI361" i="5"/>
  <c r="AZ361" i="5" s="1"/>
  <c r="AI360" i="5"/>
  <c r="AZ360" i="5" s="1"/>
  <c r="AI359" i="5"/>
  <c r="AZ359" i="5" s="1"/>
  <c r="AI358" i="5"/>
  <c r="AZ358" i="5" s="1"/>
  <c r="AI357" i="5"/>
  <c r="AZ357" i="5" s="1"/>
  <c r="AI356" i="5"/>
  <c r="AZ356" i="5" s="1"/>
  <c r="AI355" i="5"/>
  <c r="AZ355" i="5" s="1"/>
  <c r="AI354" i="5"/>
  <c r="AZ354" i="5" s="1"/>
  <c r="AI353" i="5"/>
  <c r="AZ353" i="5" s="1"/>
  <c r="AI352" i="5"/>
  <c r="AZ352" i="5" s="1"/>
  <c r="AI351" i="5"/>
  <c r="AZ351" i="5" s="1"/>
  <c r="AI350" i="5"/>
  <c r="AZ350" i="5" s="1"/>
  <c r="AI349" i="5"/>
  <c r="AZ349" i="5" s="1"/>
  <c r="AI348" i="5"/>
  <c r="AZ348" i="5" s="1"/>
  <c r="AI347" i="5"/>
  <c r="AZ347" i="5" s="1"/>
  <c r="AI346" i="5"/>
  <c r="AZ346" i="5" s="1"/>
  <c r="AI345" i="5"/>
  <c r="AZ345" i="5" s="1"/>
  <c r="AI344" i="5"/>
  <c r="AZ344" i="5" s="1"/>
  <c r="AI343" i="5"/>
  <c r="AZ343" i="5" s="1"/>
  <c r="AI342" i="5"/>
  <c r="AZ342" i="5" s="1"/>
  <c r="AI341" i="5"/>
  <c r="AZ341" i="5" s="1"/>
  <c r="AI340" i="5"/>
  <c r="AZ340" i="5" s="1"/>
  <c r="AI339" i="5"/>
  <c r="AZ339" i="5" s="1"/>
  <c r="AI338" i="5"/>
  <c r="AZ338" i="5" s="1"/>
  <c r="AI337" i="5"/>
  <c r="AZ337" i="5" s="1"/>
  <c r="AI336" i="5"/>
  <c r="AZ336" i="5" s="1"/>
  <c r="AI335" i="5"/>
  <c r="AZ335" i="5" s="1"/>
  <c r="AI334" i="5"/>
  <c r="AZ334" i="5" s="1"/>
  <c r="AI333" i="5"/>
  <c r="AZ333" i="5" s="1"/>
  <c r="AI332" i="5"/>
  <c r="AZ332" i="5" s="1"/>
  <c r="AI331" i="5"/>
  <c r="AZ331" i="5" s="1"/>
  <c r="AI330" i="5"/>
  <c r="AZ330" i="5" s="1"/>
  <c r="AI329" i="5"/>
  <c r="AZ329" i="5" s="1"/>
  <c r="AI328" i="5"/>
  <c r="AZ328" i="5" s="1"/>
  <c r="AI327" i="5"/>
  <c r="AZ327" i="5" s="1"/>
  <c r="AI326" i="5"/>
  <c r="AZ326" i="5" s="1"/>
  <c r="AI325" i="5"/>
  <c r="AZ325" i="5" s="1"/>
  <c r="AI324" i="5"/>
  <c r="AZ324" i="5" s="1"/>
  <c r="AI323" i="5"/>
  <c r="AZ323" i="5" s="1"/>
  <c r="AI322" i="5"/>
  <c r="AZ322" i="5" s="1"/>
  <c r="AI321" i="5"/>
  <c r="AZ321" i="5" s="1"/>
  <c r="AI320" i="5"/>
  <c r="AZ320" i="5" s="1"/>
  <c r="AI319" i="5"/>
  <c r="AZ319" i="5" s="1"/>
  <c r="AI318" i="5"/>
  <c r="AZ318" i="5" s="1"/>
  <c r="AI317" i="5"/>
  <c r="AZ317" i="5" s="1"/>
  <c r="AI316" i="5"/>
  <c r="AZ316" i="5" s="1"/>
  <c r="AI315" i="5"/>
  <c r="AZ315" i="5" s="1"/>
  <c r="AI314" i="5"/>
  <c r="AZ314" i="5" s="1"/>
  <c r="AI313" i="5"/>
  <c r="AZ313" i="5" s="1"/>
  <c r="AI312" i="5"/>
  <c r="AZ312" i="5" s="1"/>
  <c r="AI311" i="5"/>
  <c r="AZ311" i="5" s="1"/>
  <c r="AI310" i="5"/>
  <c r="AZ310" i="5" s="1"/>
  <c r="AI309" i="5"/>
  <c r="AZ309" i="5" s="1"/>
  <c r="AI308" i="5"/>
  <c r="AZ308" i="5" s="1"/>
  <c r="AI307" i="5"/>
  <c r="AZ307" i="5" s="1"/>
  <c r="AI306" i="5"/>
  <c r="AZ306" i="5" s="1"/>
  <c r="AI305" i="5"/>
  <c r="AZ305" i="5" s="1"/>
  <c r="AI304" i="5"/>
  <c r="AZ304" i="5" s="1"/>
  <c r="AI303" i="5"/>
  <c r="AZ303" i="5" s="1"/>
  <c r="AI302" i="5"/>
  <c r="AZ302" i="5" s="1"/>
  <c r="AI301" i="5"/>
  <c r="AZ301" i="5" s="1"/>
  <c r="AI300" i="5"/>
  <c r="AZ300" i="5" s="1"/>
  <c r="AI299" i="5"/>
  <c r="AZ299" i="5" s="1"/>
  <c r="AI298" i="5"/>
  <c r="AZ298" i="5" s="1"/>
  <c r="AI297" i="5"/>
  <c r="AZ297" i="5" s="1"/>
  <c r="AI296" i="5"/>
  <c r="AZ296" i="5" s="1"/>
  <c r="AI295" i="5"/>
  <c r="AZ295" i="5" s="1"/>
  <c r="AI294" i="5"/>
  <c r="AZ294" i="5" s="1"/>
  <c r="AI293" i="5"/>
  <c r="AZ293" i="5" s="1"/>
  <c r="AI292" i="5"/>
  <c r="AZ292" i="5" s="1"/>
  <c r="AI291" i="5"/>
  <c r="AZ291" i="5" s="1"/>
  <c r="AI290" i="5"/>
  <c r="AZ290" i="5" s="1"/>
  <c r="AI289" i="5"/>
  <c r="AZ289" i="5" s="1"/>
  <c r="AI288" i="5"/>
  <c r="AZ288" i="5" s="1"/>
  <c r="AI287" i="5"/>
  <c r="AZ287" i="5" s="1"/>
  <c r="AI286" i="5"/>
  <c r="AZ286" i="5" s="1"/>
  <c r="AI285" i="5"/>
  <c r="AZ285" i="5" s="1"/>
  <c r="AI284" i="5"/>
  <c r="AZ284" i="5" s="1"/>
  <c r="AI283" i="5"/>
  <c r="AZ283" i="5" s="1"/>
  <c r="AI282" i="5"/>
  <c r="AZ282" i="5" s="1"/>
  <c r="AI281" i="5"/>
  <c r="AZ281" i="5" s="1"/>
  <c r="AI280" i="5"/>
  <c r="AZ280" i="5" s="1"/>
  <c r="AI279" i="5"/>
  <c r="AZ279" i="5" s="1"/>
  <c r="AI278" i="5"/>
  <c r="AZ278" i="5" s="1"/>
  <c r="AI277" i="5"/>
  <c r="AZ277" i="5" s="1"/>
  <c r="AI276" i="5"/>
  <c r="AZ276" i="5" s="1"/>
  <c r="AI275" i="5"/>
  <c r="AZ275" i="5" s="1"/>
  <c r="AI274" i="5"/>
  <c r="AZ274" i="5" s="1"/>
  <c r="AI273" i="5"/>
  <c r="AZ273" i="5" s="1"/>
  <c r="AI272" i="5"/>
  <c r="AZ272" i="5" s="1"/>
  <c r="AI271" i="5"/>
  <c r="AZ271" i="5" s="1"/>
  <c r="AI270" i="5"/>
  <c r="AZ270" i="5" s="1"/>
  <c r="AI269" i="5"/>
  <c r="AZ269" i="5" s="1"/>
  <c r="AI268" i="5"/>
  <c r="AZ268" i="5" s="1"/>
  <c r="AI267" i="5"/>
  <c r="AZ267" i="5" s="1"/>
  <c r="AI266" i="5"/>
  <c r="AZ266" i="5" s="1"/>
  <c r="AI265" i="5"/>
  <c r="AZ265" i="5" s="1"/>
  <c r="AI264" i="5"/>
  <c r="AZ264" i="5" s="1"/>
  <c r="AI263" i="5"/>
  <c r="AZ263" i="5" s="1"/>
  <c r="AI262" i="5"/>
  <c r="AZ262" i="5" s="1"/>
  <c r="AI261" i="5"/>
  <c r="AZ261" i="5" s="1"/>
  <c r="AI260" i="5"/>
  <c r="AZ260" i="5" s="1"/>
  <c r="AI259" i="5"/>
  <c r="AZ259" i="5" s="1"/>
  <c r="AI258" i="5"/>
  <c r="AZ258" i="5" s="1"/>
  <c r="AI257" i="5"/>
  <c r="AZ257" i="5" s="1"/>
  <c r="AI256" i="5"/>
  <c r="AZ256" i="5" s="1"/>
  <c r="AI255" i="5"/>
  <c r="AZ255" i="5" s="1"/>
  <c r="AI254" i="5"/>
  <c r="AZ254" i="5" s="1"/>
  <c r="AI253" i="5"/>
  <c r="AZ253" i="5" s="1"/>
  <c r="AI252" i="5"/>
  <c r="AZ252" i="5" s="1"/>
  <c r="AI251" i="5"/>
  <c r="AZ251" i="5" s="1"/>
  <c r="AI250" i="5"/>
  <c r="AZ250" i="5" s="1"/>
  <c r="AI249" i="5"/>
  <c r="AZ249" i="5" s="1"/>
  <c r="AI248" i="5"/>
  <c r="AZ248" i="5" s="1"/>
  <c r="AI247" i="5"/>
  <c r="AZ247" i="5" s="1"/>
  <c r="AI246" i="5"/>
  <c r="AZ246" i="5" s="1"/>
  <c r="AI245" i="5"/>
  <c r="AZ245" i="5" s="1"/>
  <c r="AI244" i="5"/>
  <c r="AZ244" i="5" s="1"/>
  <c r="AI243" i="5"/>
  <c r="AZ243" i="5" s="1"/>
  <c r="AI242" i="5"/>
  <c r="AZ242" i="5" s="1"/>
  <c r="AI241" i="5"/>
  <c r="AZ241" i="5" s="1"/>
  <c r="AI240" i="5"/>
  <c r="AZ240" i="5" s="1"/>
  <c r="AI239" i="5"/>
  <c r="AZ239" i="5" s="1"/>
  <c r="AI238" i="5"/>
  <c r="AZ238" i="5" s="1"/>
  <c r="AI237" i="5"/>
  <c r="AZ237" i="5" s="1"/>
  <c r="AI236" i="5"/>
  <c r="AZ236" i="5" s="1"/>
  <c r="AI235" i="5"/>
  <c r="AZ235" i="5" s="1"/>
  <c r="AI234" i="5"/>
  <c r="AZ234" i="5" s="1"/>
  <c r="AI233" i="5"/>
  <c r="AZ233" i="5" s="1"/>
  <c r="AI232" i="5"/>
  <c r="AZ232" i="5" s="1"/>
  <c r="AI231" i="5"/>
  <c r="AZ231" i="5" s="1"/>
  <c r="AI230" i="5"/>
  <c r="AZ230" i="5" s="1"/>
  <c r="AI229" i="5"/>
  <c r="AZ229" i="5" s="1"/>
  <c r="AI228" i="5"/>
  <c r="AZ228" i="5" s="1"/>
  <c r="AI227" i="5"/>
  <c r="AZ227" i="5" s="1"/>
  <c r="AI226" i="5"/>
  <c r="AZ226" i="5" s="1"/>
  <c r="AI225" i="5"/>
  <c r="AZ225" i="5" s="1"/>
  <c r="AI224" i="5"/>
  <c r="AZ224" i="5" s="1"/>
  <c r="AI223" i="5"/>
  <c r="AZ223" i="5" s="1"/>
  <c r="AI222" i="5"/>
  <c r="AZ222" i="5" s="1"/>
  <c r="AI221" i="5"/>
  <c r="AZ221" i="5" s="1"/>
  <c r="AI220" i="5"/>
  <c r="AZ220" i="5" s="1"/>
  <c r="AI219" i="5"/>
  <c r="AZ219" i="5" s="1"/>
  <c r="AI218" i="5"/>
  <c r="AZ218" i="5" s="1"/>
  <c r="AI217" i="5"/>
  <c r="AZ217" i="5" s="1"/>
  <c r="AI216" i="5"/>
  <c r="AZ216" i="5" s="1"/>
  <c r="AI215" i="5"/>
  <c r="AZ215" i="5" s="1"/>
  <c r="AI214" i="5"/>
  <c r="AZ214" i="5" s="1"/>
  <c r="AI213" i="5"/>
  <c r="AZ213" i="5" s="1"/>
  <c r="AI212" i="5"/>
  <c r="AZ212" i="5" s="1"/>
  <c r="AI211" i="5"/>
  <c r="AZ211" i="5" s="1"/>
  <c r="AI210" i="5"/>
  <c r="AZ210" i="5" s="1"/>
  <c r="AI209" i="5"/>
  <c r="AZ209" i="5" s="1"/>
  <c r="AI208" i="5"/>
  <c r="AZ208" i="5" s="1"/>
  <c r="AI207" i="5"/>
  <c r="AZ207" i="5" s="1"/>
  <c r="AI206" i="5"/>
  <c r="AZ206" i="5" s="1"/>
  <c r="AI205" i="5"/>
  <c r="AZ205" i="5" s="1"/>
  <c r="AI204" i="5"/>
  <c r="AZ204" i="5" s="1"/>
  <c r="AI203" i="5"/>
  <c r="AZ203" i="5" s="1"/>
  <c r="AI202" i="5"/>
  <c r="AZ202" i="5" s="1"/>
  <c r="AI201" i="5"/>
  <c r="AZ201" i="5" s="1"/>
  <c r="AI200" i="5"/>
  <c r="AZ200" i="5" s="1"/>
  <c r="AI199" i="5"/>
  <c r="AZ199" i="5" s="1"/>
  <c r="AI198" i="5"/>
  <c r="AZ198" i="5" s="1"/>
  <c r="AI197" i="5"/>
  <c r="AZ197" i="5" s="1"/>
  <c r="AI196" i="5"/>
  <c r="AZ196" i="5" s="1"/>
  <c r="AI195" i="5"/>
  <c r="AZ195" i="5" s="1"/>
  <c r="AI194" i="5"/>
  <c r="AZ194" i="5" s="1"/>
  <c r="AI193" i="5"/>
  <c r="AZ193" i="5" s="1"/>
  <c r="AI192" i="5"/>
  <c r="AZ192" i="5" s="1"/>
  <c r="AI191" i="5"/>
  <c r="AZ191" i="5" s="1"/>
  <c r="AI190" i="5"/>
  <c r="AZ190" i="5" s="1"/>
  <c r="AI189" i="5"/>
  <c r="AZ189" i="5" s="1"/>
  <c r="AI188" i="5"/>
  <c r="AZ188" i="5" s="1"/>
  <c r="AI187" i="5"/>
  <c r="AZ187" i="5" s="1"/>
  <c r="AI186" i="5"/>
  <c r="AZ186" i="5" s="1"/>
  <c r="AI185" i="5"/>
  <c r="AZ185" i="5" s="1"/>
  <c r="AI184" i="5"/>
  <c r="AZ184" i="5" s="1"/>
  <c r="AI183" i="5"/>
  <c r="AZ183" i="5" s="1"/>
  <c r="AI182" i="5"/>
  <c r="AZ182" i="5" s="1"/>
  <c r="AI181" i="5"/>
  <c r="AZ181" i="5" s="1"/>
  <c r="AI180" i="5"/>
  <c r="AZ180" i="5" s="1"/>
  <c r="AI179" i="5"/>
  <c r="AZ179" i="5" s="1"/>
  <c r="AI178" i="5"/>
  <c r="AZ178" i="5" s="1"/>
  <c r="AI177" i="5"/>
  <c r="AZ177" i="5" s="1"/>
  <c r="AI176" i="5"/>
  <c r="AZ176" i="5" s="1"/>
  <c r="AI175" i="5"/>
  <c r="AZ175" i="5" s="1"/>
  <c r="AI174" i="5"/>
  <c r="AZ174" i="5" s="1"/>
  <c r="AI173" i="5"/>
  <c r="AZ173" i="5" s="1"/>
  <c r="AI172" i="5"/>
  <c r="AZ172" i="5" s="1"/>
  <c r="AI171" i="5"/>
  <c r="AZ171" i="5" s="1"/>
  <c r="AI170" i="5"/>
  <c r="AZ170" i="5" s="1"/>
  <c r="AI169" i="5"/>
  <c r="AZ169" i="5" s="1"/>
  <c r="AI168" i="5"/>
  <c r="AZ168" i="5" s="1"/>
  <c r="AI167" i="5"/>
  <c r="AZ167" i="5" s="1"/>
  <c r="AI166" i="5"/>
  <c r="AZ166" i="5" s="1"/>
  <c r="AI165" i="5"/>
  <c r="AZ165" i="5" s="1"/>
  <c r="AI164" i="5"/>
  <c r="AZ164" i="5" s="1"/>
  <c r="AI163" i="5"/>
  <c r="AZ163" i="5" s="1"/>
  <c r="AI162" i="5"/>
  <c r="AZ162" i="5" s="1"/>
  <c r="AI161" i="5"/>
  <c r="AZ161" i="5" s="1"/>
  <c r="AI160" i="5"/>
  <c r="AZ160" i="5" s="1"/>
  <c r="AI159" i="5"/>
  <c r="AZ159" i="5" s="1"/>
  <c r="AI158" i="5"/>
  <c r="AZ158" i="5" s="1"/>
  <c r="AI157" i="5"/>
  <c r="AZ157" i="5" s="1"/>
  <c r="AI156" i="5"/>
  <c r="AZ156" i="5" s="1"/>
  <c r="AI155" i="5"/>
  <c r="AZ155" i="5" s="1"/>
  <c r="AI154" i="5"/>
  <c r="AZ154" i="5" s="1"/>
  <c r="AI153" i="5"/>
  <c r="AZ153" i="5" s="1"/>
  <c r="AI152" i="5"/>
  <c r="AZ152" i="5" s="1"/>
  <c r="AI151" i="5"/>
  <c r="AZ151" i="5" s="1"/>
  <c r="AI150" i="5"/>
  <c r="AZ150" i="5" s="1"/>
  <c r="AI149" i="5"/>
  <c r="AZ149" i="5" s="1"/>
  <c r="AI148" i="5"/>
  <c r="AZ148" i="5" s="1"/>
  <c r="AI147" i="5"/>
  <c r="AZ147" i="5" s="1"/>
  <c r="AI146" i="5"/>
  <c r="AZ146" i="5" s="1"/>
  <c r="AI145" i="5"/>
  <c r="AZ145" i="5" s="1"/>
  <c r="AI144" i="5"/>
  <c r="AZ144" i="5" s="1"/>
  <c r="AI143" i="5"/>
  <c r="AZ143" i="5" s="1"/>
  <c r="AI142" i="5"/>
  <c r="AZ142" i="5" s="1"/>
  <c r="AI141" i="5"/>
  <c r="AZ141" i="5" s="1"/>
  <c r="AI140" i="5"/>
  <c r="AZ140" i="5" s="1"/>
  <c r="AI139" i="5"/>
  <c r="AZ139" i="5" s="1"/>
  <c r="AI138" i="5"/>
  <c r="AZ138" i="5" s="1"/>
  <c r="AI137" i="5"/>
  <c r="AZ137" i="5" s="1"/>
  <c r="AI136" i="5"/>
  <c r="AZ136" i="5" s="1"/>
  <c r="AI135" i="5"/>
  <c r="AZ135" i="5" s="1"/>
  <c r="AI134" i="5"/>
  <c r="AZ134" i="5" s="1"/>
  <c r="AI133" i="5"/>
  <c r="AZ133" i="5" s="1"/>
  <c r="AI132" i="5"/>
  <c r="AZ132" i="5" s="1"/>
  <c r="AI131" i="5"/>
  <c r="AZ131" i="5" s="1"/>
  <c r="AI130" i="5"/>
  <c r="AZ130" i="5" s="1"/>
  <c r="AI129" i="5"/>
  <c r="AZ129" i="5" s="1"/>
  <c r="AI128" i="5"/>
  <c r="AZ128" i="5" s="1"/>
  <c r="AI127" i="5"/>
  <c r="AZ127" i="5" s="1"/>
  <c r="AI126" i="5"/>
  <c r="AZ126" i="5" s="1"/>
  <c r="AI125" i="5"/>
  <c r="AZ125" i="5" s="1"/>
  <c r="AI124" i="5"/>
  <c r="AZ124" i="5" s="1"/>
  <c r="AI123" i="5"/>
  <c r="AZ123" i="5" s="1"/>
  <c r="AI122" i="5"/>
  <c r="AZ122" i="5" s="1"/>
  <c r="AI121" i="5"/>
  <c r="AZ121" i="5" s="1"/>
  <c r="AI120" i="5"/>
  <c r="AZ120" i="5" s="1"/>
  <c r="AI119" i="5"/>
  <c r="AZ119" i="5" s="1"/>
  <c r="AI118" i="5"/>
  <c r="AZ118" i="5" s="1"/>
  <c r="AI117" i="5"/>
  <c r="AZ117" i="5" s="1"/>
  <c r="AI116" i="5"/>
  <c r="AZ116" i="5" s="1"/>
  <c r="AI115" i="5"/>
  <c r="AZ115" i="5" s="1"/>
  <c r="AI114" i="5"/>
  <c r="AZ114" i="5" s="1"/>
  <c r="AI113" i="5"/>
  <c r="AZ113" i="5" s="1"/>
  <c r="AI112" i="5"/>
  <c r="AZ112" i="5" s="1"/>
  <c r="AI111" i="5"/>
  <c r="AZ111" i="5" s="1"/>
  <c r="AI110" i="5"/>
  <c r="AZ110" i="5" s="1"/>
  <c r="AI109" i="5"/>
  <c r="AZ109" i="5" s="1"/>
  <c r="AI108" i="5"/>
  <c r="AZ108" i="5" s="1"/>
  <c r="AI107" i="5"/>
  <c r="AZ107" i="5" s="1"/>
  <c r="AI106" i="5"/>
  <c r="AZ106" i="5" s="1"/>
  <c r="AI105" i="5"/>
  <c r="AZ105" i="5" s="1"/>
  <c r="AI104" i="5"/>
  <c r="AZ104" i="5" s="1"/>
  <c r="AI103" i="5"/>
  <c r="AZ103" i="5" s="1"/>
  <c r="AI102" i="5"/>
  <c r="AZ102" i="5" s="1"/>
  <c r="AI101" i="5"/>
  <c r="AZ101" i="5" s="1"/>
  <c r="AI100" i="5"/>
  <c r="AZ100" i="5" s="1"/>
  <c r="AI99" i="5"/>
  <c r="AZ99" i="5" s="1"/>
  <c r="AI98" i="5"/>
  <c r="AZ98" i="5" s="1"/>
  <c r="AI97" i="5"/>
  <c r="AZ97" i="5" s="1"/>
  <c r="AI96" i="5"/>
  <c r="AZ96" i="5" s="1"/>
  <c r="AI95" i="5"/>
  <c r="AZ95" i="5" s="1"/>
  <c r="AI94" i="5"/>
  <c r="AZ94" i="5" s="1"/>
  <c r="AI93" i="5"/>
  <c r="AZ93" i="5" s="1"/>
  <c r="AI92" i="5"/>
  <c r="AZ92" i="5" s="1"/>
  <c r="AI91" i="5"/>
  <c r="AZ91" i="5" s="1"/>
  <c r="AI90" i="5"/>
  <c r="AZ90" i="5" s="1"/>
  <c r="AI89" i="5"/>
  <c r="AZ89" i="5" s="1"/>
  <c r="AI88" i="5"/>
  <c r="AZ88" i="5" s="1"/>
  <c r="AI87" i="5"/>
  <c r="AZ87" i="5" s="1"/>
  <c r="AI86" i="5"/>
  <c r="AZ86" i="5" s="1"/>
  <c r="AI85" i="5"/>
  <c r="AZ85" i="5" s="1"/>
  <c r="AI84" i="5"/>
  <c r="AZ84" i="5" s="1"/>
  <c r="AI83" i="5"/>
  <c r="AZ83" i="5" s="1"/>
  <c r="AI82" i="5"/>
  <c r="AZ82" i="5" s="1"/>
  <c r="AI81" i="5"/>
  <c r="AZ81" i="5" s="1"/>
  <c r="AI80" i="5"/>
  <c r="AZ80" i="5" s="1"/>
  <c r="AI79" i="5"/>
  <c r="AZ79" i="5" s="1"/>
  <c r="AI78" i="5"/>
  <c r="AZ78" i="5" s="1"/>
  <c r="AI77" i="5"/>
  <c r="AZ77" i="5" s="1"/>
  <c r="AI76" i="5"/>
  <c r="AZ76" i="5" s="1"/>
  <c r="AI75" i="5"/>
  <c r="AZ75" i="5" s="1"/>
  <c r="AI74" i="5"/>
  <c r="AZ74" i="5" s="1"/>
  <c r="AI73" i="5"/>
  <c r="AZ73" i="5" s="1"/>
  <c r="AI72" i="5"/>
  <c r="AZ72" i="5" s="1"/>
  <c r="AI71" i="5"/>
  <c r="AZ71" i="5" s="1"/>
  <c r="AI70" i="5"/>
  <c r="AZ70" i="5" s="1"/>
  <c r="AI69" i="5"/>
  <c r="AZ69" i="5" s="1"/>
  <c r="AI68" i="5"/>
  <c r="AZ68" i="5" s="1"/>
  <c r="AI67" i="5"/>
  <c r="AZ67" i="5" s="1"/>
  <c r="AI66" i="5"/>
  <c r="AZ66" i="5" s="1"/>
  <c r="AI65" i="5"/>
  <c r="AZ65" i="5" s="1"/>
  <c r="AI64" i="5"/>
  <c r="AZ64" i="5" s="1"/>
  <c r="AI63" i="5"/>
  <c r="AZ63" i="5" s="1"/>
  <c r="AI62" i="5"/>
  <c r="AZ62" i="5" s="1"/>
  <c r="AI61" i="5"/>
  <c r="AZ61" i="5" s="1"/>
  <c r="AI60" i="5"/>
  <c r="AZ60" i="5" s="1"/>
  <c r="AI59" i="5"/>
  <c r="AZ59" i="5" s="1"/>
  <c r="AI58" i="5"/>
  <c r="AZ58" i="5" s="1"/>
  <c r="AI57" i="5"/>
  <c r="AZ57" i="5" s="1"/>
  <c r="AI56" i="5"/>
  <c r="AZ56" i="5" s="1"/>
  <c r="AI55" i="5"/>
  <c r="AZ55" i="5" s="1"/>
  <c r="AI54" i="5"/>
  <c r="AZ54" i="5" s="1"/>
  <c r="AI53" i="5"/>
  <c r="AZ53" i="5" s="1"/>
  <c r="AI52" i="5"/>
  <c r="AZ52" i="5" s="1"/>
  <c r="AI51" i="5"/>
  <c r="AZ51" i="5" s="1"/>
  <c r="AI50" i="5"/>
  <c r="AZ50" i="5" s="1"/>
  <c r="AI49" i="5"/>
  <c r="AZ49" i="5" s="1"/>
  <c r="AI48" i="5"/>
  <c r="AZ48" i="5" s="1"/>
  <c r="AI47" i="5"/>
  <c r="AZ47" i="5" s="1"/>
  <c r="AI46" i="5"/>
  <c r="AZ46" i="5" s="1"/>
  <c r="AI45" i="5"/>
  <c r="AZ45" i="5" s="1"/>
  <c r="AI44" i="5"/>
  <c r="AZ44" i="5" s="1"/>
  <c r="AI43" i="5"/>
  <c r="AZ43" i="5" s="1"/>
  <c r="AI42" i="5"/>
  <c r="AZ42" i="5" s="1"/>
  <c r="AI41" i="5"/>
  <c r="AZ41" i="5" s="1"/>
  <c r="AI40" i="5"/>
  <c r="AZ40" i="5" s="1"/>
  <c r="AI39" i="5"/>
  <c r="AZ39" i="5" s="1"/>
  <c r="AI38" i="5"/>
  <c r="AZ38" i="5" s="1"/>
  <c r="AI37" i="5"/>
  <c r="AZ37" i="5" s="1"/>
  <c r="AI36" i="5"/>
  <c r="AZ36" i="5" s="1"/>
  <c r="AI35" i="5"/>
  <c r="AZ35" i="5" s="1"/>
  <c r="AI34" i="5"/>
  <c r="AZ34" i="5" s="1"/>
  <c r="AI33" i="5"/>
  <c r="AZ33" i="5" s="1"/>
  <c r="AI32" i="5"/>
  <c r="AZ32" i="5" s="1"/>
  <c r="AI31" i="5"/>
  <c r="AZ31" i="5" s="1"/>
  <c r="AI30" i="5"/>
  <c r="AZ30" i="5" s="1"/>
  <c r="AI29" i="5"/>
  <c r="AZ29" i="5" s="1"/>
  <c r="AI28" i="5"/>
  <c r="AZ28" i="5" s="1"/>
  <c r="AI27" i="5"/>
  <c r="AZ27" i="5" s="1"/>
  <c r="AI26" i="5"/>
  <c r="AZ26" i="5" s="1"/>
  <c r="AI25" i="5"/>
  <c r="AZ25" i="5" s="1"/>
  <c r="AI24" i="5"/>
  <c r="AZ24" i="5" s="1"/>
  <c r="AI23" i="5"/>
  <c r="AZ23" i="5" s="1"/>
  <c r="AI22" i="5"/>
  <c r="AZ22" i="5" s="1"/>
  <c r="AI21" i="5"/>
  <c r="AZ21" i="5" s="1"/>
  <c r="AI20" i="5"/>
  <c r="AZ20" i="5" s="1"/>
  <c r="AI19" i="5"/>
  <c r="AZ19" i="5" s="1"/>
  <c r="AI18" i="5"/>
  <c r="AZ18" i="5" s="1"/>
  <c r="AI17" i="5"/>
  <c r="AZ17" i="5" s="1"/>
  <c r="AI16" i="5"/>
  <c r="AZ16" i="5" s="1"/>
  <c r="AI15" i="5"/>
  <c r="AZ15" i="5" s="1"/>
  <c r="AI14" i="5"/>
  <c r="AZ14" i="5" s="1"/>
  <c r="AI13" i="5"/>
  <c r="AZ13" i="5" s="1"/>
  <c r="AI12" i="5"/>
  <c r="AZ12" i="5" s="1"/>
  <c r="AI11" i="5"/>
  <c r="AZ11" i="5" s="1"/>
  <c r="AI10" i="5"/>
  <c r="AZ10" i="5" s="1"/>
  <c r="AI9" i="5"/>
  <c r="AZ9" i="5" s="1"/>
  <c r="AI8" i="5"/>
  <c r="AZ8" i="5" s="1"/>
  <c r="AG646" i="5"/>
  <c r="AG643" i="5"/>
  <c r="AY643" i="5" s="1"/>
  <c r="AG642" i="5"/>
  <c r="AY642" i="5" s="1"/>
  <c r="AG641" i="5"/>
  <c r="AY641" i="5" s="1"/>
  <c r="AG640" i="5"/>
  <c r="AY640" i="5" s="1"/>
  <c r="AG639" i="5"/>
  <c r="AY639" i="5" s="1"/>
  <c r="AG638" i="5"/>
  <c r="AY638" i="5" s="1"/>
  <c r="AG637" i="5"/>
  <c r="AY637" i="5" s="1"/>
  <c r="AG636" i="5"/>
  <c r="AY636" i="5" s="1"/>
  <c r="AG635" i="5"/>
  <c r="AY635" i="5" s="1"/>
  <c r="AG634" i="5"/>
  <c r="AY634" i="5" s="1"/>
  <c r="AG633" i="5"/>
  <c r="AY633" i="5" s="1"/>
  <c r="AG632" i="5"/>
  <c r="AY632" i="5" s="1"/>
  <c r="AG631" i="5"/>
  <c r="AY631" i="5" s="1"/>
  <c r="AG630" i="5"/>
  <c r="AY630" i="5" s="1"/>
  <c r="AG629" i="5"/>
  <c r="AY629" i="5" s="1"/>
  <c r="AG628" i="5"/>
  <c r="AY628" i="5" s="1"/>
  <c r="AG627" i="5"/>
  <c r="AY627" i="5" s="1"/>
  <c r="AG626" i="5"/>
  <c r="AY626" i="5" s="1"/>
  <c r="AG625" i="5"/>
  <c r="AY625" i="5" s="1"/>
  <c r="AG624" i="5"/>
  <c r="AY624" i="5" s="1"/>
  <c r="AG623" i="5"/>
  <c r="AY623" i="5" s="1"/>
  <c r="AG622" i="5"/>
  <c r="AY622" i="5" s="1"/>
  <c r="AG621" i="5"/>
  <c r="AY621" i="5" s="1"/>
  <c r="AG620" i="5"/>
  <c r="AY620" i="5" s="1"/>
  <c r="AG619" i="5"/>
  <c r="AY619" i="5" s="1"/>
  <c r="AG618" i="5"/>
  <c r="AY618" i="5" s="1"/>
  <c r="AG617" i="5"/>
  <c r="AY617" i="5" s="1"/>
  <c r="AG616" i="5"/>
  <c r="AY616" i="5" s="1"/>
  <c r="AG615" i="5"/>
  <c r="AY615" i="5" s="1"/>
  <c r="AG614" i="5"/>
  <c r="AY614" i="5" s="1"/>
  <c r="AG613" i="5"/>
  <c r="AY613" i="5" s="1"/>
  <c r="AG612" i="5"/>
  <c r="AY612" i="5" s="1"/>
  <c r="AG611" i="5"/>
  <c r="AY611" i="5" s="1"/>
  <c r="AG610" i="5"/>
  <c r="AY610" i="5" s="1"/>
  <c r="AG609" i="5"/>
  <c r="AY609" i="5" s="1"/>
  <c r="AG608" i="5"/>
  <c r="AY608" i="5" s="1"/>
  <c r="AG607" i="5"/>
  <c r="AY607" i="5" s="1"/>
  <c r="AG606" i="5"/>
  <c r="AY606" i="5" s="1"/>
  <c r="AG605" i="5"/>
  <c r="AY605" i="5" s="1"/>
  <c r="AG604" i="5"/>
  <c r="AY604" i="5" s="1"/>
  <c r="AG603" i="5"/>
  <c r="AY603" i="5" s="1"/>
  <c r="AG602" i="5"/>
  <c r="AY602" i="5" s="1"/>
  <c r="AG601" i="5"/>
  <c r="AY601" i="5" s="1"/>
  <c r="AG600" i="5"/>
  <c r="AY600" i="5" s="1"/>
  <c r="AG599" i="5"/>
  <c r="AY599" i="5" s="1"/>
  <c r="AG598" i="5"/>
  <c r="AY598" i="5" s="1"/>
  <c r="AG597" i="5"/>
  <c r="AY597" i="5" s="1"/>
  <c r="AG596" i="5"/>
  <c r="AY596" i="5" s="1"/>
  <c r="AG595" i="5"/>
  <c r="AY595" i="5" s="1"/>
  <c r="AG594" i="5"/>
  <c r="AY594" i="5" s="1"/>
  <c r="AG593" i="5"/>
  <c r="AY593" i="5" s="1"/>
  <c r="AG592" i="5"/>
  <c r="AY592" i="5" s="1"/>
  <c r="AG590" i="5"/>
  <c r="AY590" i="5" s="1"/>
  <c r="AG589" i="5"/>
  <c r="AG588" i="5"/>
  <c r="AY588" i="5" s="1"/>
  <c r="AG587" i="5"/>
  <c r="AY587" i="5" s="1"/>
  <c r="AG586" i="5"/>
  <c r="AY586" i="5" s="1"/>
  <c r="AG585" i="5"/>
  <c r="AY585" i="5" s="1"/>
  <c r="AG584" i="5"/>
  <c r="AY584" i="5" s="1"/>
  <c r="AG583" i="5"/>
  <c r="AY583" i="5" s="1"/>
  <c r="AG582" i="5"/>
  <c r="AY582" i="5" s="1"/>
  <c r="AG581" i="5"/>
  <c r="AY581" i="5" s="1"/>
  <c r="AG580" i="5"/>
  <c r="AY580" i="5" s="1"/>
  <c r="AG579" i="5"/>
  <c r="AY579" i="5" s="1"/>
  <c r="AG578" i="5"/>
  <c r="AY578" i="5" s="1"/>
  <c r="AG577" i="5"/>
  <c r="AY577" i="5" s="1"/>
  <c r="AG576" i="5"/>
  <c r="AY576" i="5" s="1"/>
  <c r="AG575" i="5"/>
  <c r="AY575" i="5" s="1"/>
  <c r="AG574" i="5"/>
  <c r="AY574" i="5" s="1"/>
  <c r="AG573" i="5"/>
  <c r="AY573" i="5" s="1"/>
  <c r="AG572" i="5"/>
  <c r="AY572" i="5" s="1"/>
  <c r="AG571" i="5"/>
  <c r="AY571" i="5" s="1"/>
  <c r="AG570" i="5"/>
  <c r="AY570" i="5" s="1"/>
  <c r="AG569" i="5"/>
  <c r="AY569" i="5" s="1"/>
  <c r="AG568" i="5"/>
  <c r="AY568" i="5" s="1"/>
  <c r="AG567" i="5"/>
  <c r="AY567" i="5" s="1"/>
  <c r="AG566" i="5"/>
  <c r="AY566" i="5" s="1"/>
  <c r="AG565" i="5"/>
  <c r="AY565" i="5" s="1"/>
  <c r="AG564" i="5"/>
  <c r="AY564" i="5" s="1"/>
  <c r="AG563" i="5"/>
  <c r="AY563" i="5" s="1"/>
  <c r="AG562" i="5"/>
  <c r="AY562" i="5" s="1"/>
  <c r="AG561" i="5"/>
  <c r="AY561" i="5" s="1"/>
  <c r="AG560" i="5"/>
  <c r="AY560" i="5" s="1"/>
  <c r="AG559" i="5"/>
  <c r="AY559" i="5" s="1"/>
  <c r="AG558" i="5"/>
  <c r="AY558" i="5" s="1"/>
  <c r="AG557" i="5"/>
  <c r="AY557" i="5" s="1"/>
  <c r="AG556" i="5"/>
  <c r="AY556" i="5" s="1"/>
  <c r="AG555" i="5"/>
  <c r="AY555" i="5" s="1"/>
  <c r="AG554" i="5"/>
  <c r="AY554" i="5" s="1"/>
  <c r="AG553" i="5"/>
  <c r="AY553" i="5" s="1"/>
  <c r="AG552" i="5"/>
  <c r="AY552" i="5" s="1"/>
  <c r="AG551" i="5"/>
  <c r="AY551" i="5" s="1"/>
  <c r="AG550" i="5"/>
  <c r="AY550" i="5" s="1"/>
  <c r="AG549" i="5"/>
  <c r="AY549" i="5" s="1"/>
  <c r="AG548" i="5"/>
  <c r="AY548" i="5" s="1"/>
  <c r="AG547" i="5"/>
  <c r="AY547" i="5" s="1"/>
  <c r="AG546" i="5"/>
  <c r="AY546" i="5" s="1"/>
  <c r="AG545" i="5"/>
  <c r="AY545" i="5" s="1"/>
  <c r="AG544" i="5"/>
  <c r="AY544" i="5" s="1"/>
  <c r="AG543" i="5"/>
  <c r="AY543" i="5" s="1"/>
  <c r="AG542" i="5"/>
  <c r="AY542" i="5" s="1"/>
  <c r="AG541" i="5"/>
  <c r="AY541" i="5" s="1"/>
  <c r="AG540" i="5"/>
  <c r="AY540" i="5" s="1"/>
  <c r="AG539" i="5"/>
  <c r="AY539" i="5" s="1"/>
  <c r="AG538" i="5"/>
  <c r="AY538" i="5" s="1"/>
  <c r="AG537" i="5"/>
  <c r="AY537" i="5" s="1"/>
  <c r="AG536" i="5"/>
  <c r="AY536" i="5" s="1"/>
  <c r="AG535" i="5"/>
  <c r="AY535" i="5" s="1"/>
  <c r="AG534" i="5"/>
  <c r="AY534" i="5" s="1"/>
  <c r="AG533" i="5"/>
  <c r="AY533" i="5" s="1"/>
  <c r="AG532" i="5"/>
  <c r="AY532" i="5" s="1"/>
  <c r="AG531" i="5"/>
  <c r="AY531" i="5" s="1"/>
  <c r="AG530" i="5"/>
  <c r="AY530" i="5" s="1"/>
  <c r="AG529" i="5"/>
  <c r="AY529" i="5" s="1"/>
  <c r="AG528" i="5"/>
  <c r="AY528" i="5" s="1"/>
  <c r="AG527" i="5"/>
  <c r="AY527" i="5" s="1"/>
  <c r="AG526" i="5"/>
  <c r="AY526" i="5" s="1"/>
  <c r="AG525" i="5"/>
  <c r="AY525" i="5" s="1"/>
  <c r="AG524" i="5"/>
  <c r="AY524" i="5" s="1"/>
  <c r="AG523" i="5"/>
  <c r="AY523" i="5" s="1"/>
  <c r="AG522" i="5"/>
  <c r="AY522" i="5" s="1"/>
  <c r="AG521" i="5"/>
  <c r="AY521" i="5" s="1"/>
  <c r="AG520" i="5"/>
  <c r="AY520" i="5" s="1"/>
  <c r="AG519" i="5"/>
  <c r="AY519" i="5" s="1"/>
  <c r="AG518" i="5"/>
  <c r="AY518" i="5" s="1"/>
  <c r="AG517" i="5"/>
  <c r="AY517" i="5" s="1"/>
  <c r="AG516" i="5"/>
  <c r="AY516" i="5" s="1"/>
  <c r="AG515" i="5"/>
  <c r="AY515" i="5" s="1"/>
  <c r="AG514" i="5"/>
  <c r="AY514" i="5" s="1"/>
  <c r="AG513" i="5"/>
  <c r="AY513" i="5" s="1"/>
  <c r="AG512" i="5"/>
  <c r="AY512" i="5" s="1"/>
  <c r="AG511" i="5"/>
  <c r="AY511" i="5" s="1"/>
  <c r="AG510" i="5"/>
  <c r="AY510" i="5" s="1"/>
  <c r="AG509" i="5"/>
  <c r="AY509" i="5" s="1"/>
  <c r="AG508" i="5"/>
  <c r="AY508" i="5" s="1"/>
  <c r="AG507" i="5"/>
  <c r="AY507" i="5" s="1"/>
  <c r="AG506" i="5"/>
  <c r="AY506" i="5" s="1"/>
  <c r="AG505" i="5"/>
  <c r="AY505" i="5" s="1"/>
  <c r="AG504" i="5"/>
  <c r="AY504" i="5" s="1"/>
  <c r="AG503" i="5"/>
  <c r="AY503" i="5" s="1"/>
  <c r="AG502" i="5"/>
  <c r="AY502" i="5" s="1"/>
  <c r="AG501" i="5"/>
  <c r="AY501" i="5" s="1"/>
  <c r="AG500" i="5"/>
  <c r="AY500" i="5" s="1"/>
  <c r="AG499" i="5"/>
  <c r="AY499" i="5" s="1"/>
  <c r="AG498" i="5"/>
  <c r="AY498" i="5" s="1"/>
  <c r="AG497" i="5"/>
  <c r="AY497" i="5" s="1"/>
  <c r="AG496" i="5"/>
  <c r="AY496" i="5" s="1"/>
  <c r="AG495" i="5"/>
  <c r="AY495" i="5" s="1"/>
  <c r="AG494" i="5"/>
  <c r="AY494" i="5" s="1"/>
  <c r="AG493" i="5"/>
  <c r="AY493" i="5" s="1"/>
  <c r="AG492" i="5"/>
  <c r="AY492" i="5" s="1"/>
  <c r="AG491" i="5"/>
  <c r="AY491" i="5" s="1"/>
  <c r="AG490" i="5"/>
  <c r="AY490" i="5" s="1"/>
  <c r="AG489" i="5"/>
  <c r="AY489" i="5" s="1"/>
  <c r="AG488" i="5"/>
  <c r="AY488" i="5" s="1"/>
  <c r="AG487" i="5"/>
  <c r="AY487" i="5" s="1"/>
  <c r="AG486" i="5"/>
  <c r="AY486" i="5" s="1"/>
  <c r="AG485" i="5"/>
  <c r="AY485" i="5" s="1"/>
  <c r="AG484" i="5"/>
  <c r="AY484" i="5" s="1"/>
  <c r="AG483" i="5"/>
  <c r="AY483" i="5" s="1"/>
  <c r="AG482" i="5"/>
  <c r="AY482" i="5" s="1"/>
  <c r="AG481" i="5"/>
  <c r="AY481" i="5" s="1"/>
  <c r="AG480" i="5"/>
  <c r="AY480" i="5" s="1"/>
  <c r="AG479" i="5"/>
  <c r="AY479" i="5" s="1"/>
  <c r="AG478" i="5"/>
  <c r="AY478" i="5" s="1"/>
  <c r="AG477" i="5"/>
  <c r="AY477" i="5" s="1"/>
  <c r="AG476" i="5"/>
  <c r="AY476" i="5" s="1"/>
  <c r="AG475" i="5"/>
  <c r="AY475" i="5" s="1"/>
  <c r="AG474" i="5"/>
  <c r="AY474" i="5" s="1"/>
  <c r="AG473" i="5"/>
  <c r="AY473" i="5" s="1"/>
  <c r="AG472" i="5"/>
  <c r="AY472" i="5" s="1"/>
  <c r="AG471" i="5"/>
  <c r="AY471" i="5" s="1"/>
  <c r="AG470" i="5"/>
  <c r="AY470" i="5" s="1"/>
  <c r="AG469" i="5"/>
  <c r="AY469" i="5" s="1"/>
  <c r="AG468" i="5"/>
  <c r="AY468" i="5" s="1"/>
  <c r="AG467" i="5"/>
  <c r="AY467" i="5" s="1"/>
  <c r="AG466" i="5"/>
  <c r="AY466" i="5" s="1"/>
  <c r="AG465" i="5"/>
  <c r="AY465" i="5" s="1"/>
  <c r="AG464" i="5"/>
  <c r="AY464" i="5" s="1"/>
  <c r="AG463" i="5"/>
  <c r="AY463" i="5" s="1"/>
  <c r="AG462" i="5"/>
  <c r="AY462" i="5" s="1"/>
  <c r="AG461" i="5"/>
  <c r="AY461" i="5" s="1"/>
  <c r="AG460" i="5"/>
  <c r="AY460" i="5" s="1"/>
  <c r="AG459" i="5"/>
  <c r="AY459" i="5" s="1"/>
  <c r="AG458" i="5"/>
  <c r="AY458" i="5" s="1"/>
  <c r="AG457" i="5"/>
  <c r="AY457" i="5" s="1"/>
  <c r="AG456" i="5"/>
  <c r="AY456" i="5" s="1"/>
  <c r="AG455" i="5"/>
  <c r="AY455" i="5" s="1"/>
  <c r="AG454" i="5"/>
  <c r="AY454" i="5" s="1"/>
  <c r="AG453" i="5"/>
  <c r="AY453" i="5" s="1"/>
  <c r="AG452" i="5"/>
  <c r="AY452" i="5" s="1"/>
  <c r="AG451" i="5"/>
  <c r="AY451" i="5" s="1"/>
  <c r="AG450" i="5"/>
  <c r="AY450" i="5" s="1"/>
  <c r="AG449" i="5"/>
  <c r="AY449" i="5" s="1"/>
  <c r="AG448" i="5"/>
  <c r="AY448" i="5" s="1"/>
  <c r="AG447" i="5"/>
  <c r="AY447" i="5" s="1"/>
  <c r="AG446" i="5"/>
  <c r="AY446" i="5" s="1"/>
  <c r="AG445" i="5"/>
  <c r="AY445" i="5" s="1"/>
  <c r="AG444" i="5"/>
  <c r="AY444" i="5" s="1"/>
  <c r="AG443" i="5"/>
  <c r="AY443" i="5" s="1"/>
  <c r="AG442" i="5"/>
  <c r="AY442" i="5" s="1"/>
  <c r="AG441" i="5"/>
  <c r="AY441" i="5" s="1"/>
  <c r="AG440" i="5"/>
  <c r="AY440" i="5" s="1"/>
  <c r="AG439" i="5"/>
  <c r="AY439" i="5" s="1"/>
  <c r="AG438" i="5"/>
  <c r="AY438" i="5" s="1"/>
  <c r="AG437" i="5"/>
  <c r="AY437" i="5" s="1"/>
  <c r="AG436" i="5"/>
  <c r="AY436" i="5" s="1"/>
  <c r="AG435" i="5"/>
  <c r="AY435" i="5" s="1"/>
  <c r="AG434" i="5"/>
  <c r="AY434" i="5" s="1"/>
  <c r="AG433" i="5"/>
  <c r="AY433" i="5" s="1"/>
  <c r="AG432" i="5"/>
  <c r="AY432" i="5" s="1"/>
  <c r="AG431" i="5"/>
  <c r="AY431" i="5" s="1"/>
  <c r="AG430" i="5"/>
  <c r="AY430" i="5" s="1"/>
  <c r="AG429" i="5"/>
  <c r="AY429" i="5" s="1"/>
  <c r="AG428" i="5"/>
  <c r="AY428" i="5" s="1"/>
  <c r="AG427" i="5"/>
  <c r="AY427" i="5" s="1"/>
  <c r="AG426" i="5"/>
  <c r="AY426" i="5" s="1"/>
  <c r="AG425" i="5"/>
  <c r="AY425" i="5" s="1"/>
  <c r="AG424" i="5"/>
  <c r="AY424" i="5" s="1"/>
  <c r="AG423" i="5"/>
  <c r="AY423" i="5" s="1"/>
  <c r="AG422" i="5"/>
  <c r="AY422" i="5" s="1"/>
  <c r="AG421" i="5"/>
  <c r="AY421" i="5" s="1"/>
  <c r="AG420" i="5"/>
  <c r="AY420" i="5" s="1"/>
  <c r="AG419" i="5"/>
  <c r="AY419" i="5" s="1"/>
  <c r="AG418" i="5"/>
  <c r="AY418" i="5" s="1"/>
  <c r="AG417" i="5"/>
  <c r="AY417" i="5" s="1"/>
  <c r="AG416" i="5"/>
  <c r="AY416" i="5" s="1"/>
  <c r="AG415" i="5"/>
  <c r="AY415" i="5" s="1"/>
  <c r="AG414" i="5"/>
  <c r="AY414" i="5" s="1"/>
  <c r="AG413" i="5"/>
  <c r="AY413" i="5" s="1"/>
  <c r="AG412" i="5"/>
  <c r="AY412" i="5" s="1"/>
  <c r="AG411" i="5"/>
  <c r="AY411" i="5" s="1"/>
  <c r="AG410" i="5"/>
  <c r="AY410" i="5" s="1"/>
  <c r="AG409" i="5"/>
  <c r="AY409" i="5" s="1"/>
  <c r="AG408" i="5"/>
  <c r="AY408" i="5" s="1"/>
  <c r="AG407" i="5"/>
  <c r="AY407" i="5" s="1"/>
  <c r="AG406" i="5"/>
  <c r="AY406" i="5" s="1"/>
  <c r="AG405" i="5"/>
  <c r="AY405" i="5" s="1"/>
  <c r="AG404" i="5"/>
  <c r="AY404" i="5" s="1"/>
  <c r="AG403" i="5"/>
  <c r="AY403" i="5" s="1"/>
  <c r="AG402" i="5"/>
  <c r="AY402" i="5" s="1"/>
  <c r="AG401" i="5"/>
  <c r="AY401" i="5" s="1"/>
  <c r="AG400" i="5"/>
  <c r="AY400" i="5" s="1"/>
  <c r="AG399" i="5"/>
  <c r="AY399" i="5" s="1"/>
  <c r="AG398" i="5"/>
  <c r="AY398" i="5" s="1"/>
  <c r="AG397" i="5"/>
  <c r="AY397" i="5" s="1"/>
  <c r="AG396" i="5"/>
  <c r="AY396" i="5" s="1"/>
  <c r="AG395" i="5"/>
  <c r="AY395" i="5" s="1"/>
  <c r="AG394" i="5"/>
  <c r="AY394" i="5" s="1"/>
  <c r="AG393" i="5"/>
  <c r="AY393" i="5" s="1"/>
  <c r="AG392" i="5"/>
  <c r="AY392" i="5" s="1"/>
  <c r="AG391" i="5"/>
  <c r="AY391" i="5" s="1"/>
  <c r="AG390" i="5"/>
  <c r="AY390" i="5" s="1"/>
  <c r="AG389" i="5"/>
  <c r="AY389" i="5" s="1"/>
  <c r="AG388" i="5"/>
  <c r="AY388" i="5" s="1"/>
  <c r="AG387" i="5"/>
  <c r="AY387" i="5" s="1"/>
  <c r="AG386" i="5"/>
  <c r="AY386" i="5" s="1"/>
  <c r="AG385" i="5"/>
  <c r="AY385" i="5" s="1"/>
  <c r="AG384" i="5"/>
  <c r="AY384" i="5" s="1"/>
  <c r="AG383" i="5"/>
  <c r="AY383" i="5" s="1"/>
  <c r="AG382" i="5"/>
  <c r="AY382" i="5" s="1"/>
  <c r="AG381" i="5"/>
  <c r="AY381" i="5" s="1"/>
  <c r="AG380" i="5"/>
  <c r="AY380" i="5" s="1"/>
  <c r="AG379" i="5"/>
  <c r="AY379" i="5" s="1"/>
  <c r="AG378" i="5"/>
  <c r="AY378" i="5" s="1"/>
  <c r="AG377" i="5"/>
  <c r="AY377" i="5" s="1"/>
  <c r="AG376" i="5"/>
  <c r="AY376" i="5" s="1"/>
  <c r="AG375" i="5"/>
  <c r="AY375" i="5" s="1"/>
  <c r="AG374" i="5"/>
  <c r="AY374" i="5" s="1"/>
  <c r="AG373" i="5"/>
  <c r="AY373" i="5" s="1"/>
  <c r="AG372" i="5"/>
  <c r="AY372" i="5" s="1"/>
  <c r="AG371" i="5"/>
  <c r="AY371" i="5" s="1"/>
  <c r="AG370" i="5"/>
  <c r="AY370" i="5" s="1"/>
  <c r="AG369" i="5"/>
  <c r="AY369" i="5" s="1"/>
  <c r="AG368" i="5"/>
  <c r="AY368" i="5" s="1"/>
  <c r="AG367" i="5"/>
  <c r="AY367" i="5" s="1"/>
  <c r="AG366" i="5"/>
  <c r="AY366" i="5" s="1"/>
  <c r="AG365" i="5"/>
  <c r="AY365" i="5" s="1"/>
  <c r="AG364" i="5"/>
  <c r="AY364" i="5" s="1"/>
  <c r="AG363" i="5"/>
  <c r="AY363" i="5" s="1"/>
  <c r="AG362" i="5"/>
  <c r="AY362" i="5" s="1"/>
  <c r="AG361" i="5"/>
  <c r="AY361" i="5" s="1"/>
  <c r="AG360" i="5"/>
  <c r="AY360" i="5" s="1"/>
  <c r="AG359" i="5"/>
  <c r="AY359" i="5" s="1"/>
  <c r="AG358" i="5"/>
  <c r="AY358" i="5" s="1"/>
  <c r="AG357" i="5"/>
  <c r="AY357" i="5" s="1"/>
  <c r="AG356" i="5"/>
  <c r="AY356" i="5" s="1"/>
  <c r="AG355" i="5"/>
  <c r="AY355" i="5" s="1"/>
  <c r="AG354" i="5"/>
  <c r="AY354" i="5" s="1"/>
  <c r="AG353" i="5"/>
  <c r="AY353" i="5" s="1"/>
  <c r="AG352" i="5"/>
  <c r="AY352" i="5" s="1"/>
  <c r="AG351" i="5"/>
  <c r="AY351" i="5" s="1"/>
  <c r="AG350" i="5"/>
  <c r="AY350" i="5" s="1"/>
  <c r="AG349" i="5"/>
  <c r="AY349" i="5" s="1"/>
  <c r="AG348" i="5"/>
  <c r="AY348" i="5" s="1"/>
  <c r="AG347" i="5"/>
  <c r="AY347" i="5" s="1"/>
  <c r="AG346" i="5"/>
  <c r="AY346" i="5" s="1"/>
  <c r="AG345" i="5"/>
  <c r="AY345" i="5" s="1"/>
  <c r="AG344" i="5"/>
  <c r="AY344" i="5" s="1"/>
  <c r="AG343" i="5"/>
  <c r="AY343" i="5" s="1"/>
  <c r="AG342" i="5"/>
  <c r="AY342" i="5" s="1"/>
  <c r="AG341" i="5"/>
  <c r="AY341" i="5" s="1"/>
  <c r="AG340" i="5"/>
  <c r="AY340" i="5" s="1"/>
  <c r="AG339" i="5"/>
  <c r="AY339" i="5" s="1"/>
  <c r="AG338" i="5"/>
  <c r="AY338" i="5" s="1"/>
  <c r="AG337" i="5"/>
  <c r="AY337" i="5" s="1"/>
  <c r="AG336" i="5"/>
  <c r="AY336" i="5" s="1"/>
  <c r="AG335" i="5"/>
  <c r="AY335" i="5" s="1"/>
  <c r="AG334" i="5"/>
  <c r="AY334" i="5" s="1"/>
  <c r="AG333" i="5"/>
  <c r="AY333" i="5" s="1"/>
  <c r="AG332" i="5"/>
  <c r="AY332" i="5" s="1"/>
  <c r="AG331" i="5"/>
  <c r="AY331" i="5" s="1"/>
  <c r="AG330" i="5"/>
  <c r="AY330" i="5" s="1"/>
  <c r="AG329" i="5"/>
  <c r="AY329" i="5" s="1"/>
  <c r="AG328" i="5"/>
  <c r="AY328" i="5" s="1"/>
  <c r="AG327" i="5"/>
  <c r="AY327" i="5" s="1"/>
  <c r="AG326" i="5"/>
  <c r="AY326" i="5" s="1"/>
  <c r="AG325" i="5"/>
  <c r="AY325" i="5" s="1"/>
  <c r="AG324" i="5"/>
  <c r="AY324" i="5" s="1"/>
  <c r="AG323" i="5"/>
  <c r="AY323" i="5" s="1"/>
  <c r="AG322" i="5"/>
  <c r="AY322" i="5" s="1"/>
  <c r="AG321" i="5"/>
  <c r="AY321" i="5" s="1"/>
  <c r="AG320" i="5"/>
  <c r="AY320" i="5" s="1"/>
  <c r="AG319" i="5"/>
  <c r="AY319" i="5" s="1"/>
  <c r="AG318" i="5"/>
  <c r="AY318" i="5" s="1"/>
  <c r="AG317" i="5"/>
  <c r="AY317" i="5" s="1"/>
  <c r="AG316" i="5"/>
  <c r="AY316" i="5" s="1"/>
  <c r="AG315" i="5"/>
  <c r="AY315" i="5" s="1"/>
  <c r="AG314" i="5"/>
  <c r="AY314" i="5" s="1"/>
  <c r="AG313" i="5"/>
  <c r="AY313" i="5" s="1"/>
  <c r="AG312" i="5"/>
  <c r="AY312" i="5" s="1"/>
  <c r="AG311" i="5"/>
  <c r="AY311" i="5" s="1"/>
  <c r="AG310" i="5"/>
  <c r="AY310" i="5" s="1"/>
  <c r="AG309" i="5"/>
  <c r="AY309" i="5" s="1"/>
  <c r="AG308" i="5"/>
  <c r="AY308" i="5" s="1"/>
  <c r="AG307" i="5"/>
  <c r="AY307" i="5" s="1"/>
  <c r="AG306" i="5"/>
  <c r="AY306" i="5" s="1"/>
  <c r="AG305" i="5"/>
  <c r="AY305" i="5" s="1"/>
  <c r="AG304" i="5"/>
  <c r="AY304" i="5" s="1"/>
  <c r="AG303" i="5"/>
  <c r="AY303" i="5" s="1"/>
  <c r="AG302" i="5"/>
  <c r="AY302" i="5" s="1"/>
  <c r="AG301" i="5"/>
  <c r="AY301" i="5" s="1"/>
  <c r="AG300" i="5"/>
  <c r="AY300" i="5" s="1"/>
  <c r="AG299" i="5"/>
  <c r="AY299" i="5" s="1"/>
  <c r="AG298" i="5"/>
  <c r="AY298" i="5" s="1"/>
  <c r="AG297" i="5"/>
  <c r="AY297" i="5" s="1"/>
  <c r="AG296" i="5"/>
  <c r="AY296" i="5" s="1"/>
  <c r="AG295" i="5"/>
  <c r="AY295" i="5" s="1"/>
  <c r="AG294" i="5"/>
  <c r="AY294" i="5" s="1"/>
  <c r="AG293" i="5"/>
  <c r="AY293" i="5" s="1"/>
  <c r="AG292" i="5"/>
  <c r="AY292" i="5" s="1"/>
  <c r="AG291" i="5"/>
  <c r="AY291" i="5" s="1"/>
  <c r="AG290" i="5"/>
  <c r="AY290" i="5" s="1"/>
  <c r="AG289" i="5"/>
  <c r="AY289" i="5" s="1"/>
  <c r="AG288" i="5"/>
  <c r="AY288" i="5" s="1"/>
  <c r="AG287" i="5"/>
  <c r="AY287" i="5" s="1"/>
  <c r="AG286" i="5"/>
  <c r="AY286" i="5" s="1"/>
  <c r="AG285" i="5"/>
  <c r="AY285" i="5" s="1"/>
  <c r="AG284" i="5"/>
  <c r="AY284" i="5" s="1"/>
  <c r="AG283" i="5"/>
  <c r="AY283" i="5" s="1"/>
  <c r="AG282" i="5"/>
  <c r="AY282" i="5" s="1"/>
  <c r="AG281" i="5"/>
  <c r="AY281" i="5" s="1"/>
  <c r="AG280" i="5"/>
  <c r="AY280" i="5" s="1"/>
  <c r="AG279" i="5"/>
  <c r="AY279" i="5" s="1"/>
  <c r="AG278" i="5"/>
  <c r="AY278" i="5" s="1"/>
  <c r="AG277" i="5"/>
  <c r="AY277" i="5" s="1"/>
  <c r="AG276" i="5"/>
  <c r="AY276" i="5" s="1"/>
  <c r="AG275" i="5"/>
  <c r="AY275" i="5" s="1"/>
  <c r="AG274" i="5"/>
  <c r="AY274" i="5" s="1"/>
  <c r="AG273" i="5"/>
  <c r="AY273" i="5" s="1"/>
  <c r="AG272" i="5"/>
  <c r="AY272" i="5" s="1"/>
  <c r="AG271" i="5"/>
  <c r="AY271" i="5" s="1"/>
  <c r="AG270" i="5"/>
  <c r="AY270" i="5" s="1"/>
  <c r="AG269" i="5"/>
  <c r="AY269" i="5" s="1"/>
  <c r="AG268" i="5"/>
  <c r="AY268" i="5" s="1"/>
  <c r="AG267" i="5"/>
  <c r="AY267" i="5" s="1"/>
  <c r="AG266" i="5"/>
  <c r="AY266" i="5" s="1"/>
  <c r="AG265" i="5"/>
  <c r="AY265" i="5" s="1"/>
  <c r="AG264" i="5"/>
  <c r="AY264" i="5" s="1"/>
  <c r="AG263" i="5"/>
  <c r="AY263" i="5" s="1"/>
  <c r="AG262" i="5"/>
  <c r="AY262" i="5" s="1"/>
  <c r="AG261" i="5"/>
  <c r="AY261" i="5" s="1"/>
  <c r="AG260" i="5"/>
  <c r="AY260" i="5" s="1"/>
  <c r="AG259" i="5"/>
  <c r="AY259" i="5" s="1"/>
  <c r="AG258" i="5"/>
  <c r="AY258" i="5" s="1"/>
  <c r="AG257" i="5"/>
  <c r="AY257" i="5" s="1"/>
  <c r="AG256" i="5"/>
  <c r="AY256" i="5" s="1"/>
  <c r="AG255" i="5"/>
  <c r="AY255" i="5" s="1"/>
  <c r="AG254" i="5"/>
  <c r="AY254" i="5" s="1"/>
  <c r="AG253" i="5"/>
  <c r="AY253" i="5" s="1"/>
  <c r="AG252" i="5"/>
  <c r="AY252" i="5" s="1"/>
  <c r="AG251" i="5"/>
  <c r="AY251" i="5" s="1"/>
  <c r="AG250" i="5"/>
  <c r="AY250" i="5" s="1"/>
  <c r="AG249" i="5"/>
  <c r="AY249" i="5" s="1"/>
  <c r="AG248" i="5"/>
  <c r="AY248" i="5" s="1"/>
  <c r="AG247" i="5"/>
  <c r="AY247" i="5" s="1"/>
  <c r="AG246" i="5"/>
  <c r="AY246" i="5" s="1"/>
  <c r="AG245" i="5"/>
  <c r="AY245" i="5" s="1"/>
  <c r="AG244" i="5"/>
  <c r="AY244" i="5" s="1"/>
  <c r="AG243" i="5"/>
  <c r="AY243" i="5" s="1"/>
  <c r="AG242" i="5"/>
  <c r="AY242" i="5" s="1"/>
  <c r="AG241" i="5"/>
  <c r="AY241" i="5" s="1"/>
  <c r="AG240" i="5"/>
  <c r="AY240" i="5" s="1"/>
  <c r="AG239" i="5"/>
  <c r="AY239" i="5" s="1"/>
  <c r="AG238" i="5"/>
  <c r="AY238" i="5" s="1"/>
  <c r="AG237" i="5"/>
  <c r="AY237" i="5" s="1"/>
  <c r="AG236" i="5"/>
  <c r="AY236" i="5" s="1"/>
  <c r="AG235" i="5"/>
  <c r="AY235" i="5" s="1"/>
  <c r="AG234" i="5"/>
  <c r="AY234" i="5" s="1"/>
  <c r="AG233" i="5"/>
  <c r="AY233" i="5" s="1"/>
  <c r="AG232" i="5"/>
  <c r="AY232" i="5" s="1"/>
  <c r="AG231" i="5"/>
  <c r="AY231" i="5" s="1"/>
  <c r="AG230" i="5"/>
  <c r="AY230" i="5" s="1"/>
  <c r="AG229" i="5"/>
  <c r="AY229" i="5" s="1"/>
  <c r="AG228" i="5"/>
  <c r="AY228" i="5" s="1"/>
  <c r="AG227" i="5"/>
  <c r="AY227" i="5" s="1"/>
  <c r="AG226" i="5"/>
  <c r="AY226" i="5" s="1"/>
  <c r="AG225" i="5"/>
  <c r="AY225" i="5" s="1"/>
  <c r="AG224" i="5"/>
  <c r="AY224" i="5" s="1"/>
  <c r="AG223" i="5"/>
  <c r="AY223" i="5" s="1"/>
  <c r="AG222" i="5"/>
  <c r="AY222" i="5" s="1"/>
  <c r="AG221" i="5"/>
  <c r="AY221" i="5" s="1"/>
  <c r="AG220" i="5"/>
  <c r="AY220" i="5" s="1"/>
  <c r="AG219" i="5"/>
  <c r="AY219" i="5" s="1"/>
  <c r="AG218" i="5"/>
  <c r="AY218" i="5" s="1"/>
  <c r="AG217" i="5"/>
  <c r="AY217" i="5" s="1"/>
  <c r="AG216" i="5"/>
  <c r="AY216" i="5" s="1"/>
  <c r="AG215" i="5"/>
  <c r="AY215" i="5" s="1"/>
  <c r="AG214" i="5"/>
  <c r="AY214" i="5" s="1"/>
  <c r="AG213" i="5"/>
  <c r="AY213" i="5" s="1"/>
  <c r="AG212" i="5"/>
  <c r="AY212" i="5" s="1"/>
  <c r="AG211" i="5"/>
  <c r="AY211" i="5" s="1"/>
  <c r="AG210" i="5"/>
  <c r="AY210" i="5" s="1"/>
  <c r="AG209" i="5"/>
  <c r="AY209" i="5" s="1"/>
  <c r="AG208" i="5"/>
  <c r="AY208" i="5" s="1"/>
  <c r="AG207" i="5"/>
  <c r="AY207" i="5" s="1"/>
  <c r="AG206" i="5"/>
  <c r="AY206" i="5" s="1"/>
  <c r="AG205" i="5"/>
  <c r="AY205" i="5" s="1"/>
  <c r="AG204" i="5"/>
  <c r="AY204" i="5" s="1"/>
  <c r="AG203" i="5"/>
  <c r="AY203" i="5" s="1"/>
  <c r="AG202" i="5"/>
  <c r="AY202" i="5" s="1"/>
  <c r="AG201" i="5"/>
  <c r="AY201" i="5" s="1"/>
  <c r="AG200" i="5"/>
  <c r="AY200" i="5" s="1"/>
  <c r="AG199" i="5"/>
  <c r="AY199" i="5" s="1"/>
  <c r="AG198" i="5"/>
  <c r="AY198" i="5" s="1"/>
  <c r="AG197" i="5"/>
  <c r="AY197" i="5" s="1"/>
  <c r="AG196" i="5"/>
  <c r="AY196" i="5" s="1"/>
  <c r="AG195" i="5"/>
  <c r="AY195" i="5" s="1"/>
  <c r="AG194" i="5"/>
  <c r="AY194" i="5" s="1"/>
  <c r="AG193" i="5"/>
  <c r="AY193" i="5" s="1"/>
  <c r="AG192" i="5"/>
  <c r="AY192" i="5" s="1"/>
  <c r="AG191" i="5"/>
  <c r="AY191" i="5" s="1"/>
  <c r="AG190" i="5"/>
  <c r="AY190" i="5" s="1"/>
  <c r="AG189" i="5"/>
  <c r="AY189" i="5" s="1"/>
  <c r="AG188" i="5"/>
  <c r="AY188" i="5" s="1"/>
  <c r="AG187" i="5"/>
  <c r="AY187" i="5" s="1"/>
  <c r="AG186" i="5"/>
  <c r="AY186" i="5" s="1"/>
  <c r="AG185" i="5"/>
  <c r="AY185" i="5" s="1"/>
  <c r="AG184" i="5"/>
  <c r="AY184" i="5" s="1"/>
  <c r="AG183" i="5"/>
  <c r="AY183" i="5" s="1"/>
  <c r="AG182" i="5"/>
  <c r="AY182" i="5" s="1"/>
  <c r="AG181" i="5"/>
  <c r="AY181" i="5" s="1"/>
  <c r="AG180" i="5"/>
  <c r="AY180" i="5" s="1"/>
  <c r="AG179" i="5"/>
  <c r="AY179" i="5" s="1"/>
  <c r="AG178" i="5"/>
  <c r="AY178" i="5" s="1"/>
  <c r="AG177" i="5"/>
  <c r="AY177" i="5" s="1"/>
  <c r="AG176" i="5"/>
  <c r="AY176" i="5" s="1"/>
  <c r="AG175" i="5"/>
  <c r="AY175" i="5" s="1"/>
  <c r="AG174" i="5"/>
  <c r="AY174" i="5" s="1"/>
  <c r="AG173" i="5"/>
  <c r="AY173" i="5" s="1"/>
  <c r="AG172" i="5"/>
  <c r="AY172" i="5" s="1"/>
  <c r="AG171" i="5"/>
  <c r="AY171" i="5" s="1"/>
  <c r="AG170" i="5"/>
  <c r="AY170" i="5" s="1"/>
  <c r="AG169" i="5"/>
  <c r="AY169" i="5" s="1"/>
  <c r="AG168" i="5"/>
  <c r="AY168" i="5" s="1"/>
  <c r="AG167" i="5"/>
  <c r="AY167" i="5" s="1"/>
  <c r="AG166" i="5"/>
  <c r="AY166" i="5" s="1"/>
  <c r="AG165" i="5"/>
  <c r="AY165" i="5" s="1"/>
  <c r="AG164" i="5"/>
  <c r="AY164" i="5" s="1"/>
  <c r="AG163" i="5"/>
  <c r="AY163" i="5" s="1"/>
  <c r="AG162" i="5"/>
  <c r="AY162" i="5" s="1"/>
  <c r="AG161" i="5"/>
  <c r="AY161" i="5" s="1"/>
  <c r="AG160" i="5"/>
  <c r="AY160" i="5" s="1"/>
  <c r="AG159" i="5"/>
  <c r="AY159" i="5" s="1"/>
  <c r="AG158" i="5"/>
  <c r="AY158" i="5" s="1"/>
  <c r="AG157" i="5"/>
  <c r="AY157" i="5" s="1"/>
  <c r="AG156" i="5"/>
  <c r="AY156" i="5" s="1"/>
  <c r="AG155" i="5"/>
  <c r="AY155" i="5" s="1"/>
  <c r="AG154" i="5"/>
  <c r="AY154" i="5" s="1"/>
  <c r="AG153" i="5"/>
  <c r="AY153" i="5" s="1"/>
  <c r="AG152" i="5"/>
  <c r="AY152" i="5" s="1"/>
  <c r="AG151" i="5"/>
  <c r="AY151" i="5" s="1"/>
  <c r="AG150" i="5"/>
  <c r="AY150" i="5" s="1"/>
  <c r="AG149" i="5"/>
  <c r="AY149" i="5" s="1"/>
  <c r="AG148" i="5"/>
  <c r="AY148" i="5" s="1"/>
  <c r="AG147" i="5"/>
  <c r="AY147" i="5" s="1"/>
  <c r="AG146" i="5"/>
  <c r="AY146" i="5" s="1"/>
  <c r="AG145" i="5"/>
  <c r="AY145" i="5" s="1"/>
  <c r="AG144" i="5"/>
  <c r="AY144" i="5" s="1"/>
  <c r="AG143" i="5"/>
  <c r="AY143" i="5" s="1"/>
  <c r="AG142" i="5"/>
  <c r="AY142" i="5" s="1"/>
  <c r="AG141" i="5"/>
  <c r="AY141" i="5" s="1"/>
  <c r="AG140" i="5"/>
  <c r="AY140" i="5" s="1"/>
  <c r="AG139" i="5"/>
  <c r="AY139" i="5" s="1"/>
  <c r="AG138" i="5"/>
  <c r="AY138" i="5" s="1"/>
  <c r="AG137" i="5"/>
  <c r="AY137" i="5" s="1"/>
  <c r="AG136" i="5"/>
  <c r="AY136" i="5" s="1"/>
  <c r="AG135" i="5"/>
  <c r="AY135" i="5" s="1"/>
  <c r="AG134" i="5"/>
  <c r="AY134" i="5" s="1"/>
  <c r="AG133" i="5"/>
  <c r="AY133" i="5" s="1"/>
  <c r="AG132" i="5"/>
  <c r="AY132" i="5" s="1"/>
  <c r="AG131" i="5"/>
  <c r="AY131" i="5" s="1"/>
  <c r="AG130" i="5"/>
  <c r="AY130" i="5" s="1"/>
  <c r="AG129" i="5"/>
  <c r="AY129" i="5" s="1"/>
  <c r="AG128" i="5"/>
  <c r="AY128" i="5" s="1"/>
  <c r="AG127" i="5"/>
  <c r="AY127" i="5" s="1"/>
  <c r="AG126" i="5"/>
  <c r="AY126" i="5" s="1"/>
  <c r="AG125" i="5"/>
  <c r="AY125" i="5" s="1"/>
  <c r="AG124" i="5"/>
  <c r="AY124" i="5" s="1"/>
  <c r="AG123" i="5"/>
  <c r="AY123" i="5" s="1"/>
  <c r="AG122" i="5"/>
  <c r="AY122" i="5" s="1"/>
  <c r="AG121" i="5"/>
  <c r="AY121" i="5" s="1"/>
  <c r="AG120" i="5"/>
  <c r="AY120" i="5" s="1"/>
  <c r="AG119" i="5"/>
  <c r="AY119" i="5" s="1"/>
  <c r="AG118" i="5"/>
  <c r="AY118" i="5" s="1"/>
  <c r="AG117" i="5"/>
  <c r="AY117" i="5" s="1"/>
  <c r="AG116" i="5"/>
  <c r="AY116" i="5" s="1"/>
  <c r="AG115" i="5"/>
  <c r="AY115" i="5" s="1"/>
  <c r="AG114" i="5"/>
  <c r="AY114" i="5" s="1"/>
  <c r="AG113" i="5"/>
  <c r="AY113" i="5" s="1"/>
  <c r="AG112" i="5"/>
  <c r="AY112" i="5" s="1"/>
  <c r="AG111" i="5"/>
  <c r="AY111" i="5" s="1"/>
  <c r="AG110" i="5"/>
  <c r="AY110" i="5" s="1"/>
  <c r="AG109" i="5"/>
  <c r="AY109" i="5" s="1"/>
  <c r="AG108" i="5"/>
  <c r="AY108" i="5" s="1"/>
  <c r="AG107" i="5"/>
  <c r="AY107" i="5" s="1"/>
  <c r="AG106" i="5"/>
  <c r="AY106" i="5" s="1"/>
  <c r="AG105" i="5"/>
  <c r="AY105" i="5" s="1"/>
  <c r="AG104" i="5"/>
  <c r="AY104" i="5" s="1"/>
  <c r="AG103" i="5"/>
  <c r="AY103" i="5" s="1"/>
  <c r="AG102" i="5"/>
  <c r="AY102" i="5" s="1"/>
  <c r="AG101" i="5"/>
  <c r="AY101" i="5" s="1"/>
  <c r="AG100" i="5"/>
  <c r="AY100" i="5" s="1"/>
  <c r="AG99" i="5"/>
  <c r="AY99" i="5" s="1"/>
  <c r="AG98" i="5"/>
  <c r="AY98" i="5" s="1"/>
  <c r="AG97" i="5"/>
  <c r="AY97" i="5" s="1"/>
  <c r="AG96" i="5"/>
  <c r="AY96" i="5" s="1"/>
  <c r="AG95" i="5"/>
  <c r="AY95" i="5" s="1"/>
  <c r="AG94" i="5"/>
  <c r="AY94" i="5" s="1"/>
  <c r="AG93" i="5"/>
  <c r="AY93" i="5" s="1"/>
  <c r="AG92" i="5"/>
  <c r="AY92" i="5" s="1"/>
  <c r="AG91" i="5"/>
  <c r="AY91" i="5" s="1"/>
  <c r="AG90" i="5"/>
  <c r="AY90" i="5" s="1"/>
  <c r="AG89" i="5"/>
  <c r="AY89" i="5" s="1"/>
  <c r="AG88" i="5"/>
  <c r="AY88" i="5" s="1"/>
  <c r="AG87" i="5"/>
  <c r="AY87" i="5" s="1"/>
  <c r="AG86" i="5"/>
  <c r="AY86" i="5" s="1"/>
  <c r="AG85" i="5"/>
  <c r="AY85" i="5" s="1"/>
  <c r="AG84" i="5"/>
  <c r="AY84" i="5" s="1"/>
  <c r="AG83" i="5"/>
  <c r="AY83" i="5" s="1"/>
  <c r="AG82" i="5"/>
  <c r="AY82" i="5" s="1"/>
  <c r="AG81" i="5"/>
  <c r="AY81" i="5" s="1"/>
  <c r="AG80" i="5"/>
  <c r="AY80" i="5" s="1"/>
  <c r="AG79" i="5"/>
  <c r="AY79" i="5" s="1"/>
  <c r="AG78" i="5"/>
  <c r="AY78" i="5" s="1"/>
  <c r="AG77" i="5"/>
  <c r="AY77" i="5" s="1"/>
  <c r="AG76" i="5"/>
  <c r="AY76" i="5" s="1"/>
  <c r="AG75" i="5"/>
  <c r="AY75" i="5" s="1"/>
  <c r="AG74" i="5"/>
  <c r="AY74" i="5" s="1"/>
  <c r="AG73" i="5"/>
  <c r="AY73" i="5" s="1"/>
  <c r="AG72" i="5"/>
  <c r="AY72" i="5" s="1"/>
  <c r="AG71" i="5"/>
  <c r="AY71" i="5" s="1"/>
  <c r="AG70" i="5"/>
  <c r="AY70" i="5" s="1"/>
  <c r="AG69" i="5"/>
  <c r="AY69" i="5" s="1"/>
  <c r="AG68" i="5"/>
  <c r="AY68" i="5" s="1"/>
  <c r="AG67" i="5"/>
  <c r="AY67" i="5" s="1"/>
  <c r="AG66" i="5"/>
  <c r="AY66" i="5" s="1"/>
  <c r="AG65" i="5"/>
  <c r="AY65" i="5" s="1"/>
  <c r="AG64" i="5"/>
  <c r="AY64" i="5" s="1"/>
  <c r="AG63" i="5"/>
  <c r="AY63" i="5" s="1"/>
  <c r="AG62" i="5"/>
  <c r="AY62" i="5" s="1"/>
  <c r="AG61" i="5"/>
  <c r="AY61" i="5" s="1"/>
  <c r="AG60" i="5"/>
  <c r="AY60" i="5" s="1"/>
  <c r="AG59" i="5"/>
  <c r="AY59" i="5" s="1"/>
  <c r="AG58" i="5"/>
  <c r="AY58" i="5" s="1"/>
  <c r="AG57" i="5"/>
  <c r="AY57" i="5" s="1"/>
  <c r="AG56" i="5"/>
  <c r="AY56" i="5" s="1"/>
  <c r="AG55" i="5"/>
  <c r="AY55" i="5" s="1"/>
  <c r="AG54" i="5"/>
  <c r="AY54" i="5" s="1"/>
  <c r="AG53" i="5"/>
  <c r="AY53" i="5" s="1"/>
  <c r="AG52" i="5"/>
  <c r="AY52" i="5" s="1"/>
  <c r="AG51" i="5"/>
  <c r="AY51" i="5" s="1"/>
  <c r="AG50" i="5"/>
  <c r="AY50" i="5" s="1"/>
  <c r="AG49" i="5"/>
  <c r="AY49" i="5" s="1"/>
  <c r="AG48" i="5"/>
  <c r="AY48" i="5" s="1"/>
  <c r="AG47" i="5"/>
  <c r="AY47" i="5" s="1"/>
  <c r="AG46" i="5"/>
  <c r="AY46" i="5" s="1"/>
  <c r="AG45" i="5"/>
  <c r="AY45" i="5" s="1"/>
  <c r="AG44" i="5"/>
  <c r="AY44" i="5" s="1"/>
  <c r="AG43" i="5"/>
  <c r="AY43" i="5" s="1"/>
  <c r="AG42" i="5"/>
  <c r="AY42" i="5" s="1"/>
  <c r="AG41" i="5"/>
  <c r="AY41" i="5" s="1"/>
  <c r="AG40" i="5"/>
  <c r="AY40" i="5" s="1"/>
  <c r="AG39" i="5"/>
  <c r="AY39" i="5" s="1"/>
  <c r="AG38" i="5"/>
  <c r="AY38" i="5" s="1"/>
  <c r="AG37" i="5"/>
  <c r="AY37" i="5" s="1"/>
  <c r="AG36" i="5"/>
  <c r="AY36" i="5" s="1"/>
  <c r="AG35" i="5"/>
  <c r="AY35" i="5" s="1"/>
  <c r="AG34" i="5"/>
  <c r="AY34" i="5" s="1"/>
  <c r="AG33" i="5"/>
  <c r="AY33" i="5" s="1"/>
  <c r="AG32" i="5"/>
  <c r="AY32" i="5" s="1"/>
  <c r="AG31" i="5"/>
  <c r="AY31" i="5" s="1"/>
  <c r="AG30" i="5"/>
  <c r="AY30" i="5" s="1"/>
  <c r="AG29" i="5"/>
  <c r="AY29" i="5" s="1"/>
  <c r="AG28" i="5"/>
  <c r="AY28" i="5" s="1"/>
  <c r="AG27" i="5"/>
  <c r="AY27" i="5" s="1"/>
  <c r="AG26" i="5"/>
  <c r="AY26" i="5" s="1"/>
  <c r="AG25" i="5"/>
  <c r="AY25" i="5" s="1"/>
  <c r="AG24" i="5"/>
  <c r="AY24" i="5" s="1"/>
  <c r="AG23" i="5"/>
  <c r="AY23" i="5" s="1"/>
  <c r="AG22" i="5"/>
  <c r="AY22" i="5" s="1"/>
  <c r="AG21" i="5"/>
  <c r="AY21" i="5" s="1"/>
  <c r="AG20" i="5"/>
  <c r="AY20" i="5" s="1"/>
  <c r="AG19" i="5"/>
  <c r="AY19" i="5" s="1"/>
  <c r="AG18" i="5"/>
  <c r="AY18" i="5" s="1"/>
  <c r="AG17" i="5"/>
  <c r="AY17" i="5" s="1"/>
  <c r="AG16" i="5"/>
  <c r="AY16" i="5" s="1"/>
  <c r="AG15" i="5"/>
  <c r="AY15" i="5" s="1"/>
  <c r="AG14" i="5"/>
  <c r="AY14" i="5" s="1"/>
  <c r="AG13" i="5"/>
  <c r="AY13" i="5" s="1"/>
  <c r="AG12" i="5"/>
  <c r="AY12" i="5" s="1"/>
  <c r="AG11" i="5"/>
  <c r="AY11" i="5" s="1"/>
  <c r="AG10" i="5"/>
  <c r="AY10" i="5" s="1"/>
  <c r="AG9" i="5"/>
  <c r="AY9" i="5" s="1"/>
  <c r="AG8" i="5"/>
  <c r="AY8" i="5" s="1"/>
  <c r="AY589" i="5" s="1"/>
  <c r="AE646" i="5"/>
  <c r="AE643" i="5"/>
  <c r="AX643" i="5" s="1"/>
  <c r="AE642" i="5"/>
  <c r="AX642" i="5" s="1"/>
  <c r="AE641" i="5"/>
  <c r="AX641" i="5" s="1"/>
  <c r="AE640" i="5"/>
  <c r="AX640" i="5" s="1"/>
  <c r="AE639" i="5"/>
  <c r="AX639" i="5" s="1"/>
  <c r="AE638" i="5"/>
  <c r="AX638" i="5" s="1"/>
  <c r="AE637" i="5"/>
  <c r="AX637" i="5" s="1"/>
  <c r="AE636" i="5"/>
  <c r="AX636" i="5" s="1"/>
  <c r="AE635" i="5"/>
  <c r="AX635" i="5" s="1"/>
  <c r="AE634" i="5"/>
  <c r="AX634" i="5" s="1"/>
  <c r="AE633" i="5"/>
  <c r="AX633" i="5" s="1"/>
  <c r="AE632" i="5"/>
  <c r="AX632" i="5" s="1"/>
  <c r="AE631" i="5"/>
  <c r="AX631" i="5" s="1"/>
  <c r="AE630" i="5"/>
  <c r="AX630" i="5" s="1"/>
  <c r="AE629" i="5"/>
  <c r="AX629" i="5" s="1"/>
  <c r="AE628" i="5"/>
  <c r="AX628" i="5" s="1"/>
  <c r="AE627" i="5"/>
  <c r="AX627" i="5" s="1"/>
  <c r="AE626" i="5"/>
  <c r="AX626" i="5" s="1"/>
  <c r="AE625" i="5"/>
  <c r="AX625" i="5" s="1"/>
  <c r="AE624" i="5"/>
  <c r="AX624" i="5" s="1"/>
  <c r="AE623" i="5"/>
  <c r="AX623" i="5" s="1"/>
  <c r="AE622" i="5"/>
  <c r="AX622" i="5" s="1"/>
  <c r="AE621" i="5"/>
  <c r="AX621" i="5" s="1"/>
  <c r="AE620" i="5"/>
  <c r="AX620" i="5" s="1"/>
  <c r="AE619" i="5"/>
  <c r="AX619" i="5" s="1"/>
  <c r="AE618" i="5"/>
  <c r="AX618" i="5" s="1"/>
  <c r="AE617" i="5"/>
  <c r="AX617" i="5" s="1"/>
  <c r="AE616" i="5"/>
  <c r="AX616" i="5" s="1"/>
  <c r="AE615" i="5"/>
  <c r="AX615" i="5" s="1"/>
  <c r="AE614" i="5"/>
  <c r="AX614" i="5" s="1"/>
  <c r="AE613" i="5"/>
  <c r="AX613" i="5" s="1"/>
  <c r="AE612" i="5"/>
  <c r="AX612" i="5" s="1"/>
  <c r="AE611" i="5"/>
  <c r="AX611" i="5" s="1"/>
  <c r="AE610" i="5"/>
  <c r="AX610" i="5" s="1"/>
  <c r="AE609" i="5"/>
  <c r="AX609" i="5" s="1"/>
  <c r="AE608" i="5"/>
  <c r="AX608" i="5" s="1"/>
  <c r="AE607" i="5"/>
  <c r="AX607" i="5" s="1"/>
  <c r="AE606" i="5"/>
  <c r="AX606" i="5" s="1"/>
  <c r="AE605" i="5"/>
  <c r="AX605" i="5" s="1"/>
  <c r="AE604" i="5"/>
  <c r="AX604" i="5" s="1"/>
  <c r="AE603" i="5"/>
  <c r="AX603" i="5" s="1"/>
  <c r="AE602" i="5"/>
  <c r="AX602" i="5" s="1"/>
  <c r="AE601" i="5"/>
  <c r="AX601" i="5" s="1"/>
  <c r="AE600" i="5"/>
  <c r="AX600" i="5" s="1"/>
  <c r="AE599" i="5"/>
  <c r="AX599" i="5" s="1"/>
  <c r="AE598" i="5"/>
  <c r="AX598" i="5" s="1"/>
  <c r="AE597" i="5"/>
  <c r="AX597" i="5" s="1"/>
  <c r="AE596" i="5"/>
  <c r="AX596" i="5" s="1"/>
  <c r="AE595" i="5"/>
  <c r="AX595" i="5" s="1"/>
  <c r="AE594" i="5"/>
  <c r="AX594" i="5" s="1"/>
  <c r="AE593" i="5"/>
  <c r="AX593" i="5" s="1"/>
  <c r="AE592" i="5"/>
  <c r="AX592" i="5" s="1"/>
  <c r="AE590" i="5"/>
  <c r="AX590" i="5" s="1"/>
  <c r="AE589" i="5"/>
  <c r="AE588" i="5"/>
  <c r="AX588" i="5" s="1"/>
  <c r="AE587" i="5"/>
  <c r="AX587" i="5" s="1"/>
  <c r="AE586" i="5"/>
  <c r="AX586" i="5" s="1"/>
  <c r="AE585" i="5"/>
  <c r="AX585" i="5" s="1"/>
  <c r="AE584" i="5"/>
  <c r="AX584" i="5" s="1"/>
  <c r="AE583" i="5"/>
  <c r="AX583" i="5" s="1"/>
  <c r="AE582" i="5"/>
  <c r="AX582" i="5" s="1"/>
  <c r="AE581" i="5"/>
  <c r="AX581" i="5" s="1"/>
  <c r="AE580" i="5"/>
  <c r="AX580" i="5" s="1"/>
  <c r="AE579" i="5"/>
  <c r="AX579" i="5" s="1"/>
  <c r="AE578" i="5"/>
  <c r="AX578" i="5" s="1"/>
  <c r="AE577" i="5"/>
  <c r="AX577" i="5" s="1"/>
  <c r="AE576" i="5"/>
  <c r="AX576" i="5" s="1"/>
  <c r="AE575" i="5"/>
  <c r="AX575" i="5" s="1"/>
  <c r="AE574" i="5"/>
  <c r="AX574" i="5" s="1"/>
  <c r="AE573" i="5"/>
  <c r="AX573" i="5" s="1"/>
  <c r="AE572" i="5"/>
  <c r="AX572" i="5" s="1"/>
  <c r="AE571" i="5"/>
  <c r="AX571" i="5" s="1"/>
  <c r="AE570" i="5"/>
  <c r="AX570" i="5" s="1"/>
  <c r="AE569" i="5"/>
  <c r="AX569" i="5" s="1"/>
  <c r="AE568" i="5"/>
  <c r="AX568" i="5" s="1"/>
  <c r="AE567" i="5"/>
  <c r="AX567" i="5" s="1"/>
  <c r="AE566" i="5"/>
  <c r="AX566" i="5" s="1"/>
  <c r="AE565" i="5"/>
  <c r="AX565" i="5" s="1"/>
  <c r="AE564" i="5"/>
  <c r="AX564" i="5" s="1"/>
  <c r="AE563" i="5"/>
  <c r="AX563" i="5" s="1"/>
  <c r="AE562" i="5"/>
  <c r="AX562" i="5" s="1"/>
  <c r="AE561" i="5"/>
  <c r="AX561" i="5" s="1"/>
  <c r="AE560" i="5"/>
  <c r="AX560" i="5" s="1"/>
  <c r="AE559" i="5"/>
  <c r="AX559" i="5" s="1"/>
  <c r="AE558" i="5"/>
  <c r="AX558" i="5" s="1"/>
  <c r="AE557" i="5"/>
  <c r="AX557" i="5" s="1"/>
  <c r="AE556" i="5"/>
  <c r="AX556" i="5" s="1"/>
  <c r="AE555" i="5"/>
  <c r="AX555" i="5" s="1"/>
  <c r="AE554" i="5"/>
  <c r="AX554" i="5" s="1"/>
  <c r="AE553" i="5"/>
  <c r="AX553" i="5" s="1"/>
  <c r="AE552" i="5"/>
  <c r="AX552" i="5" s="1"/>
  <c r="AE551" i="5"/>
  <c r="AX551" i="5" s="1"/>
  <c r="AE550" i="5"/>
  <c r="AX550" i="5" s="1"/>
  <c r="AE549" i="5"/>
  <c r="AX549" i="5" s="1"/>
  <c r="AE548" i="5"/>
  <c r="AX548" i="5" s="1"/>
  <c r="AE547" i="5"/>
  <c r="AX547" i="5" s="1"/>
  <c r="AE546" i="5"/>
  <c r="AX546" i="5" s="1"/>
  <c r="AE545" i="5"/>
  <c r="AX545" i="5" s="1"/>
  <c r="AE544" i="5"/>
  <c r="AX544" i="5" s="1"/>
  <c r="AE543" i="5"/>
  <c r="AX543" i="5" s="1"/>
  <c r="AE542" i="5"/>
  <c r="AX542" i="5" s="1"/>
  <c r="AE541" i="5"/>
  <c r="AX541" i="5" s="1"/>
  <c r="AE540" i="5"/>
  <c r="AX540" i="5" s="1"/>
  <c r="AE539" i="5"/>
  <c r="AX539" i="5" s="1"/>
  <c r="AE538" i="5"/>
  <c r="AX538" i="5" s="1"/>
  <c r="AE537" i="5"/>
  <c r="AX537" i="5" s="1"/>
  <c r="AE536" i="5"/>
  <c r="AX536" i="5" s="1"/>
  <c r="AE535" i="5"/>
  <c r="AX535" i="5" s="1"/>
  <c r="AE534" i="5"/>
  <c r="AX534" i="5" s="1"/>
  <c r="AE533" i="5"/>
  <c r="AX533" i="5" s="1"/>
  <c r="AE532" i="5"/>
  <c r="AX532" i="5" s="1"/>
  <c r="AE531" i="5"/>
  <c r="AX531" i="5" s="1"/>
  <c r="AE530" i="5"/>
  <c r="AX530" i="5" s="1"/>
  <c r="AE529" i="5"/>
  <c r="AX529" i="5" s="1"/>
  <c r="AE528" i="5"/>
  <c r="AX528" i="5" s="1"/>
  <c r="AE527" i="5"/>
  <c r="AX527" i="5" s="1"/>
  <c r="AE526" i="5"/>
  <c r="AX526" i="5" s="1"/>
  <c r="AE525" i="5"/>
  <c r="AX525" i="5" s="1"/>
  <c r="AE524" i="5"/>
  <c r="AX524" i="5" s="1"/>
  <c r="AE523" i="5"/>
  <c r="AX523" i="5" s="1"/>
  <c r="AE522" i="5"/>
  <c r="AX522" i="5" s="1"/>
  <c r="AE521" i="5"/>
  <c r="AX521" i="5" s="1"/>
  <c r="AE520" i="5"/>
  <c r="AX520" i="5" s="1"/>
  <c r="AE519" i="5"/>
  <c r="AX519" i="5" s="1"/>
  <c r="AE518" i="5"/>
  <c r="AX518" i="5" s="1"/>
  <c r="AE517" i="5"/>
  <c r="AX517" i="5" s="1"/>
  <c r="AE516" i="5"/>
  <c r="AX516" i="5" s="1"/>
  <c r="AE515" i="5"/>
  <c r="AX515" i="5" s="1"/>
  <c r="AE514" i="5"/>
  <c r="AX514" i="5" s="1"/>
  <c r="AE513" i="5"/>
  <c r="AX513" i="5" s="1"/>
  <c r="AE512" i="5"/>
  <c r="AX512" i="5" s="1"/>
  <c r="AE511" i="5"/>
  <c r="AX511" i="5" s="1"/>
  <c r="AE510" i="5"/>
  <c r="AX510" i="5" s="1"/>
  <c r="AE509" i="5"/>
  <c r="AX509" i="5" s="1"/>
  <c r="AE508" i="5"/>
  <c r="AX508" i="5" s="1"/>
  <c r="AE507" i="5"/>
  <c r="AX507" i="5" s="1"/>
  <c r="AE506" i="5"/>
  <c r="AX506" i="5" s="1"/>
  <c r="AE505" i="5"/>
  <c r="AX505" i="5" s="1"/>
  <c r="AE504" i="5"/>
  <c r="AX504" i="5" s="1"/>
  <c r="AE503" i="5"/>
  <c r="AX503" i="5" s="1"/>
  <c r="AE502" i="5"/>
  <c r="AX502" i="5" s="1"/>
  <c r="AE501" i="5"/>
  <c r="AX501" i="5" s="1"/>
  <c r="AE500" i="5"/>
  <c r="AX500" i="5" s="1"/>
  <c r="AE499" i="5"/>
  <c r="AX499" i="5" s="1"/>
  <c r="AE498" i="5"/>
  <c r="AX498" i="5" s="1"/>
  <c r="AE497" i="5"/>
  <c r="AX497" i="5" s="1"/>
  <c r="AE496" i="5"/>
  <c r="AX496" i="5" s="1"/>
  <c r="AE495" i="5"/>
  <c r="AX495" i="5" s="1"/>
  <c r="AE494" i="5"/>
  <c r="AX494" i="5" s="1"/>
  <c r="AE493" i="5"/>
  <c r="AX493" i="5" s="1"/>
  <c r="AE492" i="5"/>
  <c r="AX492" i="5" s="1"/>
  <c r="AE491" i="5"/>
  <c r="AX491" i="5" s="1"/>
  <c r="AE490" i="5"/>
  <c r="AX490" i="5" s="1"/>
  <c r="AE489" i="5"/>
  <c r="AX489" i="5" s="1"/>
  <c r="AE488" i="5"/>
  <c r="AX488" i="5" s="1"/>
  <c r="AE487" i="5"/>
  <c r="AX487" i="5" s="1"/>
  <c r="AE486" i="5"/>
  <c r="AX486" i="5" s="1"/>
  <c r="AE485" i="5"/>
  <c r="AX485" i="5" s="1"/>
  <c r="AE484" i="5"/>
  <c r="AX484" i="5" s="1"/>
  <c r="AE483" i="5"/>
  <c r="AX483" i="5" s="1"/>
  <c r="AE482" i="5"/>
  <c r="AX482" i="5" s="1"/>
  <c r="AE481" i="5"/>
  <c r="AX481" i="5" s="1"/>
  <c r="AE480" i="5"/>
  <c r="AX480" i="5" s="1"/>
  <c r="AE479" i="5"/>
  <c r="AX479" i="5" s="1"/>
  <c r="AE478" i="5"/>
  <c r="AX478" i="5" s="1"/>
  <c r="AE477" i="5"/>
  <c r="AX477" i="5" s="1"/>
  <c r="AE476" i="5"/>
  <c r="AX476" i="5" s="1"/>
  <c r="AE475" i="5"/>
  <c r="AX475" i="5" s="1"/>
  <c r="AE474" i="5"/>
  <c r="AX474" i="5" s="1"/>
  <c r="AE473" i="5"/>
  <c r="AX473" i="5" s="1"/>
  <c r="AE472" i="5"/>
  <c r="AX472" i="5" s="1"/>
  <c r="AE471" i="5"/>
  <c r="AX471" i="5" s="1"/>
  <c r="AE470" i="5"/>
  <c r="AX470" i="5" s="1"/>
  <c r="AE469" i="5"/>
  <c r="AX469" i="5" s="1"/>
  <c r="AE468" i="5"/>
  <c r="AX468" i="5" s="1"/>
  <c r="AE467" i="5"/>
  <c r="AX467" i="5" s="1"/>
  <c r="AE466" i="5"/>
  <c r="AX466" i="5" s="1"/>
  <c r="AE465" i="5"/>
  <c r="AX465" i="5" s="1"/>
  <c r="AE464" i="5"/>
  <c r="AX464" i="5" s="1"/>
  <c r="AE463" i="5"/>
  <c r="AX463" i="5" s="1"/>
  <c r="AE462" i="5"/>
  <c r="AX462" i="5" s="1"/>
  <c r="AE461" i="5"/>
  <c r="AX461" i="5" s="1"/>
  <c r="AE460" i="5"/>
  <c r="AX460" i="5" s="1"/>
  <c r="AE459" i="5"/>
  <c r="AX459" i="5" s="1"/>
  <c r="AE458" i="5"/>
  <c r="AX458" i="5" s="1"/>
  <c r="AE457" i="5"/>
  <c r="AX457" i="5" s="1"/>
  <c r="AE456" i="5"/>
  <c r="AX456" i="5" s="1"/>
  <c r="AE455" i="5"/>
  <c r="AX455" i="5" s="1"/>
  <c r="AE454" i="5"/>
  <c r="AX454" i="5" s="1"/>
  <c r="AE453" i="5"/>
  <c r="AX453" i="5" s="1"/>
  <c r="AE452" i="5"/>
  <c r="AX452" i="5" s="1"/>
  <c r="AE451" i="5"/>
  <c r="AX451" i="5" s="1"/>
  <c r="AE450" i="5"/>
  <c r="AX450" i="5" s="1"/>
  <c r="AE449" i="5"/>
  <c r="AX449" i="5" s="1"/>
  <c r="AE448" i="5"/>
  <c r="AX448" i="5" s="1"/>
  <c r="AE447" i="5"/>
  <c r="AX447" i="5" s="1"/>
  <c r="AE446" i="5"/>
  <c r="AX446" i="5" s="1"/>
  <c r="AE445" i="5"/>
  <c r="AX445" i="5" s="1"/>
  <c r="AE444" i="5"/>
  <c r="AX444" i="5" s="1"/>
  <c r="AE443" i="5"/>
  <c r="AX443" i="5" s="1"/>
  <c r="AE442" i="5"/>
  <c r="AX442" i="5" s="1"/>
  <c r="AE441" i="5"/>
  <c r="AX441" i="5" s="1"/>
  <c r="AE440" i="5"/>
  <c r="AX440" i="5" s="1"/>
  <c r="AE439" i="5"/>
  <c r="AX439" i="5" s="1"/>
  <c r="AE438" i="5"/>
  <c r="AX438" i="5" s="1"/>
  <c r="AE437" i="5"/>
  <c r="AX437" i="5" s="1"/>
  <c r="AE436" i="5"/>
  <c r="AX436" i="5" s="1"/>
  <c r="AE435" i="5"/>
  <c r="AX435" i="5" s="1"/>
  <c r="AE434" i="5"/>
  <c r="AX434" i="5" s="1"/>
  <c r="AE433" i="5"/>
  <c r="AX433" i="5" s="1"/>
  <c r="AE432" i="5"/>
  <c r="AX432" i="5" s="1"/>
  <c r="AE431" i="5"/>
  <c r="AX431" i="5" s="1"/>
  <c r="AE430" i="5"/>
  <c r="AX430" i="5" s="1"/>
  <c r="AE429" i="5"/>
  <c r="AX429" i="5" s="1"/>
  <c r="AE428" i="5"/>
  <c r="AX428" i="5" s="1"/>
  <c r="AE427" i="5"/>
  <c r="AX427" i="5" s="1"/>
  <c r="AE426" i="5"/>
  <c r="AX426" i="5" s="1"/>
  <c r="AE425" i="5"/>
  <c r="AX425" i="5" s="1"/>
  <c r="AE424" i="5"/>
  <c r="AX424" i="5" s="1"/>
  <c r="AE423" i="5"/>
  <c r="AX423" i="5" s="1"/>
  <c r="AE422" i="5"/>
  <c r="AX422" i="5" s="1"/>
  <c r="AE421" i="5"/>
  <c r="AX421" i="5" s="1"/>
  <c r="AE420" i="5"/>
  <c r="AX420" i="5" s="1"/>
  <c r="AE419" i="5"/>
  <c r="AX419" i="5" s="1"/>
  <c r="AE418" i="5"/>
  <c r="AX418" i="5" s="1"/>
  <c r="AE417" i="5"/>
  <c r="AX417" i="5" s="1"/>
  <c r="AE416" i="5"/>
  <c r="AX416" i="5" s="1"/>
  <c r="AE415" i="5"/>
  <c r="AX415" i="5" s="1"/>
  <c r="AE414" i="5"/>
  <c r="AX414" i="5" s="1"/>
  <c r="AE413" i="5"/>
  <c r="AX413" i="5" s="1"/>
  <c r="AE412" i="5"/>
  <c r="AX412" i="5" s="1"/>
  <c r="AE411" i="5"/>
  <c r="AX411" i="5" s="1"/>
  <c r="AE410" i="5"/>
  <c r="AX410" i="5" s="1"/>
  <c r="AE409" i="5"/>
  <c r="AX409" i="5" s="1"/>
  <c r="AE408" i="5"/>
  <c r="AX408" i="5" s="1"/>
  <c r="AE407" i="5"/>
  <c r="AX407" i="5" s="1"/>
  <c r="AE406" i="5"/>
  <c r="AX406" i="5" s="1"/>
  <c r="AE405" i="5"/>
  <c r="AX405" i="5" s="1"/>
  <c r="AE404" i="5"/>
  <c r="AX404" i="5" s="1"/>
  <c r="AE403" i="5"/>
  <c r="AX403" i="5" s="1"/>
  <c r="AE402" i="5"/>
  <c r="AX402" i="5" s="1"/>
  <c r="AE401" i="5"/>
  <c r="AX401" i="5" s="1"/>
  <c r="AE400" i="5"/>
  <c r="AX400" i="5" s="1"/>
  <c r="AE399" i="5"/>
  <c r="AX399" i="5" s="1"/>
  <c r="AE398" i="5"/>
  <c r="AX398" i="5" s="1"/>
  <c r="AE397" i="5"/>
  <c r="AX397" i="5" s="1"/>
  <c r="AE396" i="5"/>
  <c r="AX396" i="5" s="1"/>
  <c r="AE395" i="5"/>
  <c r="AX395" i="5" s="1"/>
  <c r="AE394" i="5"/>
  <c r="AX394" i="5" s="1"/>
  <c r="AE393" i="5"/>
  <c r="AX393" i="5" s="1"/>
  <c r="AE392" i="5"/>
  <c r="AX392" i="5" s="1"/>
  <c r="AE391" i="5"/>
  <c r="AX391" i="5" s="1"/>
  <c r="AE390" i="5"/>
  <c r="AX390" i="5" s="1"/>
  <c r="AE389" i="5"/>
  <c r="AX389" i="5" s="1"/>
  <c r="AE388" i="5"/>
  <c r="AX388" i="5" s="1"/>
  <c r="AE387" i="5"/>
  <c r="AX387" i="5" s="1"/>
  <c r="AE386" i="5"/>
  <c r="AX386" i="5" s="1"/>
  <c r="AE385" i="5"/>
  <c r="AX385" i="5" s="1"/>
  <c r="AE384" i="5"/>
  <c r="AX384" i="5" s="1"/>
  <c r="AE383" i="5"/>
  <c r="AX383" i="5" s="1"/>
  <c r="AE382" i="5"/>
  <c r="AX382" i="5" s="1"/>
  <c r="AE381" i="5"/>
  <c r="AX381" i="5" s="1"/>
  <c r="AE380" i="5"/>
  <c r="AX380" i="5" s="1"/>
  <c r="AE379" i="5"/>
  <c r="AX379" i="5" s="1"/>
  <c r="AE378" i="5"/>
  <c r="AX378" i="5" s="1"/>
  <c r="AE377" i="5"/>
  <c r="AX377" i="5" s="1"/>
  <c r="AE376" i="5"/>
  <c r="AX376" i="5" s="1"/>
  <c r="AE375" i="5"/>
  <c r="AX375" i="5" s="1"/>
  <c r="AE374" i="5"/>
  <c r="AX374" i="5" s="1"/>
  <c r="AE373" i="5"/>
  <c r="AX373" i="5" s="1"/>
  <c r="AE372" i="5"/>
  <c r="AX372" i="5" s="1"/>
  <c r="AE371" i="5"/>
  <c r="AX371" i="5" s="1"/>
  <c r="AE370" i="5"/>
  <c r="AX370" i="5" s="1"/>
  <c r="AE369" i="5"/>
  <c r="AX369" i="5" s="1"/>
  <c r="AE368" i="5"/>
  <c r="AX368" i="5" s="1"/>
  <c r="AE367" i="5"/>
  <c r="AX367" i="5" s="1"/>
  <c r="AE366" i="5"/>
  <c r="AX366" i="5" s="1"/>
  <c r="AE365" i="5"/>
  <c r="AX365" i="5" s="1"/>
  <c r="AE364" i="5"/>
  <c r="AX364" i="5" s="1"/>
  <c r="AE363" i="5"/>
  <c r="AX363" i="5" s="1"/>
  <c r="AE362" i="5"/>
  <c r="AX362" i="5" s="1"/>
  <c r="AE361" i="5"/>
  <c r="AX361" i="5" s="1"/>
  <c r="AE360" i="5"/>
  <c r="AX360" i="5" s="1"/>
  <c r="AE359" i="5"/>
  <c r="AX359" i="5" s="1"/>
  <c r="AE358" i="5"/>
  <c r="AX358" i="5" s="1"/>
  <c r="AE357" i="5"/>
  <c r="AX357" i="5" s="1"/>
  <c r="AE356" i="5"/>
  <c r="AX356" i="5" s="1"/>
  <c r="AE355" i="5"/>
  <c r="AX355" i="5" s="1"/>
  <c r="AE354" i="5"/>
  <c r="AX354" i="5" s="1"/>
  <c r="AE353" i="5"/>
  <c r="AX353" i="5" s="1"/>
  <c r="AE352" i="5"/>
  <c r="AX352" i="5" s="1"/>
  <c r="AE351" i="5"/>
  <c r="AX351" i="5" s="1"/>
  <c r="AE350" i="5"/>
  <c r="AX350" i="5" s="1"/>
  <c r="AE349" i="5"/>
  <c r="AX349" i="5" s="1"/>
  <c r="AE348" i="5"/>
  <c r="AX348" i="5" s="1"/>
  <c r="AE347" i="5"/>
  <c r="AX347" i="5" s="1"/>
  <c r="AE346" i="5"/>
  <c r="AX346" i="5" s="1"/>
  <c r="AE345" i="5"/>
  <c r="AX345" i="5" s="1"/>
  <c r="AE344" i="5"/>
  <c r="AX344" i="5" s="1"/>
  <c r="AE343" i="5"/>
  <c r="AX343" i="5" s="1"/>
  <c r="AE342" i="5"/>
  <c r="AX342" i="5" s="1"/>
  <c r="AE341" i="5"/>
  <c r="AX341" i="5" s="1"/>
  <c r="AE340" i="5"/>
  <c r="AX340" i="5" s="1"/>
  <c r="AE339" i="5"/>
  <c r="AX339" i="5" s="1"/>
  <c r="AE338" i="5"/>
  <c r="AX338" i="5" s="1"/>
  <c r="AE337" i="5"/>
  <c r="AX337" i="5" s="1"/>
  <c r="AE336" i="5"/>
  <c r="AX336" i="5" s="1"/>
  <c r="AE335" i="5"/>
  <c r="AX335" i="5" s="1"/>
  <c r="AE334" i="5"/>
  <c r="AX334" i="5" s="1"/>
  <c r="AE333" i="5"/>
  <c r="AX333" i="5" s="1"/>
  <c r="AE332" i="5"/>
  <c r="AX332" i="5" s="1"/>
  <c r="AE331" i="5"/>
  <c r="AX331" i="5" s="1"/>
  <c r="AE330" i="5"/>
  <c r="AX330" i="5" s="1"/>
  <c r="AE329" i="5"/>
  <c r="AX329" i="5" s="1"/>
  <c r="AE328" i="5"/>
  <c r="AX328" i="5" s="1"/>
  <c r="AE327" i="5"/>
  <c r="AX327" i="5" s="1"/>
  <c r="AE326" i="5"/>
  <c r="AX326" i="5" s="1"/>
  <c r="AE325" i="5"/>
  <c r="AX325" i="5" s="1"/>
  <c r="AE324" i="5"/>
  <c r="AX324" i="5" s="1"/>
  <c r="AE323" i="5"/>
  <c r="AX323" i="5" s="1"/>
  <c r="AE322" i="5"/>
  <c r="AX322" i="5" s="1"/>
  <c r="AE321" i="5"/>
  <c r="AX321" i="5" s="1"/>
  <c r="AE320" i="5"/>
  <c r="AX320" i="5" s="1"/>
  <c r="AE319" i="5"/>
  <c r="AX319" i="5" s="1"/>
  <c r="AE318" i="5"/>
  <c r="AX318" i="5" s="1"/>
  <c r="AE317" i="5"/>
  <c r="AX317" i="5" s="1"/>
  <c r="AE316" i="5"/>
  <c r="AX316" i="5" s="1"/>
  <c r="AE315" i="5"/>
  <c r="AX315" i="5" s="1"/>
  <c r="AE314" i="5"/>
  <c r="AX314" i="5" s="1"/>
  <c r="AE313" i="5"/>
  <c r="AX313" i="5" s="1"/>
  <c r="AE312" i="5"/>
  <c r="AX312" i="5" s="1"/>
  <c r="AE311" i="5"/>
  <c r="AX311" i="5" s="1"/>
  <c r="AE310" i="5"/>
  <c r="AX310" i="5" s="1"/>
  <c r="AE309" i="5"/>
  <c r="AX309" i="5" s="1"/>
  <c r="AE308" i="5"/>
  <c r="AX308" i="5" s="1"/>
  <c r="AE307" i="5"/>
  <c r="AX307" i="5" s="1"/>
  <c r="AE306" i="5"/>
  <c r="AX306" i="5" s="1"/>
  <c r="AE305" i="5"/>
  <c r="AX305" i="5" s="1"/>
  <c r="AE304" i="5"/>
  <c r="AX304" i="5" s="1"/>
  <c r="AE303" i="5"/>
  <c r="AX303" i="5" s="1"/>
  <c r="AE302" i="5"/>
  <c r="AX302" i="5" s="1"/>
  <c r="AE301" i="5"/>
  <c r="AX301" i="5" s="1"/>
  <c r="AE300" i="5"/>
  <c r="AX300" i="5" s="1"/>
  <c r="AE299" i="5"/>
  <c r="AX299" i="5" s="1"/>
  <c r="AE298" i="5"/>
  <c r="AX298" i="5" s="1"/>
  <c r="AE297" i="5"/>
  <c r="AX297" i="5" s="1"/>
  <c r="AE296" i="5"/>
  <c r="AX296" i="5" s="1"/>
  <c r="AE295" i="5"/>
  <c r="AX295" i="5" s="1"/>
  <c r="AE294" i="5"/>
  <c r="AX294" i="5" s="1"/>
  <c r="AE293" i="5"/>
  <c r="AX293" i="5" s="1"/>
  <c r="AE292" i="5"/>
  <c r="AX292" i="5" s="1"/>
  <c r="AE291" i="5"/>
  <c r="AX291" i="5" s="1"/>
  <c r="AE290" i="5"/>
  <c r="AX290" i="5" s="1"/>
  <c r="AE289" i="5"/>
  <c r="AX289" i="5" s="1"/>
  <c r="AE288" i="5"/>
  <c r="AX288" i="5" s="1"/>
  <c r="AE287" i="5"/>
  <c r="AX287" i="5" s="1"/>
  <c r="AE286" i="5"/>
  <c r="AX286" i="5" s="1"/>
  <c r="AE285" i="5"/>
  <c r="AX285" i="5" s="1"/>
  <c r="AE284" i="5"/>
  <c r="AX284" i="5" s="1"/>
  <c r="AE283" i="5"/>
  <c r="AX283" i="5" s="1"/>
  <c r="AE282" i="5"/>
  <c r="AX282" i="5" s="1"/>
  <c r="AE281" i="5"/>
  <c r="AX281" i="5" s="1"/>
  <c r="AE280" i="5"/>
  <c r="AX280" i="5" s="1"/>
  <c r="AE279" i="5"/>
  <c r="AX279" i="5" s="1"/>
  <c r="AE278" i="5"/>
  <c r="AX278" i="5" s="1"/>
  <c r="AE277" i="5"/>
  <c r="AX277" i="5" s="1"/>
  <c r="AE276" i="5"/>
  <c r="AX276" i="5" s="1"/>
  <c r="AE275" i="5"/>
  <c r="AX275" i="5" s="1"/>
  <c r="AE274" i="5"/>
  <c r="AX274" i="5" s="1"/>
  <c r="AE273" i="5"/>
  <c r="AX273" i="5" s="1"/>
  <c r="AE272" i="5"/>
  <c r="AX272" i="5" s="1"/>
  <c r="AE271" i="5"/>
  <c r="AX271" i="5" s="1"/>
  <c r="AE270" i="5"/>
  <c r="AX270" i="5" s="1"/>
  <c r="AE269" i="5"/>
  <c r="AX269" i="5" s="1"/>
  <c r="AE268" i="5"/>
  <c r="AX268" i="5" s="1"/>
  <c r="AE267" i="5"/>
  <c r="AX267" i="5" s="1"/>
  <c r="AE266" i="5"/>
  <c r="AX266" i="5" s="1"/>
  <c r="AE265" i="5"/>
  <c r="AX265" i="5" s="1"/>
  <c r="AE264" i="5"/>
  <c r="AX264" i="5" s="1"/>
  <c r="AE263" i="5"/>
  <c r="AX263" i="5" s="1"/>
  <c r="AE262" i="5"/>
  <c r="AX262" i="5" s="1"/>
  <c r="AE261" i="5"/>
  <c r="AX261" i="5" s="1"/>
  <c r="AE260" i="5"/>
  <c r="AX260" i="5" s="1"/>
  <c r="AE259" i="5"/>
  <c r="AX259" i="5" s="1"/>
  <c r="AE258" i="5"/>
  <c r="AX258" i="5" s="1"/>
  <c r="AE257" i="5"/>
  <c r="AX257" i="5" s="1"/>
  <c r="AE256" i="5"/>
  <c r="AX256" i="5" s="1"/>
  <c r="AE255" i="5"/>
  <c r="AX255" i="5" s="1"/>
  <c r="AE254" i="5"/>
  <c r="AX254" i="5" s="1"/>
  <c r="AE253" i="5"/>
  <c r="AX253" i="5" s="1"/>
  <c r="AE252" i="5"/>
  <c r="AX252" i="5" s="1"/>
  <c r="AE251" i="5"/>
  <c r="AX251" i="5" s="1"/>
  <c r="AE250" i="5"/>
  <c r="AX250" i="5" s="1"/>
  <c r="AE249" i="5"/>
  <c r="AX249" i="5" s="1"/>
  <c r="AE248" i="5"/>
  <c r="AX248" i="5" s="1"/>
  <c r="AE247" i="5"/>
  <c r="AX247" i="5" s="1"/>
  <c r="AE246" i="5"/>
  <c r="AX246" i="5" s="1"/>
  <c r="AE245" i="5"/>
  <c r="AX245" i="5" s="1"/>
  <c r="AE244" i="5"/>
  <c r="AX244" i="5" s="1"/>
  <c r="AE243" i="5"/>
  <c r="AX243" i="5" s="1"/>
  <c r="AE242" i="5"/>
  <c r="AX242" i="5" s="1"/>
  <c r="AE241" i="5"/>
  <c r="AX241" i="5" s="1"/>
  <c r="AE240" i="5"/>
  <c r="AX240" i="5" s="1"/>
  <c r="AE239" i="5"/>
  <c r="AX239" i="5" s="1"/>
  <c r="AE238" i="5"/>
  <c r="AX238" i="5" s="1"/>
  <c r="AE237" i="5"/>
  <c r="AX237" i="5" s="1"/>
  <c r="AE236" i="5"/>
  <c r="AX236" i="5" s="1"/>
  <c r="AE235" i="5"/>
  <c r="AX235" i="5" s="1"/>
  <c r="AE234" i="5"/>
  <c r="AX234" i="5" s="1"/>
  <c r="AE233" i="5"/>
  <c r="AX233" i="5" s="1"/>
  <c r="AE232" i="5"/>
  <c r="AX232" i="5" s="1"/>
  <c r="AE231" i="5"/>
  <c r="AX231" i="5" s="1"/>
  <c r="AE230" i="5"/>
  <c r="AX230" i="5" s="1"/>
  <c r="AE229" i="5"/>
  <c r="AX229" i="5" s="1"/>
  <c r="AE228" i="5"/>
  <c r="AX228" i="5" s="1"/>
  <c r="AE227" i="5"/>
  <c r="AX227" i="5" s="1"/>
  <c r="AE226" i="5"/>
  <c r="AX226" i="5" s="1"/>
  <c r="AE225" i="5"/>
  <c r="AX225" i="5" s="1"/>
  <c r="AE224" i="5"/>
  <c r="AX224" i="5" s="1"/>
  <c r="AE223" i="5"/>
  <c r="AX223" i="5" s="1"/>
  <c r="AE222" i="5"/>
  <c r="AX222" i="5" s="1"/>
  <c r="AE221" i="5"/>
  <c r="AX221" i="5" s="1"/>
  <c r="AE220" i="5"/>
  <c r="AX220" i="5" s="1"/>
  <c r="AE219" i="5"/>
  <c r="AX219" i="5" s="1"/>
  <c r="AE218" i="5"/>
  <c r="AX218" i="5" s="1"/>
  <c r="AE217" i="5"/>
  <c r="AX217" i="5" s="1"/>
  <c r="AE216" i="5"/>
  <c r="AX216" i="5" s="1"/>
  <c r="AE215" i="5"/>
  <c r="AX215" i="5" s="1"/>
  <c r="AE214" i="5"/>
  <c r="AX214" i="5" s="1"/>
  <c r="AE213" i="5"/>
  <c r="AX213" i="5" s="1"/>
  <c r="AE212" i="5"/>
  <c r="AX212" i="5" s="1"/>
  <c r="AE211" i="5"/>
  <c r="AX211" i="5" s="1"/>
  <c r="AE210" i="5"/>
  <c r="AX210" i="5" s="1"/>
  <c r="AE209" i="5"/>
  <c r="AX209" i="5" s="1"/>
  <c r="AE208" i="5"/>
  <c r="AX208" i="5" s="1"/>
  <c r="AE207" i="5"/>
  <c r="AX207" i="5" s="1"/>
  <c r="AE206" i="5"/>
  <c r="AX206" i="5" s="1"/>
  <c r="AE205" i="5"/>
  <c r="AX205" i="5" s="1"/>
  <c r="AE204" i="5"/>
  <c r="AX204" i="5" s="1"/>
  <c r="AE203" i="5"/>
  <c r="AX203" i="5" s="1"/>
  <c r="AE202" i="5"/>
  <c r="AX202" i="5" s="1"/>
  <c r="AE201" i="5"/>
  <c r="AX201" i="5" s="1"/>
  <c r="AE200" i="5"/>
  <c r="AX200" i="5" s="1"/>
  <c r="AE199" i="5"/>
  <c r="AX199" i="5" s="1"/>
  <c r="AE198" i="5"/>
  <c r="AX198" i="5" s="1"/>
  <c r="AE197" i="5"/>
  <c r="AX197" i="5" s="1"/>
  <c r="AE196" i="5"/>
  <c r="AX196" i="5" s="1"/>
  <c r="AE195" i="5"/>
  <c r="AX195" i="5" s="1"/>
  <c r="AE194" i="5"/>
  <c r="AX194" i="5" s="1"/>
  <c r="AE193" i="5"/>
  <c r="AX193" i="5" s="1"/>
  <c r="AE192" i="5"/>
  <c r="AX192" i="5" s="1"/>
  <c r="AE191" i="5"/>
  <c r="AX191" i="5" s="1"/>
  <c r="AE190" i="5"/>
  <c r="AX190" i="5" s="1"/>
  <c r="AE189" i="5"/>
  <c r="AX189" i="5" s="1"/>
  <c r="AE188" i="5"/>
  <c r="AX188" i="5" s="1"/>
  <c r="AE187" i="5"/>
  <c r="AX187" i="5" s="1"/>
  <c r="AE186" i="5"/>
  <c r="AX186" i="5" s="1"/>
  <c r="AE185" i="5"/>
  <c r="AX185" i="5" s="1"/>
  <c r="AE184" i="5"/>
  <c r="AX184" i="5" s="1"/>
  <c r="AE183" i="5"/>
  <c r="AX183" i="5" s="1"/>
  <c r="AE182" i="5"/>
  <c r="AX182" i="5" s="1"/>
  <c r="AE181" i="5"/>
  <c r="AX181" i="5" s="1"/>
  <c r="AE180" i="5"/>
  <c r="AX180" i="5" s="1"/>
  <c r="AE179" i="5"/>
  <c r="AX179" i="5" s="1"/>
  <c r="AE178" i="5"/>
  <c r="AX178" i="5" s="1"/>
  <c r="AE177" i="5"/>
  <c r="AX177" i="5" s="1"/>
  <c r="AE176" i="5"/>
  <c r="AX176" i="5" s="1"/>
  <c r="AE175" i="5"/>
  <c r="AX175" i="5" s="1"/>
  <c r="AE174" i="5"/>
  <c r="AX174" i="5" s="1"/>
  <c r="AE173" i="5"/>
  <c r="AX173" i="5" s="1"/>
  <c r="AE172" i="5"/>
  <c r="AX172" i="5" s="1"/>
  <c r="AE171" i="5"/>
  <c r="AX171" i="5" s="1"/>
  <c r="AE170" i="5"/>
  <c r="AX170" i="5" s="1"/>
  <c r="AE169" i="5"/>
  <c r="AX169" i="5" s="1"/>
  <c r="AE168" i="5"/>
  <c r="AX168" i="5" s="1"/>
  <c r="AE167" i="5"/>
  <c r="AX167" i="5" s="1"/>
  <c r="AE166" i="5"/>
  <c r="AX166" i="5" s="1"/>
  <c r="AE165" i="5"/>
  <c r="AX165" i="5" s="1"/>
  <c r="AE164" i="5"/>
  <c r="AX164" i="5" s="1"/>
  <c r="AE163" i="5"/>
  <c r="AX163" i="5" s="1"/>
  <c r="AE162" i="5"/>
  <c r="AX162" i="5" s="1"/>
  <c r="AE161" i="5"/>
  <c r="AX161" i="5" s="1"/>
  <c r="AE160" i="5"/>
  <c r="AX160" i="5" s="1"/>
  <c r="AE159" i="5"/>
  <c r="AX159" i="5" s="1"/>
  <c r="AE158" i="5"/>
  <c r="AX158" i="5" s="1"/>
  <c r="AE157" i="5"/>
  <c r="AX157" i="5" s="1"/>
  <c r="AE156" i="5"/>
  <c r="AX156" i="5" s="1"/>
  <c r="AE155" i="5"/>
  <c r="AX155" i="5" s="1"/>
  <c r="AE154" i="5"/>
  <c r="AX154" i="5" s="1"/>
  <c r="AE153" i="5"/>
  <c r="AX153" i="5" s="1"/>
  <c r="AE152" i="5"/>
  <c r="AX152" i="5" s="1"/>
  <c r="AE151" i="5"/>
  <c r="AX151" i="5" s="1"/>
  <c r="AE150" i="5"/>
  <c r="AX150" i="5" s="1"/>
  <c r="AE149" i="5"/>
  <c r="AX149" i="5" s="1"/>
  <c r="AE148" i="5"/>
  <c r="AX148" i="5" s="1"/>
  <c r="AE147" i="5"/>
  <c r="AX147" i="5" s="1"/>
  <c r="AE146" i="5"/>
  <c r="AX146" i="5" s="1"/>
  <c r="AE145" i="5"/>
  <c r="AX145" i="5" s="1"/>
  <c r="AE144" i="5"/>
  <c r="AX144" i="5" s="1"/>
  <c r="AE143" i="5"/>
  <c r="AX143" i="5" s="1"/>
  <c r="AE142" i="5"/>
  <c r="AX142" i="5" s="1"/>
  <c r="AE141" i="5"/>
  <c r="AX141" i="5" s="1"/>
  <c r="AE140" i="5"/>
  <c r="AX140" i="5" s="1"/>
  <c r="AE139" i="5"/>
  <c r="AX139" i="5" s="1"/>
  <c r="AE138" i="5"/>
  <c r="AX138" i="5" s="1"/>
  <c r="AE137" i="5"/>
  <c r="AX137" i="5" s="1"/>
  <c r="AE136" i="5"/>
  <c r="AX136" i="5" s="1"/>
  <c r="AE135" i="5"/>
  <c r="AX135" i="5" s="1"/>
  <c r="AE134" i="5"/>
  <c r="AX134" i="5" s="1"/>
  <c r="AE133" i="5"/>
  <c r="AX133" i="5" s="1"/>
  <c r="AE132" i="5"/>
  <c r="AX132" i="5" s="1"/>
  <c r="AE131" i="5"/>
  <c r="AX131" i="5" s="1"/>
  <c r="AE130" i="5"/>
  <c r="AX130" i="5" s="1"/>
  <c r="AE129" i="5"/>
  <c r="AX129" i="5" s="1"/>
  <c r="AE128" i="5"/>
  <c r="AX128" i="5" s="1"/>
  <c r="AE127" i="5"/>
  <c r="AX127" i="5" s="1"/>
  <c r="AE126" i="5"/>
  <c r="AX126" i="5" s="1"/>
  <c r="AE125" i="5"/>
  <c r="AX125" i="5" s="1"/>
  <c r="AE124" i="5"/>
  <c r="AX124" i="5" s="1"/>
  <c r="AE123" i="5"/>
  <c r="AX123" i="5" s="1"/>
  <c r="AE122" i="5"/>
  <c r="AX122" i="5" s="1"/>
  <c r="AE121" i="5"/>
  <c r="AX121" i="5" s="1"/>
  <c r="AE120" i="5"/>
  <c r="AX120" i="5" s="1"/>
  <c r="AE119" i="5"/>
  <c r="AX119" i="5" s="1"/>
  <c r="AE118" i="5"/>
  <c r="AX118" i="5" s="1"/>
  <c r="AE117" i="5"/>
  <c r="AX117" i="5" s="1"/>
  <c r="AE116" i="5"/>
  <c r="AX116" i="5" s="1"/>
  <c r="AE115" i="5"/>
  <c r="AX115" i="5" s="1"/>
  <c r="AE114" i="5"/>
  <c r="AX114" i="5" s="1"/>
  <c r="AE113" i="5"/>
  <c r="AX113" i="5" s="1"/>
  <c r="AE112" i="5"/>
  <c r="AX112" i="5" s="1"/>
  <c r="AE111" i="5"/>
  <c r="AX111" i="5" s="1"/>
  <c r="AE110" i="5"/>
  <c r="AX110" i="5" s="1"/>
  <c r="AE109" i="5"/>
  <c r="AX109" i="5" s="1"/>
  <c r="AE108" i="5"/>
  <c r="AX108" i="5" s="1"/>
  <c r="AE107" i="5"/>
  <c r="AX107" i="5" s="1"/>
  <c r="AE106" i="5"/>
  <c r="AX106" i="5" s="1"/>
  <c r="AE105" i="5"/>
  <c r="AX105" i="5" s="1"/>
  <c r="AE104" i="5"/>
  <c r="AX104" i="5" s="1"/>
  <c r="AE103" i="5"/>
  <c r="AX103" i="5" s="1"/>
  <c r="AE102" i="5"/>
  <c r="AX102" i="5" s="1"/>
  <c r="AE101" i="5"/>
  <c r="AX101" i="5" s="1"/>
  <c r="AE100" i="5"/>
  <c r="AX100" i="5" s="1"/>
  <c r="AE99" i="5"/>
  <c r="AX99" i="5" s="1"/>
  <c r="AE98" i="5"/>
  <c r="AX98" i="5" s="1"/>
  <c r="AE97" i="5"/>
  <c r="AX97" i="5" s="1"/>
  <c r="AE96" i="5"/>
  <c r="AX96" i="5" s="1"/>
  <c r="AE95" i="5"/>
  <c r="AX95" i="5" s="1"/>
  <c r="AE94" i="5"/>
  <c r="AX94" i="5" s="1"/>
  <c r="AE93" i="5"/>
  <c r="AX93" i="5" s="1"/>
  <c r="AE92" i="5"/>
  <c r="AX92" i="5" s="1"/>
  <c r="AE91" i="5"/>
  <c r="AX91" i="5" s="1"/>
  <c r="AE90" i="5"/>
  <c r="AX90" i="5" s="1"/>
  <c r="AE89" i="5"/>
  <c r="AX89" i="5" s="1"/>
  <c r="AE88" i="5"/>
  <c r="AX88" i="5" s="1"/>
  <c r="AE87" i="5"/>
  <c r="AX87" i="5" s="1"/>
  <c r="AE86" i="5"/>
  <c r="AX86" i="5" s="1"/>
  <c r="AE85" i="5"/>
  <c r="AX85" i="5" s="1"/>
  <c r="AE84" i="5"/>
  <c r="AX84" i="5" s="1"/>
  <c r="AE83" i="5"/>
  <c r="AX83" i="5" s="1"/>
  <c r="AE82" i="5"/>
  <c r="AX82" i="5" s="1"/>
  <c r="AE81" i="5"/>
  <c r="AX81" i="5" s="1"/>
  <c r="AE80" i="5"/>
  <c r="AX80" i="5" s="1"/>
  <c r="AE79" i="5"/>
  <c r="AX79" i="5" s="1"/>
  <c r="AE78" i="5"/>
  <c r="AX78" i="5" s="1"/>
  <c r="AE77" i="5"/>
  <c r="AX77" i="5" s="1"/>
  <c r="AE76" i="5"/>
  <c r="AX76" i="5" s="1"/>
  <c r="AE75" i="5"/>
  <c r="AX75" i="5" s="1"/>
  <c r="AE74" i="5"/>
  <c r="AX74" i="5" s="1"/>
  <c r="AE73" i="5"/>
  <c r="AX73" i="5" s="1"/>
  <c r="AE72" i="5"/>
  <c r="AX72" i="5" s="1"/>
  <c r="AE71" i="5"/>
  <c r="AX71" i="5" s="1"/>
  <c r="AE70" i="5"/>
  <c r="AX70" i="5" s="1"/>
  <c r="AE69" i="5"/>
  <c r="AX69" i="5" s="1"/>
  <c r="AE68" i="5"/>
  <c r="AX68" i="5" s="1"/>
  <c r="AE67" i="5"/>
  <c r="AX67" i="5" s="1"/>
  <c r="AE66" i="5"/>
  <c r="AX66" i="5" s="1"/>
  <c r="AE65" i="5"/>
  <c r="AX65" i="5" s="1"/>
  <c r="AE64" i="5"/>
  <c r="AX64" i="5" s="1"/>
  <c r="AE63" i="5"/>
  <c r="AX63" i="5" s="1"/>
  <c r="AE62" i="5"/>
  <c r="AX62" i="5" s="1"/>
  <c r="AE61" i="5"/>
  <c r="AX61" i="5" s="1"/>
  <c r="AE60" i="5"/>
  <c r="AX60" i="5" s="1"/>
  <c r="AE59" i="5"/>
  <c r="AX59" i="5" s="1"/>
  <c r="AE58" i="5"/>
  <c r="AX58" i="5" s="1"/>
  <c r="AE57" i="5"/>
  <c r="AX57" i="5" s="1"/>
  <c r="AE56" i="5"/>
  <c r="AX56" i="5" s="1"/>
  <c r="AE55" i="5"/>
  <c r="AX55" i="5" s="1"/>
  <c r="AE54" i="5"/>
  <c r="AX54" i="5" s="1"/>
  <c r="AE53" i="5"/>
  <c r="AX53" i="5" s="1"/>
  <c r="AE52" i="5"/>
  <c r="AX52" i="5" s="1"/>
  <c r="AE51" i="5"/>
  <c r="AX51" i="5" s="1"/>
  <c r="AE50" i="5"/>
  <c r="AX50" i="5" s="1"/>
  <c r="AE49" i="5"/>
  <c r="AX49" i="5" s="1"/>
  <c r="AE48" i="5"/>
  <c r="AX48" i="5" s="1"/>
  <c r="AE47" i="5"/>
  <c r="AX47" i="5" s="1"/>
  <c r="AE46" i="5"/>
  <c r="AX46" i="5" s="1"/>
  <c r="AE45" i="5"/>
  <c r="AX45" i="5" s="1"/>
  <c r="AE44" i="5"/>
  <c r="AX44" i="5" s="1"/>
  <c r="AE43" i="5"/>
  <c r="AX43" i="5" s="1"/>
  <c r="AE42" i="5"/>
  <c r="AX42" i="5" s="1"/>
  <c r="AE41" i="5"/>
  <c r="AX41" i="5" s="1"/>
  <c r="AE40" i="5"/>
  <c r="AX40" i="5" s="1"/>
  <c r="AE39" i="5"/>
  <c r="AX39" i="5" s="1"/>
  <c r="AE38" i="5"/>
  <c r="AX38" i="5" s="1"/>
  <c r="AE37" i="5"/>
  <c r="AX37" i="5" s="1"/>
  <c r="AE36" i="5"/>
  <c r="AX36" i="5" s="1"/>
  <c r="AE35" i="5"/>
  <c r="AX35" i="5" s="1"/>
  <c r="AE34" i="5"/>
  <c r="AX34" i="5" s="1"/>
  <c r="AE33" i="5"/>
  <c r="AX33" i="5" s="1"/>
  <c r="AE32" i="5"/>
  <c r="AX32" i="5" s="1"/>
  <c r="AE31" i="5"/>
  <c r="AX31" i="5" s="1"/>
  <c r="AE30" i="5"/>
  <c r="AX30" i="5" s="1"/>
  <c r="AE29" i="5"/>
  <c r="AX29" i="5" s="1"/>
  <c r="AE28" i="5"/>
  <c r="AX28" i="5" s="1"/>
  <c r="AE27" i="5"/>
  <c r="AX27" i="5" s="1"/>
  <c r="AE26" i="5"/>
  <c r="AX26" i="5" s="1"/>
  <c r="AE25" i="5"/>
  <c r="AX25" i="5" s="1"/>
  <c r="AE24" i="5"/>
  <c r="AX24" i="5" s="1"/>
  <c r="AE23" i="5"/>
  <c r="AX23" i="5" s="1"/>
  <c r="AE22" i="5"/>
  <c r="AX22" i="5" s="1"/>
  <c r="AE21" i="5"/>
  <c r="AX21" i="5" s="1"/>
  <c r="AE20" i="5"/>
  <c r="AX20" i="5" s="1"/>
  <c r="AE19" i="5"/>
  <c r="AX19" i="5" s="1"/>
  <c r="AE18" i="5"/>
  <c r="AX18" i="5" s="1"/>
  <c r="AE17" i="5"/>
  <c r="AX17" i="5" s="1"/>
  <c r="AE16" i="5"/>
  <c r="AX16" i="5" s="1"/>
  <c r="AE15" i="5"/>
  <c r="AX15" i="5" s="1"/>
  <c r="AE14" i="5"/>
  <c r="AX14" i="5" s="1"/>
  <c r="AE13" i="5"/>
  <c r="AX13" i="5" s="1"/>
  <c r="AE12" i="5"/>
  <c r="AX12" i="5" s="1"/>
  <c r="AE11" i="5"/>
  <c r="AX11" i="5" s="1"/>
  <c r="AE10" i="5"/>
  <c r="AX10" i="5" s="1"/>
  <c r="AE9" i="5"/>
  <c r="AX9" i="5" s="1"/>
  <c r="AE8" i="5"/>
  <c r="AX8" i="5" s="1"/>
  <c r="AC646" i="5"/>
  <c r="AC643" i="5"/>
  <c r="AW643" i="5" s="1"/>
  <c r="AC642" i="5"/>
  <c r="AW642" i="5" s="1"/>
  <c r="AC641" i="5"/>
  <c r="AW641" i="5" s="1"/>
  <c r="AC640" i="5"/>
  <c r="AW640" i="5" s="1"/>
  <c r="AC639" i="5"/>
  <c r="AW639" i="5" s="1"/>
  <c r="AC638" i="5"/>
  <c r="AW638" i="5" s="1"/>
  <c r="AC637" i="5"/>
  <c r="AW637" i="5" s="1"/>
  <c r="AC636" i="5"/>
  <c r="AW636" i="5" s="1"/>
  <c r="AC635" i="5"/>
  <c r="AW635" i="5" s="1"/>
  <c r="AC634" i="5"/>
  <c r="AW634" i="5" s="1"/>
  <c r="AC633" i="5"/>
  <c r="AW633" i="5" s="1"/>
  <c r="AC632" i="5"/>
  <c r="AW632" i="5" s="1"/>
  <c r="AC631" i="5"/>
  <c r="AW631" i="5" s="1"/>
  <c r="AC630" i="5"/>
  <c r="AW630" i="5" s="1"/>
  <c r="AC629" i="5"/>
  <c r="AW629" i="5" s="1"/>
  <c r="AC628" i="5"/>
  <c r="AW628" i="5" s="1"/>
  <c r="AC627" i="5"/>
  <c r="AW627" i="5" s="1"/>
  <c r="AC626" i="5"/>
  <c r="AW626" i="5" s="1"/>
  <c r="AC625" i="5"/>
  <c r="AW625" i="5" s="1"/>
  <c r="AC624" i="5"/>
  <c r="AW624" i="5" s="1"/>
  <c r="AC623" i="5"/>
  <c r="AW623" i="5" s="1"/>
  <c r="AC622" i="5"/>
  <c r="AW622" i="5" s="1"/>
  <c r="AC621" i="5"/>
  <c r="AW621" i="5" s="1"/>
  <c r="AC620" i="5"/>
  <c r="AW620" i="5" s="1"/>
  <c r="AC619" i="5"/>
  <c r="AW619" i="5" s="1"/>
  <c r="AC618" i="5"/>
  <c r="AW618" i="5" s="1"/>
  <c r="AC617" i="5"/>
  <c r="AW617" i="5" s="1"/>
  <c r="AC616" i="5"/>
  <c r="AW616" i="5" s="1"/>
  <c r="AC615" i="5"/>
  <c r="AW615" i="5" s="1"/>
  <c r="AC614" i="5"/>
  <c r="AW614" i="5" s="1"/>
  <c r="AC613" i="5"/>
  <c r="AW613" i="5" s="1"/>
  <c r="AC612" i="5"/>
  <c r="AW612" i="5" s="1"/>
  <c r="AC611" i="5"/>
  <c r="AW611" i="5" s="1"/>
  <c r="AC610" i="5"/>
  <c r="AW610" i="5" s="1"/>
  <c r="AC609" i="5"/>
  <c r="AW609" i="5" s="1"/>
  <c r="AC608" i="5"/>
  <c r="AW608" i="5" s="1"/>
  <c r="AC607" i="5"/>
  <c r="AW607" i="5" s="1"/>
  <c r="AC606" i="5"/>
  <c r="AW606" i="5" s="1"/>
  <c r="AC605" i="5"/>
  <c r="AW605" i="5" s="1"/>
  <c r="AC604" i="5"/>
  <c r="AW604" i="5" s="1"/>
  <c r="AC603" i="5"/>
  <c r="AW603" i="5" s="1"/>
  <c r="AC602" i="5"/>
  <c r="AW602" i="5" s="1"/>
  <c r="AC601" i="5"/>
  <c r="AW601" i="5" s="1"/>
  <c r="AC600" i="5"/>
  <c r="AW600" i="5" s="1"/>
  <c r="AC599" i="5"/>
  <c r="AW599" i="5" s="1"/>
  <c r="AC598" i="5"/>
  <c r="AW598" i="5" s="1"/>
  <c r="AC597" i="5"/>
  <c r="AW597" i="5" s="1"/>
  <c r="AC596" i="5"/>
  <c r="AW596" i="5" s="1"/>
  <c r="AC595" i="5"/>
  <c r="AW595" i="5" s="1"/>
  <c r="AC594" i="5"/>
  <c r="AW594" i="5" s="1"/>
  <c r="AC593" i="5"/>
  <c r="AW593" i="5" s="1"/>
  <c r="AC592" i="5"/>
  <c r="AW592" i="5" s="1"/>
  <c r="AC590" i="5"/>
  <c r="AW590" i="5" s="1"/>
  <c r="AC589" i="5"/>
  <c r="AC588" i="5"/>
  <c r="AW588" i="5" s="1"/>
  <c r="AC587" i="5"/>
  <c r="AW587" i="5" s="1"/>
  <c r="AC586" i="5"/>
  <c r="AW586" i="5" s="1"/>
  <c r="AC585" i="5"/>
  <c r="AW585" i="5" s="1"/>
  <c r="AC584" i="5"/>
  <c r="AW584" i="5" s="1"/>
  <c r="AC583" i="5"/>
  <c r="AW583" i="5" s="1"/>
  <c r="AC582" i="5"/>
  <c r="AW582" i="5" s="1"/>
  <c r="AC581" i="5"/>
  <c r="AW581" i="5" s="1"/>
  <c r="AC580" i="5"/>
  <c r="AW580" i="5" s="1"/>
  <c r="AC579" i="5"/>
  <c r="AW579" i="5" s="1"/>
  <c r="AC578" i="5"/>
  <c r="AW578" i="5" s="1"/>
  <c r="AC577" i="5"/>
  <c r="AW577" i="5" s="1"/>
  <c r="AC576" i="5"/>
  <c r="AW576" i="5" s="1"/>
  <c r="AC575" i="5"/>
  <c r="AW575" i="5" s="1"/>
  <c r="AC574" i="5"/>
  <c r="AW574" i="5" s="1"/>
  <c r="AC573" i="5"/>
  <c r="AW573" i="5" s="1"/>
  <c r="AC572" i="5"/>
  <c r="AW572" i="5" s="1"/>
  <c r="AC571" i="5"/>
  <c r="AW571" i="5" s="1"/>
  <c r="AC570" i="5"/>
  <c r="AW570" i="5" s="1"/>
  <c r="AC569" i="5"/>
  <c r="AW569" i="5" s="1"/>
  <c r="AC568" i="5"/>
  <c r="AW568" i="5" s="1"/>
  <c r="AC567" i="5"/>
  <c r="AW567" i="5" s="1"/>
  <c r="AC566" i="5"/>
  <c r="AW566" i="5" s="1"/>
  <c r="AC565" i="5"/>
  <c r="AW565" i="5" s="1"/>
  <c r="AC564" i="5"/>
  <c r="AW564" i="5" s="1"/>
  <c r="AC563" i="5"/>
  <c r="AW563" i="5" s="1"/>
  <c r="AC562" i="5"/>
  <c r="AW562" i="5" s="1"/>
  <c r="AC561" i="5"/>
  <c r="AW561" i="5" s="1"/>
  <c r="AC560" i="5"/>
  <c r="AW560" i="5" s="1"/>
  <c r="AC559" i="5"/>
  <c r="AW559" i="5" s="1"/>
  <c r="AC558" i="5"/>
  <c r="AW558" i="5" s="1"/>
  <c r="AC557" i="5"/>
  <c r="AW557" i="5" s="1"/>
  <c r="AC556" i="5"/>
  <c r="AW556" i="5" s="1"/>
  <c r="AC555" i="5"/>
  <c r="AW555" i="5" s="1"/>
  <c r="AC554" i="5"/>
  <c r="AW554" i="5" s="1"/>
  <c r="AC553" i="5"/>
  <c r="AW553" i="5" s="1"/>
  <c r="AC552" i="5"/>
  <c r="AW552" i="5" s="1"/>
  <c r="AC551" i="5"/>
  <c r="AW551" i="5" s="1"/>
  <c r="AC550" i="5"/>
  <c r="AW550" i="5" s="1"/>
  <c r="AC549" i="5"/>
  <c r="AW549" i="5" s="1"/>
  <c r="AC548" i="5"/>
  <c r="AW548" i="5" s="1"/>
  <c r="AC547" i="5"/>
  <c r="AW547" i="5" s="1"/>
  <c r="AC546" i="5"/>
  <c r="AW546" i="5" s="1"/>
  <c r="AC545" i="5"/>
  <c r="AW545" i="5" s="1"/>
  <c r="AC544" i="5"/>
  <c r="AW544" i="5" s="1"/>
  <c r="AC543" i="5"/>
  <c r="AW543" i="5" s="1"/>
  <c r="AC542" i="5"/>
  <c r="AW542" i="5" s="1"/>
  <c r="AC541" i="5"/>
  <c r="AW541" i="5" s="1"/>
  <c r="AC540" i="5"/>
  <c r="AW540" i="5" s="1"/>
  <c r="AC539" i="5"/>
  <c r="AW539" i="5" s="1"/>
  <c r="AC538" i="5"/>
  <c r="AW538" i="5" s="1"/>
  <c r="AC537" i="5"/>
  <c r="AW537" i="5" s="1"/>
  <c r="AC536" i="5"/>
  <c r="AW536" i="5" s="1"/>
  <c r="AC535" i="5"/>
  <c r="AW535" i="5" s="1"/>
  <c r="AC534" i="5"/>
  <c r="AW534" i="5" s="1"/>
  <c r="AC533" i="5"/>
  <c r="AW533" i="5" s="1"/>
  <c r="AC532" i="5"/>
  <c r="AW532" i="5" s="1"/>
  <c r="AC531" i="5"/>
  <c r="AW531" i="5" s="1"/>
  <c r="AC530" i="5"/>
  <c r="AW530" i="5" s="1"/>
  <c r="AC529" i="5"/>
  <c r="AW529" i="5" s="1"/>
  <c r="AC528" i="5"/>
  <c r="AW528" i="5" s="1"/>
  <c r="AC527" i="5"/>
  <c r="AW527" i="5" s="1"/>
  <c r="AC526" i="5"/>
  <c r="AW526" i="5" s="1"/>
  <c r="AC525" i="5"/>
  <c r="AW525" i="5" s="1"/>
  <c r="AC524" i="5"/>
  <c r="AW524" i="5" s="1"/>
  <c r="AC523" i="5"/>
  <c r="AW523" i="5" s="1"/>
  <c r="AC522" i="5"/>
  <c r="AW522" i="5" s="1"/>
  <c r="AC521" i="5"/>
  <c r="AW521" i="5" s="1"/>
  <c r="AC520" i="5"/>
  <c r="AW520" i="5" s="1"/>
  <c r="AC519" i="5"/>
  <c r="AW519" i="5" s="1"/>
  <c r="AC518" i="5"/>
  <c r="AW518" i="5" s="1"/>
  <c r="AC517" i="5"/>
  <c r="AW517" i="5" s="1"/>
  <c r="AC516" i="5"/>
  <c r="AW516" i="5" s="1"/>
  <c r="AC515" i="5"/>
  <c r="AW515" i="5" s="1"/>
  <c r="AC514" i="5"/>
  <c r="AW514" i="5" s="1"/>
  <c r="AC513" i="5"/>
  <c r="AW513" i="5" s="1"/>
  <c r="AC512" i="5"/>
  <c r="AW512" i="5" s="1"/>
  <c r="AC511" i="5"/>
  <c r="AW511" i="5" s="1"/>
  <c r="AC510" i="5"/>
  <c r="AW510" i="5" s="1"/>
  <c r="AC509" i="5"/>
  <c r="AW509" i="5" s="1"/>
  <c r="AC508" i="5"/>
  <c r="AW508" i="5" s="1"/>
  <c r="AC507" i="5"/>
  <c r="AW507" i="5" s="1"/>
  <c r="AC506" i="5"/>
  <c r="AW506" i="5" s="1"/>
  <c r="AC505" i="5"/>
  <c r="AW505" i="5" s="1"/>
  <c r="AC504" i="5"/>
  <c r="AW504" i="5" s="1"/>
  <c r="AC503" i="5"/>
  <c r="AW503" i="5" s="1"/>
  <c r="AC502" i="5"/>
  <c r="AW502" i="5" s="1"/>
  <c r="AC501" i="5"/>
  <c r="AW501" i="5" s="1"/>
  <c r="AC500" i="5"/>
  <c r="AW500" i="5" s="1"/>
  <c r="AC499" i="5"/>
  <c r="AW499" i="5" s="1"/>
  <c r="AC498" i="5"/>
  <c r="AW498" i="5" s="1"/>
  <c r="AC497" i="5"/>
  <c r="AW497" i="5" s="1"/>
  <c r="AC496" i="5"/>
  <c r="AW496" i="5" s="1"/>
  <c r="AC495" i="5"/>
  <c r="AW495" i="5" s="1"/>
  <c r="AC494" i="5"/>
  <c r="AW494" i="5" s="1"/>
  <c r="AC493" i="5"/>
  <c r="AW493" i="5" s="1"/>
  <c r="AC492" i="5"/>
  <c r="AW492" i="5" s="1"/>
  <c r="AC491" i="5"/>
  <c r="AW491" i="5" s="1"/>
  <c r="AC490" i="5"/>
  <c r="AW490" i="5" s="1"/>
  <c r="AC489" i="5"/>
  <c r="AW489" i="5" s="1"/>
  <c r="AC488" i="5"/>
  <c r="AW488" i="5" s="1"/>
  <c r="AC487" i="5"/>
  <c r="AW487" i="5" s="1"/>
  <c r="AC486" i="5"/>
  <c r="AW486" i="5" s="1"/>
  <c r="AC485" i="5"/>
  <c r="AW485" i="5" s="1"/>
  <c r="AC484" i="5"/>
  <c r="AW484" i="5" s="1"/>
  <c r="AC483" i="5"/>
  <c r="AW483" i="5" s="1"/>
  <c r="AC482" i="5"/>
  <c r="AW482" i="5" s="1"/>
  <c r="AC481" i="5"/>
  <c r="AW481" i="5" s="1"/>
  <c r="AC480" i="5"/>
  <c r="AW480" i="5" s="1"/>
  <c r="AC479" i="5"/>
  <c r="AW479" i="5" s="1"/>
  <c r="AC478" i="5"/>
  <c r="AW478" i="5" s="1"/>
  <c r="AC477" i="5"/>
  <c r="AW477" i="5" s="1"/>
  <c r="AC476" i="5"/>
  <c r="AW476" i="5" s="1"/>
  <c r="AC475" i="5"/>
  <c r="AW475" i="5" s="1"/>
  <c r="AC474" i="5"/>
  <c r="AW474" i="5" s="1"/>
  <c r="AC473" i="5"/>
  <c r="AW473" i="5" s="1"/>
  <c r="AC472" i="5"/>
  <c r="AW472" i="5" s="1"/>
  <c r="AC471" i="5"/>
  <c r="AW471" i="5" s="1"/>
  <c r="AC470" i="5"/>
  <c r="AW470" i="5" s="1"/>
  <c r="AC469" i="5"/>
  <c r="AW469" i="5" s="1"/>
  <c r="AC468" i="5"/>
  <c r="AW468" i="5" s="1"/>
  <c r="AC467" i="5"/>
  <c r="AW467" i="5" s="1"/>
  <c r="AC466" i="5"/>
  <c r="AW466" i="5" s="1"/>
  <c r="AC465" i="5"/>
  <c r="AW465" i="5" s="1"/>
  <c r="AC464" i="5"/>
  <c r="AW464" i="5" s="1"/>
  <c r="AC463" i="5"/>
  <c r="AW463" i="5" s="1"/>
  <c r="AC462" i="5"/>
  <c r="AW462" i="5" s="1"/>
  <c r="AC461" i="5"/>
  <c r="AW461" i="5" s="1"/>
  <c r="AC460" i="5"/>
  <c r="AW460" i="5" s="1"/>
  <c r="AC459" i="5"/>
  <c r="AW459" i="5" s="1"/>
  <c r="AC458" i="5"/>
  <c r="AW458" i="5" s="1"/>
  <c r="AC457" i="5"/>
  <c r="AW457" i="5" s="1"/>
  <c r="AC456" i="5"/>
  <c r="AW456" i="5" s="1"/>
  <c r="AC455" i="5"/>
  <c r="AW455" i="5" s="1"/>
  <c r="AC454" i="5"/>
  <c r="AW454" i="5" s="1"/>
  <c r="AC453" i="5"/>
  <c r="AW453" i="5" s="1"/>
  <c r="AC452" i="5"/>
  <c r="AW452" i="5" s="1"/>
  <c r="AC451" i="5"/>
  <c r="AW451" i="5" s="1"/>
  <c r="AC450" i="5"/>
  <c r="AW450" i="5" s="1"/>
  <c r="AC449" i="5"/>
  <c r="AW449" i="5" s="1"/>
  <c r="AC448" i="5"/>
  <c r="AW448" i="5" s="1"/>
  <c r="AC447" i="5"/>
  <c r="AW447" i="5" s="1"/>
  <c r="AC446" i="5"/>
  <c r="AW446" i="5" s="1"/>
  <c r="AC445" i="5"/>
  <c r="AW445" i="5" s="1"/>
  <c r="AC444" i="5"/>
  <c r="AW444" i="5" s="1"/>
  <c r="AC443" i="5"/>
  <c r="AW443" i="5" s="1"/>
  <c r="AC442" i="5"/>
  <c r="AW442" i="5" s="1"/>
  <c r="AC441" i="5"/>
  <c r="AW441" i="5" s="1"/>
  <c r="AC440" i="5"/>
  <c r="AW440" i="5" s="1"/>
  <c r="AC439" i="5"/>
  <c r="AW439" i="5" s="1"/>
  <c r="AC438" i="5"/>
  <c r="AW438" i="5" s="1"/>
  <c r="AC437" i="5"/>
  <c r="AW437" i="5" s="1"/>
  <c r="AC436" i="5"/>
  <c r="AW436" i="5" s="1"/>
  <c r="AC435" i="5"/>
  <c r="AW435" i="5" s="1"/>
  <c r="AC434" i="5"/>
  <c r="AW434" i="5" s="1"/>
  <c r="AC433" i="5"/>
  <c r="AW433" i="5" s="1"/>
  <c r="AC432" i="5"/>
  <c r="AW432" i="5" s="1"/>
  <c r="AC431" i="5"/>
  <c r="AW431" i="5" s="1"/>
  <c r="AC430" i="5"/>
  <c r="AW430" i="5" s="1"/>
  <c r="AC429" i="5"/>
  <c r="AW429" i="5" s="1"/>
  <c r="AC428" i="5"/>
  <c r="AW428" i="5" s="1"/>
  <c r="AC427" i="5"/>
  <c r="AW427" i="5" s="1"/>
  <c r="AC426" i="5"/>
  <c r="AW426" i="5" s="1"/>
  <c r="AC425" i="5"/>
  <c r="AW425" i="5" s="1"/>
  <c r="AC424" i="5"/>
  <c r="AW424" i="5" s="1"/>
  <c r="AC423" i="5"/>
  <c r="AW423" i="5" s="1"/>
  <c r="AC422" i="5"/>
  <c r="AW422" i="5" s="1"/>
  <c r="AC421" i="5"/>
  <c r="AW421" i="5" s="1"/>
  <c r="AC420" i="5"/>
  <c r="AW420" i="5" s="1"/>
  <c r="AC419" i="5"/>
  <c r="AW419" i="5" s="1"/>
  <c r="AC418" i="5"/>
  <c r="AW418" i="5" s="1"/>
  <c r="AC417" i="5"/>
  <c r="AW417" i="5" s="1"/>
  <c r="AC416" i="5"/>
  <c r="AW416" i="5" s="1"/>
  <c r="AC415" i="5"/>
  <c r="AW415" i="5" s="1"/>
  <c r="AC414" i="5"/>
  <c r="AW414" i="5" s="1"/>
  <c r="AC413" i="5"/>
  <c r="AW413" i="5" s="1"/>
  <c r="AC412" i="5"/>
  <c r="AW412" i="5" s="1"/>
  <c r="AC411" i="5"/>
  <c r="AW411" i="5" s="1"/>
  <c r="AC410" i="5"/>
  <c r="AW410" i="5" s="1"/>
  <c r="AC409" i="5"/>
  <c r="AW409" i="5" s="1"/>
  <c r="AC408" i="5"/>
  <c r="AW408" i="5" s="1"/>
  <c r="AC407" i="5"/>
  <c r="AW407" i="5" s="1"/>
  <c r="AC406" i="5"/>
  <c r="AW406" i="5" s="1"/>
  <c r="AC405" i="5"/>
  <c r="AW405" i="5" s="1"/>
  <c r="AC404" i="5"/>
  <c r="AW404" i="5" s="1"/>
  <c r="AC403" i="5"/>
  <c r="AW403" i="5" s="1"/>
  <c r="AC402" i="5"/>
  <c r="AW402" i="5" s="1"/>
  <c r="AC401" i="5"/>
  <c r="AW401" i="5" s="1"/>
  <c r="AC400" i="5"/>
  <c r="AW400" i="5" s="1"/>
  <c r="AC399" i="5"/>
  <c r="AW399" i="5" s="1"/>
  <c r="AC398" i="5"/>
  <c r="AW398" i="5" s="1"/>
  <c r="AC397" i="5"/>
  <c r="AW397" i="5" s="1"/>
  <c r="AC396" i="5"/>
  <c r="AW396" i="5" s="1"/>
  <c r="AC395" i="5"/>
  <c r="AW395" i="5" s="1"/>
  <c r="AC394" i="5"/>
  <c r="AW394" i="5" s="1"/>
  <c r="AC393" i="5"/>
  <c r="AW393" i="5" s="1"/>
  <c r="AC392" i="5"/>
  <c r="AW392" i="5" s="1"/>
  <c r="AC391" i="5"/>
  <c r="AW391" i="5" s="1"/>
  <c r="AC390" i="5"/>
  <c r="AW390" i="5" s="1"/>
  <c r="AC389" i="5"/>
  <c r="AW389" i="5" s="1"/>
  <c r="AC388" i="5"/>
  <c r="AW388" i="5" s="1"/>
  <c r="AC387" i="5"/>
  <c r="AW387" i="5" s="1"/>
  <c r="AC386" i="5"/>
  <c r="AW386" i="5" s="1"/>
  <c r="AC385" i="5"/>
  <c r="AW385" i="5" s="1"/>
  <c r="AC384" i="5"/>
  <c r="AW384" i="5" s="1"/>
  <c r="AC383" i="5"/>
  <c r="AW383" i="5" s="1"/>
  <c r="AC382" i="5"/>
  <c r="AW382" i="5" s="1"/>
  <c r="AC381" i="5"/>
  <c r="AW381" i="5" s="1"/>
  <c r="AC380" i="5"/>
  <c r="AW380" i="5" s="1"/>
  <c r="AC379" i="5"/>
  <c r="AW379" i="5" s="1"/>
  <c r="AC378" i="5"/>
  <c r="AW378" i="5" s="1"/>
  <c r="AC377" i="5"/>
  <c r="AW377" i="5" s="1"/>
  <c r="AC376" i="5"/>
  <c r="AW376" i="5" s="1"/>
  <c r="AC375" i="5"/>
  <c r="AW375" i="5" s="1"/>
  <c r="AC374" i="5"/>
  <c r="AW374" i="5" s="1"/>
  <c r="AC373" i="5"/>
  <c r="AW373" i="5" s="1"/>
  <c r="AC372" i="5"/>
  <c r="AW372" i="5" s="1"/>
  <c r="AC371" i="5"/>
  <c r="AW371" i="5" s="1"/>
  <c r="AC370" i="5"/>
  <c r="AW370" i="5" s="1"/>
  <c r="AC369" i="5"/>
  <c r="AW369" i="5" s="1"/>
  <c r="AC368" i="5"/>
  <c r="AW368" i="5" s="1"/>
  <c r="AC367" i="5"/>
  <c r="AW367" i="5" s="1"/>
  <c r="AC366" i="5"/>
  <c r="AW366" i="5" s="1"/>
  <c r="AC365" i="5"/>
  <c r="AW365" i="5" s="1"/>
  <c r="AC364" i="5"/>
  <c r="AW364" i="5" s="1"/>
  <c r="AC363" i="5"/>
  <c r="AW363" i="5" s="1"/>
  <c r="AC362" i="5"/>
  <c r="AW362" i="5" s="1"/>
  <c r="AC361" i="5"/>
  <c r="AW361" i="5" s="1"/>
  <c r="AC360" i="5"/>
  <c r="AW360" i="5" s="1"/>
  <c r="AC359" i="5"/>
  <c r="AW359" i="5" s="1"/>
  <c r="AC358" i="5"/>
  <c r="AW358" i="5" s="1"/>
  <c r="AC357" i="5"/>
  <c r="AW357" i="5" s="1"/>
  <c r="AC356" i="5"/>
  <c r="AW356" i="5" s="1"/>
  <c r="AC355" i="5"/>
  <c r="AW355" i="5" s="1"/>
  <c r="AC354" i="5"/>
  <c r="AW354" i="5" s="1"/>
  <c r="AC353" i="5"/>
  <c r="AW353" i="5" s="1"/>
  <c r="AC352" i="5"/>
  <c r="AW352" i="5" s="1"/>
  <c r="AC351" i="5"/>
  <c r="AW351" i="5" s="1"/>
  <c r="AC350" i="5"/>
  <c r="AW350" i="5" s="1"/>
  <c r="AC349" i="5"/>
  <c r="AW349" i="5" s="1"/>
  <c r="AC348" i="5"/>
  <c r="AW348" i="5" s="1"/>
  <c r="AC347" i="5"/>
  <c r="AW347" i="5" s="1"/>
  <c r="AC346" i="5"/>
  <c r="AW346" i="5" s="1"/>
  <c r="AC345" i="5"/>
  <c r="AW345" i="5" s="1"/>
  <c r="AC344" i="5"/>
  <c r="AW344" i="5" s="1"/>
  <c r="AC343" i="5"/>
  <c r="AW343" i="5" s="1"/>
  <c r="AC342" i="5"/>
  <c r="AW342" i="5" s="1"/>
  <c r="AC341" i="5"/>
  <c r="AW341" i="5" s="1"/>
  <c r="AC340" i="5"/>
  <c r="AW340" i="5" s="1"/>
  <c r="AC339" i="5"/>
  <c r="AW339" i="5" s="1"/>
  <c r="AC338" i="5"/>
  <c r="AW338" i="5" s="1"/>
  <c r="AC337" i="5"/>
  <c r="AW337" i="5" s="1"/>
  <c r="AC336" i="5"/>
  <c r="AW336" i="5" s="1"/>
  <c r="AC335" i="5"/>
  <c r="AW335" i="5" s="1"/>
  <c r="AC334" i="5"/>
  <c r="AW334" i="5" s="1"/>
  <c r="AC333" i="5"/>
  <c r="AW333" i="5" s="1"/>
  <c r="AC332" i="5"/>
  <c r="AW332" i="5" s="1"/>
  <c r="AC331" i="5"/>
  <c r="AW331" i="5" s="1"/>
  <c r="AC330" i="5"/>
  <c r="AW330" i="5" s="1"/>
  <c r="AC329" i="5"/>
  <c r="AW329" i="5" s="1"/>
  <c r="AC328" i="5"/>
  <c r="AW328" i="5" s="1"/>
  <c r="AC327" i="5"/>
  <c r="AW327" i="5" s="1"/>
  <c r="AC326" i="5"/>
  <c r="AW326" i="5" s="1"/>
  <c r="AC325" i="5"/>
  <c r="AW325" i="5" s="1"/>
  <c r="AC324" i="5"/>
  <c r="AW324" i="5" s="1"/>
  <c r="AC323" i="5"/>
  <c r="AW323" i="5" s="1"/>
  <c r="AC322" i="5"/>
  <c r="AW322" i="5" s="1"/>
  <c r="AC321" i="5"/>
  <c r="AW321" i="5" s="1"/>
  <c r="AC320" i="5"/>
  <c r="AW320" i="5" s="1"/>
  <c r="AC319" i="5"/>
  <c r="AW319" i="5" s="1"/>
  <c r="AC318" i="5"/>
  <c r="AW318" i="5" s="1"/>
  <c r="AC317" i="5"/>
  <c r="AW317" i="5" s="1"/>
  <c r="AC316" i="5"/>
  <c r="AW316" i="5" s="1"/>
  <c r="AC315" i="5"/>
  <c r="AW315" i="5" s="1"/>
  <c r="AC314" i="5"/>
  <c r="AW314" i="5" s="1"/>
  <c r="AC313" i="5"/>
  <c r="AW313" i="5" s="1"/>
  <c r="AC312" i="5"/>
  <c r="AW312" i="5" s="1"/>
  <c r="AC311" i="5"/>
  <c r="AW311" i="5" s="1"/>
  <c r="AC310" i="5"/>
  <c r="AW310" i="5" s="1"/>
  <c r="AC309" i="5"/>
  <c r="AW309" i="5" s="1"/>
  <c r="AC308" i="5"/>
  <c r="AW308" i="5" s="1"/>
  <c r="AC307" i="5"/>
  <c r="AW307" i="5" s="1"/>
  <c r="AC306" i="5"/>
  <c r="AW306" i="5" s="1"/>
  <c r="AC305" i="5"/>
  <c r="AW305" i="5" s="1"/>
  <c r="AC304" i="5"/>
  <c r="AW304" i="5" s="1"/>
  <c r="AC303" i="5"/>
  <c r="AW303" i="5" s="1"/>
  <c r="AC302" i="5"/>
  <c r="AW302" i="5" s="1"/>
  <c r="AC301" i="5"/>
  <c r="AW301" i="5" s="1"/>
  <c r="AC300" i="5"/>
  <c r="AW300" i="5" s="1"/>
  <c r="AC299" i="5"/>
  <c r="AW299" i="5" s="1"/>
  <c r="AC298" i="5"/>
  <c r="AW298" i="5" s="1"/>
  <c r="AC297" i="5"/>
  <c r="AW297" i="5" s="1"/>
  <c r="AC296" i="5"/>
  <c r="AW296" i="5" s="1"/>
  <c r="AC295" i="5"/>
  <c r="AW295" i="5" s="1"/>
  <c r="AC294" i="5"/>
  <c r="AW294" i="5" s="1"/>
  <c r="AC293" i="5"/>
  <c r="AW293" i="5" s="1"/>
  <c r="AC292" i="5"/>
  <c r="AW292" i="5" s="1"/>
  <c r="AC291" i="5"/>
  <c r="AW291" i="5" s="1"/>
  <c r="AC290" i="5"/>
  <c r="AW290" i="5" s="1"/>
  <c r="AC289" i="5"/>
  <c r="AW289" i="5" s="1"/>
  <c r="AC288" i="5"/>
  <c r="AW288" i="5" s="1"/>
  <c r="AC287" i="5"/>
  <c r="AW287" i="5" s="1"/>
  <c r="AC286" i="5"/>
  <c r="AW286" i="5" s="1"/>
  <c r="AC285" i="5"/>
  <c r="AW285" i="5" s="1"/>
  <c r="AC284" i="5"/>
  <c r="AW284" i="5" s="1"/>
  <c r="AC283" i="5"/>
  <c r="AW283" i="5" s="1"/>
  <c r="AC282" i="5"/>
  <c r="AW282" i="5" s="1"/>
  <c r="AC281" i="5"/>
  <c r="AW281" i="5" s="1"/>
  <c r="AC280" i="5"/>
  <c r="AW280" i="5" s="1"/>
  <c r="AC279" i="5"/>
  <c r="AW279" i="5" s="1"/>
  <c r="AC278" i="5"/>
  <c r="AW278" i="5" s="1"/>
  <c r="AC277" i="5"/>
  <c r="AW277" i="5" s="1"/>
  <c r="AC276" i="5"/>
  <c r="AW276" i="5" s="1"/>
  <c r="AC275" i="5"/>
  <c r="AW275" i="5" s="1"/>
  <c r="AC274" i="5"/>
  <c r="AW274" i="5" s="1"/>
  <c r="AC273" i="5"/>
  <c r="AW273" i="5" s="1"/>
  <c r="AC272" i="5"/>
  <c r="AW272" i="5" s="1"/>
  <c r="AC271" i="5"/>
  <c r="AW271" i="5" s="1"/>
  <c r="AC270" i="5"/>
  <c r="AW270" i="5" s="1"/>
  <c r="AC269" i="5"/>
  <c r="AW269" i="5" s="1"/>
  <c r="AC268" i="5"/>
  <c r="AW268" i="5" s="1"/>
  <c r="AC267" i="5"/>
  <c r="AW267" i="5" s="1"/>
  <c r="AC266" i="5"/>
  <c r="AW266" i="5" s="1"/>
  <c r="AC265" i="5"/>
  <c r="AW265" i="5" s="1"/>
  <c r="AC264" i="5"/>
  <c r="AW264" i="5" s="1"/>
  <c r="AC263" i="5"/>
  <c r="AW263" i="5" s="1"/>
  <c r="AC262" i="5"/>
  <c r="AW262" i="5" s="1"/>
  <c r="AC261" i="5"/>
  <c r="AW261" i="5" s="1"/>
  <c r="AC260" i="5"/>
  <c r="AW260" i="5" s="1"/>
  <c r="AC259" i="5"/>
  <c r="AW259" i="5" s="1"/>
  <c r="AC258" i="5"/>
  <c r="AW258" i="5" s="1"/>
  <c r="AC257" i="5"/>
  <c r="AW257" i="5" s="1"/>
  <c r="AC256" i="5"/>
  <c r="AW256" i="5" s="1"/>
  <c r="AC255" i="5"/>
  <c r="AW255" i="5" s="1"/>
  <c r="AC254" i="5"/>
  <c r="AW254" i="5" s="1"/>
  <c r="AC253" i="5"/>
  <c r="AW253" i="5" s="1"/>
  <c r="AC252" i="5"/>
  <c r="AW252" i="5" s="1"/>
  <c r="AC251" i="5"/>
  <c r="AW251" i="5" s="1"/>
  <c r="AC250" i="5"/>
  <c r="AW250" i="5" s="1"/>
  <c r="AC249" i="5"/>
  <c r="AW249" i="5" s="1"/>
  <c r="AC248" i="5"/>
  <c r="AW248" i="5" s="1"/>
  <c r="AC247" i="5"/>
  <c r="AW247" i="5" s="1"/>
  <c r="AC246" i="5"/>
  <c r="AW246" i="5" s="1"/>
  <c r="AC245" i="5"/>
  <c r="AW245" i="5" s="1"/>
  <c r="AC244" i="5"/>
  <c r="AW244" i="5" s="1"/>
  <c r="AC243" i="5"/>
  <c r="AW243" i="5" s="1"/>
  <c r="AC242" i="5"/>
  <c r="AW242" i="5" s="1"/>
  <c r="AC241" i="5"/>
  <c r="AW241" i="5" s="1"/>
  <c r="AC240" i="5"/>
  <c r="AW240" i="5" s="1"/>
  <c r="AC239" i="5"/>
  <c r="AW239" i="5" s="1"/>
  <c r="AC238" i="5"/>
  <c r="AW238" i="5" s="1"/>
  <c r="AC237" i="5"/>
  <c r="AW237" i="5" s="1"/>
  <c r="AC236" i="5"/>
  <c r="AW236" i="5" s="1"/>
  <c r="AC235" i="5"/>
  <c r="AW235" i="5" s="1"/>
  <c r="AC234" i="5"/>
  <c r="AW234" i="5" s="1"/>
  <c r="AC233" i="5"/>
  <c r="AW233" i="5" s="1"/>
  <c r="AC232" i="5"/>
  <c r="AW232" i="5" s="1"/>
  <c r="AC231" i="5"/>
  <c r="AW231" i="5" s="1"/>
  <c r="AC230" i="5"/>
  <c r="AW230" i="5" s="1"/>
  <c r="AC229" i="5"/>
  <c r="AW229" i="5" s="1"/>
  <c r="AC228" i="5"/>
  <c r="AW228" i="5" s="1"/>
  <c r="AC227" i="5"/>
  <c r="AW227" i="5" s="1"/>
  <c r="AC226" i="5"/>
  <c r="AW226" i="5" s="1"/>
  <c r="AC225" i="5"/>
  <c r="AW225" i="5" s="1"/>
  <c r="AC224" i="5"/>
  <c r="AW224" i="5" s="1"/>
  <c r="AC223" i="5"/>
  <c r="AW223" i="5" s="1"/>
  <c r="AC222" i="5"/>
  <c r="AW222" i="5" s="1"/>
  <c r="AC221" i="5"/>
  <c r="AW221" i="5" s="1"/>
  <c r="AC220" i="5"/>
  <c r="AW220" i="5" s="1"/>
  <c r="AC219" i="5"/>
  <c r="AW219" i="5" s="1"/>
  <c r="AC218" i="5"/>
  <c r="AW218" i="5" s="1"/>
  <c r="AC217" i="5"/>
  <c r="AW217" i="5" s="1"/>
  <c r="AC216" i="5"/>
  <c r="AW216" i="5" s="1"/>
  <c r="AC215" i="5"/>
  <c r="AW215" i="5" s="1"/>
  <c r="AC214" i="5"/>
  <c r="AW214" i="5" s="1"/>
  <c r="AC213" i="5"/>
  <c r="AW213" i="5" s="1"/>
  <c r="AC212" i="5"/>
  <c r="AW212" i="5" s="1"/>
  <c r="AC211" i="5"/>
  <c r="AW211" i="5" s="1"/>
  <c r="AC210" i="5"/>
  <c r="AW210" i="5" s="1"/>
  <c r="AC209" i="5"/>
  <c r="AW209" i="5" s="1"/>
  <c r="AC208" i="5"/>
  <c r="AW208" i="5" s="1"/>
  <c r="AC207" i="5"/>
  <c r="AW207" i="5" s="1"/>
  <c r="AC206" i="5"/>
  <c r="AW206" i="5" s="1"/>
  <c r="AC205" i="5"/>
  <c r="AW205" i="5" s="1"/>
  <c r="AC204" i="5"/>
  <c r="AW204" i="5" s="1"/>
  <c r="AC203" i="5"/>
  <c r="AW203" i="5" s="1"/>
  <c r="AC202" i="5"/>
  <c r="AW202" i="5" s="1"/>
  <c r="AC201" i="5"/>
  <c r="AW201" i="5" s="1"/>
  <c r="AC200" i="5"/>
  <c r="AW200" i="5" s="1"/>
  <c r="AC199" i="5"/>
  <c r="AW199" i="5" s="1"/>
  <c r="AC198" i="5"/>
  <c r="AW198" i="5" s="1"/>
  <c r="AC197" i="5"/>
  <c r="AW197" i="5" s="1"/>
  <c r="AC196" i="5"/>
  <c r="AW196" i="5" s="1"/>
  <c r="AC195" i="5"/>
  <c r="AW195" i="5" s="1"/>
  <c r="AC194" i="5"/>
  <c r="AW194" i="5" s="1"/>
  <c r="AC193" i="5"/>
  <c r="AW193" i="5" s="1"/>
  <c r="AC192" i="5"/>
  <c r="AW192" i="5" s="1"/>
  <c r="AC191" i="5"/>
  <c r="AW191" i="5" s="1"/>
  <c r="AC190" i="5"/>
  <c r="AW190" i="5" s="1"/>
  <c r="AC189" i="5"/>
  <c r="AW189" i="5" s="1"/>
  <c r="AC188" i="5"/>
  <c r="AW188" i="5" s="1"/>
  <c r="AC187" i="5"/>
  <c r="AW187" i="5" s="1"/>
  <c r="AC186" i="5"/>
  <c r="AW186" i="5" s="1"/>
  <c r="AC185" i="5"/>
  <c r="AW185" i="5" s="1"/>
  <c r="AC184" i="5"/>
  <c r="AW184" i="5" s="1"/>
  <c r="AC183" i="5"/>
  <c r="AW183" i="5" s="1"/>
  <c r="AC182" i="5"/>
  <c r="AW182" i="5" s="1"/>
  <c r="AC181" i="5"/>
  <c r="AW181" i="5" s="1"/>
  <c r="AC180" i="5"/>
  <c r="AW180" i="5" s="1"/>
  <c r="AC179" i="5"/>
  <c r="AW179" i="5" s="1"/>
  <c r="AC178" i="5"/>
  <c r="AW178" i="5" s="1"/>
  <c r="AC177" i="5"/>
  <c r="AW177" i="5" s="1"/>
  <c r="AC176" i="5"/>
  <c r="AW176" i="5" s="1"/>
  <c r="AC175" i="5"/>
  <c r="AW175" i="5" s="1"/>
  <c r="AC174" i="5"/>
  <c r="AW174" i="5" s="1"/>
  <c r="AC173" i="5"/>
  <c r="AW173" i="5" s="1"/>
  <c r="AC172" i="5"/>
  <c r="AW172" i="5" s="1"/>
  <c r="AC171" i="5"/>
  <c r="AW171" i="5" s="1"/>
  <c r="AC170" i="5"/>
  <c r="AW170" i="5" s="1"/>
  <c r="AC169" i="5"/>
  <c r="AW169" i="5" s="1"/>
  <c r="AC168" i="5"/>
  <c r="AW168" i="5" s="1"/>
  <c r="AC167" i="5"/>
  <c r="AW167" i="5" s="1"/>
  <c r="AC166" i="5"/>
  <c r="AW166" i="5" s="1"/>
  <c r="AC165" i="5"/>
  <c r="AW165" i="5" s="1"/>
  <c r="AC164" i="5"/>
  <c r="AW164" i="5" s="1"/>
  <c r="AC163" i="5"/>
  <c r="AW163" i="5" s="1"/>
  <c r="AC162" i="5"/>
  <c r="AW162" i="5" s="1"/>
  <c r="AC161" i="5"/>
  <c r="AW161" i="5" s="1"/>
  <c r="AC160" i="5"/>
  <c r="AW160" i="5" s="1"/>
  <c r="AC159" i="5"/>
  <c r="AW159" i="5" s="1"/>
  <c r="AC158" i="5"/>
  <c r="AW158" i="5" s="1"/>
  <c r="AC157" i="5"/>
  <c r="AW157" i="5" s="1"/>
  <c r="AC156" i="5"/>
  <c r="AW156" i="5" s="1"/>
  <c r="AC155" i="5"/>
  <c r="AW155" i="5" s="1"/>
  <c r="AC154" i="5"/>
  <c r="AW154" i="5" s="1"/>
  <c r="AC153" i="5"/>
  <c r="AW153" i="5" s="1"/>
  <c r="AC152" i="5"/>
  <c r="AW152" i="5" s="1"/>
  <c r="AC151" i="5"/>
  <c r="AW151" i="5" s="1"/>
  <c r="AC150" i="5"/>
  <c r="AW150" i="5" s="1"/>
  <c r="AC149" i="5"/>
  <c r="AW149" i="5" s="1"/>
  <c r="AC148" i="5"/>
  <c r="AW148" i="5" s="1"/>
  <c r="AC147" i="5"/>
  <c r="AW147" i="5" s="1"/>
  <c r="AC146" i="5"/>
  <c r="AW146" i="5" s="1"/>
  <c r="AC145" i="5"/>
  <c r="AW145" i="5" s="1"/>
  <c r="AC144" i="5"/>
  <c r="AW144" i="5" s="1"/>
  <c r="AC143" i="5"/>
  <c r="AW143" i="5" s="1"/>
  <c r="AC142" i="5"/>
  <c r="AW142" i="5" s="1"/>
  <c r="AC141" i="5"/>
  <c r="AW141" i="5" s="1"/>
  <c r="AC140" i="5"/>
  <c r="AW140" i="5" s="1"/>
  <c r="AC139" i="5"/>
  <c r="AW139" i="5" s="1"/>
  <c r="AC138" i="5"/>
  <c r="AW138" i="5" s="1"/>
  <c r="AC137" i="5"/>
  <c r="AW137" i="5" s="1"/>
  <c r="AC136" i="5"/>
  <c r="AW136" i="5" s="1"/>
  <c r="AC135" i="5"/>
  <c r="AW135" i="5" s="1"/>
  <c r="AC134" i="5"/>
  <c r="AW134" i="5" s="1"/>
  <c r="AC133" i="5"/>
  <c r="AW133" i="5" s="1"/>
  <c r="AC132" i="5"/>
  <c r="AW132" i="5" s="1"/>
  <c r="AC131" i="5"/>
  <c r="AW131" i="5" s="1"/>
  <c r="AC130" i="5"/>
  <c r="AW130" i="5" s="1"/>
  <c r="AC129" i="5"/>
  <c r="AW129" i="5" s="1"/>
  <c r="AC128" i="5"/>
  <c r="AW128" i="5" s="1"/>
  <c r="AC127" i="5"/>
  <c r="AW127" i="5" s="1"/>
  <c r="AC126" i="5"/>
  <c r="AW126" i="5" s="1"/>
  <c r="AC125" i="5"/>
  <c r="AW125" i="5" s="1"/>
  <c r="AC124" i="5"/>
  <c r="AW124" i="5" s="1"/>
  <c r="AC123" i="5"/>
  <c r="AW123" i="5" s="1"/>
  <c r="AC122" i="5"/>
  <c r="AW122" i="5" s="1"/>
  <c r="AC121" i="5"/>
  <c r="AW121" i="5" s="1"/>
  <c r="AC120" i="5"/>
  <c r="AW120" i="5" s="1"/>
  <c r="AC119" i="5"/>
  <c r="AW119" i="5" s="1"/>
  <c r="AC118" i="5"/>
  <c r="AW118" i="5" s="1"/>
  <c r="AC117" i="5"/>
  <c r="AW117" i="5" s="1"/>
  <c r="AC116" i="5"/>
  <c r="AW116" i="5" s="1"/>
  <c r="AC115" i="5"/>
  <c r="AW115" i="5" s="1"/>
  <c r="AC114" i="5"/>
  <c r="AW114" i="5" s="1"/>
  <c r="AC113" i="5"/>
  <c r="AW113" i="5" s="1"/>
  <c r="AC112" i="5"/>
  <c r="AW112" i="5" s="1"/>
  <c r="AC111" i="5"/>
  <c r="AW111" i="5" s="1"/>
  <c r="AC110" i="5"/>
  <c r="AW110" i="5" s="1"/>
  <c r="AC109" i="5"/>
  <c r="AW109" i="5" s="1"/>
  <c r="AC108" i="5"/>
  <c r="AW108" i="5" s="1"/>
  <c r="AC107" i="5"/>
  <c r="AW107" i="5" s="1"/>
  <c r="AC106" i="5"/>
  <c r="AW106" i="5" s="1"/>
  <c r="AC105" i="5"/>
  <c r="AW105" i="5" s="1"/>
  <c r="AC104" i="5"/>
  <c r="AW104" i="5" s="1"/>
  <c r="AC103" i="5"/>
  <c r="AW103" i="5" s="1"/>
  <c r="AC102" i="5"/>
  <c r="AW102" i="5" s="1"/>
  <c r="AC101" i="5"/>
  <c r="AW101" i="5" s="1"/>
  <c r="AC100" i="5"/>
  <c r="AW100" i="5" s="1"/>
  <c r="AC99" i="5"/>
  <c r="AW99" i="5" s="1"/>
  <c r="AC98" i="5"/>
  <c r="AW98" i="5" s="1"/>
  <c r="AC97" i="5"/>
  <c r="AW97" i="5" s="1"/>
  <c r="AC96" i="5"/>
  <c r="AW96" i="5" s="1"/>
  <c r="AC95" i="5"/>
  <c r="AW95" i="5" s="1"/>
  <c r="AC94" i="5"/>
  <c r="AW94" i="5" s="1"/>
  <c r="AC93" i="5"/>
  <c r="AW93" i="5" s="1"/>
  <c r="AC92" i="5"/>
  <c r="AW92" i="5" s="1"/>
  <c r="AC91" i="5"/>
  <c r="AW91" i="5" s="1"/>
  <c r="AC90" i="5"/>
  <c r="AW90" i="5" s="1"/>
  <c r="AC89" i="5"/>
  <c r="AW89" i="5" s="1"/>
  <c r="AC88" i="5"/>
  <c r="AW88" i="5" s="1"/>
  <c r="AC87" i="5"/>
  <c r="AW87" i="5" s="1"/>
  <c r="AC86" i="5"/>
  <c r="AW86" i="5" s="1"/>
  <c r="AC85" i="5"/>
  <c r="AW85" i="5" s="1"/>
  <c r="AC84" i="5"/>
  <c r="AW84" i="5" s="1"/>
  <c r="AC83" i="5"/>
  <c r="AW83" i="5" s="1"/>
  <c r="AC82" i="5"/>
  <c r="AW82" i="5" s="1"/>
  <c r="AC81" i="5"/>
  <c r="AW81" i="5" s="1"/>
  <c r="AC80" i="5"/>
  <c r="AW80" i="5" s="1"/>
  <c r="AC79" i="5"/>
  <c r="AW79" i="5" s="1"/>
  <c r="AC78" i="5"/>
  <c r="AW78" i="5" s="1"/>
  <c r="AC77" i="5"/>
  <c r="AW77" i="5" s="1"/>
  <c r="AC76" i="5"/>
  <c r="AW76" i="5" s="1"/>
  <c r="AC75" i="5"/>
  <c r="AW75" i="5" s="1"/>
  <c r="AC74" i="5"/>
  <c r="AW74" i="5" s="1"/>
  <c r="AC73" i="5"/>
  <c r="AW73" i="5" s="1"/>
  <c r="AC72" i="5"/>
  <c r="AW72" i="5" s="1"/>
  <c r="AC71" i="5"/>
  <c r="AW71" i="5" s="1"/>
  <c r="AC70" i="5"/>
  <c r="AW70" i="5" s="1"/>
  <c r="AC69" i="5"/>
  <c r="AW69" i="5" s="1"/>
  <c r="AC68" i="5"/>
  <c r="AW68" i="5" s="1"/>
  <c r="AC67" i="5"/>
  <c r="AW67" i="5" s="1"/>
  <c r="AC66" i="5"/>
  <c r="AW66" i="5" s="1"/>
  <c r="AC65" i="5"/>
  <c r="AW65" i="5" s="1"/>
  <c r="AC64" i="5"/>
  <c r="AW64" i="5" s="1"/>
  <c r="AC63" i="5"/>
  <c r="AW63" i="5" s="1"/>
  <c r="AC62" i="5"/>
  <c r="AW62" i="5" s="1"/>
  <c r="AC61" i="5"/>
  <c r="AW61" i="5" s="1"/>
  <c r="AC60" i="5"/>
  <c r="AW60" i="5" s="1"/>
  <c r="AC59" i="5"/>
  <c r="AW59" i="5" s="1"/>
  <c r="AC58" i="5"/>
  <c r="AW58" i="5" s="1"/>
  <c r="AC57" i="5"/>
  <c r="AW57" i="5" s="1"/>
  <c r="AC56" i="5"/>
  <c r="AW56" i="5" s="1"/>
  <c r="AC55" i="5"/>
  <c r="AW55" i="5" s="1"/>
  <c r="AC54" i="5"/>
  <c r="AW54" i="5" s="1"/>
  <c r="AC53" i="5"/>
  <c r="AW53" i="5" s="1"/>
  <c r="AC52" i="5"/>
  <c r="AW52" i="5" s="1"/>
  <c r="AC51" i="5"/>
  <c r="AW51" i="5" s="1"/>
  <c r="AC50" i="5"/>
  <c r="AW50" i="5" s="1"/>
  <c r="AC49" i="5"/>
  <c r="AW49" i="5" s="1"/>
  <c r="AC48" i="5"/>
  <c r="AW48" i="5" s="1"/>
  <c r="AC47" i="5"/>
  <c r="AW47" i="5" s="1"/>
  <c r="AC46" i="5"/>
  <c r="AW46" i="5" s="1"/>
  <c r="AC45" i="5"/>
  <c r="AW45" i="5" s="1"/>
  <c r="AC44" i="5"/>
  <c r="AW44" i="5" s="1"/>
  <c r="AC43" i="5"/>
  <c r="AW43" i="5" s="1"/>
  <c r="AC42" i="5"/>
  <c r="AW42" i="5" s="1"/>
  <c r="AC41" i="5"/>
  <c r="AW41" i="5" s="1"/>
  <c r="AC40" i="5"/>
  <c r="AW40" i="5" s="1"/>
  <c r="AC39" i="5"/>
  <c r="AW39" i="5" s="1"/>
  <c r="AC38" i="5"/>
  <c r="AW38" i="5" s="1"/>
  <c r="AC37" i="5"/>
  <c r="AW37" i="5" s="1"/>
  <c r="AC36" i="5"/>
  <c r="AW36" i="5" s="1"/>
  <c r="AC35" i="5"/>
  <c r="AW35" i="5" s="1"/>
  <c r="AC34" i="5"/>
  <c r="AW34" i="5" s="1"/>
  <c r="AC33" i="5"/>
  <c r="AW33" i="5" s="1"/>
  <c r="AC32" i="5"/>
  <c r="AW32" i="5" s="1"/>
  <c r="AC31" i="5"/>
  <c r="AW31" i="5" s="1"/>
  <c r="AC30" i="5"/>
  <c r="AW30" i="5" s="1"/>
  <c r="AC29" i="5"/>
  <c r="AW29" i="5" s="1"/>
  <c r="AC28" i="5"/>
  <c r="AW28" i="5" s="1"/>
  <c r="AC27" i="5"/>
  <c r="AW27" i="5" s="1"/>
  <c r="AC26" i="5"/>
  <c r="AW26" i="5" s="1"/>
  <c r="AC25" i="5"/>
  <c r="AW25" i="5" s="1"/>
  <c r="AC24" i="5"/>
  <c r="AW24" i="5" s="1"/>
  <c r="AC23" i="5"/>
  <c r="AW23" i="5" s="1"/>
  <c r="AC22" i="5"/>
  <c r="AW22" i="5" s="1"/>
  <c r="AC21" i="5"/>
  <c r="AW21" i="5" s="1"/>
  <c r="AC20" i="5"/>
  <c r="AW20" i="5" s="1"/>
  <c r="AC19" i="5"/>
  <c r="AW19" i="5" s="1"/>
  <c r="AC18" i="5"/>
  <c r="AW18" i="5" s="1"/>
  <c r="AC17" i="5"/>
  <c r="AW17" i="5" s="1"/>
  <c r="AC16" i="5"/>
  <c r="AW16" i="5" s="1"/>
  <c r="AC15" i="5"/>
  <c r="AW15" i="5" s="1"/>
  <c r="AC14" i="5"/>
  <c r="AW14" i="5" s="1"/>
  <c r="AC13" i="5"/>
  <c r="AW13" i="5" s="1"/>
  <c r="AC12" i="5"/>
  <c r="AW12" i="5" s="1"/>
  <c r="AC11" i="5"/>
  <c r="AW11" i="5" s="1"/>
  <c r="AC10" i="5"/>
  <c r="AW10" i="5" s="1"/>
  <c r="AC9" i="5"/>
  <c r="AW9" i="5" s="1"/>
  <c r="AC8" i="5"/>
  <c r="AW8" i="5" s="1"/>
  <c r="AW589" i="5" s="1"/>
  <c r="AA646" i="5"/>
  <c r="AA643" i="5"/>
  <c r="AV643" i="5" s="1"/>
  <c r="AA642" i="5"/>
  <c r="AV642" i="5" s="1"/>
  <c r="AA641" i="5"/>
  <c r="AV641" i="5" s="1"/>
  <c r="AA640" i="5"/>
  <c r="AV640" i="5" s="1"/>
  <c r="AA639" i="5"/>
  <c r="AV639" i="5" s="1"/>
  <c r="AA638" i="5"/>
  <c r="AV638" i="5" s="1"/>
  <c r="AA637" i="5"/>
  <c r="AV637" i="5" s="1"/>
  <c r="AA636" i="5"/>
  <c r="AV636" i="5" s="1"/>
  <c r="AA635" i="5"/>
  <c r="AV635" i="5" s="1"/>
  <c r="AA634" i="5"/>
  <c r="AV634" i="5" s="1"/>
  <c r="AA633" i="5"/>
  <c r="AV633" i="5" s="1"/>
  <c r="AA632" i="5"/>
  <c r="AV632" i="5" s="1"/>
  <c r="AA631" i="5"/>
  <c r="AV631" i="5" s="1"/>
  <c r="AA630" i="5"/>
  <c r="AV630" i="5" s="1"/>
  <c r="AA629" i="5"/>
  <c r="AV629" i="5" s="1"/>
  <c r="AA628" i="5"/>
  <c r="AV628" i="5" s="1"/>
  <c r="AA627" i="5"/>
  <c r="AV627" i="5" s="1"/>
  <c r="AA626" i="5"/>
  <c r="AV626" i="5" s="1"/>
  <c r="AA625" i="5"/>
  <c r="AV625" i="5" s="1"/>
  <c r="AA624" i="5"/>
  <c r="AV624" i="5" s="1"/>
  <c r="AA623" i="5"/>
  <c r="AV623" i="5" s="1"/>
  <c r="AA622" i="5"/>
  <c r="AV622" i="5" s="1"/>
  <c r="AA621" i="5"/>
  <c r="AV621" i="5" s="1"/>
  <c r="AA620" i="5"/>
  <c r="AV620" i="5" s="1"/>
  <c r="AA619" i="5"/>
  <c r="AV619" i="5" s="1"/>
  <c r="AA618" i="5"/>
  <c r="AV618" i="5" s="1"/>
  <c r="AA617" i="5"/>
  <c r="AV617" i="5" s="1"/>
  <c r="AA616" i="5"/>
  <c r="AV616" i="5" s="1"/>
  <c r="AA615" i="5"/>
  <c r="AV615" i="5" s="1"/>
  <c r="AA614" i="5"/>
  <c r="AV614" i="5" s="1"/>
  <c r="AA613" i="5"/>
  <c r="AV613" i="5" s="1"/>
  <c r="AA612" i="5"/>
  <c r="AV612" i="5" s="1"/>
  <c r="AA611" i="5"/>
  <c r="AV611" i="5" s="1"/>
  <c r="AA610" i="5"/>
  <c r="AV610" i="5" s="1"/>
  <c r="AA609" i="5"/>
  <c r="AV609" i="5" s="1"/>
  <c r="AA608" i="5"/>
  <c r="AV608" i="5" s="1"/>
  <c r="AA607" i="5"/>
  <c r="AV607" i="5" s="1"/>
  <c r="AA606" i="5"/>
  <c r="AV606" i="5" s="1"/>
  <c r="AA605" i="5"/>
  <c r="AV605" i="5" s="1"/>
  <c r="AA604" i="5"/>
  <c r="AV604" i="5" s="1"/>
  <c r="AA603" i="5"/>
  <c r="AV603" i="5" s="1"/>
  <c r="AA602" i="5"/>
  <c r="AV602" i="5" s="1"/>
  <c r="AA601" i="5"/>
  <c r="AV601" i="5" s="1"/>
  <c r="AA600" i="5"/>
  <c r="AV600" i="5" s="1"/>
  <c r="AA599" i="5"/>
  <c r="AV599" i="5" s="1"/>
  <c r="AA598" i="5"/>
  <c r="AV598" i="5" s="1"/>
  <c r="AA597" i="5"/>
  <c r="AV597" i="5" s="1"/>
  <c r="AA596" i="5"/>
  <c r="AV596" i="5" s="1"/>
  <c r="AA595" i="5"/>
  <c r="AV595" i="5" s="1"/>
  <c r="AA594" i="5"/>
  <c r="AV594" i="5" s="1"/>
  <c r="AA593" i="5"/>
  <c r="AV593" i="5" s="1"/>
  <c r="AA592" i="5"/>
  <c r="AV592" i="5" s="1"/>
  <c r="AA590" i="5"/>
  <c r="AV590" i="5" s="1"/>
  <c r="AA589" i="5"/>
  <c r="AA588" i="5"/>
  <c r="AV588" i="5" s="1"/>
  <c r="AA587" i="5"/>
  <c r="AV587" i="5" s="1"/>
  <c r="AA586" i="5"/>
  <c r="AV586" i="5" s="1"/>
  <c r="AA585" i="5"/>
  <c r="AV585" i="5" s="1"/>
  <c r="AA584" i="5"/>
  <c r="AV584" i="5" s="1"/>
  <c r="AA583" i="5"/>
  <c r="AV583" i="5" s="1"/>
  <c r="AA582" i="5"/>
  <c r="AV582" i="5" s="1"/>
  <c r="AA581" i="5"/>
  <c r="AV581" i="5" s="1"/>
  <c r="AA580" i="5"/>
  <c r="AV580" i="5" s="1"/>
  <c r="AA579" i="5"/>
  <c r="AV579" i="5" s="1"/>
  <c r="AA578" i="5"/>
  <c r="AV578" i="5" s="1"/>
  <c r="AA577" i="5"/>
  <c r="AV577" i="5" s="1"/>
  <c r="AA576" i="5"/>
  <c r="AV576" i="5" s="1"/>
  <c r="AA575" i="5"/>
  <c r="AV575" i="5" s="1"/>
  <c r="AA574" i="5"/>
  <c r="AV574" i="5" s="1"/>
  <c r="AA573" i="5"/>
  <c r="AV573" i="5" s="1"/>
  <c r="AA572" i="5"/>
  <c r="AV572" i="5" s="1"/>
  <c r="AA571" i="5"/>
  <c r="AV571" i="5" s="1"/>
  <c r="AA570" i="5"/>
  <c r="AV570" i="5" s="1"/>
  <c r="AA569" i="5"/>
  <c r="AV569" i="5" s="1"/>
  <c r="AA568" i="5"/>
  <c r="AV568" i="5" s="1"/>
  <c r="AA567" i="5"/>
  <c r="AV567" i="5" s="1"/>
  <c r="AA566" i="5"/>
  <c r="AV566" i="5" s="1"/>
  <c r="AA565" i="5"/>
  <c r="AV565" i="5" s="1"/>
  <c r="AA564" i="5"/>
  <c r="AV564" i="5" s="1"/>
  <c r="AA563" i="5"/>
  <c r="AV563" i="5" s="1"/>
  <c r="AA562" i="5"/>
  <c r="AV562" i="5" s="1"/>
  <c r="AA561" i="5"/>
  <c r="AV561" i="5" s="1"/>
  <c r="AA560" i="5"/>
  <c r="AV560" i="5" s="1"/>
  <c r="AA559" i="5"/>
  <c r="AV559" i="5" s="1"/>
  <c r="AA558" i="5"/>
  <c r="AV558" i="5" s="1"/>
  <c r="AA557" i="5"/>
  <c r="AV557" i="5" s="1"/>
  <c r="AA556" i="5"/>
  <c r="AV556" i="5" s="1"/>
  <c r="AA555" i="5"/>
  <c r="AV555" i="5" s="1"/>
  <c r="AA554" i="5"/>
  <c r="AV554" i="5" s="1"/>
  <c r="AA553" i="5"/>
  <c r="AV553" i="5" s="1"/>
  <c r="AA552" i="5"/>
  <c r="AV552" i="5" s="1"/>
  <c r="AA551" i="5"/>
  <c r="AV551" i="5" s="1"/>
  <c r="AA550" i="5"/>
  <c r="AV550" i="5" s="1"/>
  <c r="AA549" i="5"/>
  <c r="AV549" i="5" s="1"/>
  <c r="AA548" i="5"/>
  <c r="AV548" i="5" s="1"/>
  <c r="AA547" i="5"/>
  <c r="AV547" i="5" s="1"/>
  <c r="AA546" i="5"/>
  <c r="AV546" i="5" s="1"/>
  <c r="AA545" i="5"/>
  <c r="AV545" i="5" s="1"/>
  <c r="AA544" i="5"/>
  <c r="AV544" i="5" s="1"/>
  <c r="AA543" i="5"/>
  <c r="AV543" i="5" s="1"/>
  <c r="AA542" i="5"/>
  <c r="AV542" i="5" s="1"/>
  <c r="AA541" i="5"/>
  <c r="AV541" i="5" s="1"/>
  <c r="AA540" i="5"/>
  <c r="AV540" i="5" s="1"/>
  <c r="AA539" i="5"/>
  <c r="AV539" i="5" s="1"/>
  <c r="AA538" i="5"/>
  <c r="AV538" i="5" s="1"/>
  <c r="AA537" i="5"/>
  <c r="AV537" i="5" s="1"/>
  <c r="AA536" i="5"/>
  <c r="AV536" i="5" s="1"/>
  <c r="AA535" i="5"/>
  <c r="AV535" i="5" s="1"/>
  <c r="AA534" i="5"/>
  <c r="AV534" i="5" s="1"/>
  <c r="AA533" i="5"/>
  <c r="AV533" i="5" s="1"/>
  <c r="AA532" i="5"/>
  <c r="AV532" i="5" s="1"/>
  <c r="AA531" i="5"/>
  <c r="AV531" i="5" s="1"/>
  <c r="AA530" i="5"/>
  <c r="AV530" i="5" s="1"/>
  <c r="AA529" i="5"/>
  <c r="AV529" i="5" s="1"/>
  <c r="AA528" i="5"/>
  <c r="AV528" i="5" s="1"/>
  <c r="AA527" i="5"/>
  <c r="AV527" i="5" s="1"/>
  <c r="AA526" i="5"/>
  <c r="AV526" i="5" s="1"/>
  <c r="AA525" i="5"/>
  <c r="AV525" i="5" s="1"/>
  <c r="AA524" i="5"/>
  <c r="AV524" i="5" s="1"/>
  <c r="AA523" i="5"/>
  <c r="AV523" i="5" s="1"/>
  <c r="AA522" i="5"/>
  <c r="AV522" i="5" s="1"/>
  <c r="AA521" i="5"/>
  <c r="AV521" i="5" s="1"/>
  <c r="AA520" i="5"/>
  <c r="AV520" i="5" s="1"/>
  <c r="AA519" i="5"/>
  <c r="AV519" i="5" s="1"/>
  <c r="AA518" i="5"/>
  <c r="AV518" i="5" s="1"/>
  <c r="AA517" i="5"/>
  <c r="AV517" i="5" s="1"/>
  <c r="AA516" i="5"/>
  <c r="AV516" i="5" s="1"/>
  <c r="AA515" i="5"/>
  <c r="AV515" i="5" s="1"/>
  <c r="AA514" i="5"/>
  <c r="AV514" i="5" s="1"/>
  <c r="AA513" i="5"/>
  <c r="AV513" i="5" s="1"/>
  <c r="AA512" i="5"/>
  <c r="AV512" i="5" s="1"/>
  <c r="AA511" i="5"/>
  <c r="AV511" i="5" s="1"/>
  <c r="AA510" i="5"/>
  <c r="AV510" i="5" s="1"/>
  <c r="AA509" i="5"/>
  <c r="AV509" i="5" s="1"/>
  <c r="AA508" i="5"/>
  <c r="AV508" i="5" s="1"/>
  <c r="AA507" i="5"/>
  <c r="AV507" i="5" s="1"/>
  <c r="AA506" i="5"/>
  <c r="AV506" i="5" s="1"/>
  <c r="AA505" i="5"/>
  <c r="AV505" i="5" s="1"/>
  <c r="AA504" i="5"/>
  <c r="AV504" i="5" s="1"/>
  <c r="AA503" i="5"/>
  <c r="AV503" i="5" s="1"/>
  <c r="AA502" i="5"/>
  <c r="AV502" i="5" s="1"/>
  <c r="AA501" i="5"/>
  <c r="AV501" i="5" s="1"/>
  <c r="AA500" i="5"/>
  <c r="AV500" i="5" s="1"/>
  <c r="AA499" i="5"/>
  <c r="AV499" i="5" s="1"/>
  <c r="AA498" i="5"/>
  <c r="AV498" i="5" s="1"/>
  <c r="AA497" i="5"/>
  <c r="AV497" i="5" s="1"/>
  <c r="AA496" i="5"/>
  <c r="AV496" i="5" s="1"/>
  <c r="AA495" i="5"/>
  <c r="AV495" i="5" s="1"/>
  <c r="AA494" i="5"/>
  <c r="AV494" i="5" s="1"/>
  <c r="AA493" i="5"/>
  <c r="AV493" i="5" s="1"/>
  <c r="AA492" i="5"/>
  <c r="AV492" i="5" s="1"/>
  <c r="AA491" i="5"/>
  <c r="AV491" i="5" s="1"/>
  <c r="AA490" i="5"/>
  <c r="AV490" i="5" s="1"/>
  <c r="AA489" i="5"/>
  <c r="AV489" i="5" s="1"/>
  <c r="AA488" i="5"/>
  <c r="AV488" i="5" s="1"/>
  <c r="AA487" i="5"/>
  <c r="AV487" i="5" s="1"/>
  <c r="AA486" i="5"/>
  <c r="AV486" i="5" s="1"/>
  <c r="AA485" i="5"/>
  <c r="AV485" i="5" s="1"/>
  <c r="AA484" i="5"/>
  <c r="AV484" i="5" s="1"/>
  <c r="AA483" i="5"/>
  <c r="AV483" i="5" s="1"/>
  <c r="AA482" i="5"/>
  <c r="AV482" i="5" s="1"/>
  <c r="AA481" i="5"/>
  <c r="AV481" i="5" s="1"/>
  <c r="AA480" i="5"/>
  <c r="AV480" i="5" s="1"/>
  <c r="AA479" i="5"/>
  <c r="AV479" i="5" s="1"/>
  <c r="AA478" i="5"/>
  <c r="AV478" i="5" s="1"/>
  <c r="AA477" i="5"/>
  <c r="AV477" i="5" s="1"/>
  <c r="AA476" i="5"/>
  <c r="AV476" i="5" s="1"/>
  <c r="AA475" i="5"/>
  <c r="AV475" i="5" s="1"/>
  <c r="AA474" i="5"/>
  <c r="AV474" i="5" s="1"/>
  <c r="AA473" i="5"/>
  <c r="AV473" i="5" s="1"/>
  <c r="AA472" i="5"/>
  <c r="AV472" i="5" s="1"/>
  <c r="AA471" i="5"/>
  <c r="AV471" i="5" s="1"/>
  <c r="AA470" i="5"/>
  <c r="AV470" i="5" s="1"/>
  <c r="AA469" i="5"/>
  <c r="AV469" i="5" s="1"/>
  <c r="AA468" i="5"/>
  <c r="AV468" i="5" s="1"/>
  <c r="AA467" i="5"/>
  <c r="AV467" i="5" s="1"/>
  <c r="AA466" i="5"/>
  <c r="AV466" i="5" s="1"/>
  <c r="AA465" i="5"/>
  <c r="AV465" i="5" s="1"/>
  <c r="AA464" i="5"/>
  <c r="AV464" i="5" s="1"/>
  <c r="AA463" i="5"/>
  <c r="AV463" i="5" s="1"/>
  <c r="AA462" i="5"/>
  <c r="AV462" i="5" s="1"/>
  <c r="AA461" i="5"/>
  <c r="AV461" i="5" s="1"/>
  <c r="AA460" i="5"/>
  <c r="AV460" i="5" s="1"/>
  <c r="AA459" i="5"/>
  <c r="AV459" i="5" s="1"/>
  <c r="AA458" i="5"/>
  <c r="AV458" i="5" s="1"/>
  <c r="AA457" i="5"/>
  <c r="AV457" i="5" s="1"/>
  <c r="AA456" i="5"/>
  <c r="AV456" i="5" s="1"/>
  <c r="AA455" i="5"/>
  <c r="AV455" i="5" s="1"/>
  <c r="AA454" i="5"/>
  <c r="AV454" i="5" s="1"/>
  <c r="AA453" i="5"/>
  <c r="AV453" i="5" s="1"/>
  <c r="AA452" i="5"/>
  <c r="AV452" i="5" s="1"/>
  <c r="AA451" i="5"/>
  <c r="AV451" i="5" s="1"/>
  <c r="AA450" i="5"/>
  <c r="AV450" i="5" s="1"/>
  <c r="AA449" i="5"/>
  <c r="AV449" i="5" s="1"/>
  <c r="AA448" i="5"/>
  <c r="AV448" i="5" s="1"/>
  <c r="AA447" i="5"/>
  <c r="AV447" i="5" s="1"/>
  <c r="AA446" i="5"/>
  <c r="AV446" i="5" s="1"/>
  <c r="AA445" i="5"/>
  <c r="AV445" i="5" s="1"/>
  <c r="AA444" i="5"/>
  <c r="AV444" i="5" s="1"/>
  <c r="AA443" i="5"/>
  <c r="AV443" i="5" s="1"/>
  <c r="AA442" i="5"/>
  <c r="AV442" i="5" s="1"/>
  <c r="AA441" i="5"/>
  <c r="AV441" i="5" s="1"/>
  <c r="AA440" i="5"/>
  <c r="AV440" i="5" s="1"/>
  <c r="AA439" i="5"/>
  <c r="AV439" i="5" s="1"/>
  <c r="AA438" i="5"/>
  <c r="AV438" i="5" s="1"/>
  <c r="AA437" i="5"/>
  <c r="AV437" i="5" s="1"/>
  <c r="AA436" i="5"/>
  <c r="AV436" i="5" s="1"/>
  <c r="AA435" i="5"/>
  <c r="AV435" i="5" s="1"/>
  <c r="AA434" i="5"/>
  <c r="AV434" i="5" s="1"/>
  <c r="AA433" i="5"/>
  <c r="AV433" i="5" s="1"/>
  <c r="AA432" i="5"/>
  <c r="AV432" i="5" s="1"/>
  <c r="AA431" i="5"/>
  <c r="AV431" i="5" s="1"/>
  <c r="AA430" i="5"/>
  <c r="AV430" i="5" s="1"/>
  <c r="AA429" i="5"/>
  <c r="AV429" i="5" s="1"/>
  <c r="AA428" i="5"/>
  <c r="AV428" i="5" s="1"/>
  <c r="AA427" i="5"/>
  <c r="AV427" i="5" s="1"/>
  <c r="AA426" i="5"/>
  <c r="AV426" i="5" s="1"/>
  <c r="AA425" i="5"/>
  <c r="AV425" i="5" s="1"/>
  <c r="AA424" i="5"/>
  <c r="AV424" i="5" s="1"/>
  <c r="AA423" i="5"/>
  <c r="AV423" i="5" s="1"/>
  <c r="AA422" i="5"/>
  <c r="AV422" i="5" s="1"/>
  <c r="AA421" i="5"/>
  <c r="AV421" i="5" s="1"/>
  <c r="AA420" i="5"/>
  <c r="AV420" i="5" s="1"/>
  <c r="AA419" i="5"/>
  <c r="AV419" i="5" s="1"/>
  <c r="AA418" i="5"/>
  <c r="AV418" i="5" s="1"/>
  <c r="AA417" i="5"/>
  <c r="AV417" i="5" s="1"/>
  <c r="AA416" i="5"/>
  <c r="AV416" i="5" s="1"/>
  <c r="AA415" i="5"/>
  <c r="AV415" i="5" s="1"/>
  <c r="AA414" i="5"/>
  <c r="AV414" i="5" s="1"/>
  <c r="AA413" i="5"/>
  <c r="AV413" i="5" s="1"/>
  <c r="AA412" i="5"/>
  <c r="AV412" i="5" s="1"/>
  <c r="AA411" i="5"/>
  <c r="AV411" i="5" s="1"/>
  <c r="AA410" i="5"/>
  <c r="AV410" i="5" s="1"/>
  <c r="AA409" i="5"/>
  <c r="AV409" i="5" s="1"/>
  <c r="AA408" i="5"/>
  <c r="AV408" i="5" s="1"/>
  <c r="AA407" i="5"/>
  <c r="AV407" i="5" s="1"/>
  <c r="AA406" i="5"/>
  <c r="AV406" i="5" s="1"/>
  <c r="AA405" i="5"/>
  <c r="AV405" i="5" s="1"/>
  <c r="AA404" i="5"/>
  <c r="AV404" i="5" s="1"/>
  <c r="AA403" i="5"/>
  <c r="AV403" i="5" s="1"/>
  <c r="AA402" i="5"/>
  <c r="AV402" i="5" s="1"/>
  <c r="AA401" i="5"/>
  <c r="AV401" i="5" s="1"/>
  <c r="AA400" i="5"/>
  <c r="AV400" i="5" s="1"/>
  <c r="AA399" i="5"/>
  <c r="AV399" i="5" s="1"/>
  <c r="AA398" i="5"/>
  <c r="AV398" i="5" s="1"/>
  <c r="AA397" i="5"/>
  <c r="AV397" i="5" s="1"/>
  <c r="AA396" i="5"/>
  <c r="AV396" i="5" s="1"/>
  <c r="AA395" i="5"/>
  <c r="AV395" i="5" s="1"/>
  <c r="AA394" i="5"/>
  <c r="AV394" i="5" s="1"/>
  <c r="AA393" i="5"/>
  <c r="AV393" i="5" s="1"/>
  <c r="AA392" i="5"/>
  <c r="AV392" i="5" s="1"/>
  <c r="AA391" i="5"/>
  <c r="AV391" i="5" s="1"/>
  <c r="AA390" i="5"/>
  <c r="AV390" i="5" s="1"/>
  <c r="AA389" i="5"/>
  <c r="AV389" i="5" s="1"/>
  <c r="AA388" i="5"/>
  <c r="AV388" i="5" s="1"/>
  <c r="AA387" i="5"/>
  <c r="AV387" i="5" s="1"/>
  <c r="AA386" i="5"/>
  <c r="AV386" i="5" s="1"/>
  <c r="AA385" i="5"/>
  <c r="AV385" i="5" s="1"/>
  <c r="AA384" i="5"/>
  <c r="AV384" i="5" s="1"/>
  <c r="AA383" i="5"/>
  <c r="AV383" i="5" s="1"/>
  <c r="AA382" i="5"/>
  <c r="AV382" i="5" s="1"/>
  <c r="AA381" i="5"/>
  <c r="AV381" i="5" s="1"/>
  <c r="AA380" i="5"/>
  <c r="AV380" i="5" s="1"/>
  <c r="AA379" i="5"/>
  <c r="AV379" i="5" s="1"/>
  <c r="AA378" i="5"/>
  <c r="AV378" i="5" s="1"/>
  <c r="AA377" i="5"/>
  <c r="AV377" i="5" s="1"/>
  <c r="AA376" i="5"/>
  <c r="AV376" i="5" s="1"/>
  <c r="AA375" i="5"/>
  <c r="AV375" i="5" s="1"/>
  <c r="AA374" i="5"/>
  <c r="AV374" i="5" s="1"/>
  <c r="AA373" i="5"/>
  <c r="AV373" i="5" s="1"/>
  <c r="AA372" i="5"/>
  <c r="AV372" i="5" s="1"/>
  <c r="AA371" i="5"/>
  <c r="AV371" i="5" s="1"/>
  <c r="AA370" i="5"/>
  <c r="AV370" i="5" s="1"/>
  <c r="AA369" i="5"/>
  <c r="AV369" i="5" s="1"/>
  <c r="AA368" i="5"/>
  <c r="AV368" i="5" s="1"/>
  <c r="AA367" i="5"/>
  <c r="AV367" i="5" s="1"/>
  <c r="AA366" i="5"/>
  <c r="AV366" i="5" s="1"/>
  <c r="AA365" i="5"/>
  <c r="AV365" i="5" s="1"/>
  <c r="AA364" i="5"/>
  <c r="AV364" i="5" s="1"/>
  <c r="AA363" i="5"/>
  <c r="AV363" i="5" s="1"/>
  <c r="AA362" i="5"/>
  <c r="AV362" i="5" s="1"/>
  <c r="AA361" i="5"/>
  <c r="AV361" i="5" s="1"/>
  <c r="AA360" i="5"/>
  <c r="AV360" i="5" s="1"/>
  <c r="AA359" i="5"/>
  <c r="AV359" i="5" s="1"/>
  <c r="AA358" i="5"/>
  <c r="AV358" i="5" s="1"/>
  <c r="AA357" i="5"/>
  <c r="AV357" i="5" s="1"/>
  <c r="AA356" i="5"/>
  <c r="AV356" i="5" s="1"/>
  <c r="AA355" i="5"/>
  <c r="AV355" i="5" s="1"/>
  <c r="AA354" i="5"/>
  <c r="AV354" i="5" s="1"/>
  <c r="AA353" i="5"/>
  <c r="AV353" i="5" s="1"/>
  <c r="AA352" i="5"/>
  <c r="AV352" i="5" s="1"/>
  <c r="AA351" i="5"/>
  <c r="AV351" i="5" s="1"/>
  <c r="AA350" i="5"/>
  <c r="AV350" i="5" s="1"/>
  <c r="AA349" i="5"/>
  <c r="AV349" i="5" s="1"/>
  <c r="AA348" i="5"/>
  <c r="AV348" i="5" s="1"/>
  <c r="AA347" i="5"/>
  <c r="AV347" i="5" s="1"/>
  <c r="AA346" i="5"/>
  <c r="AV346" i="5" s="1"/>
  <c r="AA345" i="5"/>
  <c r="AV345" i="5" s="1"/>
  <c r="AA344" i="5"/>
  <c r="AV344" i="5" s="1"/>
  <c r="AA343" i="5"/>
  <c r="AV343" i="5" s="1"/>
  <c r="AA342" i="5"/>
  <c r="AV342" i="5" s="1"/>
  <c r="AA341" i="5"/>
  <c r="AV341" i="5" s="1"/>
  <c r="AA340" i="5"/>
  <c r="AV340" i="5" s="1"/>
  <c r="AA339" i="5"/>
  <c r="AV339" i="5" s="1"/>
  <c r="AA338" i="5"/>
  <c r="AV338" i="5" s="1"/>
  <c r="AA337" i="5"/>
  <c r="AV337" i="5" s="1"/>
  <c r="AA336" i="5"/>
  <c r="AV336" i="5" s="1"/>
  <c r="AA335" i="5"/>
  <c r="AV335" i="5" s="1"/>
  <c r="AA334" i="5"/>
  <c r="AV334" i="5" s="1"/>
  <c r="AA333" i="5"/>
  <c r="AV333" i="5" s="1"/>
  <c r="AA332" i="5"/>
  <c r="AV332" i="5" s="1"/>
  <c r="AA331" i="5"/>
  <c r="AV331" i="5" s="1"/>
  <c r="AA330" i="5"/>
  <c r="AV330" i="5" s="1"/>
  <c r="AA329" i="5"/>
  <c r="AV329" i="5" s="1"/>
  <c r="AA328" i="5"/>
  <c r="AV328" i="5" s="1"/>
  <c r="AA327" i="5"/>
  <c r="AV327" i="5" s="1"/>
  <c r="AA326" i="5"/>
  <c r="AV326" i="5" s="1"/>
  <c r="AA325" i="5"/>
  <c r="AV325" i="5" s="1"/>
  <c r="AA324" i="5"/>
  <c r="AV324" i="5" s="1"/>
  <c r="AA323" i="5"/>
  <c r="AV323" i="5" s="1"/>
  <c r="AA322" i="5"/>
  <c r="AV322" i="5" s="1"/>
  <c r="AA321" i="5"/>
  <c r="AV321" i="5" s="1"/>
  <c r="AA320" i="5"/>
  <c r="AV320" i="5" s="1"/>
  <c r="AA319" i="5"/>
  <c r="AV319" i="5" s="1"/>
  <c r="AA318" i="5"/>
  <c r="AV318" i="5" s="1"/>
  <c r="AA317" i="5"/>
  <c r="AV317" i="5" s="1"/>
  <c r="AA316" i="5"/>
  <c r="AV316" i="5" s="1"/>
  <c r="AA315" i="5"/>
  <c r="AV315" i="5" s="1"/>
  <c r="AA314" i="5"/>
  <c r="AV314" i="5" s="1"/>
  <c r="AA313" i="5"/>
  <c r="AV313" i="5" s="1"/>
  <c r="AA312" i="5"/>
  <c r="AV312" i="5" s="1"/>
  <c r="AA311" i="5"/>
  <c r="AV311" i="5" s="1"/>
  <c r="AA310" i="5"/>
  <c r="AV310" i="5" s="1"/>
  <c r="AA309" i="5"/>
  <c r="AV309" i="5" s="1"/>
  <c r="AA308" i="5"/>
  <c r="AV308" i="5" s="1"/>
  <c r="AA307" i="5"/>
  <c r="AV307" i="5" s="1"/>
  <c r="AA306" i="5"/>
  <c r="AV306" i="5" s="1"/>
  <c r="AA305" i="5"/>
  <c r="AV305" i="5" s="1"/>
  <c r="AA304" i="5"/>
  <c r="AV304" i="5" s="1"/>
  <c r="AA303" i="5"/>
  <c r="AV303" i="5" s="1"/>
  <c r="AA302" i="5"/>
  <c r="AV302" i="5" s="1"/>
  <c r="AA301" i="5"/>
  <c r="AV301" i="5" s="1"/>
  <c r="AA300" i="5"/>
  <c r="AV300" i="5" s="1"/>
  <c r="AA299" i="5"/>
  <c r="AV299" i="5" s="1"/>
  <c r="AA298" i="5"/>
  <c r="AV298" i="5" s="1"/>
  <c r="AA297" i="5"/>
  <c r="AV297" i="5" s="1"/>
  <c r="AA296" i="5"/>
  <c r="AV296" i="5" s="1"/>
  <c r="AA295" i="5"/>
  <c r="AV295" i="5" s="1"/>
  <c r="AA294" i="5"/>
  <c r="AV294" i="5" s="1"/>
  <c r="AA293" i="5"/>
  <c r="AV293" i="5" s="1"/>
  <c r="AA292" i="5"/>
  <c r="AV292" i="5" s="1"/>
  <c r="AA291" i="5"/>
  <c r="AV291" i="5" s="1"/>
  <c r="AA290" i="5"/>
  <c r="AV290" i="5" s="1"/>
  <c r="AA289" i="5"/>
  <c r="AV289" i="5" s="1"/>
  <c r="AA288" i="5"/>
  <c r="AV288" i="5" s="1"/>
  <c r="AA287" i="5"/>
  <c r="AV287" i="5" s="1"/>
  <c r="AA286" i="5"/>
  <c r="AV286" i="5" s="1"/>
  <c r="AA285" i="5"/>
  <c r="AV285" i="5" s="1"/>
  <c r="AA284" i="5"/>
  <c r="AV284" i="5" s="1"/>
  <c r="AA283" i="5"/>
  <c r="AV283" i="5" s="1"/>
  <c r="AA282" i="5"/>
  <c r="AV282" i="5" s="1"/>
  <c r="AA281" i="5"/>
  <c r="AV281" i="5" s="1"/>
  <c r="AA280" i="5"/>
  <c r="AV280" i="5" s="1"/>
  <c r="AA279" i="5"/>
  <c r="AV279" i="5" s="1"/>
  <c r="AA278" i="5"/>
  <c r="AV278" i="5" s="1"/>
  <c r="AA277" i="5"/>
  <c r="AV277" i="5" s="1"/>
  <c r="AA276" i="5"/>
  <c r="AV276" i="5" s="1"/>
  <c r="AA275" i="5"/>
  <c r="AV275" i="5" s="1"/>
  <c r="AA274" i="5"/>
  <c r="AV274" i="5" s="1"/>
  <c r="AA273" i="5"/>
  <c r="AV273" i="5" s="1"/>
  <c r="AA272" i="5"/>
  <c r="AV272" i="5" s="1"/>
  <c r="AA271" i="5"/>
  <c r="AV271" i="5" s="1"/>
  <c r="AA270" i="5"/>
  <c r="AV270" i="5" s="1"/>
  <c r="AA269" i="5"/>
  <c r="AV269" i="5" s="1"/>
  <c r="AA268" i="5"/>
  <c r="AV268" i="5" s="1"/>
  <c r="AA267" i="5"/>
  <c r="AV267" i="5" s="1"/>
  <c r="AA266" i="5"/>
  <c r="AV266" i="5" s="1"/>
  <c r="AA265" i="5"/>
  <c r="AV265" i="5" s="1"/>
  <c r="AA264" i="5"/>
  <c r="AV264" i="5" s="1"/>
  <c r="AA263" i="5"/>
  <c r="AV263" i="5" s="1"/>
  <c r="AA262" i="5"/>
  <c r="AV262" i="5" s="1"/>
  <c r="AA261" i="5"/>
  <c r="AV261" i="5" s="1"/>
  <c r="AA260" i="5"/>
  <c r="AV260" i="5" s="1"/>
  <c r="AA259" i="5"/>
  <c r="AV259" i="5" s="1"/>
  <c r="AA258" i="5"/>
  <c r="AV258" i="5" s="1"/>
  <c r="AA257" i="5"/>
  <c r="AV257" i="5" s="1"/>
  <c r="AA256" i="5"/>
  <c r="AV256" i="5" s="1"/>
  <c r="AA255" i="5"/>
  <c r="AV255" i="5" s="1"/>
  <c r="AA254" i="5"/>
  <c r="AV254" i="5" s="1"/>
  <c r="AA253" i="5"/>
  <c r="AV253" i="5" s="1"/>
  <c r="AA252" i="5"/>
  <c r="AV252" i="5" s="1"/>
  <c r="AA251" i="5"/>
  <c r="AV251" i="5" s="1"/>
  <c r="AA250" i="5"/>
  <c r="AV250" i="5" s="1"/>
  <c r="AA249" i="5"/>
  <c r="AV249" i="5" s="1"/>
  <c r="AA248" i="5"/>
  <c r="AV248" i="5" s="1"/>
  <c r="AA247" i="5"/>
  <c r="AV247" i="5" s="1"/>
  <c r="AA246" i="5"/>
  <c r="AV246" i="5" s="1"/>
  <c r="AA245" i="5"/>
  <c r="AV245" i="5" s="1"/>
  <c r="AA244" i="5"/>
  <c r="AV244" i="5" s="1"/>
  <c r="AA243" i="5"/>
  <c r="AV243" i="5" s="1"/>
  <c r="AA242" i="5"/>
  <c r="AV242" i="5" s="1"/>
  <c r="AA241" i="5"/>
  <c r="AV241" i="5" s="1"/>
  <c r="AA240" i="5"/>
  <c r="AV240" i="5" s="1"/>
  <c r="AA239" i="5"/>
  <c r="AV239" i="5" s="1"/>
  <c r="AA238" i="5"/>
  <c r="AV238" i="5" s="1"/>
  <c r="AA237" i="5"/>
  <c r="AV237" i="5" s="1"/>
  <c r="AA236" i="5"/>
  <c r="AV236" i="5" s="1"/>
  <c r="AA235" i="5"/>
  <c r="AV235" i="5" s="1"/>
  <c r="AA234" i="5"/>
  <c r="AV234" i="5" s="1"/>
  <c r="AA233" i="5"/>
  <c r="AV233" i="5" s="1"/>
  <c r="AA232" i="5"/>
  <c r="AV232" i="5" s="1"/>
  <c r="AA231" i="5"/>
  <c r="AV231" i="5" s="1"/>
  <c r="AA230" i="5"/>
  <c r="AV230" i="5" s="1"/>
  <c r="AA229" i="5"/>
  <c r="AV229" i="5" s="1"/>
  <c r="AA228" i="5"/>
  <c r="AV228" i="5" s="1"/>
  <c r="AA227" i="5"/>
  <c r="AV227" i="5" s="1"/>
  <c r="AA226" i="5"/>
  <c r="AV226" i="5" s="1"/>
  <c r="AA225" i="5"/>
  <c r="AV225" i="5" s="1"/>
  <c r="AA224" i="5"/>
  <c r="AV224" i="5" s="1"/>
  <c r="AA223" i="5"/>
  <c r="AV223" i="5" s="1"/>
  <c r="AA222" i="5"/>
  <c r="AV222" i="5" s="1"/>
  <c r="AA221" i="5"/>
  <c r="AV221" i="5" s="1"/>
  <c r="AA220" i="5"/>
  <c r="AV220" i="5" s="1"/>
  <c r="AA219" i="5"/>
  <c r="AV219" i="5" s="1"/>
  <c r="AA218" i="5"/>
  <c r="AV218" i="5" s="1"/>
  <c r="AA217" i="5"/>
  <c r="AV217" i="5" s="1"/>
  <c r="AA216" i="5"/>
  <c r="AV216" i="5" s="1"/>
  <c r="AA215" i="5"/>
  <c r="AV215" i="5" s="1"/>
  <c r="AA214" i="5"/>
  <c r="AV214" i="5" s="1"/>
  <c r="AA213" i="5"/>
  <c r="AV213" i="5" s="1"/>
  <c r="AA212" i="5"/>
  <c r="AV212" i="5" s="1"/>
  <c r="AA211" i="5"/>
  <c r="AV211" i="5" s="1"/>
  <c r="AA210" i="5"/>
  <c r="AV210" i="5" s="1"/>
  <c r="AA209" i="5"/>
  <c r="AV209" i="5" s="1"/>
  <c r="AA208" i="5"/>
  <c r="AV208" i="5" s="1"/>
  <c r="AA207" i="5"/>
  <c r="AV207" i="5" s="1"/>
  <c r="AA206" i="5"/>
  <c r="AV206" i="5" s="1"/>
  <c r="AA205" i="5"/>
  <c r="AV205" i="5" s="1"/>
  <c r="AA204" i="5"/>
  <c r="AV204" i="5" s="1"/>
  <c r="AA203" i="5"/>
  <c r="AV203" i="5" s="1"/>
  <c r="AA202" i="5"/>
  <c r="AV202" i="5" s="1"/>
  <c r="AA201" i="5"/>
  <c r="AV201" i="5" s="1"/>
  <c r="AA200" i="5"/>
  <c r="AV200" i="5" s="1"/>
  <c r="AA199" i="5"/>
  <c r="AV199" i="5" s="1"/>
  <c r="AA198" i="5"/>
  <c r="AV198" i="5" s="1"/>
  <c r="AA197" i="5"/>
  <c r="AV197" i="5" s="1"/>
  <c r="AA196" i="5"/>
  <c r="AV196" i="5" s="1"/>
  <c r="AA195" i="5"/>
  <c r="AV195" i="5" s="1"/>
  <c r="AA194" i="5"/>
  <c r="AV194" i="5" s="1"/>
  <c r="AA193" i="5"/>
  <c r="AV193" i="5" s="1"/>
  <c r="AA192" i="5"/>
  <c r="AV192" i="5" s="1"/>
  <c r="AA191" i="5"/>
  <c r="AV191" i="5" s="1"/>
  <c r="AA190" i="5"/>
  <c r="AV190" i="5" s="1"/>
  <c r="AA189" i="5"/>
  <c r="AV189" i="5" s="1"/>
  <c r="AA188" i="5"/>
  <c r="AV188" i="5" s="1"/>
  <c r="AA187" i="5"/>
  <c r="AV187" i="5" s="1"/>
  <c r="AA186" i="5"/>
  <c r="AV186" i="5" s="1"/>
  <c r="AA185" i="5"/>
  <c r="AV185" i="5" s="1"/>
  <c r="AA184" i="5"/>
  <c r="AV184" i="5" s="1"/>
  <c r="AA183" i="5"/>
  <c r="AV183" i="5" s="1"/>
  <c r="AA182" i="5"/>
  <c r="AV182" i="5" s="1"/>
  <c r="AA181" i="5"/>
  <c r="AV181" i="5" s="1"/>
  <c r="AA180" i="5"/>
  <c r="AV180" i="5" s="1"/>
  <c r="AA179" i="5"/>
  <c r="AV179" i="5" s="1"/>
  <c r="AA178" i="5"/>
  <c r="AV178" i="5" s="1"/>
  <c r="AA177" i="5"/>
  <c r="AV177" i="5" s="1"/>
  <c r="AA176" i="5"/>
  <c r="AV176" i="5" s="1"/>
  <c r="AA175" i="5"/>
  <c r="AV175" i="5" s="1"/>
  <c r="AA174" i="5"/>
  <c r="AV174" i="5" s="1"/>
  <c r="AA173" i="5"/>
  <c r="AV173" i="5" s="1"/>
  <c r="AA172" i="5"/>
  <c r="AV172" i="5" s="1"/>
  <c r="AA171" i="5"/>
  <c r="AV171" i="5" s="1"/>
  <c r="AA170" i="5"/>
  <c r="AV170" i="5" s="1"/>
  <c r="AA169" i="5"/>
  <c r="AV169" i="5" s="1"/>
  <c r="AA168" i="5"/>
  <c r="AV168" i="5" s="1"/>
  <c r="AA167" i="5"/>
  <c r="AV167" i="5" s="1"/>
  <c r="AA166" i="5"/>
  <c r="AV166" i="5" s="1"/>
  <c r="AA165" i="5"/>
  <c r="AV165" i="5" s="1"/>
  <c r="AA164" i="5"/>
  <c r="AV164" i="5" s="1"/>
  <c r="AA163" i="5"/>
  <c r="AV163" i="5" s="1"/>
  <c r="AA162" i="5"/>
  <c r="AV162" i="5" s="1"/>
  <c r="AA161" i="5"/>
  <c r="AV161" i="5" s="1"/>
  <c r="AA160" i="5"/>
  <c r="AV160" i="5" s="1"/>
  <c r="AA159" i="5"/>
  <c r="AV159" i="5" s="1"/>
  <c r="AA158" i="5"/>
  <c r="AV158" i="5" s="1"/>
  <c r="AA157" i="5"/>
  <c r="AV157" i="5" s="1"/>
  <c r="AA156" i="5"/>
  <c r="AV156" i="5" s="1"/>
  <c r="AA155" i="5"/>
  <c r="AV155" i="5" s="1"/>
  <c r="AA154" i="5"/>
  <c r="AV154" i="5" s="1"/>
  <c r="AA153" i="5"/>
  <c r="AV153" i="5" s="1"/>
  <c r="AA152" i="5"/>
  <c r="AV152" i="5" s="1"/>
  <c r="AA151" i="5"/>
  <c r="AV151" i="5" s="1"/>
  <c r="AA150" i="5"/>
  <c r="AV150" i="5" s="1"/>
  <c r="AA149" i="5"/>
  <c r="AV149" i="5" s="1"/>
  <c r="AA148" i="5"/>
  <c r="AV148" i="5" s="1"/>
  <c r="AA147" i="5"/>
  <c r="AV147" i="5" s="1"/>
  <c r="AA146" i="5"/>
  <c r="AV146" i="5" s="1"/>
  <c r="AA145" i="5"/>
  <c r="AV145" i="5" s="1"/>
  <c r="AA144" i="5"/>
  <c r="AV144" i="5" s="1"/>
  <c r="AA143" i="5"/>
  <c r="AV143" i="5" s="1"/>
  <c r="AA142" i="5"/>
  <c r="AV142" i="5" s="1"/>
  <c r="AA141" i="5"/>
  <c r="AV141" i="5" s="1"/>
  <c r="AA140" i="5"/>
  <c r="AV140" i="5" s="1"/>
  <c r="AA139" i="5"/>
  <c r="AV139" i="5" s="1"/>
  <c r="AA138" i="5"/>
  <c r="AV138" i="5" s="1"/>
  <c r="AA137" i="5"/>
  <c r="AV137" i="5" s="1"/>
  <c r="AA136" i="5"/>
  <c r="AV136" i="5" s="1"/>
  <c r="AA135" i="5"/>
  <c r="AV135" i="5" s="1"/>
  <c r="AA134" i="5"/>
  <c r="AV134" i="5" s="1"/>
  <c r="AA133" i="5"/>
  <c r="AV133" i="5" s="1"/>
  <c r="AA132" i="5"/>
  <c r="AV132" i="5" s="1"/>
  <c r="AA131" i="5"/>
  <c r="AV131" i="5" s="1"/>
  <c r="AA130" i="5"/>
  <c r="AV130" i="5" s="1"/>
  <c r="AA129" i="5"/>
  <c r="AV129" i="5" s="1"/>
  <c r="AA128" i="5"/>
  <c r="AV128" i="5" s="1"/>
  <c r="AA127" i="5"/>
  <c r="AV127" i="5" s="1"/>
  <c r="AA126" i="5"/>
  <c r="AV126" i="5" s="1"/>
  <c r="AA125" i="5"/>
  <c r="AV125" i="5" s="1"/>
  <c r="AA124" i="5"/>
  <c r="AV124" i="5" s="1"/>
  <c r="AA123" i="5"/>
  <c r="AV123" i="5" s="1"/>
  <c r="AA122" i="5"/>
  <c r="AV122" i="5" s="1"/>
  <c r="AA121" i="5"/>
  <c r="AV121" i="5" s="1"/>
  <c r="AA120" i="5"/>
  <c r="AV120" i="5" s="1"/>
  <c r="AA119" i="5"/>
  <c r="AV119" i="5" s="1"/>
  <c r="AA118" i="5"/>
  <c r="AV118" i="5" s="1"/>
  <c r="AA117" i="5"/>
  <c r="AV117" i="5" s="1"/>
  <c r="AA116" i="5"/>
  <c r="AV116" i="5" s="1"/>
  <c r="AA115" i="5"/>
  <c r="AV115" i="5" s="1"/>
  <c r="AA114" i="5"/>
  <c r="AV114" i="5" s="1"/>
  <c r="AA113" i="5"/>
  <c r="AV113" i="5" s="1"/>
  <c r="AA112" i="5"/>
  <c r="AV112" i="5" s="1"/>
  <c r="AA111" i="5"/>
  <c r="AV111" i="5" s="1"/>
  <c r="AA110" i="5"/>
  <c r="AV110" i="5" s="1"/>
  <c r="AA109" i="5"/>
  <c r="AV109" i="5" s="1"/>
  <c r="AA108" i="5"/>
  <c r="AV108" i="5" s="1"/>
  <c r="AA107" i="5"/>
  <c r="AV107" i="5" s="1"/>
  <c r="AA106" i="5"/>
  <c r="AV106" i="5" s="1"/>
  <c r="AA105" i="5"/>
  <c r="AV105" i="5" s="1"/>
  <c r="AA104" i="5"/>
  <c r="AV104" i="5" s="1"/>
  <c r="AA103" i="5"/>
  <c r="AV103" i="5" s="1"/>
  <c r="AA102" i="5"/>
  <c r="AV102" i="5" s="1"/>
  <c r="AA101" i="5"/>
  <c r="AV101" i="5" s="1"/>
  <c r="AA100" i="5"/>
  <c r="AV100" i="5" s="1"/>
  <c r="AA99" i="5"/>
  <c r="AV99" i="5" s="1"/>
  <c r="AA98" i="5"/>
  <c r="AV98" i="5" s="1"/>
  <c r="AA97" i="5"/>
  <c r="AV97" i="5" s="1"/>
  <c r="AA96" i="5"/>
  <c r="AV96" i="5" s="1"/>
  <c r="AA95" i="5"/>
  <c r="AV95" i="5" s="1"/>
  <c r="AA94" i="5"/>
  <c r="AV94" i="5" s="1"/>
  <c r="AA93" i="5"/>
  <c r="AV93" i="5" s="1"/>
  <c r="AA92" i="5"/>
  <c r="AV92" i="5" s="1"/>
  <c r="AA91" i="5"/>
  <c r="AV91" i="5" s="1"/>
  <c r="AA90" i="5"/>
  <c r="AV90" i="5" s="1"/>
  <c r="AA89" i="5"/>
  <c r="AV89" i="5" s="1"/>
  <c r="AA88" i="5"/>
  <c r="AV88" i="5" s="1"/>
  <c r="AA87" i="5"/>
  <c r="AV87" i="5" s="1"/>
  <c r="AA86" i="5"/>
  <c r="AV86" i="5" s="1"/>
  <c r="AA85" i="5"/>
  <c r="AV85" i="5" s="1"/>
  <c r="AA84" i="5"/>
  <c r="AV84" i="5" s="1"/>
  <c r="AA83" i="5"/>
  <c r="AV83" i="5" s="1"/>
  <c r="AA82" i="5"/>
  <c r="AV82" i="5" s="1"/>
  <c r="AA81" i="5"/>
  <c r="AV81" i="5" s="1"/>
  <c r="AA80" i="5"/>
  <c r="AV80" i="5" s="1"/>
  <c r="AA79" i="5"/>
  <c r="AV79" i="5" s="1"/>
  <c r="AA78" i="5"/>
  <c r="AV78" i="5" s="1"/>
  <c r="AA77" i="5"/>
  <c r="AV77" i="5" s="1"/>
  <c r="AA76" i="5"/>
  <c r="AV76" i="5" s="1"/>
  <c r="AA75" i="5"/>
  <c r="AV75" i="5" s="1"/>
  <c r="AA74" i="5"/>
  <c r="AV74" i="5" s="1"/>
  <c r="AA73" i="5"/>
  <c r="AV73" i="5" s="1"/>
  <c r="AA72" i="5"/>
  <c r="AV72" i="5" s="1"/>
  <c r="AA71" i="5"/>
  <c r="AV71" i="5" s="1"/>
  <c r="AA70" i="5"/>
  <c r="AV70" i="5" s="1"/>
  <c r="AA69" i="5"/>
  <c r="AV69" i="5" s="1"/>
  <c r="AA68" i="5"/>
  <c r="AV68" i="5" s="1"/>
  <c r="AA67" i="5"/>
  <c r="AV67" i="5" s="1"/>
  <c r="AA66" i="5"/>
  <c r="AV66" i="5" s="1"/>
  <c r="AA65" i="5"/>
  <c r="AV65" i="5" s="1"/>
  <c r="AA64" i="5"/>
  <c r="AV64" i="5" s="1"/>
  <c r="AA63" i="5"/>
  <c r="AV63" i="5" s="1"/>
  <c r="AA62" i="5"/>
  <c r="AV62" i="5" s="1"/>
  <c r="AA61" i="5"/>
  <c r="AV61" i="5" s="1"/>
  <c r="AA60" i="5"/>
  <c r="AV60" i="5" s="1"/>
  <c r="AA59" i="5"/>
  <c r="AV59" i="5" s="1"/>
  <c r="AA58" i="5"/>
  <c r="AV58" i="5" s="1"/>
  <c r="AA57" i="5"/>
  <c r="AV57" i="5" s="1"/>
  <c r="AA56" i="5"/>
  <c r="AV56" i="5" s="1"/>
  <c r="AA55" i="5"/>
  <c r="AV55" i="5" s="1"/>
  <c r="AA54" i="5"/>
  <c r="AV54" i="5" s="1"/>
  <c r="AA53" i="5"/>
  <c r="AV53" i="5" s="1"/>
  <c r="AA52" i="5"/>
  <c r="AV52" i="5" s="1"/>
  <c r="AA51" i="5"/>
  <c r="AV51" i="5" s="1"/>
  <c r="AA50" i="5"/>
  <c r="AV50" i="5" s="1"/>
  <c r="AA49" i="5"/>
  <c r="AV49" i="5" s="1"/>
  <c r="AA48" i="5"/>
  <c r="AV48" i="5" s="1"/>
  <c r="AA47" i="5"/>
  <c r="AV47" i="5" s="1"/>
  <c r="AA46" i="5"/>
  <c r="AV46" i="5" s="1"/>
  <c r="AA45" i="5"/>
  <c r="AV45" i="5" s="1"/>
  <c r="AA44" i="5"/>
  <c r="AV44" i="5" s="1"/>
  <c r="AA43" i="5"/>
  <c r="AV43" i="5" s="1"/>
  <c r="AA42" i="5"/>
  <c r="AV42" i="5" s="1"/>
  <c r="AA41" i="5"/>
  <c r="AV41" i="5" s="1"/>
  <c r="AA40" i="5"/>
  <c r="AV40" i="5" s="1"/>
  <c r="AA39" i="5"/>
  <c r="AV39" i="5" s="1"/>
  <c r="AA38" i="5"/>
  <c r="AV38" i="5" s="1"/>
  <c r="AA37" i="5"/>
  <c r="AV37" i="5" s="1"/>
  <c r="AA36" i="5"/>
  <c r="AV36" i="5" s="1"/>
  <c r="AA35" i="5"/>
  <c r="AV35" i="5" s="1"/>
  <c r="AA34" i="5"/>
  <c r="AV34" i="5" s="1"/>
  <c r="AA33" i="5"/>
  <c r="AV33" i="5" s="1"/>
  <c r="AA32" i="5"/>
  <c r="AV32" i="5" s="1"/>
  <c r="AA31" i="5"/>
  <c r="AV31" i="5" s="1"/>
  <c r="AA30" i="5"/>
  <c r="AV30" i="5" s="1"/>
  <c r="AA29" i="5"/>
  <c r="AV29" i="5" s="1"/>
  <c r="AA28" i="5"/>
  <c r="AV28" i="5" s="1"/>
  <c r="AA27" i="5"/>
  <c r="AV27" i="5" s="1"/>
  <c r="AA26" i="5"/>
  <c r="AV26" i="5" s="1"/>
  <c r="AA25" i="5"/>
  <c r="AV25" i="5" s="1"/>
  <c r="AA24" i="5"/>
  <c r="AV24" i="5" s="1"/>
  <c r="AA23" i="5"/>
  <c r="AV23" i="5" s="1"/>
  <c r="AA22" i="5"/>
  <c r="AV22" i="5" s="1"/>
  <c r="AA21" i="5"/>
  <c r="AV21" i="5" s="1"/>
  <c r="AA20" i="5"/>
  <c r="AV20" i="5" s="1"/>
  <c r="AA19" i="5"/>
  <c r="AV19" i="5" s="1"/>
  <c r="AA18" i="5"/>
  <c r="AV18" i="5" s="1"/>
  <c r="AA17" i="5"/>
  <c r="AV17" i="5" s="1"/>
  <c r="AA16" i="5"/>
  <c r="AV16" i="5" s="1"/>
  <c r="AA15" i="5"/>
  <c r="AV15" i="5" s="1"/>
  <c r="AA14" i="5"/>
  <c r="AV14" i="5" s="1"/>
  <c r="AA13" i="5"/>
  <c r="AV13" i="5" s="1"/>
  <c r="AA12" i="5"/>
  <c r="AV12" i="5" s="1"/>
  <c r="AA11" i="5"/>
  <c r="AV11" i="5" s="1"/>
  <c r="AA10" i="5"/>
  <c r="AV10" i="5" s="1"/>
  <c r="AA9" i="5"/>
  <c r="AV9" i="5" s="1"/>
  <c r="AA8" i="5"/>
  <c r="AV8" i="5" s="1"/>
  <c r="Y646" i="5"/>
  <c r="Y643" i="5"/>
  <c r="AU643" i="5" s="1"/>
  <c r="Y642" i="5"/>
  <c r="AU642" i="5" s="1"/>
  <c r="Y641" i="5"/>
  <c r="AU641" i="5" s="1"/>
  <c r="Y640" i="5"/>
  <c r="AU640" i="5" s="1"/>
  <c r="Y639" i="5"/>
  <c r="AU639" i="5" s="1"/>
  <c r="Y638" i="5"/>
  <c r="AU638" i="5" s="1"/>
  <c r="Y637" i="5"/>
  <c r="AU637" i="5" s="1"/>
  <c r="Y636" i="5"/>
  <c r="AU636" i="5" s="1"/>
  <c r="Y635" i="5"/>
  <c r="AU635" i="5" s="1"/>
  <c r="Y634" i="5"/>
  <c r="AU634" i="5" s="1"/>
  <c r="Y633" i="5"/>
  <c r="AU633" i="5" s="1"/>
  <c r="Y632" i="5"/>
  <c r="AU632" i="5" s="1"/>
  <c r="Y631" i="5"/>
  <c r="AU631" i="5" s="1"/>
  <c r="Y630" i="5"/>
  <c r="AU630" i="5" s="1"/>
  <c r="Y629" i="5"/>
  <c r="AU629" i="5" s="1"/>
  <c r="Y628" i="5"/>
  <c r="AU628" i="5" s="1"/>
  <c r="Y627" i="5"/>
  <c r="AU627" i="5" s="1"/>
  <c r="Y626" i="5"/>
  <c r="AU626" i="5" s="1"/>
  <c r="Y625" i="5"/>
  <c r="AU625" i="5" s="1"/>
  <c r="Y624" i="5"/>
  <c r="AU624" i="5" s="1"/>
  <c r="Y623" i="5"/>
  <c r="AU623" i="5" s="1"/>
  <c r="Y622" i="5"/>
  <c r="AU622" i="5" s="1"/>
  <c r="Y621" i="5"/>
  <c r="AU621" i="5" s="1"/>
  <c r="Y620" i="5"/>
  <c r="AU620" i="5" s="1"/>
  <c r="Y619" i="5"/>
  <c r="AU619" i="5" s="1"/>
  <c r="Y618" i="5"/>
  <c r="AU618" i="5" s="1"/>
  <c r="Y617" i="5"/>
  <c r="AU617" i="5" s="1"/>
  <c r="Y616" i="5"/>
  <c r="AU616" i="5" s="1"/>
  <c r="Y615" i="5"/>
  <c r="AU615" i="5" s="1"/>
  <c r="Y614" i="5"/>
  <c r="AU614" i="5" s="1"/>
  <c r="Y613" i="5"/>
  <c r="AU613" i="5" s="1"/>
  <c r="Y612" i="5"/>
  <c r="AU612" i="5" s="1"/>
  <c r="Y611" i="5"/>
  <c r="AU611" i="5" s="1"/>
  <c r="Y610" i="5"/>
  <c r="AU610" i="5" s="1"/>
  <c r="Y609" i="5"/>
  <c r="AU609" i="5" s="1"/>
  <c r="Y608" i="5"/>
  <c r="AU608" i="5" s="1"/>
  <c r="Y607" i="5"/>
  <c r="AU607" i="5" s="1"/>
  <c r="Y606" i="5"/>
  <c r="AU606" i="5" s="1"/>
  <c r="Y605" i="5"/>
  <c r="AU605" i="5" s="1"/>
  <c r="Y604" i="5"/>
  <c r="AU604" i="5" s="1"/>
  <c r="Y603" i="5"/>
  <c r="AU603" i="5" s="1"/>
  <c r="Y602" i="5"/>
  <c r="AU602" i="5" s="1"/>
  <c r="Y601" i="5"/>
  <c r="AU601" i="5" s="1"/>
  <c r="Y600" i="5"/>
  <c r="AU600" i="5" s="1"/>
  <c r="Y599" i="5"/>
  <c r="AU599" i="5" s="1"/>
  <c r="Y598" i="5"/>
  <c r="AU598" i="5" s="1"/>
  <c r="Y597" i="5"/>
  <c r="AU597" i="5" s="1"/>
  <c r="Y596" i="5"/>
  <c r="AU596" i="5" s="1"/>
  <c r="Y595" i="5"/>
  <c r="AU595" i="5" s="1"/>
  <c r="Y594" i="5"/>
  <c r="AU594" i="5" s="1"/>
  <c r="Y593" i="5"/>
  <c r="AU593" i="5" s="1"/>
  <c r="Y592" i="5"/>
  <c r="AU592" i="5" s="1"/>
  <c r="Y590" i="5"/>
  <c r="AU590" i="5" s="1"/>
  <c r="Y589" i="5"/>
  <c r="Y588" i="5"/>
  <c r="AU588" i="5" s="1"/>
  <c r="Y587" i="5"/>
  <c r="AU587" i="5" s="1"/>
  <c r="Y586" i="5"/>
  <c r="AU586" i="5" s="1"/>
  <c r="Y585" i="5"/>
  <c r="AU585" i="5" s="1"/>
  <c r="Y584" i="5"/>
  <c r="AU584" i="5" s="1"/>
  <c r="Y583" i="5"/>
  <c r="AU583" i="5" s="1"/>
  <c r="Y582" i="5"/>
  <c r="AU582" i="5" s="1"/>
  <c r="Y581" i="5"/>
  <c r="AU581" i="5" s="1"/>
  <c r="Y580" i="5"/>
  <c r="AU580" i="5" s="1"/>
  <c r="Y579" i="5"/>
  <c r="AU579" i="5" s="1"/>
  <c r="Y578" i="5"/>
  <c r="AU578" i="5" s="1"/>
  <c r="Y577" i="5"/>
  <c r="AU577" i="5" s="1"/>
  <c r="Y576" i="5"/>
  <c r="AU576" i="5" s="1"/>
  <c r="Y575" i="5"/>
  <c r="AU575" i="5" s="1"/>
  <c r="Y574" i="5"/>
  <c r="AU574" i="5" s="1"/>
  <c r="Y573" i="5"/>
  <c r="AU573" i="5" s="1"/>
  <c r="Y572" i="5"/>
  <c r="AU572" i="5" s="1"/>
  <c r="Y571" i="5"/>
  <c r="AU571" i="5" s="1"/>
  <c r="Y570" i="5"/>
  <c r="AU570" i="5" s="1"/>
  <c r="Y569" i="5"/>
  <c r="AU569" i="5" s="1"/>
  <c r="Y568" i="5"/>
  <c r="AU568" i="5" s="1"/>
  <c r="Y567" i="5"/>
  <c r="AU567" i="5" s="1"/>
  <c r="Y566" i="5"/>
  <c r="AU566" i="5" s="1"/>
  <c r="Y565" i="5"/>
  <c r="AU565" i="5" s="1"/>
  <c r="Y564" i="5"/>
  <c r="AU564" i="5" s="1"/>
  <c r="Y563" i="5"/>
  <c r="AU563" i="5" s="1"/>
  <c r="Y562" i="5"/>
  <c r="AU562" i="5" s="1"/>
  <c r="Y561" i="5"/>
  <c r="AU561" i="5" s="1"/>
  <c r="Y560" i="5"/>
  <c r="AU560" i="5" s="1"/>
  <c r="Y559" i="5"/>
  <c r="AU559" i="5" s="1"/>
  <c r="Y558" i="5"/>
  <c r="AU558" i="5" s="1"/>
  <c r="Y557" i="5"/>
  <c r="AU557" i="5" s="1"/>
  <c r="Y556" i="5"/>
  <c r="AU556" i="5" s="1"/>
  <c r="Y555" i="5"/>
  <c r="AU555" i="5" s="1"/>
  <c r="Y554" i="5"/>
  <c r="AU554" i="5" s="1"/>
  <c r="Y553" i="5"/>
  <c r="AU553" i="5" s="1"/>
  <c r="Y552" i="5"/>
  <c r="AU552" i="5" s="1"/>
  <c r="Y551" i="5"/>
  <c r="AU551" i="5" s="1"/>
  <c r="Y550" i="5"/>
  <c r="AU550" i="5" s="1"/>
  <c r="Y549" i="5"/>
  <c r="AU549" i="5" s="1"/>
  <c r="Y548" i="5"/>
  <c r="AU548" i="5" s="1"/>
  <c r="Y547" i="5"/>
  <c r="AU547" i="5" s="1"/>
  <c r="Y546" i="5"/>
  <c r="AU546" i="5" s="1"/>
  <c r="Y545" i="5"/>
  <c r="AU545" i="5" s="1"/>
  <c r="Y544" i="5"/>
  <c r="AU544" i="5" s="1"/>
  <c r="Y543" i="5"/>
  <c r="AU543" i="5" s="1"/>
  <c r="Y542" i="5"/>
  <c r="AU542" i="5" s="1"/>
  <c r="Y541" i="5"/>
  <c r="AU541" i="5" s="1"/>
  <c r="Y540" i="5"/>
  <c r="AU540" i="5" s="1"/>
  <c r="Y539" i="5"/>
  <c r="AU539" i="5" s="1"/>
  <c r="Y538" i="5"/>
  <c r="AU538" i="5" s="1"/>
  <c r="Y537" i="5"/>
  <c r="AU537" i="5" s="1"/>
  <c r="Y536" i="5"/>
  <c r="AU536" i="5" s="1"/>
  <c r="Y535" i="5"/>
  <c r="AU535" i="5" s="1"/>
  <c r="Y534" i="5"/>
  <c r="AU534" i="5" s="1"/>
  <c r="Y533" i="5"/>
  <c r="AU533" i="5" s="1"/>
  <c r="Y532" i="5"/>
  <c r="AU532" i="5" s="1"/>
  <c r="Y531" i="5"/>
  <c r="AU531" i="5" s="1"/>
  <c r="Y530" i="5"/>
  <c r="AU530" i="5" s="1"/>
  <c r="Y529" i="5"/>
  <c r="AU529" i="5" s="1"/>
  <c r="Y528" i="5"/>
  <c r="AU528" i="5" s="1"/>
  <c r="Y527" i="5"/>
  <c r="AU527" i="5" s="1"/>
  <c r="Y526" i="5"/>
  <c r="AU526" i="5" s="1"/>
  <c r="Y525" i="5"/>
  <c r="AU525" i="5" s="1"/>
  <c r="Y524" i="5"/>
  <c r="AU524" i="5" s="1"/>
  <c r="Y523" i="5"/>
  <c r="AU523" i="5" s="1"/>
  <c r="Y522" i="5"/>
  <c r="AU522" i="5" s="1"/>
  <c r="Y521" i="5"/>
  <c r="AU521" i="5" s="1"/>
  <c r="Y520" i="5"/>
  <c r="AU520" i="5" s="1"/>
  <c r="Y519" i="5"/>
  <c r="AU519" i="5" s="1"/>
  <c r="Y518" i="5"/>
  <c r="AU518" i="5" s="1"/>
  <c r="Y517" i="5"/>
  <c r="AU517" i="5" s="1"/>
  <c r="Y516" i="5"/>
  <c r="AU516" i="5" s="1"/>
  <c r="Y515" i="5"/>
  <c r="AU515" i="5" s="1"/>
  <c r="Y514" i="5"/>
  <c r="AU514" i="5" s="1"/>
  <c r="Y513" i="5"/>
  <c r="AU513" i="5" s="1"/>
  <c r="Y512" i="5"/>
  <c r="AU512" i="5" s="1"/>
  <c r="Y511" i="5"/>
  <c r="AU511" i="5" s="1"/>
  <c r="Y510" i="5"/>
  <c r="AU510" i="5" s="1"/>
  <c r="Y509" i="5"/>
  <c r="AU509" i="5" s="1"/>
  <c r="Y508" i="5"/>
  <c r="AU508" i="5" s="1"/>
  <c r="Y507" i="5"/>
  <c r="AU507" i="5" s="1"/>
  <c r="Y506" i="5"/>
  <c r="AU506" i="5" s="1"/>
  <c r="Y505" i="5"/>
  <c r="AU505" i="5" s="1"/>
  <c r="Y504" i="5"/>
  <c r="AU504" i="5" s="1"/>
  <c r="Y503" i="5"/>
  <c r="AU503" i="5" s="1"/>
  <c r="Y502" i="5"/>
  <c r="AU502" i="5" s="1"/>
  <c r="Y501" i="5"/>
  <c r="AU501" i="5" s="1"/>
  <c r="Y500" i="5"/>
  <c r="AU500" i="5" s="1"/>
  <c r="Y499" i="5"/>
  <c r="AU499" i="5" s="1"/>
  <c r="Y498" i="5"/>
  <c r="AU498" i="5" s="1"/>
  <c r="Y497" i="5"/>
  <c r="AU497" i="5" s="1"/>
  <c r="Y496" i="5"/>
  <c r="AU496" i="5" s="1"/>
  <c r="Y495" i="5"/>
  <c r="AU495" i="5" s="1"/>
  <c r="Y494" i="5"/>
  <c r="AU494" i="5" s="1"/>
  <c r="Y493" i="5"/>
  <c r="AU493" i="5" s="1"/>
  <c r="Y492" i="5"/>
  <c r="AU492" i="5" s="1"/>
  <c r="Y491" i="5"/>
  <c r="AU491" i="5" s="1"/>
  <c r="Y490" i="5"/>
  <c r="AU490" i="5" s="1"/>
  <c r="Y489" i="5"/>
  <c r="AU489" i="5" s="1"/>
  <c r="Y488" i="5"/>
  <c r="AU488" i="5" s="1"/>
  <c r="Y487" i="5"/>
  <c r="AU487" i="5" s="1"/>
  <c r="Y486" i="5"/>
  <c r="AU486" i="5" s="1"/>
  <c r="Y485" i="5"/>
  <c r="AU485" i="5" s="1"/>
  <c r="Y484" i="5"/>
  <c r="AU484" i="5" s="1"/>
  <c r="Y483" i="5"/>
  <c r="AU483" i="5" s="1"/>
  <c r="Y482" i="5"/>
  <c r="AU482" i="5" s="1"/>
  <c r="Y481" i="5"/>
  <c r="AU481" i="5" s="1"/>
  <c r="Y480" i="5"/>
  <c r="AU480" i="5" s="1"/>
  <c r="Y479" i="5"/>
  <c r="AU479" i="5" s="1"/>
  <c r="Y478" i="5"/>
  <c r="AU478" i="5" s="1"/>
  <c r="Y477" i="5"/>
  <c r="AU477" i="5" s="1"/>
  <c r="Y476" i="5"/>
  <c r="AU476" i="5" s="1"/>
  <c r="Y475" i="5"/>
  <c r="AU475" i="5" s="1"/>
  <c r="Y474" i="5"/>
  <c r="AU474" i="5" s="1"/>
  <c r="Y473" i="5"/>
  <c r="AU473" i="5" s="1"/>
  <c r="Y472" i="5"/>
  <c r="AU472" i="5" s="1"/>
  <c r="Y471" i="5"/>
  <c r="AU471" i="5" s="1"/>
  <c r="Y470" i="5"/>
  <c r="AU470" i="5" s="1"/>
  <c r="Y469" i="5"/>
  <c r="AU469" i="5" s="1"/>
  <c r="Y468" i="5"/>
  <c r="AU468" i="5" s="1"/>
  <c r="Y467" i="5"/>
  <c r="AU467" i="5" s="1"/>
  <c r="Y466" i="5"/>
  <c r="AU466" i="5" s="1"/>
  <c r="Y465" i="5"/>
  <c r="AU465" i="5" s="1"/>
  <c r="Y464" i="5"/>
  <c r="AU464" i="5" s="1"/>
  <c r="Y463" i="5"/>
  <c r="AU463" i="5" s="1"/>
  <c r="Y462" i="5"/>
  <c r="AU462" i="5" s="1"/>
  <c r="Y461" i="5"/>
  <c r="AU461" i="5" s="1"/>
  <c r="Y460" i="5"/>
  <c r="AU460" i="5" s="1"/>
  <c r="Y459" i="5"/>
  <c r="AU459" i="5" s="1"/>
  <c r="Y458" i="5"/>
  <c r="AU458" i="5" s="1"/>
  <c r="Y457" i="5"/>
  <c r="AU457" i="5" s="1"/>
  <c r="Y456" i="5"/>
  <c r="AU456" i="5" s="1"/>
  <c r="Y455" i="5"/>
  <c r="AU455" i="5" s="1"/>
  <c r="Y454" i="5"/>
  <c r="AU454" i="5" s="1"/>
  <c r="Y453" i="5"/>
  <c r="AU453" i="5" s="1"/>
  <c r="Y452" i="5"/>
  <c r="AU452" i="5" s="1"/>
  <c r="Y451" i="5"/>
  <c r="AU451" i="5" s="1"/>
  <c r="Y450" i="5"/>
  <c r="AU450" i="5" s="1"/>
  <c r="Y449" i="5"/>
  <c r="AU449" i="5" s="1"/>
  <c r="Y448" i="5"/>
  <c r="AU448" i="5" s="1"/>
  <c r="Y447" i="5"/>
  <c r="AU447" i="5" s="1"/>
  <c r="Y446" i="5"/>
  <c r="AU446" i="5" s="1"/>
  <c r="Y445" i="5"/>
  <c r="AU445" i="5" s="1"/>
  <c r="Y444" i="5"/>
  <c r="AU444" i="5" s="1"/>
  <c r="Y443" i="5"/>
  <c r="AU443" i="5" s="1"/>
  <c r="Y442" i="5"/>
  <c r="AU442" i="5" s="1"/>
  <c r="Y441" i="5"/>
  <c r="AU441" i="5" s="1"/>
  <c r="Y440" i="5"/>
  <c r="AU440" i="5" s="1"/>
  <c r="Y439" i="5"/>
  <c r="AU439" i="5" s="1"/>
  <c r="Y438" i="5"/>
  <c r="AU438" i="5" s="1"/>
  <c r="Y437" i="5"/>
  <c r="AU437" i="5" s="1"/>
  <c r="Y436" i="5"/>
  <c r="AU436" i="5" s="1"/>
  <c r="Y435" i="5"/>
  <c r="AU435" i="5" s="1"/>
  <c r="Y434" i="5"/>
  <c r="AU434" i="5" s="1"/>
  <c r="Y433" i="5"/>
  <c r="AU433" i="5" s="1"/>
  <c r="Y432" i="5"/>
  <c r="AU432" i="5" s="1"/>
  <c r="Y431" i="5"/>
  <c r="AU431" i="5" s="1"/>
  <c r="Y430" i="5"/>
  <c r="AU430" i="5" s="1"/>
  <c r="Y429" i="5"/>
  <c r="AU429" i="5" s="1"/>
  <c r="Y428" i="5"/>
  <c r="AU428" i="5" s="1"/>
  <c r="Y427" i="5"/>
  <c r="AU427" i="5" s="1"/>
  <c r="Y426" i="5"/>
  <c r="AU426" i="5" s="1"/>
  <c r="Y425" i="5"/>
  <c r="AU425" i="5" s="1"/>
  <c r="Y424" i="5"/>
  <c r="AU424" i="5" s="1"/>
  <c r="Y423" i="5"/>
  <c r="AU423" i="5" s="1"/>
  <c r="Y422" i="5"/>
  <c r="AU422" i="5" s="1"/>
  <c r="Y421" i="5"/>
  <c r="AU421" i="5" s="1"/>
  <c r="Y420" i="5"/>
  <c r="AU420" i="5" s="1"/>
  <c r="Y419" i="5"/>
  <c r="AU419" i="5" s="1"/>
  <c r="Y418" i="5"/>
  <c r="AU418" i="5" s="1"/>
  <c r="Y417" i="5"/>
  <c r="AU417" i="5" s="1"/>
  <c r="Y416" i="5"/>
  <c r="AU416" i="5" s="1"/>
  <c r="Y415" i="5"/>
  <c r="AU415" i="5" s="1"/>
  <c r="Y414" i="5"/>
  <c r="AU414" i="5" s="1"/>
  <c r="Y413" i="5"/>
  <c r="AU413" i="5" s="1"/>
  <c r="Y412" i="5"/>
  <c r="AU412" i="5" s="1"/>
  <c r="Y411" i="5"/>
  <c r="AU411" i="5" s="1"/>
  <c r="Y410" i="5"/>
  <c r="AU410" i="5" s="1"/>
  <c r="Y409" i="5"/>
  <c r="AU409" i="5" s="1"/>
  <c r="Y408" i="5"/>
  <c r="AU408" i="5" s="1"/>
  <c r="Y407" i="5"/>
  <c r="AU407" i="5" s="1"/>
  <c r="Y406" i="5"/>
  <c r="AU406" i="5" s="1"/>
  <c r="Y405" i="5"/>
  <c r="AU405" i="5" s="1"/>
  <c r="Y404" i="5"/>
  <c r="AU404" i="5" s="1"/>
  <c r="Y403" i="5"/>
  <c r="AU403" i="5" s="1"/>
  <c r="Y402" i="5"/>
  <c r="AU402" i="5" s="1"/>
  <c r="Y401" i="5"/>
  <c r="AU401" i="5" s="1"/>
  <c r="Y400" i="5"/>
  <c r="AU400" i="5" s="1"/>
  <c r="Y399" i="5"/>
  <c r="AU399" i="5" s="1"/>
  <c r="Y398" i="5"/>
  <c r="AU398" i="5" s="1"/>
  <c r="Y397" i="5"/>
  <c r="AU397" i="5" s="1"/>
  <c r="Y396" i="5"/>
  <c r="AU396" i="5" s="1"/>
  <c r="Y395" i="5"/>
  <c r="AU395" i="5" s="1"/>
  <c r="Y394" i="5"/>
  <c r="AU394" i="5" s="1"/>
  <c r="Y393" i="5"/>
  <c r="AU393" i="5" s="1"/>
  <c r="Y392" i="5"/>
  <c r="AU392" i="5" s="1"/>
  <c r="Y391" i="5"/>
  <c r="AU391" i="5" s="1"/>
  <c r="Y390" i="5"/>
  <c r="AU390" i="5" s="1"/>
  <c r="Y389" i="5"/>
  <c r="AU389" i="5" s="1"/>
  <c r="Y388" i="5"/>
  <c r="AU388" i="5" s="1"/>
  <c r="Y387" i="5"/>
  <c r="AU387" i="5" s="1"/>
  <c r="Y386" i="5"/>
  <c r="AU386" i="5" s="1"/>
  <c r="Y385" i="5"/>
  <c r="AU385" i="5" s="1"/>
  <c r="Y384" i="5"/>
  <c r="AU384" i="5" s="1"/>
  <c r="Y383" i="5"/>
  <c r="AU383" i="5" s="1"/>
  <c r="Y382" i="5"/>
  <c r="AU382" i="5" s="1"/>
  <c r="Y381" i="5"/>
  <c r="AU381" i="5" s="1"/>
  <c r="Y380" i="5"/>
  <c r="AU380" i="5" s="1"/>
  <c r="Y379" i="5"/>
  <c r="AU379" i="5" s="1"/>
  <c r="Y378" i="5"/>
  <c r="AU378" i="5" s="1"/>
  <c r="Y377" i="5"/>
  <c r="AU377" i="5" s="1"/>
  <c r="Y376" i="5"/>
  <c r="AU376" i="5" s="1"/>
  <c r="Y375" i="5"/>
  <c r="AU375" i="5" s="1"/>
  <c r="Y374" i="5"/>
  <c r="AU374" i="5" s="1"/>
  <c r="Y373" i="5"/>
  <c r="AU373" i="5" s="1"/>
  <c r="Y372" i="5"/>
  <c r="AU372" i="5" s="1"/>
  <c r="Y371" i="5"/>
  <c r="AU371" i="5" s="1"/>
  <c r="Y370" i="5"/>
  <c r="AU370" i="5" s="1"/>
  <c r="Y369" i="5"/>
  <c r="AU369" i="5" s="1"/>
  <c r="Y368" i="5"/>
  <c r="AU368" i="5" s="1"/>
  <c r="Y367" i="5"/>
  <c r="AU367" i="5" s="1"/>
  <c r="Y366" i="5"/>
  <c r="AU366" i="5" s="1"/>
  <c r="Y365" i="5"/>
  <c r="AU365" i="5" s="1"/>
  <c r="Y364" i="5"/>
  <c r="AU364" i="5" s="1"/>
  <c r="Y363" i="5"/>
  <c r="AU363" i="5" s="1"/>
  <c r="Y362" i="5"/>
  <c r="AU362" i="5" s="1"/>
  <c r="Y361" i="5"/>
  <c r="AU361" i="5" s="1"/>
  <c r="Y360" i="5"/>
  <c r="AU360" i="5" s="1"/>
  <c r="Y359" i="5"/>
  <c r="AU359" i="5" s="1"/>
  <c r="Y358" i="5"/>
  <c r="AU358" i="5" s="1"/>
  <c r="Y357" i="5"/>
  <c r="AU357" i="5" s="1"/>
  <c r="Y356" i="5"/>
  <c r="AU356" i="5" s="1"/>
  <c r="Y355" i="5"/>
  <c r="AU355" i="5" s="1"/>
  <c r="Y354" i="5"/>
  <c r="AU354" i="5" s="1"/>
  <c r="Y353" i="5"/>
  <c r="AU353" i="5" s="1"/>
  <c r="Y352" i="5"/>
  <c r="AU352" i="5" s="1"/>
  <c r="Y351" i="5"/>
  <c r="AU351" i="5" s="1"/>
  <c r="Y350" i="5"/>
  <c r="AU350" i="5" s="1"/>
  <c r="Y349" i="5"/>
  <c r="AU349" i="5" s="1"/>
  <c r="Y348" i="5"/>
  <c r="AU348" i="5" s="1"/>
  <c r="Y347" i="5"/>
  <c r="AU347" i="5" s="1"/>
  <c r="Y346" i="5"/>
  <c r="AU346" i="5" s="1"/>
  <c r="Y345" i="5"/>
  <c r="AU345" i="5" s="1"/>
  <c r="Y344" i="5"/>
  <c r="AU344" i="5" s="1"/>
  <c r="Y343" i="5"/>
  <c r="AU343" i="5" s="1"/>
  <c r="Y342" i="5"/>
  <c r="AU342" i="5" s="1"/>
  <c r="Y341" i="5"/>
  <c r="AU341" i="5" s="1"/>
  <c r="Y340" i="5"/>
  <c r="AU340" i="5" s="1"/>
  <c r="Y339" i="5"/>
  <c r="AU339" i="5" s="1"/>
  <c r="Y338" i="5"/>
  <c r="AU338" i="5" s="1"/>
  <c r="Y337" i="5"/>
  <c r="AU337" i="5" s="1"/>
  <c r="Y336" i="5"/>
  <c r="AU336" i="5" s="1"/>
  <c r="Y335" i="5"/>
  <c r="AU335" i="5" s="1"/>
  <c r="Y334" i="5"/>
  <c r="AU334" i="5" s="1"/>
  <c r="Y333" i="5"/>
  <c r="AU333" i="5" s="1"/>
  <c r="Y332" i="5"/>
  <c r="AU332" i="5" s="1"/>
  <c r="Y331" i="5"/>
  <c r="AU331" i="5" s="1"/>
  <c r="Y330" i="5"/>
  <c r="AU330" i="5" s="1"/>
  <c r="Y329" i="5"/>
  <c r="AU329" i="5" s="1"/>
  <c r="Y328" i="5"/>
  <c r="AU328" i="5" s="1"/>
  <c r="Y327" i="5"/>
  <c r="AU327" i="5" s="1"/>
  <c r="Y326" i="5"/>
  <c r="AU326" i="5" s="1"/>
  <c r="Y325" i="5"/>
  <c r="AU325" i="5" s="1"/>
  <c r="Y324" i="5"/>
  <c r="AU324" i="5" s="1"/>
  <c r="Y323" i="5"/>
  <c r="AU323" i="5" s="1"/>
  <c r="Y322" i="5"/>
  <c r="AU322" i="5" s="1"/>
  <c r="Y321" i="5"/>
  <c r="AU321" i="5" s="1"/>
  <c r="Y320" i="5"/>
  <c r="AU320" i="5" s="1"/>
  <c r="Y319" i="5"/>
  <c r="AU319" i="5" s="1"/>
  <c r="Y318" i="5"/>
  <c r="AU318" i="5" s="1"/>
  <c r="Y317" i="5"/>
  <c r="AU317" i="5" s="1"/>
  <c r="Y316" i="5"/>
  <c r="AU316" i="5" s="1"/>
  <c r="Y315" i="5"/>
  <c r="AU315" i="5" s="1"/>
  <c r="Y314" i="5"/>
  <c r="AU314" i="5" s="1"/>
  <c r="Y313" i="5"/>
  <c r="AU313" i="5" s="1"/>
  <c r="Y312" i="5"/>
  <c r="AU312" i="5" s="1"/>
  <c r="Y311" i="5"/>
  <c r="AU311" i="5" s="1"/>
  <c r="Y310" i="5"/>
  <c r="AU310" i="5" s="1"/>
  <c r="Y309" i="5"/>
  <c r="AU309" i="5" s="1"/>
  <c r="Y308" i="5"/>
  <c r="AU308" i="5" s="1"/>
  <c r="Y307" i="5"/>
  <c r="AU307" i="5" s="1"/>
  <c r="Y306" i="5"/>
  <c r="AU306" i="5" s="1"/>
  <c r="Y305" i="5"/>
  <c r="AU305" i="5" s="1"/>
  <c r="Y304" i="5"/>
  <c r="AU304" i="5" s="1"/>
  <c r="Y303" i="5"/>
  <c r="AU303" i="5" s="1"/>
  <c r="Y302" i="5"/>
  <c r="AU302" i="5" s="1"/>
  <c r="Y301" i="5"/>
  <c r="AU301" i="5" s="1"/>
  <c r="Y300" i="5"/>
  <c r="AU300" i="5" s="1"/>
  <c r="Y299" i="5"/>
  <c r="AU299" i="5" s="1"/>
  <c r="Y298" i="5"/>
  <c r="AU298" i="5" s="1"/>
  <c r="Y297" i="5"/>
  <c r="AU297" i="5" s="1"/>
  <c r="Y296" i="5"/>
  <c r="AU296" i="5" s="1"/>
  <c r="Y295" i="5"/>
  <c r="AU295" i="5" s="1"/>
  <c r="Y294" i="5"/>
  <c r="AU294" i="5" s="1"/>
  <c r="Y293" i="5"/>
  <c r="AU293" i="5" s="1"/>
  <c r="Y292" i="5"/>
  <c r="AU292" i="5" s="1"/>
  <c r="Y291" i="5"/>
  <c r="AU291" i="5" s="1"/>
  <c r="Y290" i="5"/>
  <c r="AU290" i="5" s="1"/>
  <c r="Y289" i="5"/>
  <c r="AU289" i="5" s="1"/>
  <c r="Y288" i="5"/>
  <c r="AU288" i="5" s="1"/>
  <c r="Y287" i="5"/>
  <c r="AU287" i="5" s="1"/>
  <c r="Y286" i="5"/>
  <c r="AU286" i="5" s="1"/>
  <c r="Y285" i="5"/>
  <c r="AU285" i="5" s="1"/>
  <c r="Y284" i="5"/>
  <c r="AU284" i="5" s="1"/>
  <c r="Y283" i="5"/>
  <c r="AU283" i="5" s="1"/>
  <c r="Y282" i="5"/>
  <c r="AU282" i="5" s="1"/>
  <c r="Y281" i="5"/>
  <c r="AU281" i="5" s="1"/>
  <c r="Y280" i="5"/>
  <c r="AU280" i="5" s="1"/>
  <c r="Y279" i="5"/>
  <c r="AU279" i="5" s="1"/>
  <c r="Y278" i="5"/>
  <c r="AU278" i="5" s="1"/>
  <c r="Y277" i="5"/>
  <c r="AU277" i="5" s="1"/>
  <c r="Y276" i="5"/>
  <c r="AU276" i="5" s="1"/>
  <c r="Y275" i="5"/>
  <c r="AU275" i="5" s="1"/>
  <c r="Y274" i="5"/>
  <c r="AU274" i="5" s="1"/>
  <c r="Y273" i="5"/>
  <c r="AU273" i="5" s="1"/>
  <c r="Y272" i="5"/>
  <c r="AU272" i="5" s="1"/>
  <c r="Y271" i="5"/>
  <c r="AU271" i="5" s="1"/>
  <c r="Y270" i="5"/>
  <c r="AU270" i="5" s="1"/>
  <c r="Y269" i="5"/>
  <c r="AU269" i="5" s="1"/>
  <c r="Y268" i="5"/>
  <c r="AU268" i="5" s="1"/>
  <c r="Y267" i="5"/>
  <c r="AU267" i="5" s="1"/>
  <c r="Y266" i="5"/>
  <c r="AU266" i="5" s="1"/>
  <c r="Y265" i="5"/>
  <c r="AU265" i="5" s="1"/>
  <c r="Y264" i="5"/>
  <c r="AU264" i="5" s="1"/>
  <c r="Y263" i="5"/>
  <c r="AU263" i="5" s="1"/>
  <c r="Y262" i="5"/>
  <c r="AU262" i="5" s="1"/>
  <c r="Y261" i="5"/>
  <c r="AU261" i="5" s="1"/>
  <c r="Y260" i="5"/>
  <c r="AU260" i="5" s="1"/>
  <c r="Y259" i="5"/>
  <c r="AU259" i="5" s="1"/>
  <c r="Y258" i="5"/>
  <c r="AU258" i="5" s="1"/>
  <c r="Y257" i="5"/>
  <c r="AU257" i="5" s="1"/>
  <c r="Y256" i="5"/>
  <c r="AU256" i="5" s="1"/>
  <c r="Y255" i="5"/>
  <c r="AU255" i="5" s="1"/>
  <c r="Y254" i="5"/>
  <c r="AU254" i="5" s="1"/>
  <c r="Y253" i="5"/>
  <c r="AU253" i="5" s="1"/>
  <c r="Y252" i="5"/>
  <c r="AU252" i="5" s="1"/>
  <c r="Y251" i="5"/>
  <c r="AU251" i="5" s="1"/>
  <c r="Y250" i="5"/>
  <c r="AU250" i="5" s="1"/>
  <c r="Y249" i="5"/>
  <c r="AU249" i="5" s="1"/>
  <c r="Y248" i="5"/>
  <c r="AU248" i="5" s="1"/>
  <c r="Y247" i="5"/>
  <c r="AU247" i="5" s="1"/>
  <c r="Y246" i="5"/>
  <c r="AU246" i="5" s="1"/>
  <c r="Y245" i="5"/>
  <c r="AU245" i="5" s="1"/>
  <c r="Y244" i="5"/>
  <c r="AU244" i="5" s="1"/>
  <c r="Y243" i="5"/>
  <c r="AU243" i="5" s="1"/>
  <c r="Y242" i="5"/>
  <c r="AU242" i="5" s="1"/>
  <c r="Y241" i="5"/>
  <c r="AU241" i="5" s="1"/>
  <c r="Y240" i="5"/>
  <c r="AU240" i="5" s="1"/>
  <c r="Y239" i="5"/>
  <c r="AU239" i="5" s="1"/>
  <c r="Y238" i="5"/>
  <c r="AU238" i="5" s="1"/>
  <c r="Y237" i="5"/>
  <c r="AU237" i="5" s="1"/>
  <c r="Y236" i="5"/>
  <c r="AU236" i="5" s="1"/>
  <c r="Y235" i="5"/>
  <c r="AU235" i="5" s="1"/>
  <c r="Y234" i="5"/>
  <c r="AU234" i="5" s="1"/>
  <c r="Y233" i="5"/>
  <c r="AU233" i="5" s="1"/>
  <c r="Y232" i="5"/>
  <c r="AU232" i="5" s="1"/>
  <c r="Y231" i="5"/>
  <c r="AU231" i="5" s="1"/>
  <c r="Y230" i="5"/>
  <c r="AU230" i="5" s="1"/>
  <c r="Y229" i="5"/>
  <c r="AU229" i="5" s="1"/>
  <c r="Y228" i="5"/>
  <c r="AU228" i="5" s="1"/>
  <c r="Y227" i="5"/>
  <c r="AU227" i="5" s="1"/>
  <c r="Y226" i="5"/>
  <c r="AU226" i="5" s="1"/>
  <c r="Y225" i="5"/>
  <c r="AU225" i="5" s="1"/>
  <c r="Y224" i="5"/>
  <c r="AU224" i="5" s="1"/>
  <c r="Y223" i="5"/>
  <c r="AU223" i="5" s="1"/>
  <c r="Y222" i="5"/>
  <c r="AU222" i="5" s="1"/>
  <c r="Y221" i="5"/>
  <c r="AU221" i="5" s="1"/>
  <c r="Y220" i="5"/>
  <c r="AU220" i="5" s="1"/>
  <c r="Y219" i="5"/>
  <c r="AU219" i="5" s="1"/>
  <c r="Y218" i="5"/>
  <c r="AU218" i="5" s="1"/>
  <c r="Y217" i="5"/>
  <c r="AU217" i="5" s="1"/>
  <c r="Y216" i="5"/>
  <c r="AU216" i="5" s="1"/>
  <c r="Y215" i="5"/>
  <c r="AU215" i="5" s="1"/>
  <c r="Y214" i="5"/>
  <c r="AU214" i="5" s="1"/>
  <c r="Y213" i="5"/>
  <c r="AU213" i="5" s="1"/>
  <c r="Y212" i="5"/>
  <c r="AU212" i="5" s="1"/>
  <c r="Y211" i="5"/>
  <c r="AU211" i="5" s="1"/>
  <c r="Y210" i="5"/>
  <c r="AU210" i="5" s="1"/>
  <c r="Y209" i="5"/>
  <c r="AU209" i="5" s="1"/>
  <c r="Y208" i="5"/>
  <c r="AU208" i="5" s="1"/>
  <c r="Y207" i="5"/>
  <c r="AU207" i="5" s="1"/>
  <c r="Y206" i="5"/>
  <c r="AU206" i="5" s="1"/>
  <c r="Y205" i="5"/>
  <c r="AU205" i="5" s="1"/>
  <c r="Y204" i="5"/>
  <c r="AU204" i="5" s="1"/>
  <c r="Y203" i="5"/>
  <c r="AU203" i="5" s="1"/>
  <c r="Y202" i="5"/>
  <c r="AU202" i="5" s="1"/>
  <c r="Y201" i="5"/>
  <c r="AU201" i="5" s="1"/>
  <c r="Y200" i="5"/>
  <c r="AU200" i="5" s="1"/>
  <c r="Y199" i="5"/>
  <c r="AU199" i="5" s="1"/>
  <c r="Y198" i="5"/>
  <c r="AU198" i="5" s="1"/>
  <c r="Y197" i="5"/>
  <c r="AU197" i="5" s="1"/>
  <c r="Y196" i="5"/>
  <c r="AU196" i="5" s="1"/>
  <c r="Y195" i="5"/>
  <c r="AU195" i="5" s="1"/>
  <c r="Y194" i="5"/>
  <c r="AU194" i="5" s="1"/>
  <c r="Y193" i="5"/>
  <c r="AU193" i="5" s="1"/>
  <c r="Y192" i="5"/>
  <c r="AU192" i="5" s="1"/>
  <c r="Y191" i="5"/>
  <c r="AU191" i="5" s="1"/>
  <c r="Y190" i="5"/>
  <c r="AU190" i="5" s="1"/>
  <c r="Y189" i="5"/>
  <c r="AU189" i="5" s="1"/>
  <c r="Y188" i="5"/>
  <c r="AU188" i="5" s="1"/>
  <c r="Y187" i="5"/>
  <c r="AU187" i="5" s="1"/>
  <c r="Y186" i="5"/>
  <c r="AU186" i="5" s="1"/>
  <c r="Y185" i="5"/>
  <c r="AU185" i="5" s="1"/>
  <c r="Y184" i="5"/>
  <c r="AU184" i="5" s="1"/>
  <c r="Y183" i="5"/>
  <c r="AU183" i="5" s="1"/>
  <c r="Y182" i="5"/>
  <c r="AU182" i="5" s="1"/>
  <c r="Y181" i="5"/>
  <c r="AU181" i="5" s="1"/>
  <c r="Y180" i="5"/>
  <c r="AU180" i="5" s="1"/>
  <c r="Y179" i="5"/>
  <c r="AU179" i="5" s="1"/>
  <c r="Y178" i="5"/>
  <c r="AU178" i="5" s="1"/>
  <c r="Y177" i="5"/>
  <c r="AU177" i="5" s="1"/>
  <c r="Y176" i="5"/>
  <c r="AU176" i="5" s="1"/>
  <c r="Y175" i="5"/>
  <c r="AU175" i="5" s="1"/>
  <c r="Y174" i="5"/>
  <c r="AU174" i="5" s="1"/>
  <c r="Y173" i="5"/>
  <c r="AU173" i="5" s="1"/>
  <c r="Y172" i="5"/>
  <c r="AU172" i="5" s="1"/>
  <c r="Y171" i="5"/>
  <c r="AU171" i="5" s="1"/>
  <c r="Y170" i="5"/>
  <c r="AU170" i="5" s="1"/>
  <c r="Y169" i="5"/>
  <c r="AU169" i="5" s="1"/>
  <c r="Y168" i="5"/>
  <c r="AU168" i="5" s="1"/>
  <c r="Y167" i="5"/>
  <c r="AU167" i="5" s="1"/>
  <c r="Y166" i="5"/>
  <c r="AU166" i="5" s="1"/>
  <c r="Y165" i="5"/>
  <c r="AU165" i="5" s="1"/>
  <c r="Y164" i="5"/>
  <c r="AU164" i="5" s="1"/>
  <c r="Y163" i="5"/>
  <c r="AU163" i="5" s="1"/>
  <c r="Y162" i="5"/>
  <c r="AU162" i="5" s="1"/>
  <c r="Y161" i="5"/>
  <c r="AU161" i="5" s="1"/>
  <c r="Y160" i="5"/>
  <c r="AU160" i="5" s="1"/>
  <c r="Y159" i="5"/>
  <c r="AU159" i="5" s="1"/>
  <c r="Y158" i="5"/>
  <c r="AU158" i="5" s="1"/>
  <c r="Y157" i="5"/>
  <c r="AU157" i="5" s="1"/>
  <c r="Y156" i="5"/>
  <c r="AU156" i="5" s="1"/>
  <c r="Y155" i="5"/>
  <c r="AU155" i="5" s="1"/>
  <c r="Y154" i="5"/>
  <c r="AU154" i="5" s="1"/>
  <c r="Y153" i="5"/>
  <c r="AU153" i="5" s="1"/>
  <c r="Y152" i="5"/>
  <c r="AU152" i="5" s="1"/>
  <c r="Y151" i="5"/>
  <c r="AU151" i="5" s="1"/>
  <c r="Y150" i="5"/>
  <c r="AU150" i="5" s="1"/>
  <c r="Y149" i="5"/>
  <c r="AU149" i="5" s="1"/>
  <c r="Y148" i="5"/>
  <c r="AU148" i="5" s="1"/>
  <c r="Y147" i="5"/>
  <c r="AU147" i="5" s="1"/>
  <c r="Y146" i="5"/>
  <c r="AU146" i="5" s="1"/>
  <c r="Y145" i="5"/>
  <c r="AU145" i="5" s="1"/>
  <c r="Y144" i="5"/>
  <c r="AU144" i="5" s="1"/>
  <c r="Y143" i="5"/>
  <c r="AU143" i="5" s="1"/>
  <c r="Y142" i="5"/>
  <c r="AU142" i="5" s="1"/>
  <c r="Y141" i="5"/>
  <c r="AU141" i="5" s="1"/>
  <c r="Y140" i="5"/>
  <c r="AU140" i="5" s="1"/>
  <c r="Y139" i="5"/>
  <c r="AU139" i="5" s="1"/>
  <c r="Y138" i="5"/>
  <c r="AU138" i="5" s="1"/>
  <c r="Y137" i="5"/>
  <c r="AU137" i="5" s="1"/>
  <c r="Y136" i="5"/>
  <c r="AU136" i="5" s="1"/>
  <c r="Y135" i="5"/>
  <c r="AU135" i="5" s="1"/>
  <c r="Y134" i="5"/>
  <c r="AU134" i="5" s="1"/>
  <c r="Y133" i="5"/>
  <c r="AU133" i="5" s="1"/>
  <c r="Y132" i="5"/>
  <c r="AU132" i="5" s="1"/>
  <c r="Y131" i="5"/>
  <c r="AU131" i="5" s="1"/>
  <c r="Y130" i="5"/>
  <c r="AU130" i="5" s="1"/>
  <c r="Y129" i="5"/>
  <c r="AU129" i="5" s="1"/>
  <c r="Y128" i="5"/>
  <c r="AU128" i="5" s="1"/>
  <c r="Y127" i="5"/>
  <c r="AU127" i="5" s="1"/>
  <c r="Y126" i="5"/>
  <c r="AU126" i="5" s="1"/>
  <c r="Y125" i="5"/>
  <c r="AU125" i="5" s="1"/>
  <c r="Y124" i="5"/>
  <c r="AU124" i="5" s="1"/>
  <c r="Y123" i="5"/>
  <c r="AU123" i="5" s="1"/>
  <c r="Y122" i="5"/>
  <c r="AU122" i="5" s="1"/>
  <c r="Y121" i="5"/>
  <c r="AU121" i="5" s="1"/>
  <c r="Y120" i="5"/>
  <c r="AU120" i="5" s="1"/>
  <c r="Y119" i="5"/>
  <c r="AU119" i="5" s="1"/>
  <c r="Y118" i="5"/>
  <c r="AU118" i="5" s="1"/>
  <c r="Y117" i="5"/>
  <c r="AU117" i="5" s="1"/>
  <c r="Y116" i="5"/>
  <c r="AU116" i="5" s="1"/>
  <c r="Y115" i="5"/>
  <c r="AU115" i="5" s="1"/>
  <c r="Y114" i="5"/>
  <c r="AU114" i="5" s="1"/>
  <c r="Y113" i="5"/>
  <c r="AU113" i="5" s="1"/>
  <c r="Y112" i="5"/>
  <c r="AU112" i="5" s="1"/>
  <c r="Y111" i="5"/>
  <c r="AU111" i="5" s="1"/>
  <c r="Y110" i="5"/>
  <c r="AU110" i="5" s="1"/>
  <c r="Y109" i="5"/>
  <c r="AU109" i="5" s="1"/>
  <c r="Y108" i="5"/>
  <c r="AU108" i="5" s="1"/>
  <c r="Y107" i="5"/>
  <c r="AU107" i="5" s="1"/>
  <c r="Y106" i="5"/>
  <c r="AU106" i="5" s="1"/>
  <c r="Y105" i="5"/>
  <c r="AU105" i="5" s="1"/>
  <c r="Y104" i="5"/>
  <c r="AU104" i="5" s="1"/>
  <c r="Y103" i="5"/>
  <c r="AU103" i="5" s="1"/>
  <c r="Y102" i="5"/>
  <c r="AU102" i="5" s="1"/>
  <c r="Y101" i="5"/>
  <c r="AU101" i="5" s="1"/>
  <c r="Y100" i="5"/>
  <c r="AU100" i="5" s="1"/>
  <c r="Y99" i="5"/>
  <c r="AU99" i="5" s="1"/>
  <c r="Y98" i="5"/>
  <c r="AU98" i="5" s="1"/>
  <c r="Y97" i="5"/>
  <c r="AU97" i="5" s="1"/>
  <c r="Y96" i="5"/>
  <c r="AU96" i="5" s="1"/>
  <c r="Y95" i="5"/>
  <c r="AU95" i="5" s="1"/>
  <c r="Y94" i="5"/>
  <c r="AU94" i="5" s="1"/>
  <c r="Y93" i="5"/>
  <c r="AU93" i="5" s="1"/>
  <c r="Y92" i="5"/>
  <c r="AU92" i="5" s="1"/>
  <c r="Y91" i="5"/>
  <c r="AU91" i="5" s="1"/>
  <c r="Y90" i="5"/>
  <c r="AU90" i="5" s="1"/>
  <c r="Y89" i="5"/>
  <c r="AU89" i="5" s="1"/>
  <c r="Y88" i="5"/>
  <c r="AU88" i="5" s="1"/>
  <c r="Y87" i="5"/>
  <c r="AU87" i="5" s="1"/>
  <c r="Y86" i="5"/>
  <c r="AU86" i="5" s="1"/>
  <c r="Y85" i="5"/>
  <c r="AU85" i="5" s="1"/>
  <c r="Y84" i="5"/>
  <c r="AU84" i="5" s="1"/>
  <c r="Y83" i="5"/>
  <c r="AU83" i="5" s="1"/>
  <c r="Y82" i="5"/>
  <c r="AU82" i="5" s="1"/>
  <c r="Y81" i="5"/>
  <c r="AU81" i="5" s="1"/>
  <c r="Y80" i="5"/>
  <c r="AU80" i="5" s="1"/>
  <c r="Y79" i="5"/>
  <c r="AU79" i="5" s="1"/>
  <c r="Y78" i="5"/>
  <c r="AU78" i="5" s="1"/>
  <c r="Y77" i="5"/>
  <c r="AU77" i="5" s="1"/>
  <c r="Y76" i="5"/>
  <c r="AU76" i="5" s="1"/>
  <c r="Y75" i="5"/>
  <c r="AU75" i="5" s="1"/>
  <c r="Y74" i="5"/>
  <c r="AU74" i="5" s="1"/>
  <c r="Y73" i="5"/>
  <c r="AU73" i="5" s="1"/>
  <c r="Y72" i="5"/>
  <c r="AU72" i="5" s="1"/>
  <c r="Y71" i="5"/>
  <c r="AU71" i="5" s="1"/>
  <c r="Y70" i="5"/>
  <c r="AU70" i="5" s="1"/>
  <c r="Y69" i="5"/>
  <c r="AU69" i="5" s="1"/>
  <c r="Y68" i="5"/>
  <c r="AU68" i="5" s="1"/>
  <c r="Y67" i="5"/>
  <c r="AU67" i="5" s="1"/>
  <c r="Y66" i="5"/>
  <c r="AU66" i="5" s="1"/>
  <c r="Y65" i="5"/>
  <c r="AU65" i="5" s="1"/>
  <c r="Y64" i="5"/>
  <c r="AU64" i="5" s="1"/>
  <c r="Y63" i="5"/>
  <c r="AU63" i="5" s="1"/>
  <c r="Y62" i="5"/>
  <c r="AU62" i="5" s="1"/>
  <c r="Y61" i="5"/>
  <c r="AU61" i="5" s="1"/>
  <c r="Y60" i="5"/>
  <c r="AU60" i="5" s="1"/>
  <c r="Y59" i="5"/>
  <c r="AU59" i="5" s="1"/>
  <c r="Y58" i="5"/>
  <c r="AU58" i="5" s="1"/>
  <c r="Y57" i="5"/>
  <c r="AU57" i="5" s="1"/>
  <c r="Y56" i="5"/>
  <c r="AU56" i="5" s="1"/>
  <c r="Y55" i="5"/>
  <c r="AU55" i="5" s="1"/>
  <c r="Y54" i="5"/>
  <c r="AU54" i="5" s="1"/>
  <c r="Y53" i="5"/>
  <c r="AU53" i="5" s="1"/>
  <c r="Y52" i="5"/>
  <c r="AU52" i="5" s="1"/>
  <c r="Y51" i="5"/>
  <c r="AU51" i="5" s="1"/>
  <c r="Y50" i="5"/>
  <c r="AU50" i="5" s="1"/>
  <c r="Y49" i="5"/>
  <c r="AU49" i="5" s="1"/>
  <c r="Y48" i="5"/>
  <c r="AU48" i="5" s="1"/>
  <c r="Y47" i="5"/>
  <c r="AU47" i="5" s="1"/>
  <c r="Y46" i="5"/>
  <c r="AU46" i="5" s="1"/>
  <c r="Y45" i="5"/>
  <c r="AU45" i="5" s="1"/>
  <c r="Y44" i="5"/>
  <c r="AU44" i="5" s="1"/>
  <c r="Y43" i="5"/>
  <c r="AU43" i="5" s="1"/>
  <c r="Y42" i="5"/>
  <c r="AU42" i="5" s="1"/>
  <c r="Y41" i="5"/>
  <c r="AU41" i="5" s="1"/>
  <c r="Y40" i="5"/>
  <c r="AU40" i="5" s="1"/>
  <c r="Y39" i="5"/>
  <c r="AU39" i="5" s="1"/>
  <c r="Y38" i="5"/>
  <c r="AU38" i="5" s="1"/>
  <c r="Y37" i="5"/>
  <c r="AU37" i="5" s="1"/>
  <c r="Y36" i="5"/>
  <c r="AU36" i="5" s="1"/>
  <c r="Y35" i="5"/>
  <c r="AU35" i="5" s="1"/>
  <c r="Y34" i="5"/>
  <c r="AU34" i="5" s="1"/>
  <c r="Y33" i="5"/>
  <c r="AU33" i="5" s="1"/>
  <c r="Y32" i="5"/>
  <c r="AU32" i="5" s="1"/>
  <c r="Y31" i="5"/>
  <c r="AU31" i="5" s="1"/>
  <c r="Y30" i="5"/>
  <c r="AU30" i="5" s="1"/>
  <c r="Y29" i="5"/>
  <c r="AU29" i="5" s="1"/>
  <c r="Y28" i="5"/>
  <c r="AU28" i="5" s="1"/>
  <c r="Y27" i="5"/>
  <c r="AU27" i="5" s="1"/>
  <c r="Y26" i="5"/>
  <c r="AU26" i="5" s="1"/>
  <c r="Y25" i="5"/>
  <c r="AU25" i="5" s="1"/>
  <c r="Y24" i="5"/>
  <c r="AU24" i="5" s="1"/>
  <c r="Y23" i="5"/>
  <c r="AU23" i="5" s="1"/>
  <c r="Y22" i="5"/>
  <c r="AU22" i="5" s="1"/>
  <c r="Y21" i="5"/>
  <c r="AU21" i="5" s="1"/>
  <c r="Y20" i="5"/>
  <c r="AU20" i="5" s="1"/>
  <c r="Y19" i="5"/>
  <c r="AU19" i="5" s="1"/>
  <c r="Y18" i="5"/>
  <c r="AU18" i="5" s="1"/>
  <c r="Y17" i="5"/>
  <c r="AU17" i="5" s="1"/>
  <c r="Y16" i="5"/>
  <c r="AU16" i="5" s="1"/>
  <c r="Y15" i="5"/>
  <c r="AU15" i="5" s="1"/>
  <c r="Y14" i="5"/>
  <c r="AU14" i="5" s="1"/>
  <c r="Y13" i="5"/>
  <c r="AU13" i="5" s="1"/>
  <c r="Y12" i="5"/>
  <c r="AU12" i="5" s="1"/>
  <c r="Y11" i="5"/>
  <c r="AU11" i="5" s="1"/>
  <c r="Y10" i="5"/>
  <c r="AU10" i="5" s="1"/>
  <c r="Y9" i="5"/>
  <c r="AU9" i="5" s="1"/>
  <c r="Y8" i="5"/>
  <c r="AU8" i="5" s="1"/>
  <c r="AU589" i="5" s="1"/>
  <c r="W646" i="5"/>
  <c r="W643" i="5"/>
  <c r="AT643" i="5" s="1"/>
  <c r="W642" i="5"/>
  <c r="AT642" i="5" s="1"/>
  <c r="W641" i="5"/>
  <c r="AT641" i="5" s="1"/>
  <c r="W640" i="5"/>
  <c r="AT640" i="5" s="1"/>
  <c r="W639" i="5"/>
  <c r="AT639" i="5" s="1"/>
  <c r="W638" i="5"/>
  <c r="AT638" i="5" s="1"/>
  <c r="W637" i="5"/>
  <c r="AT637" i="5" s="1"/>
  <c r="W636" i="5"/>
  <c r="AT636" i="5" s="1"/>
  <c r="W635" i="5"/>
  <c r="AT635" i="5" s="1"/>
  <c r="W634" i="5"/>
  <c r="AT634" i="5" s="1"/>
  <c r="W633" i="5"/>
  <c r="AT633" i="5" s="1"/>
  <c r="W632" i="5"/>
  <c r="AT632" i="5" s="1"/>
  <c r="W631" i="5"/>
  <c r="AT631" i="5" s="1"/>
  <c r="W630" i="5"/>
  <c r="AT630" i="5" s="1"/>
  <c r="W629" i="5"/>
  <c r="AT629" i="5" s="1"/>
  <c r="W628" i="5"/>
  <c r="AT628" i="5" s="1"/>
  <c r="W627" i="5"/>
  <c r="AT627" i="5" s="1"/>
  <c r="W626" i="5"/>
  <c r="AT626" i="5" s="1"/>
  <c r="W625" i="5"/>
  <c r="AT625" i="5" s="1"/>
  <c r="W624" i="5"/>
  <c r="AT624" i="5" s="1"/>
  <c r="W623" i="5"/>
  <c r="AT623" i="5" s="1"/>
  <c r="W622" i="5"/>
  <c r="AT622" i="5" s="1"/>
  <c r="W621" i="5"/>
  <c r="AT621" i="5" s="1"/>
  <c r="W620" i="5"/>
  <c r="AT620" i="5" s="1"/>
  <c r="W619" i="5"/>
  <c r="AT619" i="5" s="1"/>
  <c r="W618" i="5"/>
  <c r="AT618" i="5" s="1"/>
  <c r="W617" i="5"/>
  <c r="AT617" i="5" s="1"/>
  <c r="W616" i="5"/>
  <c r="AT616" i="5" s="1"/>
  <c r="W615" i="5"/>
  <c r="AT615" i="5" s="1"/>
  <c r="W614" i="5"/>
  <c r="AT614" i="5" s="1"/>
  <c r="W613" i="5"/>
  <c r="AT613" i="5" s="1"/>
  <c r="W612" i="5"/>
  <c r="AT612" i="5" s="1"/>
  <c r="W611" i="5"/>
  <c r="AT611" i="5" s="1"/>
  <c r="W610" i="5"/>
  <c r="AT610" i="5" s="1"/>
  <c r="W609" i="5"/>
  <c r="AT609" i="5" s="1"/>
  <c r="W608" i="5"/>
  <c r="AT608" i="5" s="1"/>
  <c r="W607" i="5"/>
  <c r="AT607" i="5" s="1"/>
  <c r="W606" i="5"/>
  <c r="AT606" i="5" s="1"/>
  <c r="W605" i="5"/>
  <c r="AT605" i="5" s="1"/>
  <c r="W604" i="5"/>
  <c r="AT604" i="5" s="1"/>
  <c r="W603" i="5"/>
  <c r="AT603" i="5" s="1"/>
  <c r="W602" i="5"/>
  <c r="AT602" i="5" s="1"/>
  <c r="W601" i="5"/>
  <c r="AT601" i="5" s="1"/>
  <c r="W600" i="5"/>
  <c r="AT600" i="5" s="1"/>
  <c r="W599" i="5"/>
  <c r="AT599" i="5" s="1"/>
  <c r="W598" i="5"/>
  <c r="AT598" i="5" s="1"/>
  <c r="W597" i="5"/>
  <c r="AT597" i="5" s="1"/>
  <c r="W596" i="5"/>
  <c r="AT596" i="5" s="1"/>
  <c r="W595" i="5"/>
  <c r="AT595" i="5" s="1"/>
  <c r="W594" i="5"/>
  <c r="AT594" i="5" s="1"/>
  <c r="W593" i="5"/>
  <c r="AT593" i="5" s="1"/>
  <c r="W592" i="5"/>
  <c r="AT592" i="5" s="1"/>
  <c r="W590" i="5"/>
  <c r="AT590" i="5" s="1"/>
  <c r="W589" i="5"/>
  <c r="W588" i="5"/>
  <c r="AT588" i="5" s="1"/>
  <c r="W587" i="5"/>
  <c r="AT587" i="5" s="1"/>
  <c r="W586" i="5"/>
  <c r="AT586" i="5" s="1"/>
  <c r="W585" i="5"/>
  <c r="AT585" i="5" s="1"/>
  <c r="W584" i="5"/>
  <c r="AT584" i="5" s="1"/>
  <c r="W583" i="5"/>
  <c r="AT583" i="5" s="1"/>
  <c r="W582" i="5"/>
  <c r="AT582" i="5" s="1"/>
  <c r="W581" i="5"/>
  <c r="AT581" i="5" s="1"/>
  <c r="W580" i="5"/>
  <c r="AT580" i="5" s="1"/>
  <c r="W579" i="5"/>
  <c r="AT579" i="5" s="1"/>
  <c r="W578" i="5"/>
  <c r="AT578" i="5" s="1"/>
  <c r="W577" i="5"/>
  <c r="AT577" i="5" s="1"/>
  <c r="W576" i="5"/>
  <c r="AT576" i="5" s="1"/>
  <c r="W575" i="5"/>
  <c r="AT575" i="5" s="1"/>
  <c r="W574" i="5"/>
  <c r="AT574" i="5" s="1"/>
  <c r="W573" i="5"/>
  <c r="AT573" i="5" s="1"/>
  <c r="W572" i="5"/>
  <c r="AT572" i="5" s="1"/>
  <c r="W571" i="5"/>
  <c r="AT571" i="5" s="1"/>
  <c r="W570" i="5"/>
  <c r="AT570" i="5" s="1"/>
  <c r="W569" i="5"/>
  <c r="AT569" i="5" s="1"/>
  <c r="W568" i="5"/>
  <c r="AT568" i="5" s="1"/>
  <c r="W567" i="5"/>
  <c r="AT567" i="5" s="1"/>
  <c r="W566" i="5"/>
  <c r="AT566" i="5" s="1"/>
  <c r="W565" i="5"/>
  <c r="AT565" i="5" s="1"/>
  <c r="W564" i="5"/>
  <c r="AT564" i="5" s="1"/>
  <c r="W563" i="5"/>
  <c r="AT563" i="5" s="1"/>
  <c r="W562" i="5"/>
  <c r="AT562" i="5" s="1"/>
  <c r="W561" i="5"/>
  <c r="AT561" i="5" s="1"/>
  <c r="W560" i="5"/>
  <c r="AT560" i="5" s="1"/>
  <c r="W559" i="5"/>
  <c r="AT559" i="5" s="1"/>
  <c r="W558" i="5"/>
  <c r="AT558" i="5" s="1"/>
  <c r="W557" i="5"/>
  <c r="AT557" i="5" s="1"/>
  <c r="W556" i="5"/>
  <c r="AT556" i="5" s="1"/>
  <c r="W555" i="5"/>
  <c r="AT555" i="5" s="1"/>
  <c r="W554" i="5"/>
  <c r="AT554" i="5" s="1"/>
  <c r="W553" i="5"/>
  <c r="AT553" i="5" s="1"/>
  <c r="W552" i="5"/>
  <c r="AT552" i="5" s="1"/>
  <c r="W551" i="5"/>
  <c r="AT551" i="5" s="1"/>
  <c r="W550" i="5"/>
  <c r="AT550" i="5" s="1"/>
  <c r="W549" i="5"/>
  <c r="AT549" i="5" s="1"/>
  <c r="W548" i="5"/>
  <c r="AT548" i="5" s="1"/>
  <c r="W547" i="5"/>
  <c r="AT547" i="5" s="1"/>
  <c r="W546" i="5"/>
  <c r="AT546" i="5" s="1"/>
  <c r="W545" i="5"/>
  <c r="AT545" i="5" s="1"/>
  <c r="W544" i="5"/>
  <c r="AT544" i="5" s="1"/>
  <c r="W543" i="5"/>
  <c r="AT543" i="5" s="1"/>
  <c r="W542" i="5"/>
  <c r="AT542" i="5" s="1"/>
  <c r="W541" i="5"/>
  <c r="AT541" i="5" s="1"/>
  <c r="W540" i="5"/>
  <c r="AT540" i="5" s="1"/>
  <c r="W539" i="5"/>
  <c r="AT539" i="5" s="1"/>
  <c r="W538" i="5"/>
  <c r="AT538" i="5" s="1"/>
  <c r="W537" i="5"/>
  <c r="AT537" i="5" s="1"/>
  <c r="W536" i="5"/>
  <c r="AT536" i="5" s="1"/>
  <c r="W535" i="5"/>
  <c r="AT535" i="5" s="1"/>
  <c r="W534" i="5"/>
  <c r="AT534" i="5" s="1"/>
  <c r="W533" i="5"/>
  <c r="AT533" i="5" s="1"/>
  <c r="W532" i="5"/>
  <c r="AT532" i="5" s="1"/>
  <c r="W531" i="5"/>
  <c r="AT531" i="5" s="1"/>
  <c r="W530" i="5"/>
  <c r="AT530" i="5" s="1"/>
  <c r="W529" i="5"/>
  <c r="AT529" i="5" s="1"/>
  <c r="W528" i="5"/>
  <c r="AT528" i="5" s="1"/>
  <c r="W527" i="5"/>
  <c r="AT527" i="5" s="1"/>
  <c r="W526" i="5"/>
  <c r="AT526" i="5" s="1"/>
  <c r="W525" i="5"/>
  <c r="AT525" i="5" s="1"/>
  <c r="W524" i="5"/>
  <c r="AT524" i="5" s="1"/>
  <c r="W523" i="5"/>
  <c r="AT523" i="5" s="1"/>
  <c r="W522" i="5"/>
  <c r="AT522" i="5" s="1"/>
  <c r="W521" i="5"/>
  <c r="AT521" i="5" s="1"/>
  <c r="W520" i="5"/>
  <c r="AT520" i="5" s="1"/>
  <c r="W519" i="5"/>
  <c r="AT519" i="5" s="1"/>
  <c r="W518" i="5"/>
  <c r="AT518" i="5" s="1"/>
  <c r="W517" i="5"/>
  <c r="AT517" i="5" s="1"/>
  <c r="W516" i="5"/>
  <c r="AT516" i="5" s="1"/>
  <c r="W515" i="5"/>
  <c r="AT515" i="5" s="1"/>
  <c r="W514" i="5"/>
  <c r="AT514" i="5" s="1"/>
  <c r="W513" i="5"/>
  <c r="AT513" i="5" s="1"/>
  <c r="W512" i="5"/>
  <c r="AT512" i="5" s="1"/>
  <c r="W511" i="5"/>
  <c r="AT511" i="5" s="1"/>
  <c r="W510" i="5"/>
  <c r="AT510" i="5" s="1"/>
  <c r="W509" i="5"/>
  <c r="AT509" i="5" s="1"/>
  <c r="W508" i="5"/>
  <c r="AT508" i="5" s="1"/>
  <c r="W507" i="5"/>
  <c r="AT507" i="5" s="1"/>
  <c r="W506" i="5"/>
  <c r="AT506" i="5" s="1"/>
  <c r="W505" i="5"/>
  <c r="AT505" i="5" s="1"/>
  <c r="W504" i="5"/>
  <c r="AT504" i="5" s="1"/>
  <c r="W503" i="5"/>
  <c r="AT503" i="5" s="1"/>
  <c r="W502" i="5"/>
  <c r="AT502" i="5" s="1"/>
  <c r="W501" i="5"/>
  <c r="AT501" i="5" s="1"/>
  <c r="W500" i="5"/>
  <c r="AT500" i="5" s="1"/>
  <c r="W499" i="5"/>
  <c r="AT499" i="5" s="1"/>
  <c r="W498" i="5"/>
  <c r="AT498" i="5" s="1"/>
  <c r="W497" i="5"/>
  <c r="AT497" i="5" s="1"/>
  <c r="W496" i="5"/>
  <c r="AT496" i="5" s="1"/>
  <c r="W495" i="5"/>
  <c r="AT495" i="5" s="1"/>
  <c r="W494" i="5"/>
  <c r="AT494" i="5" s="1"/>
  <c r="W493" i="5"/>
  <c r="AT493" i="5" s="1"/>
  <c r="W492" i="5"/>
  <c r="AT492" i="5" s="1"/>
  <c r="W491" i="5"/>
  <c r="AT491" i="5" s="1"/>
  <c r="W490" i="5"/>
  <c r="AT490" i="5" s="1"/>
  <c r="W489" i="5"/>
  <c r="AT489" i="5" s="1"/>
  <c r="W488" i="5"/>
  <c r="AT488" i="5" s="1"/>
  <c r="W487" i="5"/>
  <c r="AT487" i="5" s="1"/>
  <c r="W486" i="5"/>
  <c r="AT486" i="5" s="1"/>
  <c r="W485" i="5"/>
  <c r="AT485" i="5" s="1"/>
  <c r="W484" i="5"/>
  <c r="AT484" i="5" s="1"/>
  <c r="W483" i="5"/>
  <c r="AT483" i="5" s="1"/>
  <c r="W482" i="5"/>
  <c r="AT482" i="5" s="1"/>
  <c r="W481" i="5"/>
  <c r="AT481" i="5" s="1"/>
  <c r="W480" i="5"/>
  <c r="AT480" i="5" s="1"/>
  <c r="W479" i="5"/>
  <c r="AT479" i="5" s="1"/>
  <c r="W478" i="5"/>
  <c r="AT478" i="5" s="1"/>
  <c r="W477" i="5"/>
  <c r="AT477" i="5" s="1"/>
  <c r="W476" i="5"/>
  <c r="AT476" i="5" s="1"/>
  <c r="W475" i="5"/>
  <c r="AT475" i="5" s="1"/>
  <c r="W474" i="5"/>
  <c r="AT474" i="5" s="1"/>
  <c r="W473" i="5"/>
  <c r="AT473" i="5" s="1"/>
  <c r="W472" i="5"/>
  <c r="AT472" i="5" s="1"/>
  <c r="W471" i="5"/>
  <c r="AT471" i="5" s="1"/>
  <c r="W470" i="5"/>
  <c r="AT470" i="5" s="1"/>
  <c r="W469" i="5"/>
  <c r="AT469" i="5" s="1"/>
  <c r="W468" i="5"/>
  <c r="AT468" i="5" s="1"/>
  <c r="W467" i="5"/>
  <c r="AT467" i="5" s="1"/>
  <c r="W466" i="5"/>
  <c r="AT466" i="5" s="1"/>
  <c r="W465" i="5"/>
  <c r="AT465" i="5" s="1"/>
  <c r="W464" i="5"/>
  <c r="AT464" i="5" s="1"/>
  <c r="W463" i="5"/>
  <c r="AT463" i="5" s="1"/>
  <c r="W462" i="5"/>
  <c r="AT462" i="5" s="1"/>
  <c r="W461" i="5"/>
  <c r="AT461" i="5" s="1"/>
  <c r="W460" i="5"/>
  <c r="AT460" i="5" s="1"/>
  <c r="W459" i="5"/>
  <c r="AT459" i="5" s="1"/>
  <c r="W458" i="5"/>
  <c r="AT458" i="5" s="1"/>
  <c r="W457" i="5"/>
  <c r="AT457" i="5" s="1"/>
  <c r="W456" i="5"/>
  <c r="AT456" i="5" s="1"/>
  <c r="W455" i="5"/>
  <c r="AT455" i="5" s="1"/>
  <c r="W454" i="5"/>
  <c r="AT454" i="5" s="1"/>
  <c r="W453" i="5"/>
  <c r="AT453" i="5" s="1"/>
  <c r="W452" i="5"/>
  <c r="AT452" i="5" s="1"/>
  <c r="W451" i="5"/>
  <c r="AT451" i="5" s="1"/>
  <c r="W450" i="5"/>
  <c r="AT450" i="5" s="1"/>
  <c r="W449" i="5"/>
  <c r="AT449" i="5" s="1"/>
  <c r="W448" i="5"/>
  <c r="AT448" i="5" s="1"/>
  <c r="W447" i="5"/>
  <c r="AT447" i="5" s="1"/>
  <c r="W446" i="5"/>
  <c r="AT446" i="5" s="1"/>
  <c r="W445" i="5"/>
  <c r="AT445" i="5" s="1"/>
  <c r="W444" i="5"/>
  <c r="AT444" i="5" s="1"/>
  <c r="W443" i="5"/>
  <c r="AT443" i="5" s="1"/>
  <c r="W442" i="5"/>
  <c r="AT442" i="5" s="1"/>
  <c r="W441" i="5"/>
  <c r="AT441" i="5" s="1"/>
  <c r="W440" i="5"/>
  <c r="AT440" i="5" s="1"/>
  <c r="W439" i="5"/>
  <c r="AT439" i="5" s="1"/>
  <c r="W438" i="5"/>
  <c r="AT438" i="5" s="1"/>
  <c r="W437" i="5"/>
  <c r="AT437" i="5" s="1"/>
  <c r="W436" i="5"/>
  <c r="AT436" i="5" s="1"/>
  <c r="W435" i="5"/>
  <c r="AT435" i="5" s="1"/>
  <c r="W434" i="5"/>
  <c r="AT434" i="5" s="1"/>
  <c r="W433" i="5"/>
  <c r="AT433" i="5" s="1"/>
  <c r="W432" i="5"/>
  <c r="AT432" i="5" s="1"/>
  <c r="W431" i="5"/>
  <c r="AT431" i="5" s="1"/>
  <c r="W430" i="5"/>
  <c r="AT430" i="5" s="1"/>
  <c r="W429" i="5"/>
  <c r="AT429" i="5" s="1"/>
  <c r="W428" i="5"/>
  <c r="AT428" i="5" s="1"/>
  <c r="W427" i="5"/>
  <c r="AT427" i="5" s="1"/>
  <c r="W426" i="5"/>
  <c r="AT426" i="5" s="1"/>
  <c r="W425" i="5"/>
  <c r="AT425" i="5" s="1"/>
  <c r="W424" i="5"/>
  <c r="AT424" i="5" s="1"/>
  <c r="W423" i="5"/>
  <c r="AT423" i="5" s="1"/>
  <c r="W422" i="5"/>
  <c r="AT422" i="5" s="1"/>
  <c r="W421" i="5"/>
  <c r="AT421" i="5" s="1"/>
  <c r="W420" i="5"/>
  <c r="AT420" i="5" s="1"/>
  <c r="W419" i="5"/>
  <c r="AT419" i="5" s="1"/>
  <c r="W418" i="5"/>
  <c r="AT418" i="5" s="1"/>
  <c r="W417" i="5"/>
  <c r="AT417" i="5" s="1"/>
  <c r="W416" i="5"/>
  <c r="AT416" i="5" s="1"/>
  <c r="W415" i="5"/>
  <c r="AT415" i="5" s="1"/>
  <c r="W414" i="5"/>
  <c r="AT414" i="5" s="1"/>
  <c r="W413" i="5"/>
  <c r="AT413" i="5" s="1"/>
  <c r="W412" i="5"/>
  <c r="AT412" i="5" s="1"/>
  <c r="W411" i="5"/>
  <c r="AT411" i="5" s="1"/>
  <c r="W410" i="5"/>
  <c r="AT410" i="5" s="1"/>
  <c r="W409" i="5"/>
  <c r="AT409" i="5" s="1"/>
  <c r="W408" i="5"/>
  <c r="AT408" i="5" s="1"/>
  <c r="W407" i="5"/>
  <c r="AT407" i="5" s="1"/>
  <c r="W406" i="5"/>
  <c r="AT406" i="5" s="1"/>
  <c r="W405" i="5"/>
  <c r="AT405" i="5" s="1"/>
  <c r="W404" i="5"/>
  <c r="AT404" i="5" s="1"/>
  <c r="W403" i="5"/>
  <c r="AT403" i="5" s="1"/>
  <c r="W402" i="5"/>
  <c r="AT402" i="5" s="1"/>
  <c r="W401" i="5"/>
  <c r="AT401" i="5" s="1"/>
  <c r="W400" i="5"/>
  <c r="AT400" i="5" s="1"/>
  <c r="W399" i="5"/>
  <c r="AT399" i="5" s="1"/>
  <c r="W398" i="5"/>
  <c r="AT398" i="5" s="1"/>
  <c r="W397" i="5"/>
  <c r="AT397" i="5" s="1"/>
  <c r="W396" i="5"/>
  <c r="AT396" i="5" s="1"/>
  <c r="W395" i="5"/>
  <c r="AT395" i="5" s="1"/>
  <c r="W394" i="5"/>
  <c r="AT394" i="5" s="1"/>
  <c r="W393" i="5"/>
  <c r="AT393" i="5" s="1"/>
  <c r="W392" i="5"/>
  <c r="AT392" i="5" s="1"/>
  <c r="W391" i="5"/>
  <c r="AT391" i="5" s="1"/>
  <c r="W390" i="5"/>
  <c r="AT390" i="5" s="1"/>
  <c r="W389" i="5"/>
  <c r="AT389" i="5" s="1"/>
  <c r="W388" i="5"/>
  <c r="AT388" i="5" s="1"/>
  <c r="W387" i="5"/>
  <c r="AT387" i="5" s="1"/>
  <c r="W386" i="5"/>
  <c r="AT386" i="5" s="1"/>
  <c r="W385" i="5"/>
  <c r="AT385" i="5" s="1"/>
  <c r="W384" i="5"/>
  <c r="AT384" i="5" s="1"/>
  <c r="W383" i="5"/>
  <c r="AT383" i="5" s="1"/>
  <c r="W382" i="5"/>
  <c r="AT382" i="5" s="1"/>
  <c r="W381" i="5"/>
  <c r="AT381" i="5" s="1"/>
  <c r="W380" i="5"/>
  <c r="AT380" i="5" s="1"/>
  <c r="W379" i="5"/>
  <c r="AT379" i="5" s="1"/>
  <c r="W378" i="5"/>
  <c r="AT378" i="5" s="1"/>
  <c r="W377" i="5"/>
  <c r="AT377" i="5" s="1"/>
  <c r="W376" i="5"/>
  <c r="AT376" i="5" s="1"/>
  <c r="W375" i="5"/>
  <c r="AT375" i="5" s="1"/>
  <c r="W374" i="5"/>
  <c r="AT374" i="5" s="1"/>
  <c r="W373" i="5"/>
  <c r="AT373" i="5" s="1"/>
  <c r="W372" i="5"/>
  <c r="AT372" i="5" s="1"/>
  <c r="W371" i="5"/>
  <c r="AT371" i="5" s="1"/>
  <c r="W370" i="5"/>
  <c r="AT370" i="5" s="1"/>
  <c r="W369" i="5"/>
  <c r="AT369" i="5" s="1"/>
  <c r="W368" i="5"/>
  <c r="AT368" i="5" s="1"/>
  <c r="W367" i="5"/>
  <c r="AT367" i="5" s="1"/>
  <c r="W366" i="5"/>
  <c r="AT366" i="5" s="1"/>
  <c r="W365" i="5"/>
  <c r="AT365" i="5" s="1"/>
  <c r="W364" i="5"/>
  <c r="AT364" i="5" s="1"/>
  <c r="W363" i="5"/>
  <c r="AT363" i="5" s="1"/>
  <c r="W362" i="5"/>
  <c r="AT362" i="5" s="1"/>
  <c r="W361" i="5"/>
  <c r="AT361" i="5" s="1"/>
  <c r="W360" i="5"/>
  <c r="AT360" i="5" s="1"/>
  <c r="W359" i="5"/>
  <c r="AT359" i="5" s="1"/>
  <c r="W358" i="5"/>
  <c r="AT358" i="5" s="1"/>
  <c r="W357" i="5"/>
  <c r="AT357" i="5" s="1"/>
  <c r="W356" i="5"/>
  <c r="AT356" i="5" s="1"/>
  <c r="W355" i="5"/>
  <c r="AT355" i="5" s="1"/>
  <c r="W354" i="5"/>
  <c r="AT354" i="5" s="1"/>
  <c r="W353" i="5"/>
  <c r="AT353" i="5" s="1"/>
  <c r="W352" i="5"/>
  <c r="AT352" i="5" s="1"/>
  <c r="W351" i="5"/>
  <c r="AT351" i="5" s="1"/>
  <c r="W350" i="5"/>
  <c r="AT350" i="5" s="1"/>
  <c r="W349" i="5"/>
  <c r="AT349" i="5" s="1"/>
  <c r="W348" i="5"/>
  <c r="AT348" i="5" s="1"/>
  <c r="W347" i="5"/>
  <c r="AT347" i="5" s="1"/>
  <c r="W346" i="5"/>
  <c r="AT346" i="5" s="1"/>
  <c r="W345" i="5"/>
  <c r="AT345" i="5" s="1"/>
  <c r="W344" i="5"/>
  <c r="AT344" i="5" s="1"/>
  <c r="W343" i="5"/>
  <c r="AT343" i="5" s="1"/>
  <c r="W342" i="5"/>
  <c r="AT342" i="5" s="1"/>
  <c r="W341" i="5"/>
  <c r="AT341" i="5" s="1"/>
  <c r="W340" i="5"/>
  <c r="AT340" i="5" s="1"/>
  <c r="W339" i="5"/>
  <c r="AT339" i="5" s="1"/>
  <c r="W338" i="5"/>
  <c r="AT338" i="5" s="1"/>
  <c r="W337" i="5"/>
  <c r="AT337" i="5" s="1"/>
  <c r="W336" i="5"/>
  <c r="AT336" i="5" s="1"/>
  <c r="W335" i="5"/>
  <c r="AT335" i="5" s="1"/>
  <c r="W334" i="5"/>
  <c r="AT334" i="5" s="1"/>
  <c r="W333" i="5"/>
  <c r="AT333" i="5" s="1"/>
  <c r="W332" i="5"/>
  <c r="AT332" i="5" s="1"/>
  <c r="W331" i="5"/>
  <c r="AT331" i="5" s="1"/>
  <c r="W330" i="5"/>
  <c r="AT330" i="5" s="1"/>
  <c r="W329" i="5"/>
  <c r="AT329" i="5" s="1"/>
  <c r="W328" i="5"/>
  <c r="AT328" i="5" s="1"/>
  <c r="W327" i="5"/>
  <c r="AT327" i="5" s="1"/>
  <c r="W326" i="5"/>
  <c r="AT326" i="5" s="1"/>
  <c r="W325" i="5"/>
  <c r="AT325" i="5" s="1"/>
  <c r="W324" i="5"/>
  <c r="AT324" i="5" s="1"/>
  <c r="W323" i="5"/>
  <c r="AT323" i="5" s="1"/>
  <c r="W322" i="5"/>
  <c r="AT322" i="5" s="1"/>
  <c r="W321" i="5"/>
  <c r="AT321" i="5" s="1"/>
  <c r="W320" i="5"/>
  <c r="AT320" i="5" s="1"/>
  <c r="W319" i="5"/>
  <c r="AT319" i="5" s="1"/>
  <c r="W318" i="5"/>
  <c r="AT318" i="5" s="1"/>
  <c r="W317" i="5"/>
  <c r="AT317" i="5" s="1"/>
  <c r="W316" i="5"/>
  <c r="AT316" i="5" s="1"/>
  <c r="W315" i="5"/>
  <c r="AT315" i="5" s="1"/>
  <c r="W314" i="5"/>
  <c r="AT314" i="5" s="1"/>
  <c r="W313" i="5"/>
  <c r="AT313" i="5" s="1"/>
  <c r="W312" i="5"/>
  <c r="AT312" i="5" s="1"/>
  <c r="W311" i="5"/>
  <c r="AT311" i="5" s="1"/>
  <c r="W310" i="5"/>
  <c r="AT310" i="5" s="1"/>
  <c r="W309" i="5"/>
  <c r="AT309" i="5" s="1"/>
  <c r="W308" i="5"/>
  <c r="AT308" i="5" s="1"/>
  <c r="W307" i="5"/>
  <c r="AT307" i="5" s="1"/>
  <c r="W306" i="5"/>
  <c r="AT306" i="5" s="1"/>
  <c r="W305" i="5"/>
  <c r="AT305" i="5" s="1"/>
  <c r="W304" i="5"/>
  <c r="AT304" i="5" s="1"/>
  <c r="W303" i="5"/>
  <c r="AT303" i="5" s="1"/>
  <c r="W302" i="5"/>
  <c r="AT302" i="5" s="1"/>
  <c r="W301" i="5"/>
  <c r="AT301" i="5" s="1"/>
  <c r="W300" i="5"/>
  <c r="AT300" i="5" s="1"/>
  <c r="W299" i="5"/>
  <c r="AT299" i="5" s="1"/>
  <c r="W298" i="5"/>
  <c r="AT298" i="5" s="1"/>
  <c r="W297" i="5"/>
  <c r="AT297" i="5" s="1"/>
  <c r="W296" i="5"/>
  <c r="AT296" i="5" s="1"/>
  <c r="W295" i="5"/>
  <c r="AT295" i="5" s="1"/>
  <c r="W294" i="5"/>
  <c r="AT294" i="5" s="1"/>
  <c r="W293" i="5"/>
  <c r="AT293" i="5" s="1"/>
  <c r="W292" i="5"/>
  <c r="AT292" i="5" s="1"/>
  <c r="W291" i="5"/>
  <c r="AT291" i="5" s="1"/>
  <c r="W290" i="5"/>
  <c r="AT290" i="5" s="1"/>
  <c r="W289" i="5"/>
  <c r="AT289" i="5" s="1"/>
  <c r="W288" i="5"/>
  <c r="AT288" i="5" s="1"/>
  <c r="W287" i="5"/>
  <c r="AT287" i="5" s="1"/>
  <c r="W286" i="5"/>
  <c r="AT286" i="5" s="1"/>
  <c r="W285" i="5"/>
  <c r="AT285" i="5" s="1"/>
  <c r="W284" i="5"/>
  <c r="AT284" i="5" s="1"/>
  <c r="W283" i="5"/>
  <c r="AT283" i="5" s="1"/>
  <c r="W282" i="5"/>
  <c r="AT282" i="5" s="1"/>
  <c r="W281" i="5"/>
  <c r="AT281" i="5" s="1"/>
  <c r="W280" i="5"/>
  <c r="AT280" i="5" s="1"/>
  <c r="W279" i="5"/>
  <c r="AT279" i="5" s="1"/>
  <c r="W278" i="5"/>
  <c r="AT278" i="5" s="1"/>
  <c r="W277" i="5"/>
  <c r="AT277" i="5" s="1"/>
  <c r="W276" i="5"/>
  <c r="AT276" i="5" s="1"/>
  <c r="W275" i="5"/>
  <c r="AT275" i="5" s="1"/>
  <c r="W274" i="5"/>
  <c r="AT274" i="5" s="1"/>
  <c r="W273" i="5"/>
  <c r="AT273" i="5" s="1"/>
  <c r="W272" i="5"/>
  <c r="AT272" i="5" s="1"/>
  <c r="W271" i="5"/>
  <c r="AT271" i="5" s="1"/>
  <c r="W270" i="5"/>
  <c r="AT270" i="5" s="1"/>
  <c r="W269" i="5"/>
  <c r="AT269" i="5" s="1"/>
  <c r="W268" i="5"/>
  <c r="AT268" i="5" s="1"/>
  <c r="W267" i="5"/>
  <c r="AT267" i="5" s="1"/>
  <c r="W266" i="5"/>
  <c r="AT266" i="5" s="1"/>
  <c r="W265" i="5"/>
  <c r="AT265" i="5" s="1"/>
  <c r="W264" i="5"/>
  <c r="AT264" i="5" s="1"/>
  <c r="W263" i="5"/>
  <c r="AT263" i="5" s="1"/>
  <c r="W262" i="5"/>
  <c r="AT262" i="5" s="1"/>
  <c r="W261" i="5"/>
  <c r="AT261" i="5" s="1"/>
  <c r="W260" i="5"/>
  <c r="AT260" i="5" s="1"/>
  <c r="W259" i="5"/>
  <c r="AT259" i="5" s="1"/>
  <c r="W258" i="5"/>
  <c r="AT258" i="5" s="1"/>
  <c r="W257" i="5"/>
  <c r="AT257" i="5" s="1"/>
  <c r="W256" i="5"/>
  <c r="AT256" i="5" s="1"/>
  <c r="W255" i="5"/>
  <c r="AT255" i="5" s="1"/>
  <c r="W254" i="5"/>
  <c r="AT254" i="5" s="1"/>
  <c r="W253" i="5"/>
  <c r="AT253" i="5" s="1"/>
  <c r="W252" i="5"/>
  <c r="AT252" i="5" s="1"/>
  <c r="W251" i="5"/>
  <c r="AT251" i="5" s="1"/>
  <c r="W250" i="5"/>
  <c r="AT250" i="5" s="1"/>
  <c r="W249" i="5"/>
  <c r="AT249" i="5" s="1"/>
  <c r="W248" i="5"/>
  <c r="AT248" i="5" s="1"/>
  <c r="W247" i="5"/>
  <c r="AT247" i="5" s="1"/>
  <c r="W246" i="5"/>
  <c r="AT246" i="5" s="1"/>
  <c r="W245" i="5"/>
  <c r="AT245" i="5" s="1"/>
  <c r="W244" i="5"/>
  <c r="AT244" i="5" s="1"/>
  <c r="W243" i="5"/>
  <c r="AT243" i="5" s="1"/>
  <c r="W242" i="5"/>
  <c r="AT242" i="5" s="1"/>
  <c r="W241" i="5"/>
  <c r="AT241" i="5" s="1"/>
  <c r="W240" i="5"/>
  <c r="AT240" i="5" s="1"/>
  <c r="W239" i="5"/>
  <c r="AT239" i="5" s="1"/>
  <c r="W238" i="5"/>
  <c r="AT238" i="5" s="1"/>
  <c r="W237" i="5"/>
  <c r="AT237" i="5" s="1"/>
  <c r="W236" i="5"/>
  <c r="AT236" i="5" s="1"/>
  <c r="W235" i="5"/>
  <c r="AT235" i="5" s="1"/>
  <c r="W234" i="5"/>
  <c r="AT234" i="5" s="1"/>
  <c r="W233" i="5"/>
  <c r="AT233" i="5" s="1"/>
  <c r="W232" i="5"/>
  <c r="AT232" i="5" s="1"/>
  <c r="W231" i="5"/>
  <c r="AT231" i="5" s="1"/>
  <c r="W230" i="5"/>
  <c r="AT230" i="5" s="1"/>
  <c r="W229" i="5"/>
  <c r="AT229" i="5" s="1"/>
  <c r="W228" i="5"/>
  <c r="AT228" i="5" s="1"/>
  <c r="W227" i="5"/>
  <c r="AT227" i="5" s="1"/>
  <c r="W226" i="5"/>
  <c r="AT226" i="5" s="1"/>
  <c r="W225" i="5"/>
  <c r="AT225" i="5" s="1"/>
  <c r="W224" i="5"/>
  <c r="AT224" i="5" s="1"/>
  <c r="W223" i="5"/>
  <c r="AT223" i="5" s="1"/>
  <c r="W222" i="5"/>
  <c r="AT222" i="5" s="1"/>
  <c r="W221" i="5"/>
  <c r="AT221" i="5" s="1"/>
  <c r="W220" i="5"/>
  <c r="AT220" i="5" s="1"/>
  <c r="W219" i="5"/>
  <c r="AT219" i="5" s="1"/>
  <c r="W218" i="5"/>
  <c r="AT218" i="5" s="1"/>
  <c r="W217" i="5"/>
  <c r="AT217" i="5" s="1"/>
  <c r="W216" i="5"/>
  <c r="AT216" i="5" s="1"/>
  <c r="W215" i="5"/>
  <c r="AT215" i="5" s="1"/>
  <c r="W214" i="5"/>
  <c r="AT214" i="5" s="1"/>
  <c r="W213" i="5"/>
  <c r="AT213" i="5" s="1"/>
  <c r="W212" i="5"/>
  <c r="AT212" i="5" s="1"/>
  <c r="W211" i="5"/>
  <c r="AT211" i="5" s="1"/>
  <c r="W210" i="5"/>
  <c r="AT210" i="5" s="1"/>
  <c r="W209" i="5"/>
  <c r="AT209" i="5" s="1"/>
  <c r="W208" i="5"/>
  <c r="AT208" i="5" s="1"/>
  <c r="W207" i="5"/>
  <c r="AT207" i="5" s="1"/>
  <c r="W206" i="5"/>
  <c r="AT206" i="5" s="1"/>
  <c r="W205" i="5"/>
  <c r="AT205" i="5" s="1"/>
  <c r="W204" i="5"/>
  <c r="AT204" i="5" s="1"/>
  <c r="W203" i="5"/>
  <c r="AT203" i="5" s="1"/>
  <c r="W202" i="5"/>
  <c r="AT202" i="5" s="1"/>
  <c r="W201" i="5"/>
  <c r="AT201" i="5" s="1"/>
  <c r="W200" i="5"/>
  <c r="AT200" i="5" s="1"/>
  <c r="W199" i="5"/>
  <c r="AT199" i="5" s="1"/>
  <c r="W198" i="5"/>
  <c r="AT198" i="5" s="1"/>
  <c r="W197" i="5"/>
  <c r="AT197" i="5" s="1"/>
  <c r="W196" i="5"/>
  <c r="AT196" i="5" s="1"/>
  <c r="W195" i="5"/>
  <c r="AT195" i="5" s="1"/>
  <c r="W194" i="5"/>
  <c r="AT194" i="5" s="1"/>
  <c r="W193" i="5"/>
  <c r="AT193" i="5" s="1"/>
  <c r="W192" i="5"/>
  <c r="AT192" i="5" s="1"/>
  <c r="W191" i="5"/>
  <c r="AT191" i="5" s="1"/>
  <c r="W190" i="5"/>
  <c r="AT190" i="5" s="1"/>
  <c r="W189" i="5"/>
  <c r="AT189" i="5" s="1"/>
  <c r="W188" i="5"/>
  <c r="AT188" i="5" s="1"/>
  <c r="W187" i="5"/>
  <c r="AT187" i="5" s="1"/>
  <c r="W186" i="5"/>
  <c r="AT186" i="5" s="1"/>
  <c r="W185" i="5"/>
  <c r="AT185" i="5" s="1"/>
  <c r="W184" i="5"/>
  <c r="AT184" i="5" s="1"/>
  <c r="W183" i="5"/>
  <c r="AT183" i="5" s="1"/>
  <c r="W182" i="5"/>
  <c r="AT182" i="5" s="1"/>
  <c r="W181" i="5"/>
  <c r="AT181" i="5" s="1"/>
  <c r="W180" i="5"/>
  <c r="AT180" i="5" s="1"/>
  <c r="W179" i="5"/>
  <c r="AT179" i="5" s="1"/>
  <c r="W178" i="5"/>
  <c r="AT178" i="5" s="1"/>
  <c r="W177" i="5"/>
  <c r="AT177" i="5" s="1"/>
  <c r="W176" i="5"/>
  <c r="AT176" i="5" s="1"/>
  <c r="W175" i="5"/>
  <c r="AT175" i="5" s="1"/>
  <c r="W174" i="5"/>
  <c r="AT174" i="5" s="1"/>
  <c r="W173" i="5"/>
  <c r="AT173" i="5" s="1"/>
  <c r="W172" i="5"/>
  <c r="AT172" i="5" s="1"/>
  <c r="W171" i="5"/>
  <c r="AT171" i="5" s="1"/>
  <c r="W170" i="5"/>
  <c r="AT170" i="5" s="1"/>
  <c r="W169" i="5"/>
  <c r="AT169" i="5" s="1"/>
  <c r="W168" i="5"/>
  <c r="AT168" i="5" s="1"/>
  <c r="W167" i="5"/>
  <c r="AT167" i="5" s="1"/>
  <c r="W166" i="5"/>
  <c r="AT166" i="5" s="1"/>
  <c r="W165" i="5"/>
  <c r="AT165" i="5" s="1"/>
  <c r="W164" i="5"/>
  <c r="AT164" i="5" s="1"/>
  <c r="W163" i="5"/>
  <c r="AT163" i="5" s="1"/>
  <c r="W162" i="5"/>
  <c r="AT162" i="5" s="1"/>
  <c r="W161" i="5"/>
  <c r="AT161" i="5" s="1"/>
  <c r="W160" i="5"/>
  <c r="AT160" i="5" s="1"/>
  <c r="W159" i="5"/>
  <c r="AT159" i="5" s="1"/>
  <c r="W158" i="5"/>
  <c r="AT158" i="5" s="1"/>
  <c r="W157" i="5"/>
  <c r="AT157" i="5" s="1"/>
  <c r="W156" i="5"/>
  <c r="AT156" i="5" s="1"/>
  <c r="W155" i="5"/>
  <c r="AT155" i="5" s="1"/>
  <c r="W154" i="5"/>
  <c r="AT154" i="5" s="1"/>
  <c r="W153" i="5"/>
  <c r="AT153" i="5" s="1"/>
  <c r="W152" i="5"/>
  <c r="AT152" i="5" s="1"/>
  <c r="W151" i="5"/>
  <c r="AT151" i="5" s="1"/>
  <c r="W150" i="5"/>
  <c r="AT150" i="5" s="1"/>
  <c r="W149" i="5"/>
  <c r="AT149" i="5" s="1"/>
  <c r="W148" i="5"/>
  <c r="AT148" i="5" s="1"/>
  <c r="W147" i="5"/>
  <c r="AT147" i="5" s="1"/>
  <c r="W146" i="5"/>
  <c r="AT146" i="5" s="1"/>
  <c r="W145" i="5"/>
  <c r="AT145" i="5" s="1"/>
  <c r="W144" i="5"/>
  <c r="AT144" i="5" s="1"/>
  <c r="W143" i="5"/>
  <c r="AT143" i="5" s="1"/>
  <c r="W142" i="5"/>
  <c r="AT142" i="5" s="1"/>
  <c r="W141" i="5"/>
  <c r="AT141" i="5" s="1"/>
  <c r="W140" i="5"/>
  <c r="AT140" i="5" s="1"/>
  <c r="W139" i="5"/>
  <c r="AT139" i="5" s="1"/>
  <c r="W138" i="5"/>
  <c r="AT138" i="5" s="1"/>
  <c r="W137" i="5"/>
  <c r="AT137" i="5" s="1"/>
  <c r="W136" i="5"/>
  <c r="AT136" i="5" s="1"/>
  <c r="W135" i="5"/>
  <c r="AT135" i="5" s="1"/>
  <c r="W134" i="5"/>
  <c r="AT134" i="5" s="1"/>
  <c r="W133" i="5"/>
  <c r="AT133" i="5" s="1"/>
  <c r="W132" i="5"/>
  <c r="AT132" i="5" s="1"/>
  <c r="W131" i="5"/>
  <c r="AT131" i="5" s="1"/>
  <c r="W130" i="5"/>
  <c r="AT130" i="5" s="1"/>
  <c r="W129" i="5"/>
  <c r="AT129" i="5" s="1"/>
  <c r="W128" i="5"/>
  <c r="AT128" i="5" s="1"/>
  <c r="W127" i="5"/>
  <c r="AT127" i="5" s="1"/>
  <c r="W126" i="5"/>
  <c r="AT126" i="5" s="1"/>
  <c r="W125" i="5"/>
  <c r="AT125" i="5" s="1"/>
  <c r="W124" i="5"/>
  <c r="AT124" i="5" s="1"/>
  <c r="W123" i="5"/>
  <c r="AT123" i="5" s="1"/>
  <c r="W122" i="5"/>
  <c r="AT122" i="5" s="1"/>
  <c r="W121" i="5"/>
  <c r="AT121" i="5" s="1"/>
  <c r="W120" i="5"/>
  <c r="AT120" i="5" s="1"/>
  <c r="W119" i="5"/>
  <c r="AT119" i="5" s="1"/>
  <c r="W118" i="5"/>
  <c r="AT118" i="5" s="1"/>
  <c r="W117" i="5"/>
  <c r="AT117" i="5" s="1"/>
  <c r="W116" i="5"/>
  <c r="AT116" i="5" s="1"/>
  <c r="W115" i="5"/>
  <c r="AT115" i="5" s="1"/>
  <c r="W114" i="5"/>
  <c r="AT114" i="5" s="1"/>
  <c r="W113" i="5"/>
  <c r="AT113" i="5" s="1"/>
  <c r="W112" i="5"/>
  <c r="AT112" i="5" s="1"/>
  <c r="W111" i="5"/>
  <c r="AT111" i="5" s="1"/>
  <c r="W110" i="5"/>
  <c r="AT110" i="5" s="1"/>
  <c r="W109" i="5"/>
  <c r="AT109" i="5" s="1"/>
  <c r="W108" i="5"/>
  <c r="AT108" i="5" s="1"/>
  <c r="W107" i="5"/>
  <c r="AT107" i="5" s="1"/>
  <c r="W106" i="5"/>
  <c r="AT106" i="5" s="1"/>
  <c r="W105" i="5"/>
  <c r="AT105" i="5" s="1"/>
  <c r="W104" i="5"/>
  <c r="AT104" i="5" s="1"/>
  <c r="W103" i="5"/>
  <c r="AT103" i="5" s="1"/>
  <c r="W102" i="5"/>
  <c r="AT102" i="5" s="1"/>
  <c r="W101" i="5"/>
  <c r="AT101" i="5" s="1"/>
  <c r="W100" i="5"/>
  <c r="AT100" i="5" s="1"/>
  <c r="W99" i="5"/>
  <c r="AT99" i="5" s="1"/>
  <c r="W98" i="5"/>
  <c r="AT98" i="5" s="1"/>
  <c r="W97" i="5"/>
  <c r="AT97" i="5" s="1"/>
  <c r="W96" i="5"/>
  <c r="AT96" i="5" s="1"/>
  <c r="W95" i="5"/>
  <c r="AT95" i="5" s="1"/>
  <c r="W94" i="5"/>
  <c r="AT94" i="5" s="1"/>
  <c r="W93" i="5"/>
  <c r="AT93" i="5" s="1"/>
  <c r="W92" i="5"/>
  <c r="AT92" i="5" s="1"/>
  <c r="W91" i="5"/>
  <c r="AT91" i="5" s="1"/>
  <c r="W90" i="5"/>
  <c r="AT90" i="5" s="1"/>
  <c r="W89" i="5"/>
  <c r="AT89" i="5" s="1"/>
  <c r="W88" i="5"/>
  <c r="AT88" i="5" s="1"/>
  <c r="W87" i="5"/>
  <c r="AT87" i="5" s="1"/>
  <c r="W86" i="5"/>
  <c r="AT86" i="5" s="1"/>
  <c r="W85" i="5"/>
  <c r="AT85" i="5" s="1"/>
  <c r="W84" i="5"/>
  <c r="AT84" i="5" s="1"/>
  <c r="W83" i="5"/>
  <c r="AT83" i="5" s="1"/>
  <c r="W82" i="5"/>
  <c r="AT82" i="5" s="1"/>
  <c r="W81" i="5"/>
  <c r="AT81" i="5" s="1"/>
  <c r="W80" i="5"/>
  <c r="AT80" i="5" s="1"/>
  <c r="W79" i="5"/>
  <c r="AT79" i="5" s="1"/>
  <c r="W78" i="5"/>
  <c r="AT78" i="5" s="1"/>
  <c r="W77" i="5"/>
  <c r="AT77" i="5" s="1"/>
  <c r="W76" i="5"/>
  <c r="AT76" i="5" s="1"/>
  <c r="W75" i="5"/>
  <c r="AT75" i="5" s="1"/>
  <c r="W74" i="5"/>
  <c r="AT74" i="5" s="1"/>
  <c r="W73" i="5"/>
  <c r="AT73" i="5" s="1"/>
  <c r="W72" i="5"/>
  <c r="AT72" i="5" s="1"/>
  <c r="W71" i="5"/>
  <c r="AT71" i="5" s="1"/>
  <c r="W70" i="5"/>
  <c r="AT70" i="5" s="1"/>
  <c r="W69" i="5"/>
  <c r="AT69" i="5" s="1"/>
  <c r="W68" i="5"/>
  <c r="AT68" i="5" s="1"/>
  <c r="W67" i="5"/>
  <c r="AT67" i="5" s="1"/>
  <c r="W66" i="5"/>
  <c r="AT66" i="5" s="1"/>
  <c r="W65" i="5"/>
  <c r="AT65" i="5" s="1"/>
  <c r="W64" i="5"/>
  <c r="AT64" i="5" s="1"/>
  <c r="W63" i="5"/>
  <c r="AT63" i="5" s="1"/>
  <c r="W62" i="5"/>
  <c r="AT62" i="5" s="1"/>
  <c r="W61" i="5"/>
  <c r="AT61" i="5" s="1"/>
  <c r="W60" i="5"/>
  <c r="AT60" i="5" s="1"/>
  <c r="W59" i="5"/>
  <c r="AT59" i="5" s="1"/>
  <c r="W58" i="5"/>
  <c r="AT58" i="5" s="1"/>
  <c r="W57" i="5"/>
  <c r="AT57" i="5" s="1"/>
  <c r="W56" i="5"/>
  <c r="AT56" i="5" s="1"/>
  <c r="W55" i="5"/>
  <c r="AT55" i="5" s="1"/>
  <c r="W54" i="5"/>
  <c r="AT54" i="5" s="1"/>
  <c r="W53" i="5"/>
  <c r="AT53" i="5" s="1"/>
  <c r="W52" i="5"/>
  <c r="AT52" i="5" s="1"/>
  <c r="W51" i="5"/>
  <c r="AT51" i="5" s="1"/>
  <c r="W50" i="5"/>
  <c r="AT50" i="5" s="1"/>
  <c r="W49" i="5"/>
  <c r="AT49" i="5" s="1"/>
  <c r="W48" i="5"/>
  <c r="AT48" i="5" s="1"/>
  <c r="W47" i="5"/>
  <c r="AT47" i="5" s="1"/>
  <c r="W46" i="5"/>
  <c r="AT46" i="5" s="1"/>
  <c r="W45" i="5"/>
  <c r="AT45" i="5" s="1"/>
  <c r="W44" i="5"/>
  <c r="AT44" i="5" s="1"/>
  <c r="W43" i="5"/>
  <c r="AT43" i="5" s="1"/>
  <c r="W42" i="5"/>
  <c r="AT42" i="5" s="1"/>
  <c r="W41" i="5"/>
  <c r="AT41" i="5" s="1"/>
  <c r="W40" i="5"/>
  <c r="AT40" i="5" s="1"/>
  <c r="W39" i="5"/>
  <c r="AT39" i="5" s="1"/>
  <c r="W38" i="5"/>
  <c r="AT38" i="5" s="1"/>
  <c r="W37" i="5"/>
  <c r="AT37" i="5" s="1"/>
  <c r="W36" i="5"/>
  <c r="AT36" i="5" s="1"/>
  <c r="W35" i="5"/>
  <c r="AT35" i="5" s="1"/>
  <c r="W34" i="5"/>
  <c r="AT34" i="5" s="1"/>
  <c r="W33" i="5"/>
  <c r="AT33" i="5" s="1"/>
  <c r="W32" i="5"/>
  <c r="AT32" i="5" s="1"/>
  <c r="W31" i="5"/>
  <c r="AT31" i="5" s="1"/>
  <c r="W30" i="5"/>
  <c r="AT30" i="5" s="1"/>
  <c r="W29" i="5"/>
  <c r="AT29" i="5" s="1"/>
  <c r="W28" i="5"/>
  <c r="AT28" i="5" s="1"/>
  <c r="W27" i="5"/>
  <c r="AT27" i="5" s="1"/>
  <c r="W26" i="5"/>
  <c r="AT26" i="5" s="1"/>
  <c r="W25" i="5"/>
  <c r="AT25" i="5" s="1"/>
  <c r="W24" i="5"/>
  <c r="AT24" i="5" s="1"/>
  <c r="W23" i="5"/>
  <c r="AT23" i="5" s="1"/>
  <c r="W22" i="5"/>
  <c r="AT22" i="5" s="1"/>
  <c r="W21" i="5"/>
  <c r="AT21" i="5" s="1"/>
  <c r="W20" i="5"/>
  <c r="AT20" i="5" s="1"/>
  <c r="W19" i="5"/>
  <c r="AT19" i="5" s="1"/>
  <c r="W18" i="5"/>
  <c r="AT18" i="5" s="1"/>
  <c r="W17" i="5"/>
  <c r="AT17" i="5" s="1"/>
  <c r="W16" i="5"/>
  <c r="AT16" i="5" s="1"/>
  <c r="W15" i="5"/>
  <c r="AT15" i="5" s="1"/>
  <c r="W14" i="5"/>
  <c r="AT14" i="5" s="1"/>
  <c r="W13" i="5"/>
  <c r="AT13" i="5" s="1"/>
  <c r="W12" i="5"/>
  <c r="AT12" i="5" s="1"/>
  <c r="W11" i="5"/>
  <c r="AT11" i="5" s="1"/>
  <c r="W10" i="5"/>
  <c r="AT10" i="5" s="1"/>
  <c r="W9" i="5"/>
  <c r="AT9" i="5" s="1"/>
  <c r="W8" i="5"/>
  <c r="AT8" i="5" s="1"/>
  <c r="AT589" i="5" s="1"/>
  <c r="U646" i="5"/>
  <c r="U643" i="5"/>
  <c r="AS643" i="5" s="1"/>
  <c r="U642" i="5"/>
  <c r="AS642" i="5" s="1"/>
  <c r="U641" i="5"/>
  <c r="AS641" i="5" s="1"/>
  <c r="U640" i="5"/>
  <c r="AS640" i="5" s="1"/>
  <c r="U639" i="5"/>
  <c r="AS639" i="5" s="1"/>
  <c r="U638" i="5"/>
  <c r="AS638" i="5" s="1"/>
  <c r="U637" i="5"/>
  <c r="AS637" i="5" s="1"/>
  <c r="U636" i="5"/>
  <c r="AS636" i="5" s="1"/>
  <c r="U635" i="5"/>
  <c r="AS635" i="5" s="1"/>
  <c r="U634" i="5"/>
  <c r="AS634" i="5" s="1"/>
  <c r="U633" i="5"/>
  <c r="AS633" i="5" s="1"/>
  <c r="U632" i="5"/>
  <c r="AS632" i="5" s="1"/>
  <c r="U631" i="5"/>
  <c r="AS631" i="5" s="1"/>
  <c r="U630" i="5"/>
  <c r="AS630" i="5" s="1"/>
  <c r="U629" i="5"/>
  <c r="AS629" i="5" s="1"/>
  <c r="U628" i="5"/>
  <c r="AS628" i="5" s="1"/>
  <c r="U627" i="5"/>
  <c r="AS627" i="5" s="1"/>
  <c r="U626" i="5"/>
  <c r="AS626" i="5" s="1"/>
  <c r="U625" i="5"/>
  <c r="AS625" i="5" s="1"/>
  <c r="U624" i="5"/>
  <c r="AS624" i="5" s="1"/>
  <c r="U623" i="5"/>
  <c r="AS623" i="5" s="1"/>
  <c r="U622" i="5"/>
  <c r="AS622" i="5" s="1"/>
  <c r="U621" i="5"/>
  <c r="AS621" i="5" s="1"/>
  <c r="U620" i="5"/>
  <c r="AS620" i="5" s="1"/>
  <c r="U619" i="5"/>
  <c r="AS619" i="5" s="1"/>
  <c r="U618" i="5"/>
  <c r="AS618" i="5" s="1"/>
  <c r="U617" i="5"/>
  <c r="AS617" i="5" s="1"/>
  <c r="U616" i="5"/>
  <c r="AS616" i="5" s="1"/>
  <c r="U615" i="5"/>
  <c r="AS615" i="5" s="1"/>
  <c r="U614" i="5"/>
  <c r="AS614" i="5" s="1"/>
  <c r="U613" i="5"/>
  <c r="AS613" i="5" s="1"/>
  <c r="U612" i="5"/>
  <c r="AS612" i="5" s="1"/>
  <c r="U611" i="5"/>
  <c r="AS611" i="5" s="1"/>
  <c r="U610" i="5"/>
  <c r="AS610" i="5" s="1"/>
  <c r="U609" i="5"/>
  <c r="AS609" i="5" s="1"/>
  <c r="U608" i="5"/>
  <c r="AS608" i="5" s="1"/>
  <c r="U607" i="5"/>
  <c r="AS607" i="5" s="1"/>
  <c r="U606" i="5"/>
  <c r="AS606" i="5" s="1"/>
  <c r="U605" i="5"/>
  <c r="AS605" i="5" s="1"/>
  <c r="U604" i="5"/>
  <c r="AS604" i="5" s="1"/>
  <c r="U603" i="5"/>
  <c r="AS603" i="5" s="1"/>
  <c r="U602" i="5"/>
  <c r="AS602" i="5" s="1"/>
  <c r="U601" i="5"/>
  <c r="AS601" i="5" s="1"/>
  <c r="U600" i="5"/>
  <c r="AS600" i="5" s="1"/>
  <c r="U599" i="5"/>
  <c r="AS599" i="5" s="1"/>
  <c r="U598" i="5"/>
  <c r="AS598" i="5" s="1"/>
  <c r="U597" i="5"/>
  <c r="AS597" i="5" s="1"/>
  <c r="U596" i="5"/>
  <c r="AS596" i="5" s="1"/>
  <c r="U595" i="5"/>
  <c r="AS595" i="5" s="1"/>
  <c r="U594" i="5"/>
  <c r="AS594" i="5" s="1"/>
  <c r="U593" i="5"/>
  <c r="AS593" i="5" s="1"/>
  <c r="U592" i="5"/>
  <c r="AS592" i="5" s="1"/>
  <c r="U590" i="5"/>
  <c r="AS590" i="5" s="1"/>
  <c r="U589" i="5"/>
  <c r="U588" i="5"/>
  <c r="AS588" i="5" s="1"/>
  <c r="U587" i="5"/>
  <c r="AS587" i="5" s="1"/>
  <c r="U586" i="5"/>
  <c r="AS586" i="5" s="1"/>
  <c r="U585" i="5"/>
  <c r="AS585" i="5" s="1"/>
  <c r="U584" i="5"/>
  <c r="AS584" i="5" s="1"/>
  <c r="U583" i="5"/>
  <c r="AS583" i="5" s="1"/>
  <c r="U582" i="5"/>
  <c r="AS582" i="5" s="1"/>
  <c r="U581" i="5"/>
  <c r="AS581" i="5" s="1"/>
  <c r="U580" i="5"/>
  <c r="AS580" i="5" s="1"/>
  <c r="U579" i="5"/>
  <c r="AS579" i="5" s="1"/>
  <c r="U578" i="5"/>
  <c r="AS578" i="5" s="1"/>
  <c r="U577" i="5"/>
  <c r="AS577" i="5" s="1"/>
  <c r="U576" i="5"/>
  <c r="AS576" i="5" s="1"/>
  <c r="U575" i="5"/>
  <c r="AS575" i="5" s="1"/>
  <c r="U574" i="5"/>
  <c r="AS574" i="5" s="1"/>
  <c r="U573" i="5"/>
  <c r="AS573" i="5" s="1"/>
  <c r="U572" i="5"/>
  <c r="AS572" i="5" s="1"/>
  <c r="U571" i="5"/>
  <c r="AS571" i="5" s="1"/>
  <c r="U570" i="5"/>
  <c r="AS570" i="5" s="1"/>
  <c r="U569" i="5"/>
  <c r="AS569" i="5" s="1"/>
  <c r="U568" i="5"/>
  <c r="AS568" i="5" s="1"/>
  <c r="U567" i="5"/>
  <c r="AS567" i="5" s="1"/>
  <c r="U566" i="5"/>
  <c r="AS566" i="5" s="1"/>
  <c r="U565" i="5"/>
  <c r="AS565" i="5" s="1"/>
  <c r="U564" i="5"/>
  <c r="AS564" i="5" s="1"/>
  <c r="U563" i="5"/>
  <c r="AS563" i="5" s="1"/>
  <c r="U562" i="5"/>
  <c r="AS562" i="5" s="1"/>
  <c r="U561" i="5"/>
  <c r="AS561" i="5" s="1"/>
  <c r="U560" i="5"/>
  <c r="AS560" i="5" s="1"/>
  <c r="U559" i="5"/>
  <c r="AS559" i="5" s="1"/>
  <c r="U558" i="5"/>
  <c r="AS558" i="5" s="1"/>
  <c r="U557" i="5"/>
  <c r="AS557" i="5" s="1"/>
  <c r="U556" i="5"/>
  <c r="AS556" i="5" s="1"/>
  <c r="U555" i="5"/>
  <c r="AS555" i="5" s="1"/>
  <c r="U554" i="5"/>
  <c r="AS554" i="5" s="1"/>
  <c r="U553" i="5"/>
  <c r="AS553" i="5" s="1"/>
  <c r="U552" i="5"/>
  <c r="AS552" i="5" s="1"/>
  <c r="U551" i="5"/>
  <c r="AS551" i="5" s="1"/>
  <c r="U550" i="5"/>
  <c r="AS550" i="5" s="1"/>
  <c r="U549" i="5"/>
  <c r="AS549" i="5" s="1"/>
  <c r="U548" i="5"/>
  <c r="AS548" i="5" s="1"/>
  <c r="U547" i="5"/>
  <c r="AS547" i="5" s="1"/>
  <c r="U546" i="5"/>
  <c r="AS546" i="5" s="1"/>
  <c r="U545" i="5"/>
  <c r="AS545" i="5" s="1"/>
  <c r="U544" i="5"/>
  <c r="AS544" i="5" s="1"/>
  <c r="U543" i="5"/>
  <c r="AS543" i="5" s="1"/>
  <c r="U542" i="5"/>
  <c r="AS542" i="5" s="1"/>
  <c r="U541" i="5"/>
  <c r="AS541" i="5" s="1"/>
  <c r="U540" i="5"/>
  <c r="AS540" i="5" s="1"/>
  <c r="U539" i="5"/>
  <c r="AS539" i="5" s="1"/>
  <c r="U538" i="5"/>
  <c r="AS538" i="5" s="1"/>
  <c r="U537" i="5"/>
  <c r="AS537" i="5" s="1"/>
  <c r="U536" i="5"/>
  <c r="AS536" i="5" s="1"/>
  <c r="U535" i="5"/>
  <c r="AS535" i="5" s="1"/>
  <c r="U534" i="5"/>
  <c r="AS534" i="5" s="1"/>
  <c r="U533" i="5"/>
  <c r="AS533" i="5" s="1"/>
  <c r="U532" i="5"/>
  <c r="AS532" i="5" s="1"/>
  <c r="U531" i="5"/>
  <c r="AS531" i="5" s="1"/>
  <c r="U530" i="5"/>
  <c r="AS530" i="5" s="1"/>
  <c r="U529" i="5"/>
  <c r="AS529" i="5" s="1"/>
  <c r="U528" i="5"/>
  <c r="AS528" i="5" s="1"/>
  <c r="U527" i="5"/>
  <c r="AS527" i="5" s="1"/>
  <c r="U526" i="5"/>
  <c r="AS526" i="5" s="1"/>
  <c r="U525" i="5"/>
  <c r="AS525" i="5" s="1"/>
  <c r="U524" i="5"/>
  <c r="AS524" i="5" s="1"/>
  <c r="U523" i="5"/>
  <c r="AS523" i="5" s="1"/>
  <c r="U522" i="5"/>
  <c r="AS522" i="5" s="1"/>
  <c r="U521" i="5"/>
  <c r="AS521" i="5" s="1"/>
  <c r="U520" i="5"/>
  <c r="AS520" i="5" s="1"/>
  <c r="U519" i="5"/>
  <c r="AS519" i="5" s="1"/>
  <c r="U518" i="5"/>
  <c r="AS518" i="5" s="1"/>
  <c r="U517" i="5"/>
  <c r="AS517" i="5" s="1"/>
  <c r="U516" i="5"/>
  <c r="AS516" i="5" s="1"/>
  <c r="U515" i="5"/>
  <c r="AS515" i="5" s="1"/>
  <c r="U514" i="5"/>
  <c r="AS514" i="5" s="1"/>
  <c r="U513" i="5"/>
  <c r="AS513" i="5" s="1"/>
  <c r="U512" i="5"/>
  <c r="AS512" i="5" s="1"/>
  <c r="U511" i="5"/>
  <c r="AS511" i="5" s="1"/>
  <c r="U510" i="5"/>
  <c r="AS510" i="5" s="1"/>
  <c r="U509" i="5"/>
  <c r="AS509" i="5" s="1"/>
  <c r="U508" i="5"/>
  <c r="AS508" i="5" s="1"/>
  <c r="U507" i="5"/>
  <c r="AS507" i="5" s="1"/>
  <c r="U506" i="5"/>
  <c r="AS506" i="5" s="1"/>
  <c r="U505" i="5"/>
  <c r="AS505" i="5" s="1"/>
  <c r="U504" i="5"/>
  <c r="AS504" i="5" s="1"/>
  <c r="U503" i="5"/>
  <c r="AS503" i="5" s="1"/>
  <c r="U502" i="5"/>
  <c r="AS502" i="5" s="1"/>
  <c r="U501" i="5"/>
  <c r="AS501" i="5" s="1"/>
  <c r="U500" i="5"/>
  <c r="AS500" i="5" s="1"/>
  <c r="U499" i="5"/>
  <c r="AS499" i="5" s="1"/>
  <c r="U498" i="5"/>
  <c r="AS498" i="5" s="1"/>
  <c r="U497" i="5"/>
  <c r="AS497" i="5" s="1"/>
  <c r="U496" i="5"/>
  <c r="AS496" i="5" s="1"/>
  <c r="U495" i="5"/>
  <c r="AS495" i="5" s="1"/>
  <c r="U494" i="5"/>
  <c r="AS494" i="5" s="1"/>
  <c r="U493" i="5"/>
  <c r="AS493" i="5" s="1"/>
  <c r="U492" i="5"/>
  <c r="AS492" i="5" s="1"/>
  <c r="U491" i="5"/>
  <c r="AS491" i="5" s="1"/>
  <c r="U490" i="5"/>
  <c r="AS490" i="5" s="1"/>
  <c r="U489" i="5"/>
  <c r="AS489" i="5" s="1"/>
  <c r="U488" i="5"/>
  <c r="AS488" i="5" s="1"/>
  <c r="U487" i="5"/>
  <c r="AS487" i="5" s="1"/>
  <c r="U486" i="5"/>
  <c r="AS486" i="5" s="1"/>
  <c r="U485" i="5"/>
  <c r="AS485" i="5" s="1"/>
  <c r="U484" i="5"/>
  <c r="AS484" i="5" s="1"/>
  <c r="U483" i="5"/>
  <c r="AS483" i="5" s="1"/>
  <c r="U482" i="5"/>
  <c r="AS482" i="5" s="1"/>
  <c r="U481" i="5"/>
  <c r="AS481" i="5" s="1"/>
  <c r="U480" i="5"/>
  <c r="AS480" i="5" s="1"/>
  <c r="U479" i="5"/>
  <c r="AS479" i="5" s="1"/>
  <c r="U478" i="5"/>
  <c r="AS478" i="5" s="1"/>
  <c r="U477" i="5"/>
  <c r="AS477" i="5" s="1"/>
  <c r="U476" i="5"/>
  <c r="AS476" i="5" s="1"/>
  <c r="U475" i="5"/>
  <c r="AS475" i="5" s="1"/>
  <c r="U474" i="5"/>
  <c r="AS474" i="5" s="1"/>
  <c r="U473" i="5"/>
  <c r="AS473" i="5" s="1"/>
  <c r="U472" i="5"/>
  <c r="AS472" i="5" s="1"/>
  <c r="U471" i="5"/>
  <c r="AS471" i="5" s="1"/>
  <c r="U470" i="5"/>
  <c r="AS470" i="5" s="1"/>
  <c r="U469" i="5"/>
  <c r="AS469" i="5" s="1"/>
  <c r="U468" i="5"/>
  <c r="AS468" i="5" s="1"/>
  <c r="U467" i="5"/>
  <c r="AS467" i="5" s="1"/>
  <c r="U466" i="5"/>
  <c r="AS466" i="5" s="1"/>
  <c r="U465" i="5"/>
  <c r="AS465" i="5" s="1"/>
  <c r="U464" i="5"/>
  <c r="AS464" i="5" s="1"/>
  <c r="U463" i="5"/>
  <c r="AS463" i="5" s="1"/>
  <c r="U462" i="5"/>
  <c r="AS462" i="5" s="1"/>
  <c r="U461" i="5"/>
  <c r="AS461" i="5" s="1"/>
  <c r="U460" i="5"/>
  <c r="AS460" i="5" s="1"/>
  <c r="U459" i="5"/>
  <c r="AS459" i="5" s="1"/>
  <c r="U458" i="5"/>
  <c r="AS458" i="5" s="1"/>
  <c r="U457" i="5"/>
  <c r="AS457" i="5" s="1"/>
  <c r="U456" i="5"/>
  <c r="AS456" i="5" s="1"/>
  <c r="U455" i="5"/>
  <c r="AS455" i="5" s="1"/>
  <c r="U454" i="5"/>
  <c r="AS454" i="5" s="1"/>
  <c r="U453" i="5"/>
  <c r="AS453" i="5" s="1"/>
  <c r="U452" i="5"/>
  <c r="AS452" i="5" s="1"/>
  <c r="U451" i="5"/>
  <c r="AS451" i="5" s="1"/>
  <c r="U450" i="5"/>
  <c r="AS450" i="5" s="1"/>
  <c r="U449" i="5"/>
  <c r="AS449" i="5" s="1"/>
  <c r="U448" i="5"/>
  <c r="AS448" i="5" s="1"/>
  <c r="U447" i="5"/>
  <c r="AS447" i="5" s="1"/>
  <c r="U446" i="5"/>
  <c r="AS446" i="5" s="1"/>
  <c r="U445" i="5"/>
  <c r="AS445" i="5" s="1"/>
  <c r="U444" i="5"/>
  <c r="AS444" i="5" s="1"/>
  <c r="U443" i="5"/>
  <c r="AS443" i="5" s="1"/>
  <c r="U442" i="5"/>
  <c r="AS442" i="5" s="1"/>
  <c r="U441" i="5"/>
  <c r="AS441" i="5" s="1"/>
  <c r="U440" i="5"/>
  <c r="AS440" i="5" s="1"/>
  <c r="U439" i="5"/>
  <c r="AS439" i="5" s="1"/>
  <c r="U438" i="5"/>
  <c r="AS438" i="5" s="1"/>
  <c r="U437" i="5"/>
  <c r="AS437" i="5" s="1"/>
  <c r="U436" i="5"/>
  <c r="AS436" i="5" s="1"/>
  <c r="U435" i="5"/>
  <c r="AS435" i="5" s="1"/>
  <c r="U434" i="5"/>
  <c r="AS434" i="5" s="1"/>
  <c r="U433" i="5"/>
  <c r="AS433" i="5" s="1"/>
  <c r="U432" i="5"/>
  <c r="AS432" i="5" s="1"/>
  <c r="U431" i="5"/>
  <c r="AS431" i="5" s="1"/>
  <c r="U430" i="5"/>
  <c r="AS430" i="5" s="1"/>
  <c r="U429" i="5"/>
  <c r="AS429" i="5" s="1"/>
  <c r="U428" i="5"/>
  <c r="AS428" i="5" s="1"/>
  <c r="U427" i="5"/>
  <c r="AS427" i="5" s="1"/>
  <c r="U426" i="5"/>
  <c r="AS426" i="5" s="1"/>
  <c r="U425" i="5"/>
  <c r="AS425" i="5" s="1"/>
  <c r="U424" i="5"/>
  <c r="AS424" i="5" s="1"/>
  <c r="U423" i="5"/>
  <c r="AS423" i="5" s="1"/>
  <c r="U422" i="5"/>
  <c r="AS422" i="5" s="1"/>
  <c r="U421" i="5"/>
  <c r="AS421" i="5" s="1"/>
  <c r="U420" i="5"/>
  <c r="AS420" i="5" s="1"/>
  <c r="U419" i="5"/>
  <c r="AS419" i="5" s="1"/>
  <c r="U418" i="5"/>
  <c r="AS418" i="5" s="1"/>
  <c r="U417" i="5"/>
  <c r="AS417" i="5" s="1"/>
  <c r="U416" i="5"/>
  <c r="AS416" i="5" s="1"/>
  <c r="U415" i="5"/>
  <c r="AS415" i="5" s="1"/>
  <c r="U414" i="5"/>
  <c r="AS414" i="5" s="1"/>
  <c r="U413" i="5"/>
  <c r="AS413" i="5" s="1"/>
  <c r="U412" i="5"/>
  <c r="AS412" i="5" s="1"/>
  <c r="U411" i="5"/>
  <c r="AS411" i="5" s="1"/>
  <c r="U410" i="5"/>
  <c r="AS410" i="5" s="1"/>
  <c r="U409" i="5"/>
  <c r="AS409" i="5" s="1"/>
  <c r="U408" i="5"/>
  <c r="AS408" i="5" s="1"/>
  <c r="U407" i="5"/>
  <c r="AS407" i="5" s="1"/>
  <c r="U406" i="5"/>
  <c r="AS406" i="5" s="1"/>
  <c r="U405" i="5"/>
  <c r="AS405" i="5" s="1"/>
  <c r="U404" i="5"/>
  <c r="AS404" i="5" s="1"/>
  <c r="U403" i="5"/>
  <c r="AS403" i="5" s="1"/>
  <c r="U402" i="5"/>
  <c r="AS402" i="5" s="1"/>
  <c r="U401" i="5"/>
  <c r="AS401" i="5" s="1"/>
  <c r="U400" i="5"/>
  <c r="AS400" i="5" s="1"/>
  <c r="U399" i="5"/>
  <c r="AS399" i="5" s="1"/>
  <c r="U398" i="5"/>
  <c r="AS398" i="5" s="1"/>
  <c r="U397" i="5"/>
  <c r="AS397" i="5" s="1"/>
  <c r="U396" i="5"/>
  <c r="AS396" i="5" s="1"/>
  <c r="U395" i="5"/>
  <c r="AS395" i="5" s="1"/>
  <c r="U394" i="5"/>
  <c r="AS394" i="5" s="1"/>
  <c r="U393" i="5"/>
  <c r="AS393" i="5" s="1"/>
  <c r="U392" i="5"/>
  <c r="AS392" i="5" s="1"/>
  <c r="U391" i="5"/>
  <c r="AS391" i="5" s="1"/>
  <c r="U390" i="5"/>
  <c r="AS390" i="5" s="1"/>
  <c r="U389" i="5"/>
  <c r="AS389" i="5" s="1"/>
  <c r="U388" i="5"/>
  <c r="AS388" i="5" s="1"/>
  <c r="U387" i="5"/>
  <c r="AS387" i="5" s="1"/>
  <c r="U386" i="5"/>
  <c r="AS386" i="5" s="1"/>
  <c r="U385" i="5"/>
  <c r="AS385" i="5" s="1"/>
  <c r="U384" i="5"/>
  <c r="AS384" i="5" s="1"/>
  <c r="U383" i="5"/>
  <c r="AS383" i="5" s="1"/>
  <c r="U382" i="5"/>
  <c r="AS382" i="5" s="1"/>
  <c r="U381" i="5"/>
  <c r="AS381" i="5" s="1"/>
  <c r="U380" i="5"/>
  <c r="AS380" i="5" s="1"/>
  <c r="U379" i="5"/>
  <c r="AS379" i="5" s="1"/>
  <c r="U378" i="5"/>
  <c r="AS378" i="5" s="1"/>
  <c r="U377" i="5"/>
  <c r="AS377" i="5" s="1"/>
  <c r="U376" i="5"/>
  <c r="AS376" i="5" s="1"/>
  <c r="U375" i="5"/>
  <c r="AS375" i="5" s="1"/>
  <c r="U374" i="5"/>
  <c r="AS374" i="5" s="1"/>
  <c r="U373" i="5"/>
  <c r="AS373" i="5" s="1"/>
  <c r="U372" i="5"/>
  <c r="AS372" i="5" s="1"/>
  <c r="U371" i="5"/>
  <c r="AS371" i="5" s="1"/>
  <c r="U370" i="5"/>
  <c r="AS370" i="5" s="1"/>
  <c r="U369" i="5"/>
  <c r="AS369" i="5" s="1"/>
  <c r="U368" i="5"/>
  <c r="AS368" i="5" s="1"/>
  <c r="U367" i="5"/>
  <c r="AS367" i="5" s="1"/>
  <c r="U366" i="5"/>
  <c r="AS366" i="5" s="1"/>
  <c r="U365" i="5"/>
  <c r="AS365" i="5" s="1"/>
  <c r="U364" i="5"/>
  <c r="AS364" i="5" s="1"/>
  <c r="U363" i="5"/>
  <c r="AS363" i="5" s="1"/>
  <c r="U362" i="5"/>
  <c r="AS362" i="5" s="1"/>
  <c r="U361" i="5"/>
  <c r="AS361" i="5" s="1"/>
  <c r="U360" i="5"/>
  <c r="AS360" i="5" s="1"/>
  <c r="U359" i="5"/>
  <c r="AS359" i="5" s="1"/>
  <c r="U358" i="5"/>
  <c r="AS358" i="5" s="1"/>
  <c r="U357" i="5"/>
  <c r="AS357" i="5" s="1"/>
  <c r="U356" i="5"/>
  <c r="AS356" i="5" s="1"/>
  <c r="U355" i="5"/>
  <c r="AS355" i="5" s="1"/>
  <c r="U354" i="5"/>
  <c r="AS354" i="5" s="1"/>
  <c r="U353" i="5"/>
  <c r="AS353" i="5" s="1"/>
  <c r="U352" i="5"/>
  <c r="AS352" i="5" s="1"/>
  <c r="U351" i="5"/>
  <c r="AS351" i="5" s="1"/>
  <c r="U350" i="5"/>
  <c r="AS350" i="5" s="1"/>
  <c r="U349" i="5"/>
  <c r="AS349" i="5" s="1"/>
  <c r="U348" i="5"/>
  <c r="AS348" i="5" s="1"/>
  <c r="U347" i="5"/>
  <c r="AS347" i="5" s="1"/>
  <c r="U346" i="5"/>
  <c r="AS346" i="5" s="1"/>
  <c r="U345" i="5"/>
  <c r="AS345" i="5" s="1"/>
  <c r="U344" i="5"/>
  <c r="AS344" i="5" s="1"/>
  <c r="U343" i="5"/>
  <c r="AS343" i="5" s="1"/>
  <c r="U342" i="5"/>
  <c r="AS342" i="5" s="1"/>
  <c r="U341" i="5"/>
  <c r="AS341" i="5" s="1"/>
  <c r="U340" i="5"/>
  <c r="AS340" i="5" s="1"/>
  <c r="U339" i="5"/>
  <c r="AS339" i="5" s="1"/>
  <c r="U338" i="5"/>
  <c r="AS338" i="5" s="1"/>
  <c r="U337" i="5"/>
  <c r="AS337" i="5" s="1"/>
  <c r="U336" i="5"/>
  <c r="AS336" i="5" s="1"/>
  <c r="U335" i="5"/>
  <c r="AS335" i="5" s="1"/>
  <c r="U334" i="5"/>
  <c r="AS334" i="5" s="1"/>
  <c r="U333" i="5"/>
  <c r="AS333" i="5" s="1"/>
  <c r="U332" i="5"/>
  <c r="AS332" i="5" s="1"/>
  <c r="U331" i="5"/>
  <c r="AS331" i="5" s="1"/>
  <c r="U330" i="5"/>
  <c r="AS330" i="5" s="1"/>
  <c r="U329" i="5"/>
  <c r="AS329" i="5" s="1"/>
  <c r="U328" i="5"/>
  <c r="AS328" i="5" s="1"/>
  <c r="U327" i="5"/>
  <c r="AS327" i="5" s="1"/>
  <c r="U326" i="5"/>
  <c r="AS326" i="5" s="1"/>
  <c r="U325" i="5"/>
  <c r="AS325" i="5" s="1"/>
  <c r="U324" i="5"/>
  <c r="AS324" i="5" s="1"/>
  <c r="U323" i="5"/>
  <c r="AS323" i="5" s="1"/>
  <c r="U322" i="5"/>
  <c r="AS322" i="5" s="1"/>
  <c r="U321" i="5"/>
  <c r="AS321" i="5" s="1"/>
  <c r="U320" i="5"/>
  <c r="AS320" i="5" s="1"/>
  <c r="U319" i="5"/>
  <c r="AS319" i="5" s="1"/>
  <c r="U318" i="5"/>
  <c r="AS318" i="5" s="1"/>
  <c r="U317" i="5"/>
  <c r="AS317" i="5" s="1"/>
  <c r="U316" i="5"/>
  <c r="AS316" i="5" s="1"/>
  <c r="U315" i="5"/>
  <c r="AS315" i="5" s="1"/>
  <c r="U314" i="5"/>
  <c r="AS314" i="5" s="1"/>
  <c r="U313" i="5"/>
  <c r="AS313" i="5" s="1"/>
  <c r="U312" i="5"/>
  <c r="AS312" i="5" s="1"/>
  <c r="U311" i="5"/>
  <c r="AS311" i="5" s="1"/>
  <c r="U310" i="5"/>
  <c r="AS310" i="5" s="1"/>
  <c r="U309" i="5"/>
  <c r="AS309" i="5" s="1"/>
  <c r="U308" i="5"/>
  <c r="AS308" i="5" s="1"/>
  <c r="U307" i="5"/>
  <c r="AS307" i="5" s="1"/>
  <c r="U306" i="5"/>
  <c r="AS306" i="5" s="1"/>
  <c r="U305" i="5"/>
  <c r="AS305" i="5" s="1"/>
  <c r="U304" i="5"/>
  <c r="AS304" i="5" s="1"/>
  <c r="U303" i="5"/>
  <c r="AS303" i="5" s="1"/>
  <c r="U302" i="5"/>
  <c r="AS302" i="5" s="1"/>
  <c r="U301" i="5"/>
  <c r="AS301" i="5" s="1"/>
  <c r="U300" i="5"/>
  <c r="AS300" i="5" s="1"/>
  <c r="U299" i="5"/>
  <c r="AS299" i="5" s="1"/>
  <c r="U298" i="5"/>
  <c r="AS298" i="5" s="1"/>
  <c r="U297" i="5"/>
  <c r="AS297" i="5" s="1"/>
  <c r="U296" i="5"/>
  <c r="AS296" i="5" s="1"/>
  <c r="U295" i="5"/>
  <c r="AS295" i="5" s="1"/>
  <c r="U294" i="5"/>
  <c r="AS294" i="5" s="1"/>
  <c r="U293" i="5"/>
  <c r="AS293" i="5" s="1"/>
  <c r="U292" i="5"/>
  <c r="AS292" i="5" s="1"/>
  <c r="U291" i="5"/>
  <c r="AS291" i="5" s="1"/>
  <c r="U290" i="5"/>
  <c r="AS290" i="5" s="1"/>
  <c r="U289" i="5"/>
  <c r="AS289" i="5" s="1"/>
  <c r="U288" i="5"/>
  <c r="AS288" i="5" s="1"/>
  <c r="U287" i="5"/>
  <c r="AS287" i="5" s="1"/>
  <c r="U286" i="5"/>
  <c r="AS286" i="5" s="1"/>
  <c r="U285" i="5"/>
  <c r="AS285" i="5" s="1"/>
  <c r="U284" i="5"/>
  <c r="AS284" i="5" s="1"/>
  <c r="U283" i="5"/>
  <c r="AS283" i="5" s="1"/>
  <c r="U282" i="5"/>
  <c r="AS282" i="5" s="1"/>
  <c r="U281" i="5"/>
  <c r="AS281" i="5" s="1"/>
  <c r="U280" i="5"/>
  <c r="AS280" i="5" s="1"/>
  <c r="U279" i="5"/>
  <c r="AS279" i="5" s="1"/>
  <c r="U278" i="5"/>
  <c r="AS278" i="5" s="1"/>
  <c r="U277" i="5"/>
  <c r="AS277" i="5" s="1"/>
  <c r="U276" i="5"/>
  <c r="AS276" i="5" s="1"/>
  <c r="U275" i="5"/>
  <c r="AS275" i="5" s="1"/>
  <c r="U274" i="5"/>
  <c r="AS274" i="5" s="1"/>
  <c r="U273" i="5"/>
  <c r="AS273" i="5" s="1"/>
  <c r="U272" i="5"/>
  <c r="AS272" i="5" s="1"/>
  <c r="U271" i="5"/>
  <c r="AS271" i="5" s="1"/>
  <c r="U270" i="5"/>
  <c r="AS270" i="5" s="1"/>
  <c r="U269" i="5"/>
  <c r="AS269" i="5" s="1"/>
  <c r="U268" i="5"/>
  <c r="AS268" i="5" s="1"/>
  <c r="U267" i="5"/>
  <c r="AS267" i="5" s="1"/>
  <c r="U266" i="5"/>
  <c r="AS266" i="5" s="1"/>
  <c r="U265" i="5"/>
  <c r="AS265" i="5" s="1"/>
  <c r="U264" i="5"/>
  <c r="AS264" i="5" s="1"/>
  <c r="U263" i="5"/>
  <c r="AS263" i="5" s="1"/>
  <c r="U262" i="5"/>
  <c r="AS262" i="5" s="1"/>
  <c r="U261" i="5"/>
  <c r="AS261" i="5" s="1"/>
  <c r="U260" i="5"/>
  <c r="AS260" i="5" s="1"/>
  <c r="U259" i="5"/>
  <c r="AS259" i="5" s="1"/>
  <c r="U258" i="5"/>
  <c r="AS258" i="5" s="1"/>
  <c r="U257" i="5"/>
  <c r="AS257" i="5" s="1"/>
  <c r="U256" i="5"/>
  <c r="AS256" i="5" s="1"/>
  <c r="U255" i="5"/>
  <c r="AS255" i="5" s="1"/>
  <c r="U254" i="5"/>
  <c r="AS254" i="5" s="1"/>
  <c r="U253" i="5"/>
  <c r="AS253" i="5" s="1"/>
  <c r="U252" i="5"/>
  <c r="AS252" i="5" s="1"/>
  <c r="U251" i="5"/>
  <c r="AS251" i="5" s="1"/>
  <c r="U250" i="5"/>
  <c r="AS250" i="5" s="1"/>
  <c r="U249" i="5"/>
  <c r="AS249" i="5" s="1"/>
  <c r="U248" i="5"/>
  <c r="AS248" i="5" s="1"/>
  <c r="U247" i="5"/>
  <c r="AS247" i="5" s="1"/>
  <c r="U246" i="5"/>
  <c r="AS246" i="5" s="1"/>
  <c r="U245" i="5"/>
  <c r="AS245" i="5" s="1"/>
  <c r="U244" i="5"/>
  <c r="AS244" i="5" s="1"/>
  <c r="U243" i="5"/>
  <c r="AS243" i="5" s="1"/>
  <c r="U242" i="5"/>
  <c r="AS242" i="5" s="1"/>
  <c r="U241" i="5"/>
  <c r="AS241" i="5" s="1"/>
  <c r="U240" i="5"/>
  <c r="AS240" i="5" s="1"/>
  <c r="U239" i="5"/>
  <c r="AS239" i="5" s="1"/>
  <c r="U238" i="5"/>
  <c r="AS238" i="5" s="1"/>
  <c r="U237" i="5"/>
  <c r="AS237" i="5" s="1"/>
  <c r="U236" i="5"/>
  <c r="AS236" i="5" s="1"/>
  <c r="U235" i="5"/>
  <c r="AS235" i="5" s="1"/>
  <c r="U234" i="5"/>
  <c r="AS234" i="5" s="1"/>
  <c r="U233" i="5"/>
  <c r="AS233" i="5" s="1"/>
  <c r="U232" i="5"/>
  <c r="AS232" i="5" s="1"/>
  <c r="U231" i="5"/>
  <c r="AS231" i="5" s="1"/>
  <c r="U230" i="5"/>
  <c r="AS230" i="5" s="1"/>
  <c r="U229" i="5"/>
  <c r="AS229" i="5" s="1"/>
  <c r="U228" i="5"/>
  <c r="AS228" i="5" s="1"/>
  <c r="U227" i="5"/>
  <c r="AS227" i="5" s="1"/>
  <c r="U226" i="5"/>
  <c r="AS226" i="5" s="1"/>
  <c r="U225" i="5"/>
  <c r="AS225" i="5" s="1"/>
  <c r="U224" i="5"/>
  <c r="AS224" i="5" s="1"/>
  <c r="U223" i="5"/>
  <c r="AS223" i="5" s="1"/>
  <c r="U222" i="5"/>
  <c r="AS222" i="5" s="1"/>
  <c r="U221" i="5"/>
  <c r="AS221" i="5" s="1"/>
  <c r="U220" i="5"/>
  <c r="AS220" i="5" s="1"/>
  <c r="U219" i="5"/>
  <c r="AS219" i="5" s="1"/>
  <c r="U218" i="5"/>
  <c r="AS218" i="5" s="1"/>
  <c r="U217" i="5"/>
  <c r="AS217" i="5" s="1"/>
  <c r="U216" i="5"/>
  <c r="AS216" i="5" s="1"/>
  <c r="U215" i="5"/>
  <c r="AS215" i="5" s="1"/>
  <c r="U214" i="5"/>
  <c r="AS214" i="5" s="1"/>
  <c r="U213" i="5"/>
  <c r="AS213" i="5" s="1"/>
  <c r="U212" i="5"/>
  <c r="AS212" i="5" s="1"/>
  <c r="U211" i="5"/>
  <c r="AS211" i="5" s="1"/>
  <c r="U210" i="5"/>
  <c r="AS210" i="5" s="1"/>
  <c r="U209" i="5"/>
  <c r="AS209" i="5" s="1"/>
  <c r="U208" i="5"/>
  <c r="AS208" i="5" s="1"/>
  <c r="U207" i="5"/>
  <c r="AS207" i="5" s="1"/>
  <c r="U206" i="5"/>
  <c r="AS206" i="5" s="1"/>
  <c r="U205" i="5"/>
  <c r="AS205" i="5" s="1"/>
  <c r="U204" i="5"/>
  <c r="AS204" i="5" s="1"/>
  <c r="U203" i="5"/>
  <c r="AS203" i="5" s="1"/>
  <c r="U202" i="5"/>
  <c r="AS202" i="5" s="1"/>
  <c r="U201" i="5"/>
  <c r="AS201" i="5" s="1"/>
  <c r="U200" i="5"/>
  <c r="AS200" i="5" s="1"/>
  <c r="U199" i="5"/>
  <c r="AS199" i="5" s="1"/>
  <c r="U198" i="5"/>
  <c r="AS198" i="5" s="1"/>
  <c r="U197" i="5"/>
  <c r="AS197" i="5" s="1"/>
  <c r="U196" i="5"/>
  <c r="AS196" i="5" s="1"/>
  <c r="U195" i="5"/>
  <c r="AS195" i="5" s="1"/>
  <c r="U194" i="5"/>
  <c r="AS194" i="5" s="1"/>
  <c r="U193" i="5"/>
  <c r="AS193" i="5" s="1"/>
  <c r="U192" i="5"/>
  <c r="AS192" i="5" s="1"/>
  <c r="U191" i="5"/>
  <c r="AS191" i="5" s="1"/>
  <c r="U190" i="5"/>
  <c r="AS190" i="5" s="1"/>
  <c r="U189" i="5"/>
  <c r="AS189" i="5" s="1"/>
  <c r="U188" i="5"/>
  <c r="AS188" i="5" s="1"/>
  <c r="U187" i="5"/>
  <c r="AS187" i="5" s="1"/>
  <c r="U186" i="5"/>
  <c r="AS186" i="5" s="1"/>
  <c r="U185" i="5"/>
  <c r="AS185" i="5" s="1"/>
  <c r="U184" i="5"/>
  <c r="AS184" i="5" s="1"/>
  <c r="U183" i="5"/>
  <c r="AS183" i="5" s="1"/>
  <c r="U182" i="5"/>
  <c r="AS182" i="5" s="1"/>
  <c r="U181" i="5"/>
  <c r="AS181" i="5" s="1"/>
  <c r="U180" i="5"/>
  <c r="AS180" i="5" s="1"/>
  <c r="U179" i="5"/>
  <c r="AS179" i="5" s="1"/>
  <c r="U178" i="5"/>
  <c r="AS178" i="5" s="1"/>
  <c r="U177" i="5"/>
  <c r="AS177" i="5" s="1"/>
  <c r="U176" i="5"/>
  <c r="AS176" i="5" s="1"/>
  <c r="U175" i="5"/>
  <c r="AS175" i="5" s="1"/>
  <c r="U174" i="5"/>
  <c r="AS174" i="5" s="1"/>
  <c r="U173" i="5"/>
  <c r="AS173" i="5" s="1"/>
  <c r="U172" i="5"/>
  <c r="AS172" i="5" s="1"/>
  <c r="U171" i="5"/>
  <c r="AS171" i="5" s="1"/>
  <c r="U170" i="5"/>
  <c r="AS170" i="5" s="1"/>
  <c r="U169" i="5"/>
  <c r="AS169" i="5" s="1"/>
  <c r="U168" i="5"/>
  <c r="AS168" i="5" s="1"/>
  <c r="U167" i="5"/>
  <c r="AS167" i="5" s="1"/>
  <c r="U166" i="5"/>
  <c r="AS166" i="5" s="1"/>
  <c r="U165" i="5"/>
  <c r="AS165" i="5" s="1"/>
  <c r="U164" i="5"/>
  <c r="AS164" i="5" s="1"/>
  <c r="U163" i="5"/>
  <c r="AS163" i="5" s="1"/>
  <c r="U162" i="5"/>
  <c r="AS162" i="5" s="1"/>
  <c r="U161" i="5"/>
  <c r="AS161" i="5" s="1"/>
  <c r="U160" i="5"/>
  <c r="AS160" i="5" s="1"/>
  <c r="U159" i="5"/>
  <c r="AS159" i="5" s="1"/>
  <c r="U158" i="5"/>
  <c r="AS158" i="5" s="1"/>
  <c r="U157" i="5"/>
  <c r="AS157" i="5" s="1"/>
  <c r="U156" i="5"/>
  <c r="AS156" i="5" s="1"/>
  <c r="U155" i="5"/>
  <c r="AS155" i="5" s="1"/>
  <c r="U154" i="5"/>
  <c r="AS154" i="5" s="1"/>
  <c r="U153" i="5"/>
  <c r="AS153" i="5" s="1"/>
  <c r="U152" i="5"/>
  <c r="AS152" i="5" s="1"/>
  <c r="U151" i="5"/>
  <c r="AS151" i="5" s="1"/>
  <c r="U150" i="5"/>
  <c r="AS150" i="5" s="1"/>
  <c r="U149" i="5"/>
  <c r="AS149" i="5" s="1"/>
  <c r="U148" i="5"/>
  <c r="AS148" i="5" s="1"/>
  <c r="U147" i="5"/>
  <c r="AS147" i="5" s="1"/>
  <c r="U146" i="5"/>
  <c r="AS146" i="5" s="1"/>
  <c r="U145" i="5"/>
  <c r="AS145" i="5" s="1"/>
  <c r="U144" i="5"/>
  <c r="AS144" i="5" s="1"/>
  <c r="U143" i="5"/>
  <c r="AS143" i="5" s="1"/>
  <c r="U142" i="5"/>
  <c r="AS142" i="5" s="1"/>
  <c r="U141" i="5"/>
  <c r="AS141" i="5" s="1"/>
  <c r="U140" i="5"/>
  <c r="AS140" i="5" s="1"/>
  <c r="U139" i="5"/>
  <c r="AS139" i="5" s="1"/>
  <c r="U138" i="5"/>
  <c r="AS138" i="5" s="1"/>
  <c r="U137" i="5"/>
  <c r="AS137" i="5" s="1"/>
  <c r="U136" i="5"/>
  <c r="AS136" i="5" s="1"/>
  <c r="U135" i="5"/>
  <c r="AS135" i="5" s="1"/>
  <c r="U134" i="5"/>
  <c r="AS134" i="5" s="1"/>
  <c r="U133" i="5"/>
  <c r="AS133" i="5" s="1"/>
  <c r="U132" i="5"/>
  <c r="AS132" i="5" s="1"/>
  <c r="U131" i="5"/>
  <c r="AS131" i="5" s="1"/>
  <c r="U130" i="5"/>
  <c r="AS130" i="5" s="1"/>
  <c r="U129" i="5"/>
  <c r="AS129" i="5" s="1"/>
  <c r="U128" i="5"/>
  <c r="AS128" i="5" s="1"/>
  <c r="U127" i="5"/>
  <c r="AS127" i="5" s="1"/>
  <c r="U126" i="5"/>
  <c r="AS126" i="5" s="1"/>
  <c r="U125" i="5"/>
  <c r="AS125" i="5" s="1"/>
  <c r="U124" i="5"/>
  <c r="AS124" i="5" s="1"/>
  <c r="U123" i="5"/>
  <c r="AS123" i="5" s="1"/>
  <c r="U122" i="5"/>
  <c r="AS122" i="5" s="1"/>
  <c r="U121" i="5"/>
  <c r="AS121" i="5" s="1"/>
  <c r="U120" i="5"/>
  <c r="AS120" i="5" s="1"/>
  <c r="U119" i="5"/>
  <c r="AS119" i="5" s="1"/>
  <c r="U118" i="5"/>
  <c r="AS118" i="5" s="1"/>
  <c r="U117" i="5"/>
  <c r="AS117" i="5" s="1"/>
  <c r="U116" i="5"/>
  <c r="AS116" i="5" s="1"/>
  <c r="U115" i="5"/>
  <c r="AS115" i="5" s="1"/>
  <c r="U114" i="5"/>
  <c r="AS114" i="5" s="1"/>
  <c r="U113" i="5"/>
  <c r="AS113" i="5" s="1"/>
  <c r="U112" i="5"/>
  <c r="AS112" i="5" s="1"/>
  <c r="U111" i="5"/>
  <c r="AS111" i="5" s="1"/>
  <c r="U110" i="5"/>
  <c r="AS110" i="5" s="1"/>
  <c r="U109" i="5"/>
  <c r="AS109" i="5" s="1"/>
  <c r="U108" i="5"/>
  <c r="AS108" i="5" s="1"/>
  <c r="U107" i="5"/>
  <c r="AS107" i="5" s="1"/>
  <c r="U106" i="5"/>
  <c r="AS106" i="5" s="1"/>
  <c r="U105" i="5"/>
  <c r="AS105" i="5" s="1"/>
  <c r="U104" i="5"/>
  <c r="AS104" i="5" s="1"/>
  <c r="U103" i="5"/>
  <c r="AS103" i="5" s="1"/>
  <c r="U102" i="5"/>
  <c r="AS102" i="5" s="1"/>
  <c r="U101" i="5"/>
  <c r="AS101" i="5" s="1"/>
  <c r="U100" i="5"/>
  <c r="AS100" i="5" s="1"/>
  <c r="U99" i="5"/>
  <c r="AS99" i="5" s="1"/>
  <c r="U98" i="5"/>
  <c r="AS98" i="5" s="1"/>
  <c r="U97" i="5"/>
  <c r="AS97" i="5" s="1"/>
  <c r="U96" i="5"/>
  <c r="AS96" i="5" s="1"/>
  <c r="U95" i="5"/>
  <c r="AS95" i="5" s="1"/>
  <c r="U94" i="5"/>
  <c r="AS94" i="5" s="1"/>
  <c r="U93" i="5"/>
  <c r="AS93" i="5" s="1"/>
  <c r="U92" i="5"/>
  <c r="AS92" i="5" s="1"/>
  <c r="U91" i="5"/>
  <c r="AS91" i="5" s="1"/>
  <c r="U90" i="5"/>
  <c r="AS90" i="5" s="1"/>
  <c r="U89" i="5"/>
  <c r="AS89" i="5" s="1"/>
  <c r="U88" i="5"/>
  <c r="AS88" i="5" s="1"/>
  <c r="U87" i="5"/>
  <c r="AS87" i="5" s="1"/>
  <c r="U86" i="5"/>
  <c r="AS86" i="5" s="1"/>
  <c r="U85" i="5"/>
  <c r="AS85" i="5" s="1"/>
  <c r="U84" i="5"/>
  <c r="AS84" i="5" s="1"/>
  <c r="U83" i="5"/>
  <c r="AS83" i="5" s="1"/>
  <c r="U82" i="5"/>
  <c r="AS82" i="5" s="1"/>
  <c r="U81" i="5"/>
  <c r="AS81" i="5" s="1"/>
  <c r="U80" i="5"/>
  <c r="AS80" i="5" s="1"/>
  <c r="U79" i="5"/>
  <c r="AS79" i="5" s="1"/>
  <c r="U78" i="5"/>
  <c r="AS78" i="5" s="1"/>
  <c r="U77" i="5"/>
  <c r="AS77" i="5" s="1"/>
  <c r="U76" i="5"/>
  <c r="AS76" i="5" s="1"/>
  <c r="U75" i="5"/>
  <c r="AS75" i="5" s="1"/>
  <c r="U74" i="5"/>
  <c r="AS74" i="5" s="1"/>
  <c r="U73" i="5"/>
  <c r="AS73" i="5" s="1"/>
  <c r="U72" i="5"/>
  <c r="AS72" i="5" s="1"/>
  <c r="U71" i="5"/>
  <c r="AS71" i="5" s="1"/>
  <c r="U70" i="5"/>
  <c r="AS70" i="5" s="1"/>
  <c r="U69" i="5"/>
  <c r="AS69" i="5" s="1"/>
  <c r="U68" i="5"/>
  <c r="AS68" i="5" s="1"/>
  <c r="U67" i="5"/>
  <c r="AS67" i="5" s="1"/>
  <c r="U66" i="5"/>
  <c r="AS66" i="5" s="1"/>
  <c r="U65" i="5"/>
  <c r="AS65" i="5" s="1"/>
  <c r="U64" i="5"/>
  <c r="AS64" i="5" s="1"/>
  <c r="U63" i="5"/>
  <c r="AS63" i="5" s="1"/>
  <c r="U62" i="5"/>
  <c r="AS62" i="5" s="1"/>
  <c r="U61" i="5"/>
  <c r="AS61" i="5" s="1"/>
  <c r="U60" i="5"/>
  <c r="AS60" i="5" s="1"/>
  <c r="U59" i="5"/>
  <c r="AS59" i="5" s="1"/>
  <c r="U58" i="5"/>
  <c r="AS58" i="5" s="1"/>
  <c r="U57" i="5"/>
  <c r="AS57" i="5" s="1"/>
  <c r="U56" i="5"/>
  <c r="AS56" i="5" s="1"/>
  <c r="U55" i="5"/>
  <c r="AS55" i="5" s="1"/>
  <c r="U54" i="5"/>
  <c r="AS54" i="5" s="1"/>
  <c r="U53" i="5"/>
  <c r="AS53" i="5" s="1"/>
  <c r="U52" i="5"/>
  <c r="AS52" i="5" s="1"/>
  <c r="U51" i="5"/>
  <c r="AS51" i="5" s="1"/>
  <c r="U50" i="5"/>
  <c r="AS50" i="5" s="1"/>
  <c r="U49" i="5"/>
  <c r="AS49" i="5" s="1"/>
  <c r="U48" i="5"/>
  <c r="AS48" i="5" s="1"/>
  <c r="U47" i="5"/>
  <c r="AS47" i="5" s="1"/>
  <c r="U46" i="5"/>
  <c r="AS46" i="5" s="1"/>
  <c r="U45" i="5"/>
  <c r="AS45" i="5" s="1"/>
  <c r="U44" i="5"/>
  <c r="AS44" i="5" s="1"/>
  <c r="U43" i="5"/>
  <c r="AS43" i="5" s="1"/>
  <c r="U42" i="5"/>
  <c r="AS42" i="5" s="1"/>
  <c r="U41" i="5"/>
  <c r="AS41" i="5" s="1"/>
  <c r="U40" i="5"/>
  <c r="AS40" i="5" s="1"/>
  <c r="U39" i="5"/>
  <c r="AS39" i="5" s="1"/>
  <c r="U38" i="5"/>
  <c r="AS38" i="5" s="1"/>
  <c r="U37" i="5"/>
  <c r="AS37" i="5" s="1"/>
  <c r="U36" i="5"/>
  <c r="AS36" i="5" s="1"/>
  <c r="U35" i="5"/>
  <c r="AS35" i="5" s="1"/>
  <c r="U34" i="5"/>
  <c r="AS34" i="5" s="1"/>
  <c r="U33" i="5"/>
  <c r="AS33" i="5" s="1"/>
  <c r="U32" i="5"/>
  <c r="AS32" i="5" s="1"/>
  <c r="U31" i="5"/>
  <c r="AS31" i="5" s="1"/>
  <c r="U30" i="5"/>
  <c r="AS30" i="5" s="1"/>
  <c r="U29" i="5"/>
  <c r="AS29" i="5" s="1"/>
  <c r="U28" i="5"/>
  <c r="AS28" i="5" s="1"/>
  <c r="U27" i="5"/>
  <c r="AS27" i="5" s="1"/>
  <c r="U26" i="5"/>
  <c r="AS26" i="5" s="1"/>
  <c r="U25" i="5"/>
  <c r="AS25" i="5" s="1"/>
  <c r="U24" i="5"/>
  <c r="AS24" i="5" s="1"/>
  <c r="U23" i="5"/>
  <c r="AS23" i="5" s="1"/>
  <c r="U22" i="5"/>
  <c r="AS22" i="5" s="1"/>
  <c r="U21" i="5"/>
  <c r="AS21" i="5" s="1"/>
  <c r="U20" i="5"/>
  <c r="AS20" i="5" s="1"/>
  <c r="U19" i="5"/>
  <c r="AS19" i="5" s="1"/>
  <c r="U18" i="5"/>
  <c r="AS18" i="5" s="1"/>
  <c r="U17" i="5"/>
  <c r="AS17" i="5" s="1"/>
  <c r="U16" i="5"/>
  <c r="AS16" i="5" s="1"/>
  <c r="U15" i="5"/>
  <c r="AS15" i="5" s="1"/>
  <c r="U14" i="5"/>
  <c r="AS14" i="5" s="1"/>
  <c r="U13" i="5"/>
  <c r="AS13" i="5" s="1"/>
  <c r="U12" i="5"/>
  <c r="AS12" i="5" s="1"/>
  <c r="U11" i="5"/>
  <c r="AS11" i="5" s="1"/>
  <c r="U10" i="5"/>
  <c r="AS10" i="5" s="1"/>
  <c r="U9" i="5"/>
  <c r="AS9" i="5" s="1"/>
  <c r="U8" i="5"/>
  <c r="AS8" i="5" s="1"/>
  <c r="S646" i="5"/>
  <c r="S643" i="5"/>
  <c r="AR643" i="5" s="1"/>
  <c r="S642" i="5"/>
  <c r="AR642" i="5" s="1"/>
  <c r="S641" i="5"/>
  <c r="AR641" i="5" s="1"/>
  <c r="S640" i="5"/>
  <c r="AR640" i="5" s="1"/>
  <c r="S639" i="5"/>
  <c r="AR639" i="5" s="1"/>
  <c r="S638" i="5"/>
  <c r="AR638" i="5" s="1"/>
  <c r="S637" i="5"/>
  <c r="AR637" i="5" s="1"/>
  <c r="S636" i="5"/>
  <c r="AR636" i="5" s="1"/>
  <c r="S635" i="5"/>
  <c r="AR635" i="5" s="1"/>
  <c r="S634" i="5"/>
  <c r="AR634" i="5" s="1"/>
  <c r="S633" i="5"/>
  <c r="AR633" i="5" s="1"/>
  <c r="S632" i="5"/>
  <c r="AR632" i="5" s="1"/>
  <c r="S631" i="5"/>
  <c r="AR631" i="5" s="1"/>
  <c r="S630" i="5"/>
  <c r="AR630" i="5" s="1"/>
  <c r="S629" i="5"/>
  <c r="AR629" i="5" s="1"/>
  <c r="S628" i="5"/>
  <c r="AR628" i="5" s="1"/>
  <c r="S627" i="5"/>
  <c r="AR627" i="5" s="1"/>
  <c r="S626" i="5"/>
  <c r="AR626" i="5" s="1"/>
  <c r="S625" i="5"/>
  <c r="AR625" i="5" s="1"/>
  <c r="S624" i="5"/>
  <c r="AR624" i="5" s="1"/>
  <c r="S623" i="5"/>
  <c r="AR623" i="5" s="1"/>
  <c r="S622" i="5"/>
  <c r="AR622" i="5" s="1"/>
  <c r="S621" i="5"/>
  <c r="AR621" i="5" s="1"/>
  <c r="S620" i="5"/>
  <c r="AR620" i="5" s="1"/>
  <c r="S619" i="5"/>
  <c r="AR619" i="5" s="1"/>
  <c r="S618" i="5"/>
  <c r="AR618" i="5" s="1"/>
  <c r="S617" i="5"/>
  <c r="AR617" i="5" s="1"/>
  <c r="S616" i="5"/>
  <c r="AR616" i="5" s="1"/>
  <c r="S615" i="5"/>
  <c r="AR615" i="5" s="1"/>
  <c r="S614" i="5"/>
  <c r="AR614" i="5" s="1"/>
  <c r="S613" i="5"/>
  <c r="AR613" i="5" s="1"/>
  <c r="S612" i="5"/>
  <c r="AR612" i="5" s="1"/>
  <c r="S611" i="5"/>
  <c r="AR611" i="5" s="1"/>
  <c r="S610" i="5"/>
  <c r="AR610" i="5" s="1"/>
  <c r="S609" i="5"/>
  <c r="AR609" i="5" s="1"/>
  <c r="S608" i="5"/>
  <c r="AR608" i="5" s="1"/>
  <c r="S607" i="5"/>
  <c r="AR607" i="5" s="1"/>
  <c r="S606" i="5"/>
  <c r="AR606" i="5" s="1"/>
  <c r="S605" i="5"/>
  <c r="AR605" i="5" s="1"/>
  <c r="S604" i="5"/>
  <c r="AR604" i="5" s="1"/>
  <c r="S603" i="5"/>
  <c r="AR603" i="5" s="1"/>
  <c r="S602" i="5"/>
  <c r="AR602" i="5" s="1"/>
  <c r="S601" i="5"/>
  <c r="AR601" i="5" s="1"/>
  <c r="S600" i="5"/>
  <c r="AR600" i="5" s="1"/>
  <c r="S599" i="5"/>
  <c r="AR599" i="5" s="1"/>
  <c r="S598" i="5"/>
  <c r="AR598" i="5" s="1"/>
  <c r="S597" i="5"/>
  <c r="AR597" i="5" s="1"/>
  <c r="S596" i="5"/>
  <c r="AR596" i="5" s="1"/>
  <c r="S595" i="5"/>
  <c r="AR595" i="5" s="1"/>
  <c r="S594" i="5"/>
  <c r="AR594" i="5" s="1"/>
  <c r="S593" i="5"/>
  <c r="AR593" i="5" s="1"/>
  <c r="S592" i="5"/>
  <c r="AR592" i="5" s="1"/>
  <c r="S590" i="5"/>
  <c r="AR590" i="5" s="1"/>
  <c r="S589" i="5"/>
  <c r="S588" i="5"/>
  <c r="AR588" i="5" s="1"/>
  <c r="S587" i="5"/>
  <c r="AR587" i="5" s="1"/>
  <c r="S586" i="5"/>
  <c r="AR586" i="5" s="1"/>
  <c r="S585" i="5"/>
  <c r="AR585" i="5" s="1"/>
  <c r="S584" i="5"/>
  <c r="AR584" i="5" s="1"/>
  <c r="S583" i="5"/>
  <c r="AR583" i="5" s="1"/>
  <c r="S582" i="5"/>
  <c r="AR582" i="5" s="1"/>
  <c r="S581" i="5"/>
  <c r="AR581" i="5" s="1"/>
  <c r="S580" i="5"/>
  <c r="AR580" i="5" s="1"/>
  <c r="S579" i="5"/>
  <c r="AR579" i="5" s="1"/>
  <c r="S578" i="5"/>
  <c r="AR578" i="5" s="1"/>
  <c r="S577" i="5"/>
  <c r="AR577" i="5" s="1"/>
  <c r="S576" i="5"/>
  <c r="AR576" i="5" s="1"/>
  <c r="S575" i="5"/>
  <c r="AR575" i="5" s="1"/>
  <c r="S574" i="5"/>
  <c r="AR574" i="5" s="1"/>
  <c r="S573" i="5"/>
  <c r="AR573" i="5" s="1"/>
  <c r="S572" i="5"/>
  <c r="AR572" i="5" s="1"/>
  <c r="S571" i="5"/>
  <c r="AR571" i="5" s="1"/>
  <c r="S570" i="5"/>
  <c r="AR570" i="5" s="1"/>
  <c r="S569" i="5"/>
  <c r="AR569" i="5" s="1"/>
  <c r="S568" i="5"/>
  <c r="AR568" i="5" s="1"/>
  <c r="S567" i="5"/>
  <c r="AR567" i="5" s="1"/>
  <c r="S566" i="5"/>
  <c r="AR566" i="5" s="1"/>
  <c r="S565" i="5"/>
  <c r="AR565" i="5" s="1"/>
  <c r="S564" i="5"/>
  <c r="AR564" i="5" s="1"/>
  <c r="S563" i="5"/>
  <c r="AR563" i="5" s="1"/>
  <c r="S562" i="5"/>
  <c r="AR562" i="5" s="1"/>
  <c r="S561" i="5"/>
  <c r="AR561" i="5" s="1"/>
  <c r="S560" i="5"/>
  <c r="AR560" i="5" s="1"/>
  <c r="S559" i="5"/>
  <c r="AR559" i="5" s="1"/>
  <c r="S558" i="5"/>
  <c r="AR558" i="5" s="1"/>
  <c r="S557" i="5"/>
  <c r="AR557" i="5" s="1"/>
  <c r="S556" i="5"/>
  <c r="AR556" i="5" s="1"/>
  <c r="S555" i="5"/>
  <c r="AR555" i="5" s="1"/>
  <c r="S554" i="5"/>
  <c r="AR554" i="5" s="1"/>
  <c r="S553" i="5"/>
  <c r="AR553" i="5" s="1"/>
  <c r="S552" i="5"/>
  <c r="AR552" i="5" s="1"/>
  <c r="S551" i="5"/>
  <c r="AR551" i="5" s="1"/>
  <c r="S550" i="5"/>
  <c r="AR550" i="5" s="1"/>
  <c r="S549" i="5"/>
  <c r="AR549" i="5" s="1"/>
  <c r="S548" i="5"/>
  <c r="AR548" i="5" s="1"/>
  <c r="S547" i="5"/>
  <c r="AR547" i="5" s="1"/>
  <c r="S546" i="5"/>
  <c r="AR546" i="5" s="1"/>
  <c r="S545" i="5"/>
  <c r="AR545" i="5" s="1"/>
  <c r="S544" i="5"/>
  <c r="AR544" i="5" s="1"/>
  <c r="S543" i="5"/>
  <c r="AR543" i="5" s="1"/>
  <c r="S542" i="5"/>
  <c r="AR542" i="5" s="1"/>
  <c r="S541" i="5"/>
  <c r="AR541" i="5" s="1"/>
  <c r="S540" i="5"/>
  <c r="AR540" i="5" s="1"/>
  <c r="S539" i="5"/>
  <c r="AR539" i="5" s="1"/>
  <c r="S538" i="5"/>
  <c r="AR538" i="5" s="1"/>
  <c r="S537" i="5"/>
  <c r="AR537" i="5" s="1"/>
  <c r="S536" i="5"/>
  <c r="AR536" i="5" s="1"/>
  <c r="S535" i="5"/>
  <c r="AR535" i="5" s="1"/>
  <c r="S534" i="5"/>
  <c r="AR534" i="5" s="1"/>
  <c r="S533" i="5"/>
  <c r="AR533" i="5" s="1"/>
  <c r="S532" i="5"/>
  <c r="AR532" i="5" s="1"/>
  <c r="S531" i="5"/>
  <c r="AR531" i="5" s="1"/>
  <c r="S530" i="5"/>
  <c r="AR530" i="5" s="1"/>
  <c r="S529" i="5"/>
  <c r="AR529" i="5" s="1"/>
  <c r="S528" i="5"/>
  <c r="AR528" i="5" s="1"/>
  <c r="S527" i="5"/>
  <c r="AR527" i="5" s="1"/>
  <c r="S526" i="5"/>
  <c r="AR526" i="5" s="1"/>
  <c r="S525" i="5"/>
  <c r="AR525" i="5" s="1"/>
  <c r="S524" i="5"/>
  <c r="AR524" i="5" s="1"/>
  <c r="S523" i="5"/>
  <c r="AR523" i="5" s="1"/>
  <c r="S522" i="5"/>
  <c r="AR522" i="5" s="1"/>
  <c r="S521" i="5"/>
  <c r="AR521" i="5" s="1"/>
  <c r="S520" i="5"/>
  <c r="AR520" i="5" s="1"/>
  <c r="S519" i="5"/>
  <c r="AR519" i="5" s="1"/>
  <c r="S518" i="5"/>
  <c r="AR518" i="5" s="1"/>
  <c r="S517" i="5"/>
  <c r="AR517" i="5" s="1"/>
  <c r="S516" i="5"/>
  <c r="AR516" i="5" s="1"/>
  <c r="S515" i="5"/>
  <c r="AR515" i="5" s="1"/>
  <c r="S514" i="5"/>
  <c r="AR514" i="5" s="1"/>
  <c r="S513" i="5"/>
  <c r="AR513" i="5" s="1"/>
  <c r="S512" i="5"/>
  <c r="AR512" i="5" s="1"/>
  <c r="S511" i="5"/>
  <c r="AR511" i="5" s="1"/>
  <c r="S510" i="5"/>
  <c r="AR510" i="5" s="1"/>
  <c r="S509" i="5"/>
  <c r="AR509" i="5" s="1"/>
  <c r="S508" i="5"/>
  <c r="AR508" i="5" s="1"/>
  <c r="S507" i="5"/>
  <c r="AR507" i="5" s="1"/>
  <c r="S506" i="5"/>
  <c r="AR506" i="5" s="1"/>
  <c r="S505" i="5"/>
  <c r="AR505" i="5" s="1"/>
  <c r="S504" i="5"/>
  <c r="AR504" i="5" s="1"/>
  <c r="S503" i="5"/>
  <c r="AR503" i="5" s="1"/>
  <c r="S502" i="5"/>
  <c r="AR502" i="5" s="1"/>
  <c r="S501" i="5"/>
  <c r="AR501" i="5" s="1"/>
  <c r="S500" i="5"/>
  <c r="AR500" i="5" s="1"/>
  <c r="S499" i="5"/>
  <c r="AR499" i="5" s="1"/>
  <c r="S498" i="5"/>
  <c r="AR498" i="5" s="1"/>
  <c r="S497" i="5"/>
  <c r="AR497" i="5" s="1"/>
  <c r="S496" i="5"/>
  <c r="AR496" i="5" s="1"/>
  <c r="S495" i="5"/>
  <c r="AR495" i="5" s="1"/>
  <c r="S494" i="5"/>
  <c r="AR494" i="5" s="1"/>
  <c r="S493" i="5"/>
  <c r="AR493" i="5" s="1"/>
  <c r="S492" i="5"/>
  <c r="AR492" i="5" s="1"/>
  <c r="S491" i="5"/>
  <c r="AR491" i="5" s="1"/>
  <c r="S490" i="5"/>
  <c r="AR490" i="5" s="1"/>
  <c r="S489" i="5"/>
  <c r="AR489" i="5" s="1"/>
  <c r="S488" i="5"/>
  <c r="AR488" i="5" s="1"/>
  <c r="S487" i="5"/>
  <c r="AR487" i="5" s="1"/>
  <c r="S486" i="5"/>
  <c r="AR486" i="5" s="1"/>
  <c r="S485" i="5"/>
  <c r="AR485" i="5" s="1"/>
  <c r="S484" i="5"/>
  <c r="AR484" i="5" s="1"/>
  <c r="S483" i="5"/>
  <c r="AR483" i="5" s="1"/>
  <c r="S482" i="5"/>
  <c r="AR482" i="5" s="1"/>
  <c r="S481" i="5"/>
  <c r="AR481" i="5" s="1"/>
  <c r="S480" i="5"/>
  <c r="AR480" i="5" s="1"/>
  <c r="S479" i="5"/>
  <c r="AR479" i="5" s="1"/>
  <c r="S478" i="5"/>
  <c r="AR478" i="5" s="1"/>
  <c r="S477" i="5"/>
  <c r="AR477" i="5" s="1"/>
  <c r="S476" i="5"/>
  <c r="AR476" i="5" s="1"/>
  <c r="S475" i="5"/>
  <c r="AR475" i="5" s="1"/>
  <c r="S474" i="5"/>
  <c r="AR474" i="5" s="1"/>
  <c r="S473" i="5"/>
  <c r="AR473" i="5" s="1"/>
  <c r="S472" i="5"/>
  <c r="AR472" i="5" s="1"/>
  <c r="S471" i="5"/>
  <c r="AR471" i="5" s="1"/>
  <c r="S470" i="5"/>
  <c r="AR470" i="5" s="1"/>
  <c r="S469" i="5"/>
  <c r="AR469" i="5" s="1"/>
  <c r="S468" i="5"/>
  <c r="AR468" i="5" s="1"/>
  <c r="S467" i="5"/>
  <c r="AR467" i="5" s="1"/>
  <c r="S466" i="5"/>
  <c r="AR466" i="5" s="1"/>
  <c r="S465" i="5"/>
  <c r="AR465" i="5" s="1"/>
  <c r="S464" i="5"/>
  <c r="AR464" i="5" s="1"/>
  <c r="S463" i="5"/>
  <c r="AR463" i="5" s="1"/>
  <c r="S462" i="5"/>
  <c r="AR462" i="5" s="1"/>
  <c r="S461" i="5"/>
  <c r="AR461" i="5" s="1"/>
  <c r="S460" i="5"/>
  <c r="AR460" i="5" s="1"/>
  <c r="S459" i="5"/>
  <c r="AR459" i="5" s="1"/>
  <c r="S458" i="5"/>
  <c r="AR458" i="5" s="1"/>
  <c r="S457" i="5"/>
  <c r="AR457" i="5" s="1"/>
  <c r="S456" i="5"/>
  <c r="AR456" i="5" s="1"/>
  <c r="S455" i="5"/>
  <c r="AR455" i="5" s="1"/>
  <c r="S454" i="5"/>
  <c r="AR454" i="5" s="1"/>
  <c r="S453" i="5"/>
  <c r="AR453" i="5" s="1"/>
  <c r="S452" i="5"/>
  <c r="AR452" i="5" s="1"/>
  <c r="S451" i="5"/>
  <c r="AR451" i="5" s="1"/>
  <c r="S450" i="5"/>
  <c r="AR450" i="5" s="1"/>
  <c r="S449" i="5"/>
  <c r="AR449" i="5" s="1"/>
  <c r="S448" i="5"/>
  <c r="AR448" i="5" s="1"/>
  <c r="S447" i="5"/>
  <c r="AR447" i="5" s="1"/>
  <c r="S446" i="5"/>
  <c r="AR446" i="5" s="1"/>
  <c r="S445" i="5"/>
  <c r="AR445" i="5" s="1"/>
  <c r="S444" i="5"/>
  <c r="AR444" i="5" s="1"/>
  <c r="S443" i="5"/>
  <c r="AR443" i="5" s="1"/>
  <c r="S442" i="5"/>
  <c r="AR442" i="5" s="1"/>
  <c r="S441" i="5"/>
  <c r="AR441" i="5" s="1"/>
  <c r="S440" i="5"/>
  <c r="AR440" i="5" s="1"/>
  <c r="S439" i="5"/>
  <c r="AR439" i="5" s="1"/>
  <c r="S438" i="5"/>
  <c r="AR438" i="5" s="1"/>
  <c r="S437" i="5"/>
  <c r="AR437" i="5" s="1"/>
  <c r="S436" i="5"/>
  <c r="AR436" i="5" s="1"/>
  <c r="S435" i="5"/>
  <c r="AR435" i="5" s="1"/>
  <c r="S434" i="5"/>
  <c r="AR434" i="5" s="1"/>
  <c r="S433" i="5"/>
  <c r="AR433" i="5" s="1"/>
  <c r="S432" i="5"/>
  <c r="AR432" i="5" s="1"/>
  <c r="S431" i="5"/>
  <c r="AR431" i="5" s="1"/>
  <c r="S430" i="5"/>
  <c r="AR430" i="5" s="1"/>
  <c r="S429" i="5"/>
  <c r="AR429" i="5" s="1"/>
  <c r="S428" i="5"/>
  <c r="AR428" i="5" s="1"/>
  <c r="S427" i="5"/>
  <c r="AR427" i="5" s="1"/>
  <c r="S426" i="5"/>
  <c r="AR426" i="5" s="1"/>
  <c r="S425" i="5"/>
  <c r="AR425" i="5" s="1"/>
  <c r="S424" i="5"/>
  <c r="AR424" i="5" s="1"/>
  <c r="S423" i="5"/>
  <c r="AR423" i="5" s="1"/>
  <c r="S422" i="5"/>
  <c r="AR422" i="5" s="1"/>
  <c r="S421" i="5"/>
  <c r="AR421" i="5" s="1"/>
  <c r="S420" i="5"/>
  <c r="AR420" i="5" s="1"/>
  <c r="S419" i="5"/>
  <c r="AR419" i="5" s="1"/>
  <c r="S418" i="5"/>
  <c r="AR418" i="5" s="1"/>
  <c r="S417" i="5"/>
  <c r="AR417" i="5" s="1"/>
  <c r="S416" i="5"/>
  <c r="AR416" i="5" s="1"/>
  <c r="S415" i="5"/>
  <c r="AR415" i="5" s="1"/>
  <c r="S414" i="5"/>
  <c r="AR414" i="5" s="1"/>
  <c r="S413" i="5"/>
  <c r="AR413" i="5" s="1"/>
  <c r="S412" i="5"/>
  <c r="AR412" i="5" s="1"/>
  <c r="S411" i="5"/>
  <c r="AR411" i="5" s="1"/>
  <c r="S410" i="5"/>
  <c r="AR410" i="5" s="1"/>
  <c r="S409" i="5"/>
  <c r="AR409" i="5" s="1"/>
  <c r="S408" i="5"/>
  <c r="AR408" i="5" s="1"/>
  <c r="S407" i="5"/>
  <c r="AR407" i="5" s="1"/>
  <c r="S406" i="5"/>
  <c r="AR406" i="5" s="1"/>
  <c r="S405" i="5"/>
  <c r="AR405" i="5" s="1"/>
  <c r="S404" i="5"/>
  <c r="AR404" i="5" s="1"/>
  <c r="S403" i="5"/>
  <c r="AR403" i="5" s="1"/>
  <c r="S402" i="5"/>
  <c r="AR402" i="5" s="1"/>
  <c r="S401" i="5"/>
  <c r="AR401" i="5" s="1"/>
  <c r="S400" i="5"/>
  <c r="AR400" i="5" s="1"/>
  <c r="S399" i="5"/>
  <c r="AR399" i="5" s="1"/>
  <c r="S398" i="5"/>
  <c r="AR398" i="5" s="1"/>
  <c r="S397" i="5"/>
  <c r="AR397" i="5" s="1"/>
  <c r="S396" i="5"/>
  <c r="AR396" i="5" s="1"/>
  <c r="S395" i="5"/>
  <c r="AR395" i="5" s="1"/>
  <c r="S394" i="5"/>
  <c r="AR394" i="5" s="1"/>
  <c r="S393" i="5"/>
  <c r="AR393" i="5" s="1"/>
  <c r="S392" i="5"/>
  <c r="AR392" i="5" s="1"/>
  <c r="S391" i="5"/>
  <c r="AR391" i="5" s="1"/>
  <c r="S390" i="5"/>
  <c r="AR390" i="5" s="1"/>
  <c r="S389" i="5"/>
  <c r="AR389" i="5" s="1"/>
  <c r="S388" i="5"/>
  <c r="AR388" i="5" s="1"/>
  <c r="S387" i="5"/>
  <c r="AR387" i="5" s="1"/>
  <c r="S386" i="5"/>
  <c r="AR386" i="5" s="1"/>
  <c r="S385" i="5"/>
  <c r="AR385" i="5" s="1"/>
  <c r="S384" i="5"/>
  <c r="AR384" i="5" s="1"/>
  <c r="S383" i="5"/>
  <c r="AR383" i="5" s="1"/>
  <c r="S382" i="5"/>
  <c r="AR382" i="5" s="1"/>
  <c r="S381" i="5"/>
  <c r="AR381" i="5" s="1"/>
  <c r="S380" i="5"/>
  <c r="AR380" i="5" s="1"/>
  <c r="S379" i="5"/>
  <c r="AR379" i="5" s="1"/>
  <c r="S378" i="5"/>
  <c r="AR378" i="5" s="1"/>
  <c r="S377" i="5"/>
  <c r="AR377" i="5" s="1"/>
  <c r="S376" i="5"/>
  <c r="AR376" i="5" s="1"/>
  <c r="S375" i="5"/>
  <c r="AR375" i="5" s="1"/>
  <c r="S374" i="5"/>
  <c r="AR374" i="5" s="1"/>
  <c r="S373" i="5"/>
  <c r="AR373" i="5" s="1"/>
  <c r="S372" i="5"/>
  <c r="AR372" i="5" s="1"/>
  <c r="S371" i="5"/>
  <c r="AR371" i="5" s="1"/>
  <c r="S370" i="5"/>
  <c r="AR370" i="5" s="1"/>
  <c r="S369" i="5"/>
  <c r="AR369" i="5" s="1"/>
  <c r="S368" i="5"/>
  <c r="AR368" i="5" s="1"/>
  <c r="S367" i="5"/>
  <c r="AR367" i="5" s="1"/>
  <c r="S366" i="5"/>
  <c r="AR366" i="5" s="1"/>
  <c r="S365" i="5"/>
  <c r="AR365" i="5" s="1"/>
  <c r="S364" i="5"/>
  <c r="AR364" i="5" s="1"/>
  <c r="S363" i="5"/>
  <c r="AR363" i="5" s="1"/>
  <c r="S362" i="5"/>
  <c r="AR362" i="5" s="1"/>
  <c r="S361" i="5"/>
  <c r="AR361" i="5" s="1"/>
  <c r="S360" i="5"/>
  <c r="AR360" i="5" s="1"/>
  <c r="S359" i="5"/>
  <c r="AR359" i="5" s="1"/>
  <c r="S358" i="5"/>
  <c r="AR358" i="5" s="1"/>
  <c r="S357" i="5"/>
  <c r="AR357" i="5" s="1"/>
  <c r="S356" i="5"/>
  <c r="AR356" i="5" s="1"/>
  <c r="S355" i="5"/>
  <c r="AR355" i="5" s="1"/>
  <c r="S354" i="5"/>
  <c r="AR354" i="5" s="1"/>
  <c r="S353" i="5"/>
  <c r="AR353" i="5" s="1"/>
  <c r="S352" i="5"/>
  <c r="AR352" i="5" s="1"/>
  <c r="S351" i="5"/>
  <c r="AR351" i="5" s="1"/>
  <c r="S350" i="5"/>
  <c r="AR350" i="5" s="1"/>
  <c r="S349" i="5"/>
  <c r="AR349" i="5" s="1"/>
  <c r="S348" i="5"/>
  <c r="AR348" i="5" s="1"/>
  <c r="S347" i="5"/>
  <c r="AR347" i="5" s="1"/>
  <c r="S346" i="5"/>
  <c r="AR346" i="5" s="1"/>
  <c r="S345" i="5"/>
  <c r="AR345" i="5" s="1"/>
  <c r="S344" i="5"/>
  <c r="AR344" i="5" s="1"/>
  <c r="S343" i="5"/>
  <c r="AR343" i="5" s="1"/>
  <c r="S342" i="5"/>
  <c r="AR342" i="5" s="1"/>
  <c r="S341" i="5"/>
  <c r="AR341" i="5" s="1"/>
  <c r="S340" i="5"/>
  <c r="AR340" i="5" s="1"/>
  <c r="S339" i="5"/>
  <c r="AR339" i="5" s="1"/>
  <c r="S338" i="5"/>
  <c r="AR338" i="5" s="1"/>
  <c r="S337" i="5"/>
  <c r="AR337" i="5" s="1"/>
  <c r="S336" i="5"/>
  <c r="AR336" i="5" s="1"/>
  <c r="S335" i="5"/>
  <c r="AR335" i="5" s="1"/>
  <c r="S334" i="5"/>
  <c r="AR334" i="5" s="1"/>
  <c r="S333" i="5"/>
  <c r="AR333" i="5" s="1"/>
  <c r="S332" i="5"/>
  <c r="AR332" i="5" s="1"/>
  <c r="S331" i="5"/>
  <c r="AR331" i="5" s="1"/>
  <c r="S330" i="5"/>
  <c r="AR330" i="5" s="1"/>
  <c r="S329" i="5"/>
  <c r="AR329" i="5" s="1"/>
  <c r="S328" i="5"/>
  <c r="AR328" i="5" s="1"/>
  <c r="S327" i="5"/>
  <c r="AR327" i="5" s="1"/>
  <c r="S326" i="5"/>
  <c r="AR326" i="5" s="1"/>
  <c r="S325" i="5"/>
  <c r="AR325" i="5" s="1"/>
  <c r="S324" i="5"/>
  <c r="AR324" i="5" s="1"/>
  <c r="S323" i="5"/>
  <c r="AR323" i="5" s="1"/>
  <c r="S322" i="5"/>
  <c r="AR322" i="5" s="1"/>
  <c r="S321" i="5"/>
  <c r="AR321" i="5" s="1"/>
  <c r="S320" i="5"/>
  <c r="AR320" i="5" s="1"/>
  <c r="S319" i="5"/>
  <c r="AR319" i="5" s="1"/>
  <c r="S318" i="5"/>
  <c r="AR318" i="5" s="1"/>
  <c r="S317" i="5"/>
  <c r="AR317" i="5" s="1"/>
  <c r="S316" i="5"/>
  <c r="AR316" i="5" s="1"/>
  <c r="S315" i="5"/>
  <c r="AR315" i="5" s="1"/>
  <c r="S314" i="5"/>
  <c r="AR314" i="5" s="1"/>
  <c r="S313" i="5"/>
  <c r="AR313" i="5" s="1"/>
  <c r="S312" i="5"/>
  <c r="AR312" i="5" s="1"/>
  <c r="S311" i="5"/>
  <c r="AR311" i="5" s="1"/>
  <c r="S310" i="5"/>
  <c r="AR310" i="5" s="1"/>
  <c r="S309" i="5"/>
  <c r="AR309" i="5" s="1"/>
  <c r="S308" i="5"/>
  <c r="AR308" i="5" s="1"/>
  <c r="S307" i="5"/>
  <c r="AR307" i="5" s="1"/>
  <c r="S306" i="5"/>
  <c r="AR306" i="5" s="1"/>
  <c r="S305" i="5"/>
  <c r="AR305" i="5" s="1"/>
  <c r="S304" i="5"/>
  <c r="AR304" i="5" s="1"/>
  <c r="S303" i="5"/>
  <c r="AR303" i="5" s="1"/>
  <c r="S302" i="5"/>
  <c r="AR302" i="5" s="1"/>
  <c r="S301" i="5"/>
  <c r="AR301" i="5" s="1"/>
  <c r="S300" i="5"/>
  <c r="AR300" i="5" s="1"/>
  <c r="S299" i="5"/>
  <c r="AR299" i="5" s="1"/>
  <c r="S298" i="5"/>
  <c r="AR298" i="5" s="1"/>
  <c r="S297" i="5"/>
  <c r="AR297" i="5" s="1"/>
  <c r="S296" i="5"/>
  <c r="AR296" i="5" s="1"/>
  <c r="S295" i="5"/>
  <c r="AR295" i="5" s="1"/>
  <c r="S294" i="5"/>
  <c r="AR294" i="5" s="1"/>
  <c r="S293" i="5"/>
  <c r="AR293" i="5" s="1"/>
  <c r="S292" i="5"/>
  <c r="AR292" i="5" s="1"/>
  <c r="S291" i="5"/>
  <c r="AR291" i="5" s="1"/>
  <c r="S290" i="5"/>
  <c r="AR290" i="5" s="1"/>
  <c r="S289" i="5"/>
  <c r="AR289" i="5" s="1"/>
  <c r="S288" i="5"/>
  <c r="AR288" i="5" s="1"/>
  <c r="S287" i="5"/>
  <c r="AR287" i="5" s="1"/>
  <c r="S286" i="5"/>
  <c r="AR286" i="5" s="1"/>
  <c r="S285" i="5"/>
  <c r="AR285" i="5" s="1"/>
  <c r="S284" i="5"/>
  <c r="AR284" i="5" s="1"/>
  <c r="S283" i="5"/>
  <c r="AR283" i="5" s="1"/>
  <c r="S282" i="5"/>
  <c r="AR282" i="5" s="1"/>
  <c r="S281" i="5"/>
  <c r="AR281" i="5" s="1"/>
  <c r="S280" i="5"/>
  <c r="AR280" i="5" s="1"/>
  <c r="S279" i="5"/>
  <c r="AR279" i="5" s="1"/>
  <c r="S278" i="5"/>
  <c r="AR278" i="5" s="1"/>
  <c r="S277" i="5"/>
  <c r="AR277" i="5" s="1"/>
  <c r="S276" i="5"/>
  <c r="AR276" i="5" s="1"/>
  <c r="S275" i="5"/>
  <c r="AR275" i="5" s="1"/>
  <c r="S274" i="5"/>
  <c r="AR274" i="5" s="1"/>
  <c r="S273" i="5"/>
  <c r="AR273" i="5" s="1"/>
  <c r="S272" i="5"/>
  <c r="AR272" i="5" s="1"/>
  <c r="S271" i="5"/>
  <c r="AR271" i="5" s="1"/>
  <c r="S270" i="5"/>
  <c r="AR270" i="5" s="1"/>
  <c r="S269" i="5"/>
  <c r="AR269" i="5" s="1"/>
  <c r="S268" i="5"/>
  <c r="AR268" i="5" s="1"/>
  <c r="S267" i="5"/>
  <c r="AR267" i="5" s="1"/>
  <c r="S266" i="5"/>
  <c r="AR266" i="5" s="1"/>
  <c r="S265" i="5"/>
  <c r="AR265" i="5" s="1"/>
  <c r="S264" i="5"/>
  <c r="AR264" i="5" s="1"/>
  <c r="S263" i="5"/>
  <c r="AR263" i="5" s="1"/>
  <c r="S262" i="5"/>
  <c r="AR262" i="5" s="1"/>
  <c r="S261" i="5"/>
  <c r="AR261" i="5" s="1"/>
  <c r="S260" i="5"/>
  <c r="AR260" i="5" s="1"/>
  <c r="S259" i="5"/>
  <c r="AR259" i="5" s="1"/>
  <c r="S258" i="5"/>
  <c r="AR258" i="5" s="1"/>
  <c r="S257" i="5"/>
  <c r="AR257" i="5" s="1"/>
  <c r="S256" i="5"/>
  <c r="AR256" i="5" s="1"/>
  <c r="S255" i="5"/>
  <c r="AR255" i="5" s="1"/>
  <c r="S254" i="5"/>
  <c r="AR254" i="5" s="1"/>
  <c r="S253" i="5"/>
  <c r="AR253" i="5" s="1"/>
  <c r="S252" i="5"/>
  <c r="AR252" i="5" s="1"/>
  <c r="S251" i="5"/>
  <c r="AR251" i="5" s="1"/>
  <c r="S250" i="5"/>
  <c r="AR250" i="5" s="1"/>
  <c r="S249" i="5"/>
  <c r="AR249" i="5" s="1"/>
  <c r="S248" i="5"/>
  <c r="AR248" i="5" s="1"/>
  <c r="S247" i="5"/>
  <c r="AR247" i="5" s="1"/>
  <c r="S246" i="5"/>
  <c r="AR246" i="5" s="1"/>
  <c r="S245" i="5"/>
  <c r="AR245" i="5" s="1"/>
  <c r="S244" i="5"/>
  <c r="AR244" i="5" s="1"/>
  <c r="S243" i="5"/>
  <c r="AR243" i="5" s="1"/>
  <c r="S242" i="5"/>
  <c r="AR242" i="5" s="1"/>
  <c r="S241" i="5"/>
  <c r="AR241" i="5" s="1"/>
  <c r="S240" i="5"/>
  <c r="AR240" i="5" s="1"/>
  <c r="S239" i="5"/>
  <c r="AR239" i="5" s="1"/>
  <c r="S238" i="5"/>
  <c r="AR238" i="5" s="1"/>
  <c r="S237" i="5"/>
  <c r="AR237" i="5" s="1"/>
  <c r="S236" i="5"/>
  <c r="AR236" i="5" s="1"/>
  <c r="S235" i="5"/>
  <c r="AR235" i="5" s="1"/>
  <c r="S234" i="5"/>
  <c r="AR234" i="5" s="1"/>
  <c r="S233" i="5"/>
  <c r="AR233" i="5" s="1"/>
  <c r="S232" i="5"/>
  <c r="AR232" i="5" s="1"/>
  <c r="S231" i="5"/>
  <c r="AR231" i="5" s="1"/>
  <c r="S230" i="5"/>
  <c r="AR230" i="5" s="1"/>
  <c r="S229" i="5"/>
  <c r="AR229" i="5" s="1"/>
  <c r="S228" i="5"/>
  <c r="AR228" i="5" s="1"/>
  <c r="S227" i="5"/>
  <c r="AR227" i="5" s="1"/>
  <c r="S226" i="5"/>
  <c r="AR226" i="5" s="1"/>
  <c r="S225" i="5"/>
  <c r="AR225" i="5" s="1"/>
  <c r="S224" i="5"/>
  <c r="AR224" i="5" s="1"/>
  <c r="S223" i="5"/>
  <c r="AR223" i="5" s="1"/>
  <c r="S222" i="5"/>
  <c r="AR222" i="5" s="1"/>
  <c r="S221" i="5"/>
  <c r="AR221" i="5" s="1"/>
  <c r="S220" i="5"/>
  <c r="AR220" i="5" s="1"/>
  <c r="S219" i="5"/>
  <c r="AR219" i="5" s="1"/>
  <c r="S218" i="5"/>
  <c r="AR218" i="5" s="1"/>
  <c r="S217" i="5"/>
  <c r="AR217" i="5" s="1"/>
  <c r="S216" i="5"/>
  <c r="AR216" i="5" s="1"/>
  <c r="S215" i="5"/>
  <c r="AR215" i="5" s="1"/>
  <c r="S214" i="5"/>
  <c r="AR214" i="5" s="1"/>
  <c r="S213" i="5"/>
  <c r="AR213" i="5" s="1"/>
  <c r="S212" i="5"/>
  <c r="AR212" i="5" s="1"/>
  <c r="S211" i="5"/>
  <c r="AR211" i="5" s="1"/>
  <c r="S210" i="5"/>
  <c r="AR210" i="5" s="1"/>
  <c r="S209" i="5"/>
  <c r="AR209" i="5" s="1"/>
  <c r="S208" i="5"/>
  <c r="AR208" i="5" s="1"/>
  <c r="S207" i="5"/>
  <c r="AR207" i="5" s="1"/>
  <c r="S206" i="5"/>
  <c r="AR206" i="5" s="1"/>
  <c r="S205" i="5"/>
  <c r="AR205" i="5" s="1"/>
  <c r="S204" i="5"/>
  <c r="AR204" i="5" s="1"/>
  <c r="S203" i="5"/>
  <c r="AR203" i="5" s="1"/>
  <c r="S202" i="5"/>
  <c r="AR202" i="5" s="1"/>
  <c r="S201" i="5"/>
  <c r="AR201" i="5" s="1"/>
  <c r="S200" i="5"/>
  <c r="AR200" i="5" s="1"/>
  <c r="S199" i="5"/>
  <c r="AR199" i="5" s="1"/>
  <c r="S198" i="5"/>
  <c r="AR198" i="5" s="1"/>
  <c r="S197" i="5"/>
  <c r="AR197" i="5" s="1"/>
  <c r="S196" i="5"/>
  <c r="AR196" i="5" s="1"/>
  <c r="S195" i="5"/>
  <c r="AR195" i="5" s="1"/>
  <c r="S194" i="5"/>
  <c r="AR194" i="5" s="1"/>
  <c r="S193" i="5"/>
  <c r="AR193" i="5" s="1"/>
  <c r="S192" i="5"/>
  <c r="AR192" i="5" s="1"/>
  <c r="S191" i="5"/>
  <c r="AR191" i="5" s="1"/>
  <c r="S190" i="5"/>
  <c r="AR190" i="5" s="1"/>
  <c r="S189" i="5"/>
  <c r="AR189" i="5" s="1"/>
  <c r="S188" i="5"/>
  <c r="AR188" i="5" s="1"/>
  <c r="S187" i="5"/>
  <c r="AR187" i="5" s="1"/>
  <c r="S186" i="5"/>
  <c r="AR186" i="5" s="1"/>
  <c r="S185" i="5"/>
  <c r="AR185" i="5" s="1"/>
  <c r="S184" i="5"/>
  <c r="AR184" i="5" s="1"/>
  <c r="S183" i="5"/>
  <c r="AR183" i="5" s="1"/>
  <c r="S182" i="5"/>
  <c r="AR182" i="5" s="1"/>
  <c r="S181" i="5"/>
  <c r="AR181" i="5" s="1"/>
  <c r="S180" i="5"/>
  <c r="AR180" i="5" s="1"/>
  <c r="S179" i="5"/>
  <c r="AR179" i="5" s="1"/>
  <c r="S178" i="5"/>
  <c r="AR178" i="5" s="1"/>
  <c r="S177" i="5"/>
  <c r="AR177" i="5" s="1"/>
  <c r="S176" i="5"/>
  <c r="AR176" i="5" s="1"/>
  <c r="S175" i="5"/>
  <c r="AR175" i="5" s="1"/>
  <c r="S174" i="5"/>
  <c r="AR174" i="5" s="1"/>
  <c r="S173" i="5"/>
  <c r="AR173" i="5" s="1"/>
  <c r="S172" i="5"/>
  <c r="AR172" i="5" s="1"/>
  <c r="S171" i="5"/>
  <c r="AR171" i="5" s="1"/>
  <c r="S170" i="5"/>
  <c r="AR170" i="5" s="1"/>
  <c r="S169" i="5"/>
  <c r="AR169" i="5" s="1"/>
  <c r="S168" i="5"/>
  <c r="AR168" i="5" s="1"/>
  <c r="S167" i="5"/>
  <c r="AR167" i="5" s="1"/>
  <c r="S166" i="5"/>
  <c r="AR166" i="5" s="1"/>
  <c r="S165" i="5"/>
  <c r="AR165" i="5" s="1"/>
  <c r="S164" i="5"/>
  <c r="AR164" i="5" s="1"/>
  <c r="S163" i="5"/>
  <c r="AR163" i="5" s="1"/>
  <c r="S162" i="5"/>
  <c r="AR162" i="5" s="1"/>
  <c r="S161" i="5"/>
  <c r="AR161" i="5" s="1"/>
  <c r="S160" i="5"/>
  <c r="AR160" i="5" s="1"/>
  <c r="S159" i="5"/>
  <c r="AR159" i="5" s="1"/>
  <c r="S158" i="5"/>
  <c r="AR158" i="5" s="1"/>
  <c r="S157" i="5"/>
  <c r="AR157" i="5" s="1"/>
  <c r="S156" i="5"/>
  <c r="AR156" i="5" s="1"/>
  <c r="S155" i="5"/>
  <c r="AR155" i="5" s="1"/>
  <c r="S154" i="5"/>
  <c r="AR154" i="5" s="1"/>
  <c r="S153" i="5"/>
  <c r="AR153" i="5" s="1"/>
  <c r="S152" i="5"/>
  <c r="AR152" i="5" s="1"/>
  <c r="S151" i="5"/>
  <c r="AR151" i="5" s="1"/>
  <c r="S150" i="5"/>
  <c r="AR150" i="5" s="1"/>
  <c r="S149" i="5"/>
  <c r="AR149" i="5" s="1"/>
  <c r="S148" i="5"/>
  <c r="AR148" i="5" s="1"/>
  <c r="S147" i="5"/>
  <c r="AR147" i="5" s="1"/>
  <c r="S146" i="5"/>
  <c r="AR146" i="5" s="1"/>
  <c r="S145" i="5"/>
  <c r="AR145" i="5" s="1"/>
  <c r="S144" i="5"/>
  <c r="AR144" i="5" s="1"/>
  <c r="S143" i="5"/>
  <c r="AR143" i="5" s="1"/>
  <c r="S142" i="5"/>
  <c r="AR142" i="5" s="1"/>
  <c r="S141" i="5"/>
  <c r="AR141" i="5" s="1"/>
  <c r="S140" i="5"/>
  <c r="AR140" i="5" s="1"/>
  <c r="S139" i="5"/>
  <c r="AR139" i="5" s="1"/>
  <c r="S138" i="5"/>
  <c r="AR138" i="5" s="1"/>
  <c r="S137" i="5"/>
  <c r="AR137" i="5" s="1"/>
  <c r="S136" i="5"/>
  <c r="AR136" i="5" s="1"/>
  <c r="S135" i="5"/>
  <c r="AR135" i="5" s="1"/>
  <c r="S134" i="5"/>
  <c r="AR134" i="5" s="1"/>
  <c r="S133" i="5"/>
  <c r="AR133" i="5" s="1"/>
  <c r="S132" i="5"/>
  <c r="AR132" i="5" s="1"/>
  <c r="S131" i="5"/>
  <c r="AR131" i="5" s="1"/>
  <c r="S130" i="5"/>
  <c r="AR130" i="5" s="1"/>
  <c r="S129" i="5"/>
  <c r="AR129" i="5" s="1"/>
  <c r="S128" i="5"/>
  <c r="AR128" i="5" s="1"/>
  <c r="S127" i="5"/>
  <c r="AR127" i="5" s="1"/>
  <c r="S126" i="5"/>
  <c r="AR126" i="5" s="1"/>
  <c r="S125" i="5"/>
  <c r="AR125" i="5" s="1"/>
  <c r="S124" i="5"/>
  <c r="AR124" i="5" s="1"/>
  <c r="S123" i="5"/>
  <c r="AR123" i="5" s="1"/>
  <c r="S122" i="5"/>
  <c r="AR122" i="5" s="1"/>
  <c r="S121" i="5"/>
  <c r="AR121" i="5" s="1"/>
  <c r="S120" i="5"/>
  <c r="AR120" i="5" s="1"/>
  <c r="S119" i="5"/>
  <c r="AR119" i="5" s="1"/>
  <c r="S118" i="5"/>
  <c r="AR118" i="5" s="1"/>
  <c r="S117" i="5"/>
  <c r="AR117" i="5" s="1"/>
  <c r="S116" i="5"/>
  <c r="AR116" i="5" s="1"/>
  <c r="S115" i="5"/>
  <c r="AR115" i="5" s="1"/>
  <c r="S114" i="5"/>
  <c r="AR114" i="5" s="1"/>
  <c r="S113" i="5"/>
  <c r="AR113" i="5" s="1"/>
  <c r="S112" i="5"/>
  <c r="AR112" i="5" s="1"/>
  <c r="S111" i="5"/>
  <c r="AR111" i="5" s="1"/>
  <c r="S110" i="5"/>
  <c r="AR110" i="5" s="1"/>
  <c r="S109" i="5"/>
  <c r="AR109" i="5" s="1"/>
  <c r="S108" i="5"/>
  <c r="AR108" i="5" s="1"/>
  <c r="S107" i="5"/>
  <c r="AR107" i="5" s="1"/>
  <c r="S106" i="5"/>
  <c r="AR106" i="5" s="1"/>
  <c r="S105" i="5"/>
  <c r="AR105" i="5" s="1"/>
  <c r="S104" i="5"/>
  <c r="AR104" i="5" s="1"/>
  <c r="S103" i="5"/>
  <c r="AR103" i="5" s="1"/>
  <c r="S102" i="5"/>
  <c r="AR102" i="5" s="1"/>
  <c r="S101" i="5"/>
  <c r="AR101" i="5" s="1"/>
  <c r="S100" i="5"/>
  <c r="AR100" i="5" s="1"/>
  <c r="S99" i="5"/>
  <c r="AR99" i="5" s="1"/>
  <c r="S98" i="5"/>
  <c r="AR98" i="5" s="1"/>
  <c r="S97" i="5"/>
  <c r="AR97" i="5" s="1"/>
  <c r="S96" i="5"/>
  <c r="AR96" i="5" s="1"/>
  <c r="S95" i="5"/>
  <c r="AR95" i="5" s="1"/>
  <c r="S94" i="5"/>
  <c r="AR94" i="5" s="1"/>
  <c r="S93" i="5"/>
  <c r="AR93" i="5" s="1"/>
  <c r="S92" i="5"/>
  <c r="AR92" i="5" s="1"/>
  <c r="S91" i="5"/>
  <c r="AR91" i="5" s="1"/>
  <c r="S90" i="5"/>
  <c r="AR90" i="5" s="1"/>
  <c r="S89" i="5"/>
  <c r="AR89" i="5" s="1"/>
  <c r="S88" i="5"/>
  <c r="AR88" i="5" s="1"/>
  <c r="S87" i="5"/>
  <c r="AR87" i="5" s="1"/>
  <c r="S86" i="5"/>
  <c r="AR86" i="5" s="1"/>
  <c r="S85" i="5"/>
  <c r="AR85" i="5" s="1"/>
  <c r="S84" i="5"/>
  <c r="AR84" i="5" s="1"/>
  <c r="S83" i="5"/>
  <c r="AR83" i="5" s="1"/>
  <c r="S82" i="5"/>
  <c r="AR82" i="5" s="1"/>
  <c r="S81" i="5"/>
  <c r="AR81" i="5" s="1"/>
  <c r="S80" i="5"/>
  <c r="AR80" i="5" s="1"/>
  <c r="S79" i="5"/>
  <c r="AR79" i="5" s="1"/>
  <c r="S78" i="5"/>
  <c r="AR78" i="5" s="1"/>
  <c r="S77" i="5"/>
  <c r="AR77" i="5" s="1"/>
  <c r="S76" i="5"/>
  <c r="AR76" i="5" s="1"/>
  <c r="S75" i="5"/>
  <c r="AR75" i="5" s="1"/>
  <c r="S74" i="5"/>
  <c r="AR74" i="5" s="1"/>
  <c r="S73" i="5"/>
  <c r="AR73" i="5" s="1"/>
  <c r="S72" i="5"/>
  <c r="AR72" i="5" s="1"/>
  <c r="S71" i="5"/>
  <c r="AR71" i="5" s="1"/>
  <c r="S70" i="5"/>
  <c r="AR70" i="5" s="1"/>
  <c r="S69" i="5"/>
  <c r="AR69" i="5" s="1"/>
  <c r="S68" i="5"/>
  <c r="AR68" i="5" s="1"/>
  <c r="S67" i="5"/>
  <c r="AR67" i="5" s="1"/>
  <c r="S66" i="5"/>
  <c r="AR66" i="5" s="1"/>
  <c r="S65" i="5"/>
  <c r="AR65" i="5" s="1"/>
  <c r="S64" i="5"/>
  <c r="AR64" i="5" s="1"/>
  <c r="S63" i="5"/>
  <c r="AR63" i="5" s="1"/>
  <c r="S62" i="5"/>
  <c r="AR62" i="5" s="1"/>
  <c r="S61" i="5"/>
  <c r="AR61" i="5" s="1"/>
  <c r="S60" i="5"/>
  <c r="AR60" i="5" s="1"/>
  <c r="S59" i="5"/>
  <c r="AR59" i="5" s="1"/>
  <c r="S58" i="5"/>
  <c r="AR58" i="5" s="1"/>
  <c r="S57" i="5"/>
  <c r="AR57" i="5" s="1"/>
  <c r="S56" i="5"/>
  <c r="AR56" i="5" s="1"/>
  <c r="S55" i="5"/>
  <c r="AR55" i="5" s="1"/>
  <c r="S54" i="5"/>
  <c r="AR54" i="5" s="1"/>
  <c r="S53" i="5"/>
  <c r="AR53" i="5" s="1"/>
  <c r="S52" i="5"/>
  <c r="AR52" i="5" s="1"/>
  <c r="S51" i="5"/>
  <c r="AR51" i="5" s="1"/>
  <c r="S50" i="5"/>
  <c r="AR50" i="5" s="1"/>
  <c r="S49" i="5"/>
  <c r="AR49" i="5" s="1"/>
  <c r="S48" i="5"/>
  <c r="AR48" i="5" s="1"/>
  <c r="S47" i="5"/>
  <c r="AR47" i="5" s="1"/>
  <c r="S46" i="5"/>
  <c r="AR46" i="5" s="1"/>
  <c r="S45" i="5"/>
  <c r="AR45" i="5" s="1"/>
  <c r="S44" i="5"/>
  <c r="AR44" i="5" s="1"/>
  <c r="S43" i="5"/>
  <c r="AR43" i="5" s="1"/>
  <c r="S42" i="5"/>
  <c r="AR42" i="5" s="1"/>
  <c r="S41" i="5"/>
  <c r="AR41" i="5" s="1"/>
  <c r="S40" i="5"/>
  <c r="AR40" i="5" s="1"/>
  <c r="S39" i="5"/>
  <c r="AR39" i="5" s="1"/>
  <c r="S38" i="5"/>
  <c r="AR38" i="5" s="1"/>
  <c r="S37" i="5"/>
  <c r="AR37" i="5" s="1"/>
  <c r="S36" i="5"/>
  <c r="AR36" i="5" s="1"/>
  <c r="S35" i="5"/>
  <c r="AR35" i="5" s="1"/>
  <c r="S34" i="5"/>
  <c r="AR34" i="5" s="1"/>
  <c r="S33" i="5"/>
  <c r="AR33" i="5" s="1"/>
  <c r="S32" i="5"/>
  <c r="AR32" i="5" s="1"/>
  <c r="S31" i="5"/>
  <c r="AR31" i="5" s="1"/>
  <c r="S30" i="5"/>
  <c r="AR30" i="5" s="1"/>
  <c r="S29" i="5"/>
  <c r="AR29" i="5" s="1"/>
  <c r="S28" i="5"/>
  <c r="AR28" i="5" s="1"/>
  <c r="S27" i="5"/>
  <c r="AR27" i="5" s="1"/>
  <c r="S26" i="5"/>
  <c r="AR26" i="5" s="1"/>
  <c r="S25" i="5"/>
  <c r="AR25" i="5" s="1"/>
  <c r="S24" i="5"/>
  <c r="AR24" i="5" s="1"/>
  <c r="S23" i="5"/>
  <c r="AR23" i="5" s="1"/>
  <c r="S22" i="5"/>
  <c r="AR22" i="5" s="1"/>
  <c r="S21" i="5"/>
  <c r="AR21" i="5" s="1"/>
  <c r="S20" i="5"/>
  <c r="AR20" i="5" s="1"/>
  <c r="S19" i="5"/>
  <c r="AR19" i="5" s="1"/>
  <c r="S18" i="5"/>
  <c r="AR18" i="5" s="1"/>
  <c r="S17" i="5"/>
  <c r="AR17" i="5" s="1"/>
  <c r="S16" i="5"/>
  <c r="AR16" i="5" s="1"/>
  <c r="S15" i="5"/>
  <c r="AR15" i="5" s="1"/>
  <c r="S14" i="5"/>
  <c r="AR14" i="5" s="1"/>
  <c r="S13" i="5"/>
  <c r="AR13" i="5" s="1"/>
  <c r="S12" i="5"/>
  <c r="AR12" i="5" s="1"/>
  <c r="S11" i="5"/>
  <c r="AR11" i="5" s="1"/>
  <c r="S10" i="5"/>
  <c r="AR10" i="5" s="1"/>
  <c r="S9" i="5"/>
  <c r="AR9" i="5" s="1"/>
  <c r="S8" i="5"/>
  <c r="AR8" i="5" s="1"/>
  <c r="Q646" i="5"/>
  <c r="Q643" i="5"/>
  <c r="AQ643" i="5" s="1"/>
  <c r="Q642" i="5"/>
  <c r="AQ642" i="5" s="1"/>
  <c r="Q641" i="5"/>
  <c r="AQ641" i="5" s="1"/>
  <c r="Q640" i="5"/>
  <c r="AQ640" i="5" s="1"/>
  <c r="Q639" i="5"/>
  <c r="AQ639" i="5" s="1"/>
  <c r="Q638" i="5"/>
  <c r="AQ638" i="5" s="1"/>
  <c r="Q637" i="5"/>
  <c r="AQ637" i="5" s="1"/>
  <c r="Q636" i="5"/>
  <c r="AQ636" i="5" s="1"/>
  <c r="Q635" i="5"/>
  <c r="AQ635" i="5" s="1"/>
  <c r="Q634" i="5"/>
  <c r="AQ634" i="5" s="1"/>
  <c r="Q633" i="5"/>
  <c r="AQ633" i="5" s="1"/>
  <c r="Q632" i="5"/>
  <c r="AQ632" i="5" s="1"/>
  <c r="Q631" i="5"/>
  <c r="AQ631" i="5" s="1"/>
  <c r="Q630" i="5"/>
  <c r="AQ630" i="5" s="1"/>
  <c r="Q629" i="5"/>
  <c r="AQ629" i="5" s="1"/>
  <c r="Q628" i="5"/>
  <c r="AQ628" i="5" s="1"/>
  <c r="Q627" i="5"/>
  <c r="AQ627" i="5" s="1"/>
  <c r="Q626" i="5"/>
  <c r="AQ626" i="5" s="1"/>
  <c r="Q625" i="5"/>
  <c r="AQ625" i="5" s="1"/>
  <c r="Q624" i="5"/>
  <c r="AQ624" i="5" s="1"/>
  <c r="Q623" i="5"/>
  <c r="AQ623" i="5" s="1"/>
  <c r="Q622" i="5"/>
  <c r="AQ622" i="5" s="1"/>
  <c r="Q621" i="5"/>
  <c r="AQ621" i="5" s="1"/>
  <c r="Q620" i="5"/>
  <c r="AQ620" i="5" s="1"/>
  <c r="Q619" i="5"/>
  <c r="AQ619" i="5" s="1"/>
  <c r="Q618" i="5"/>
  <c r="AQ618" i="5" s="1"/>
  <c r="Q617" i="5"/>
  <c r="AQ617" i="5" s="1"/>
  <c r="Q616" i="5"/>
  <c r="AQ616" i="5" s="1"/>
  <c r="Q615" i="5"/>
  <c r="AQ615" i="5" s="1"/>
  <c r="Q614" i="5"/>
  <c r="AQ614" i="5" s="1"/>
  <c r="Q613" i="5"/>
  <c r="AQ613" i="5" s="1"/>
  <c r="Q612" i="5"/>
  <c r="AQ612" i="5" s="1"/>
  <c r="Q611" i="5"/>
  <c r="AQ611" i="5" s="1"/>
  <c r="Q610" i="5"/>
  <c r="AQ610" i="5" s="1"/>
  <c r="Q609" i="5"/>
  <c r="AQ609" i="5" s="1"/>
  <c r="Q608" i="5"/>
  <c r="AQ608" i="5" s="1"/>
  <c r="Q607" i="5"/>
  <c r="AQ607" i="5" s="1"/>
  <c r="Q606" i="5"/>
  <c r="AQ606" i="5" s="1"/>
  <c r="Q605" i="5"/>
  <c r="AQ605" i="5" s="1"/>
  <c r="Q604" i="5"/>
  <c r="AQ604" i="5" s="1"/>
  <c r="Q603" i="5"/>
  <c r="AQ603" i="5" s="1"/>
  <c r="Q602" i="5"/>
  <c r="AQ602" i="5" s="1"/>
  <c r="Q601" i="5"/>
  <c r="AQ601" i="5" s="1"/>
  <c r="Q600" i="5"/>
  <c r="AQ600" i="5" s="1"/>
  <c r="Q599" i="5"/>
  <c r="AQ599" i="5" s="1"/>
  <c r="Q598" i="5"/>
  <c r="AQ598" i="5" s="1"/>
  <c r="Q597" i="5"/>
  <c r="AQ597" i="5" s="1"/>
  <c r="Q596" i="5"/>
  <c r="AQ596" i="5" s="1"/>
  <c r="Q595" i="5"/>
  <c r="AQ595" i="5" s="1"/>
  <c r="Q594" i="5"/>
  <c r="AQ594" i="5" s="1"/>
  <c r="Q593" i="5"/>
  <c r="AQ593" i="5" s="1"/>
  <c r="Q592" i="5"/>
  <c r="AQ592" i="5" s="1"/>
  <c r="Q590" i="5"/>
  <c r="AQ590" i="5" s="1"/>
  <c r="Q589" i="5"/>
  <c r="Q588" i="5"/>
  <c r="AQ588" i="5" s="1"/>
  <c r="Q587" i="5"/>
  <c r="AQ587" i="5" s="1"/>
  <c r="Q586" i="5"/>
  <c r="AQ586" i="5" s="1"/>
  <c r="Q585" i="5"/>
  <c r="AQ585" i="5" s="1"/>
  <c r="Q584" i="5"/>
  <c r="AQ584" i="5" s="1"/>
  <c r="Q583" i="5"/>
  <c r="AQ583" i="5" s="1"/>
  <c r="Q582" i="5"/>
  <c r="AQ582" i="5" s="1"/>
  <c r="Q581" i="5"/>
  <c r="AQ581" i="5" s="1"/>
  <c r="Q580" i="5"/>
  <c r="AQ580" i="5" s="1"/>
  <c r="Q579" i="5"/>
  <c r="AQ579" i="5" s="1"/>
  <c r="Q578" i="5"/>
  <c r="AQ578" i="5" s="1"/>
  <c r="Q577" i="5"/>
  <c r="AQ577" i="5" s="1"/>
  <c r="Q576" i="5"/>
  <c r="AQ576" i="5" s="1"/>
  <c r="Q575" i="5"/>
  <c r="AQ575" i="5" s="1"/>
  <c r="Q574" i="5"/>
  <c r="AQ574" i="5" s="1"/>
  <c r="Q573" i="5"/>
  <c r="AQ573" i="5" s="1"/>
  <c r="Q572" i="5"/>
  <c r="AQ572" i="5" s="1"/>
  <c r="Q571" i="5"/>
  <c r="AQ571" i="5" s="1"/>
  <c r="Q570" i="5"/>
  <c r="AQ570" i="5" s="1"/>
  <c r="Q569" i="5"/>
  <c r="AQ569" i="5" s="1"/>
  <c r="Q568" i="5"/>
  <c r="AQ568" i="5" s="1"/>
  <c r="Q567" i="5"/>
  <c r="AQ567" i="5" s="1"/>
  <c r="Q566" i="5"/>
  <c r="AQ566" i="5" s="1"/>
  <c r="Q565" i="5"/>
  <c r="AQ565" i="5" s="1"/>
  <c r="Q564" i="5"/>
  <c r="AQ564" i="5" s="1"/>
  <c r="Q563" i="5"/>
  <c r="AQ563" i="5" s="1"/>
  <c r="Q562" i="5"/>
  <c r="AQ562" i="5" s="1"/>
  <c r="Q561" i="5"/>
  <c r="AQ561" i="5" s="1"/>
  <c r="Q560" i="5"/>
  <c r="AQ560" i="5" s="1"/>
  <c r="Q559" i="5"/>
  <c r="AQ559" i="5" s="1"/>
  <c r="Q558" i="5"/>
  <c r="AQ558" i="5" s="1"/>
  <c r="Q557" i="5"/>
  <c r="AQ557" i="5" s="1"/>
  <c r="Q556" i="5"/>
  <c r="AQ556" i="5" s="1"/>
  <c r="Q555" i="5"/>
  <c r="AQ555" i="5" s="1"/>
  <c r="Q554" i="5"/>
  <c r="AQ554" i="5" s="1"/>
  <c r="Q553" i="5"/>
  <c r="AQ553" i="5" s="1"/>
  <c r="Q552" i="5"/>
  <c r="AQ552" i="5" s="1"/>
  <c r="Q551" i="5"/>
  <c r="AQ551" i="5" s="1"/>
  <c r="Q550" i="5"/>
  <c r="AQ550" i="5" s="1"/>
  <c r="Q549" i="5"/>
  <c r="AQ549" i="5" s="1"/>
  <c r="Q548" i="5"/>
  <c r="AQ548" i="5" s="1"/>
  <c r="Q547" i="5"/>
  <c r="AQ547" i="5" s="1"/>
  <c r="Q546" i="5"/>
  <c r="AQ546" i="5" s="1"/>
  <c r="Q545" i="5"/>
  <c r="AQ545" i="5" s="1"/>
  <c r="Q544" i="5"/>
  <c r="AQ544" i="5" s="1"/>
  <c r="Q543" i="5"/>
  <c r="AQ543" i="5" s="1"/>
  <c r="Q542" i="5"/>
  <c r="AQ542" i="5" s="1"/>
  <c r="Q541" i="5"/>
  <c r="AQ541" i="5" s="1"/>
  <c r="Q540" i="5"/>
  <c r="AQ540" i="5" s="1"/>
  <c r="Q539" i="5"/>
  <c r="AQ539" i="5" s="1"/>
  <c r="Q538" i="5"/>
  <c r="AQ538" i="5" s="1"/>
  <c r="Q537" i="5"/>
  <c r="AQ537" i="5" s="1"/>
  <c r="Q536" i="5"/>
  <c r="AQ536" i="5" s="1"/>
  <c r="Q535" i="5"/>
  <c r="AQ535" i="5" s="1"/>
  <c r="Q534" i="5"/>
  <c r="AQ534" i="5" s="1"/>
  <c r="Q533" i="5"/>
  <c r="AQ533" i="5" s="1"/>
  <c r="Q532" i="5"/>
  <c r="AQ532" i="5" s="1"/>
  <c r="Q531" i="5"/>
  <c r="AQ531" i="5" s="1"/>
  <c r="Q530" i="5"/>
  <c r="AQ530" i="5" s="1"/>
  <c r="Q529" i="5"/>
  <c r="AQ529" i="5" s="1"/>
  <c r="Q528" i="5"/>
  <c r="AQ528" i="5" s="1"/>
  <c r="Q527" i="5"/>
  <c r="AQ527" i="5" s="1"/>
  <c r="Q526" i="5"/>
  <c r="AQ526" i="5" s="1"/>
  <c r="Q525" i="5"/>
  <c r="AQ525" i="5" s="1"/>
  <c r="Q524" i="5"/>
  <c r="AQ524" i="5" s="1"/>
  <c r="Q523" i="5"/>
  <c r="AQ523" i="5" s="1"/>
  <c r="Q522" i="5"/>
  <c r="AQ522" i="5" s="1"/>
  <c r="Q521" i="5"/>
  <c r="AQ521" i="5" s="1"/>
  <c r="Q520" i="5"/>
  <c r="AQ520" i="5" s="1"/>
  <c r="Q519" i="5"/>
  <c r="AQ519" i="5" s="1"/>
  <c r="Q518" i="5"/>
  <c r="AQ518" i="5" s="1"/>
  <c r="Q517" i="5"/>
  <c r="AQ517" i="5" s="1"/>
  <c r="Q516" i="5"/>
  <c r="AQ516" i="5" s="1"/>
  <c r="Q515" i="5"/>
  <c r="AQ515" i="5" s="1"/>
  <c r="Q514" i="5"/>
  <c r="AQ514" i="5" s="1"/>
  <c r="Q513" i="5"/>
  <c r="AQ513" i="5" s="1"/>
  <c r="Q512" i="5"/>
  <c r="AQ512" i="5" s="1"/>
  <c r="Q511" i="5"/>
  <c r="AQ511" i="5" s="1"/>
  <c r="Q510" i="5"/>
  <c r="AQ510" i="5" s="1"/>
  <c r="Q509" i="5"/>
  <c r="AQ509" i="5" s="1"/>
  <c r="Q508" i="5"/>
  <c r="AQ508" i="5" s="1"/>
  <c r="Q507" i="5"/>
  <c r="AQ507" i="5" s="1"/>
  <c r="Q506" i="5"/>
  <c r="AQ506" i="5" s="1"/>
  <c r="Q505" i="5"/>
  <c r="AQ505" i="5" s="1"/>
  <c r="Q504" i="5"/>
  <c r="AQ504" i="5" s="1"/>
  <c r="Q503" i="5"/>
  <c r="AQ503" i="5" s="1"/>
  <c r="Q502" i="5"/>
  <c r="AQ502" i="5" s="1"/>
  <c r="Q501" i="5"/>
  <c r="AQ501" i="5" s="1"/>
  <c r="Q500" i="5"/>
  <c r="AQ500" i="5" s="1"/>
  <c r="Q499" i="5"/>
  <c r="AQ499" i="5" s="1"/>
  <c r="Q498" i="5"/>
  <c r="AQ498" i="5" s="1"/>
  <c r="Q497" i="5"/>
  <c r="AQ497" i="5" s="1"/>
  <c r="Q496" i="5"/>
  <c r="AQ496" i="5" s="1"/>
  <c r="Q495" i="5"/>
  <c r="AQ495" i="5" s="1"/>
  <c r="Q494" i="5"/>
  <c r="AQ494" i="5" s="1"/>
  <c r="Q493" i="5"/>
  <c r="AQ493" i="5" s="1"/>
  <c r="Q492" i="5"/>
  <c r="AQ492" i="5" s="1"/>
  <c r="Q491" i="5"/>
  <c r="AQ491" i="5" s="1"/>
  <c r="Q490" i="5"/>
  <c r="AQ490" i="5" s="1"/>
  <c r="Q489" i="5"/>
  <c r="AQ489" i="5" s="1"/>
  <c r="Q488" i="5"/>
  <c r="AQ488" i="5" s="1"/>
  <c r="Q487" i="5"/>
  <c r="AQ487" i="5" s="1"/>
  <c r="Q486" i="5"/>
  <c r="AQ486" i="5" s="1"/>
  <c r="Q485" i="5"/>
  <c r="AQ485" i="5" s="1"/>
  <c r="Q484" i="5"/>
  <c r="AQ484" i="5" s="1"/>
  <c r="Q483" i="5"/>
  <c r="AQ483" i="5" s="1"/>
  <c r="Q482" i="5"/>
  <c r="AQ482" i="5" s="1"/>
  <c r="Q481" i="5"/>
  <c r="AQ481" i="5" s="1"/>
  <c r="Q480" i="5"/>
  <c r="AQ480" i="5" s="1"/>
  <c r="Q479" i="5"/>
  <c r="AQ479" i="5" s="1"/>
  <c r="Q478" i="5"/>
  <c r="AQ478" i="5" s="1"/>
  <c r="Q477" i="5"/>
  <c r="AQ477" i="5" s="1"/>
  <c r="Q476" i="5"/>
  <c r="AQ476" i="5" s="1"/>
  <c r="Q475" i="5"/>
  <c r="AQ475" i="5" s="1"/>
  <c r="Q474" i="5"/>
  <c r="AQ474" i="5" s="1"/>
  <c r="Q473" i="5"/>
  <c r="AQ473" i="5" s="1"/>
  <c r="Q472" i="5"/>
  <c r="AQ472" i="5" s="1"/>
  <c r="Q471" i="5"/>
  <c r="AQ471" i="5" s="1"/>
  <c r="Q470" i="5"/>
  <c r="AQ470" i="5" s="1"/>
  <c r="Q469" i="5"/>
  <c r="AQ469" i="5" s="1"/>
  <c r="Q468" i="5"/>
  <c r="AQ468" i="5" s="1"/>
  <c r="Q467" i="5"/>
  <c r="AQ467" i="5" s="1"/>
  <c r="Q466" i="5"/>
  <c r="AQ466" i="5" s="1"/>
  <c r="Q465" i="5"/>
  <c r="AQ465" i="5" s="1"/>
  <c r="Q464" i="5"/>
  <c r="AQ464" i="5" s="1"/>
  <c r="Q463" i="5"/>
  <c r="AQ463" i="5" s="1"/>
  <c r="Q462" i="5"/>
  <c r="AQ462" i="5" s="1"/>
  <c r="Q461" i="5"/>
  <c r="AQ461" i="5" s="1"/>
  <c r="Q460" i="5"/>
  <c r="AQ460" i="5" s="1"/>
  <c r="Q459" i="5"/>
  <c r="AQ459" i="5" s="1"/>
  <c r="Q458" i="5"/>
  <c r="AQ458" i="5" s="1"/>
  <c r="Q457" i="5"/>
  <c r="AQ457" i="5" s="1"/>
  <c r="Q456" i="5"/>
  <c r="AQ456" i="5" s="1"/>
  <c r="Q455" i="5"/>
  <c r="AQ455" i="5" s="1"/>
  <c r="Q454" i="5"/>
  <c r="AQ454" i="5" s="1"/>
  <c r="Q453" i="5"/>
  <c r="AQ453" i="5" s="1"/>
  <c r="Q452" i="5"/>
  <c r="AQ452" i="5" s="1"/>
  <c r="Q451" i="5"/>
  <c r="AQ451" i="5" s="1"/>
  <c r="Q450" i="5"/>
  <c r="AQ450" i="5" s="1"/>
  <c r="Q449" i="5"/>
  <c r="AQ449" i="5" s="1"/>
  <c r="Q448" i="5"/>
  <c r="AQ448" i="5" s="1"/>
  <c r="Q447" i="5"/>
  <c r="AQ447" i="5" s="1"/>
  <c r="Q446" i="5"/>
  <c r="AQ446" i="5" s="1"/>
  <c r="Q445" i="5"/>
  <c r="AQ445" i="5" s="1"/>
  <c r="Q444" i="5"/>
  <c r="AQ444" i="5" s="1"/>
  <c r="Q443" i="5"/>
  <c r="AQ443" i="5" s="1"/>
  <c r="Q442" i="5"/>
  <c r="AQ442" i="5" s="1"/>
  <c r="Q441" i="5"/>
  <c r="AQ441" i="5" s="1"/>
  <c r="Q440" i="5"/>
  <c r="AQ440" i="5" s="1"/>
  <c r="Q439" i="5"/>
  <c r="AQ439" i="5" s="1"/>
  <c r="Q438" i="5"/>
  <c r="AQ438" i="5" s="1"/>
  <c r="Q437" i="5"/>
  <c r="AQ437" i="5" s="1"/>
  <c r="Q436" i="5"/>
  <c r="AQ436" i="5" s="1"/>
  <c r="Q435" i="5"/>
  <c r="AQ435" i="5" s="1"/>
  <c r="Q434" i="5"/>
  <c r="AQ434" i="5" s="1"/>
  <c r="Q433" i="5"/>
  <c r="AQ433" i="5" s="1"/>
  <c r="Q432" i="5"/>
  <c r="AQ432" i="5" s="1"/>
  <c r="Q431" i="5"/>
  <c r="AQ431" i="5" s="1"/>
  <c r="Q430" i="5"/>
  <c r="AQ430" i="5" s="1"/>
  <c r="Q429" i="5"/>
  <c r="AQ429" i="5" s="1"/>
  <c r="Q428" i="5"/>
  <c r="AQ428" i="5" s="1"/>
  <c r="Q427" i="5"/>
  <c r="AQ427" i="5" s="1"/>
  <c r="Q426" i="5"/>
  <c r="AQ426" i="5" s="1"/>
  <c r="Q425" i="5"/>
  <c r="AQ425" i="5" s="1"/>
  <c r="Q424" i="5"/>
  <c r="AQ424" i="5" s="1"/>
  <c r="Q423" i="5"/>
  <c r="AQ423" i="5" s="1"/>
  <c r="Q422" i="5"/>
  <c r="AQ422" i="5" s="1"/>
  <c r="Q421" i="5"/>
  <c r="AQ421" i="5" s="1"/>
  <c r="Q420" i="5"/>
  <c r="AQ420" i="5" s="1"/>
  <c r="Q419" i="5"/>
  <c r="AQ419" i="5" s="1"/>
  <c r="Q418" i="5"/>
  <c r="AQ418" i="5" s="1"/>
  <c r="Q417" i="5"/>
  <c r="AQ417" i="5" s="1"/>
  <c r="Q416" i="5"/>
  <c r="AQ416" i="5" s="1"/>
  <c r="Q415" i="5"/>
  <c r="AQ415" i="5" s="1"/>
  <c r="Q414" i="5"/>
  <c r="AQ414" i="5" s="1"/>
  <c r="Q413" i="5"/>
  <c r="AQ413" i="5" s="1"/>
  <c r="Q412" i="5"/>
  <c r="AQ412" i="5" s="1"/>
  <c r="Q411" i="5"/>
  <c r="AQ411" i="5" s="1"/>
  <c r="Q410" i="5"/>
  <c r="AQ410" i="5" s="1"/>
  <c r="Q409" i="5"/>
  <c r="AQ409" i="5" s="1"/>
  <c r="Q408" i="5"/>
  <c r="AQ408" i="5" s="1"/>
  <c r="Q407" i="5"/>
  <c r="AQ407" i="5" s="1"/>
  <c r="Q406" i="5"/>
  <c r="AQ406" i="5" s="1"/>
  <c r="Q405" i="5"/>
  <c r="AQ405" i="5" s="1"/>
  <c r="Q404" i="5"/>
  <c r="AQ404" i="5" s="1"/>
  <c r="Q403" i="5"/>
  <c r="AQ403" i="5" s="1"/>
  <c r="Q402" i="5"/>
  <c r="AQ402" i="5" s="1"/>
  <c r="Q401" i="5"/>
  <c r="AQ401" i="5" s="1"/>
  <c r="Q400" i="5"/>
  <c r="AQ400" i="5" s="1"/>
  <c r="Q399" i="5"/>
  <c r="AQ399" i="5" s="1"/>
  <c r="Q398" i="5"/>
  <c r="AQ398" i="5" s="1"/>
  <c r="Q397" i="5"/>
  <c r="AQ397" i="5" s="1"/>
  <c r="Q396" i="5"/>
  <c r="AQ396" i="5" s="1"/>
  <c r="Q395" i="5"/>
  <c r="AQ395" i="5" s="1"/>
  <c r="Q394" i="5"/>
  <c r="AQ394" i="5" s="1"/>
  <c r="Q393" i="5"/>
  <c r="AQ393" i="5" s="1"/>
  <c r="Q392" i="5"/>
  <c r="AQ392" i="5" s="1"/>
  <c r="Q391" i="5"/>
  <c r="AQ391" i="5" s="1"/>
  <c r="Q390" i="5"/>
  <c r="AQ390" i="5" s="1"/>
  <c r="Q389" i="5"/>
  <c r="AQ389" i="5" s="1"/>
  <c r="Q388" i="5"/>
  <c r="AQ388" i="5" s="1"/>
  <c r="Q387" i="5"/>
  <c r="AQ387" i="5" s="1"/>
  <c r="Q386" i="5"/>
  <c r="AQ386" i="5" s="1"/>
  <c r="Q385" i="5"/>
  <c r="AQ385" i="5" s="1"/>
  <c r="Q384" i="5"/>
  <c r="AQ384" i="5" s="1"/>
  <c r="Q383" i="5"/>
  <c r="AQ383" i="5" s="1"/>
  <c r="Q382" i="5"/>
  <c r="AQ382" i="5" s="1"/>
  <c r="Q381" i="5"/>
  <c r="AQ381" i="5" s="1"/>
  <c r="Q380" i="5"/>
  <c r="AQ380" i="5" s="1"/>
  <c r="Q379" i="5"/>
  <c r="AQ379" i="5" s="1"/>
  <c r="Q378" i="5"/>
  <c r="AQ378" i="5" s="1"/>
  <c r="Q377" i="5"/>
  <c r="AQ377" i="5" s="1"/>
  <c r="Q376" i="5"/>
  <c r="AQ376" i="5" s="1"/>
  <c r="Q375" i="5"/>
  <c r="AQ375" i="5" s="1"/>
  <c r="Q374" i="5"/>
  <c r="AQ374" i="5" s="1"/>
  <c r="Q373" i="5"/>
  <c r="AQ373" i="5" s="1"/>
  <c r="Q372" i="5"/>
  <c r="AQ372" i="5" s="1"/>
  <c r="Q371" i="5"/>
  <c r="AQ371" i="5" s="1"/>
  <c r="Q370" i="5"/>
  <c r="AQ370" i="5" s="1"/>
  <c r="Q369" i="5"/>
  <c r="AQ369" i="5" s="1"/>
  <c r="Q368" i="5"/>
  <c r="AQ368" i="5" s="1"/>
  <c r="Q367" i="5"/>
  <c r="AQ367" i="5" s="1"/>
  <c r="Q366" i="5"/>
  <c r="AQ366" i="5" s="1"/>
  <c r="Q365" i="5"/>
  <c r="AQ365" i="5" s="1"/>
  <c r="Q364" i="5"/>
  <c r="AQ364" i="5" s="1"/>
  <c r="Q363" i="5"/>
  <c r="AQ363" i="5" s="1"/>
  <c r="Q362" i="5"/>
  <c r="AQ362" i="5" s="1"/>
  <c r="Q361" i="5"/>
  <c r="AQ361" i="5" s="1"/>
  <c r="Q360" i="5"/>
  <c r="AQ360" i="5" s="1"/>
  <c r="Q359" i="5"/>
  <c r="AQ359" i="5" s="1"/>
  <c r="Q358" i="5"/>
  <c r="AQ358" i="5" s="1"/>
  <c r="Q357" i="5"/>
  <c r="AQ357" i="5" s="1"/>
  <c r="Q356" i="5"/>
  <c r="AQ356" i="5" s="1"/>
  <c r="Q355" i="5"/>
  <c r="AQ355" i="5" s="1"/>
  <c r="Q354" i="5"/>
  <c r="AQ354" i="5" s="1"/>
  <c r="Q353" i="5"/>
  <c r="AQ353" i="5" s="1"/>
  <c r="Q352" i="5"/>
  <c r="AQ352" i="5" s="1"/>
  <c r="Q351" i="5"/>
  <c r="AQ351" i="5" s="1"/>
  <c r="Q350" i="5"/>
  <c r="AQ350" i="5" s="1"/>
  <c r="Q349" i="5"/>
  <c r="AQ349" i="5" s="1"/>
  <c r="Q348" i="5"/>
  <c r="AQ348" i="5" s="1"/>
  <c r="Q347" i="5"/>
  <c r="AQ347" i="5" s="1"/>
  <c r="Q346" i="5"/>
  <c r="AQ346" i="5" s="1"/>
  <c r="Q345" i="5"/>
  <c r="AQ345" i="5" s="1"/>
  <c r="Q344" i="5"/>
  <c r="AQ344" i="5" s="1"/>
  <c r="Q343" i="5"/>
  <c r="AQ343" i="5" s="1"/>
  <c r="Q342" i="5"/>
  <c r="AQ342" i="5" s="1"/>
  <c r="Q341" i="5"/>
  <c r="AQ341" i="5" s="1"/>
  <c r="Q340" i="5"/>
  <c r="AQ340" i="5" s="1"/>
  <c r="Q339" i="5"/>
  <c r="AQ339" i="5" s="1"/>
  <c r="Q338" i="5"/>
  <c r="AQ338" i="5" s="1"/>
  <c r="Q337" i="5"/>
  <c r="AQ337" i="5" s="1"/>
  <c r="Q336" i="5"/>
  <c r="AQ336" i="5" s="1"/>
  <c r="Q335" i="5"/>
  <c r="AQ335" i="5" s="1"/>
  <c r="Q334" i="5"/>
  <c r="AQ334" i="5" s="1"/>
  <c r="Q333" i="5"/>
  <c r="AQ333" i="5" s="1"/>
  <c r="Q332" i="5"/>
  <c r="AQ332" i="5" s="1"/>
  <c r="Q331" i="5"/>
  <c r="AQ331" i="5" s="1"/>
  <c r="Q330" i="5"/>
  <c r="AQ330" i="5" s="1"/>
  <c r="Q329" i="5"/>
  <c r="AQ329" i="5" s="1"/>
  <c r="Q328" i="5"/>
  <c r="AQ328" i="5" s="1"/>
  <c r="Q327" i="5"/>
  <c r="AQ327" i="5" s="1"/>
  <c r="Q326" i="5"/>
  <c r="AQ326" i="5" s="1"/>
  <c r="Q325" i="5"/>
  <c r="AQ325" i="5" s="1"/>
  <c r="Q324" i="5"/>
  <c r="AQ324" i="5" s="1"/>
  <c r="Q323" i="5"/>
  <c r="AQ323" i="5" s="1"/>
  <c r="Q322" i="5"/>
  <c r="AQ322" i="5" s="1"/>
  <c r="Q321" i="5"/>
  <c r="AQ321" i="5" s="1"/>
  <c r="Q320" i="5"/>
  <c r="AQ320" i="5" s="1"/>
  <c r="Q319" i="5"/>
  <c r="AQ319" i="5" s="1"/>
  <c r="Q318" i="5"/>
  <c r="AQ318" i="5" s="1"/>
  <c r="Q317" i="5"/>
  <c r="AQ317" i="5" s="1"/>
  <c r="Q316" i="5"/>
  <c r="AQ316" i="5" s="1"/>
  <c r="Q315" i="5"/>
  <c r="AQ315" i="5" s="1"/>
  <c r="Q314" i="5"/>
  <c r="AQ314" i="5" s="1"/>
  <c r="Q313" i="5"/>
  <c r="AQ313" i="5" s="1"/>
  <c r="Q312" i="5"/>
  <c r="AQ312" i="5" s="1"/>
  <c r="Q311" i="5"/>
  <c r="AQ311" i="5" s="1"/>
  <c r="Q310" i="5"/>
  <c r="AQ310" i="5" s="1"/>
  <c r="Q309" i="5"/>
  <c r="AQ309" i="5" s="1"/>
  <c r="Q308" i="5"/>
  <c r="AQ308" i="5" s="1"/>
  <c r="Q307" i="5"/>
  <c r="AQ307" i="5" s="1"/>
  <c r="Q306" i="5"/>
  <c r="AQ306" i="5" s="1"/>
  <c r="Q305" i="5"/>
  <c r="AQ305" i="5" s="1"/>
  <c r="Q304" i="5"/>
  <c r="AQ304" i="5" s="1"/>
  <c r="Q303" i="5"/>
  <c r="AQ303" i="5" s="1"/>
  <c r="Q302" i="5"/>
  <c r="AQ302" i="5" s="1"/>
  <c r="Q301" i="5"/>
  <c r="AQ301" i="5" s="1"/>
  <c r="Q300" i="5"/>
  <c r="AQ300" i="5" s="1"/>
  <c r="Q299" i="5"/>
  <c r="AQ299" i="5" s="1"/>
  <c r="Q298" i="5"/>
  <c r="AQ298" i="5" s="1"/>
  <c r="Q297" i="5"/>
  <c r="AQ297" i="5" s="1"/>
  <c r="Q296" i="5"/>
  <c r="AQ296" i="5" s="1"/>
  <c r="Q295" i="5"/>
  <c r="AQ295" i="5" s="1"/>
  <c r="Q294" i="5"/>
  <c r="AQ294" i="5" s="1"/>
  <c r="Q293" i="5"/>
  <c r="AQ293" i="5" s="1"/>
  <c r="Q292" i="5"/>
  <c r="AQ292" i="5" s="1"/>
  <c r="Q291" i="5"/>
  <c r="AQ291" i="5" s="1"/>
  <c r="Q290" i="5"/>
  <c r="AQ290" i="5" s="1"/>
  <c r="Q289" i="5"/>
  <c r="AQ289" i="5" s="1"/>
  <c r="Q288" i="5"/>
  <c r="AQ288" i="5" s="1"/>
  <c r="Q287" i="5"/>
  <c r="AQ287" i="5" s="1"/>
  <c r="Q286" i="5"/>
  <c r="AQ286" i="5" s="1"/>
  <c r="Q285" i="5"/>
  <c r="AQ285" i="5" s="1"/>
  <c r="Q284" i="5"/>
  <c r="AQ284" i="5" s="1"/>
  <c r="Q283" i="5"/>
  <c r="AQ283" i="5" s="1"/>
  <c r="Q282" i="5"/>
  <c r="AQ282" i="5" s="1"/>
  <c r="Q281" i="5"/>
  <c r="AQ281" i="5" s="1"/>
  <c r="Q280" i="5"/>
  <c r="AQ280" i="5" s="1"/>
  <c r="Q279" i="5"/>
  <c r="AQ279" i="5" s="1"/>
  <c r="Q278" i="5"/>
  <c r="AQ278" i="5" s="1"/>
  <c r="Q277" i="5"/>
  <c r="AQ277" i="5" s="1"/>
  <c r="Q276" i="5"/>
  <c r="AQ276" i="5" s="1"/>
  <c r="Q275" i="5"/>
  <c r="AQ275" i="5" s="1"/>
  <c r="Q274" i="5"/>
  <c r="AQ274" i="5" s="1"/>
  <c r="Q273" i="5"/>
  <c r="AQ273" i="5" s="1"/>
  <c r="Q272" i="5"/>
  <c r="AQ272" i="5" s="1"/>
  <c r="Q271" i="5"/>
  <c r="AQ271" i="5" s="1"/>
  <c r="Q270" i="5"/>
  <c r="AQ270" i="5" s="1"/>
  <c r="Q269" i="5"/>
  <c r="AQ269" i="5" s="1"/>
  <c r="Q268" i="5"/>
  <c r="AQ268" i="5" s="1"/>
  <c r="Q267" i="5"/>
  <c r="AQ267" i="5" s="1"/>
  <c r="Q266" i="5"/>
  <c r="AQ266" i="5" s="1"/>
  <c r="Q265" i="5"/>
  <c r="AQ265" i="5" s="1"/>
  <c r="Q264" i="5"/>
  <c r="AQ264" i="5" s="1"/>
  <c r="Q263" i="5"/>
  <c r="AQ263" i="5" s="1"/>
  <c r="Q262" i="5"/>
  <c r="AQ262" i="5" s="1"/>
  <c r="Q261" i="5"/>
  <c r="AQ261" i="5" s="1"/>
  <c r="Q260" i="5"/>
  <c r="AQ260" i="5" s="1"/>
  <c r="Q259" i="5"/>
  <c r="AQ259" i="5" s="1"/>
  <c r="Q258" i="5"/>
  <c r="AQ258" i="5" s="1"/>
  <c r="Q257" i="5"/>
  <c r="AQ257" i="5" s="1"/>
  <c r="Q256" i="5"/>
  <c r="AQ256" i="5" s="1"/>
  <c r="Q255" i="5"/>
  <c r="AQ255" i="5" s="1"/>
  <c r="Q254" i="5"/>
  <c r="AQ254" i="5" s="1"/>
  <c r="Q253" i="5"/>
  <c r="AQ253" i="5" s="1"/>
  <c r="Q252" i="5"/>
  <c r="AQ252" i="5" s="1"/>
  <c r="Q251" i="5"/>
  <c r="AQ251" i="5" s="1"/>
  <c r="Q250" i="5"/>
  <c r="AQ250" i="5" s="1"/>
  <c r="Q249" i="5"/>
  <c r="AQ249" i="5" s="1"/>
  <c r="Q248" i="5"/>
  <c r="AQ248" i="5" s="1"/>
  <c r="Q247" i="5"/>
  <c r="AQ247" i="5" s="1"/>
  <c r="Q246" i="5"/>
  <c r="AQ246" i="5" s="1"/>
  <c r="Q245" i="5"/>
  <c r="AQ245" i="5" s="1"/>
  <c r="Q244" i="5"/>
  <c r="AQ244" i="5" s="1"/>
  <c r="Q243" i="5"/>
  <c r="AQ243" i="5" s="1"/>
  <c r="Q242" i="5"/>
  <c r="AQ242" i="5" s="1"/>
  <c r="Q241" i="5"/>
  <c r="AQ241" i="5" s="1"/>
  <c r="Q240" i="5"/>
  <c r="AQ240" i="5" s="1"/>
  <c r="Q239" i="5"/>
  <c r="AQ239" i="5" s="1"/>
  <c r="Q238" i="5"/>
  <c r="AQ238" i="5" s="1"/>
  <c r="Q237" i="5"/>
  <c r="AQ237" i="5" s="1"/>
  <c r="Q236" i="5"/>
  <c r="AQ236" i="5" s="1"/>
  <c r="Q235" i="5"/>
  <c r="AQ235" i="5" s="1"/>
  <c r="Q234" i="5"/>
  <c r="AQ234" i="5" s="1"/>
  <c r="Q233" i="5"/>
  <c r="AQ233" i="5" s="1"/>
  <c r="Q232" i="5"/>
  <c r="AQ232" i="5" s="1"/>
  <c r="Q231" i="5"/>
  <c r="AQ231" i="5" s="1"/>
  <c r="Q230" i="5"/>
  <c r="AQ230" i="5" s="1"/>
  <c r="Q229" i="5"/>
  <c r="AQ229" i="5" s="1"/>
  <c r="Q228" i="5"/>
  <c r="AQ228" i="5" s="1"/>
  <c r="Q227" i="5"/>
  <c r="AQ227" i="5" s="1"/>
  <c r="Q226" i="5"/>
  <c r="AQ226" i="5" s="1"/>
  <c r="Q225" i="5"/>
  <c r="AQ225" i="5" s="1"/>
  <c r="Q224" i="5"/>
  <c r="AQ224" i="5" s="1"/>
  <c r="Q223" i="5"/>
  <c r="AQ223" i="5" s="1"/>
  <c r="Q222" i="5"/>
  <c r="AQ222" i="5" s="1"/>
  <c r="Q221" i="5"/>
  <c r="AQ221" i="5" s="1"/>
  <c r="Q220" i="5"/>
  <c r="AQ220" i="5" s="1"/>
  <c r="Q219" i="5"/>
  <c r="AQ219" i="5" s="1"/>
  <c r="Q218" i="5"/>
  <c r="AQ218" i="5" s="1"/>
  <c r="Q217" i="5"/>
  <c r="AQ217" i="5" s="1"/>
  <c r="Q216" i="5"/>
  <c r="AQ216" i="5" s="1"/>
  <c r="Q215" i="5"/>
  <c r="AQ215" i="5" s="1"/>
  <c r="Q214" i="5"/>
  <c r="AQ214" i="5" s="1"/>
  <c r="Q213" i="5"/>
  <c r="AQ213" i="5" s="1"/>
  <c r="Q212" i="5"/>
  <c r="AQ212" i="5" s="1"/>
  <c r="Q211" i="5"/>
  <c r="AQ211" i="5" s="1"/>
  <c r="Q210" i="5"/>
  <c r="AQ210" i="5" s="1"/>
  <c r="Q209" i="5"/>
  <c r="AQ209" i="5" s="1"/>
  <c r="Q208" i="5"/>
  <c r="AQ208" i="5" s="1"/>
  <c r="Q207" i="5"/>
  <c r="AQ207" i="5" s="1"/>
  <c r="Q206" i="5"/>
  <c r="AQ206" i="5" s="1"/>
  <c r="Q205" i="5"/>
  <c r="AQ205" i="5" s="1"/>
  <c r="Q204" i="5"/>
  <c r="AQ204" i="5" s="1"/>
  <c r="Q203" i="5"/>
  <c r="AQ203" i="5" s="1"/>
  <c r="Q202" i="5"/>
  <c r="AQ202" i="5" s="1"/>
  <c r="Q201" i="5"/>
  <c r="AQ201" i="5" s="1"/>
  <c r="Q200" i="5"/>
  <c r="AQ200" i="5" s="1"/>
  <c r="Q199" i="5"/>
  <c r="AQ199" i="5" s="1"/>
  <c r="Q198" i="5"/>
  <c r="AQ198" i="5" s="1"/>
  <c r="Q197" i="5"/>
  <c r="AQ197" i="5" s="1"/>
  <c r="Q196" i="5"/>
  <c r="AQ196" i="5" s="1"/>
  <c r="Q195" i="5"/>
  <c r="AQ195" i="5" s="1"/>
  <c r="Q194" i="5"/>
  <c r="AQ194" i="5" s="1"/>
  <c r="Q193" i="5"/>
  <c r="AQ193" i="5" s="1"/>
  <c r="Q192" i="5"/>
  <c r="AQ192" i="5" s="1"/>
  <c r="Q191" i="5"/>
  <c r="AQ191" i="5" s="1"/>
  <c r="Q190" i="5"/>
  <c r="AQ190" i="5" s="1"/>
  <c r="Q189" i="5"/>
  <c r="AQ189" i="5" s="1"/>
  <c r="Q188" i="5"/>
  <c r="AQ188" i="5" s="1"/>
  <c r="Q187" i="5"/>
  <c r="AQ187" i="5" s="1"/>
  <c r="Q186" i="5"/>
  <c r="AQ186" i="5" s="1"/>
  <c r="Q185" i="5"/>
  <c r="AQ185" i="5" s="1"/>
  <c r="Q184" i="5"/>
  <c r="AQ184" i="5" s="1"/>
  <c r="Q183" i="5"/>
  <c r="AQ183" i="5" s="1"/>
  <c r="Q182" i="5"/>
  <c r="AQ182" i="5" s="1"/>
  <c r="Q181" i="5"/>
  <c r="AQ181" i="5" s="1"/>
  <c r="Q180" i="5"/>
  <c r="AQ180" i="5" s="1"/>
  <c r="Q179" i="5"/>
  <c r="AQ179" i="5" s="1"/>
  <c r="Q178" i="5"/>
  <c r="AQ178" i="5" s="1"/>
  <c r="Q177" i="5"/>
  <c r="AQ177" i="5" s="1"/>
  <c r="Q176" i="5"/>
  <c r="AQ176" i="5" s="1"/>
  <c r="Q175" i="5"/>
  <c r="AQ175" i="5" s="1"/>
  <c r="Q174" i="5"/>
  <c r="AQ174" i="5" s="1"/>
  <c r="Q173" i="5"/>
  <c r="AQ173" i="5" s="1"/>
  <c r="Q172" i="5"/>
  <c r="AQ172" i="5" s="1"/>
  <c r="Q171" i="5"/>
  <c r="AQ171" i="5" s="1"/>
  <c r="Q170" i="5"/>
  <c r="AQ170" i="5" s="1"/>
  <c r="Q169" i="5"/>
  <c r="AQ169" i="5" s="1"/>
  <c r="Q168" i="5"/>
  <c r="AQ168" i="5" s="1"/>
  <c r="Q167" i="5"/>
  <c r="AQ167" i="5" s="1"/>
  <c r="Q166" i="5"/>
  <c r="AQ166" i="5" s="1"/>
  <c r="Q165" i="5"/>
  <c r="AQ165" i="5" s="1"/>
  <c r="Q164" i="5"/>
  <c r="AQ164" i="5" s="1"/>
  <c r="Q163" i="5"/>
  <c r="AQ163" i="5" s="1"/>
  <c r="Q162" i="5"/>
  <c r="AQ162" i="5" s="1"/>
  <c r="Q161" i="5"/>
  <c r="AQ161" i="5" s="1"/>
  <c r="Q160" i="5"/>
  <c r="AQ160" i="5" s="1"/>
  <c r="Q159" i="5"/>
  <c r="AQ159" i="5" s="1"/>
  <c r="Q158" i="5"/>
  <c r="AQ158" i="5" s="1"/>
  <c r="Q157" i="5"/>
  <c r="AQ157" i="5" s="1"/>
  <c r="Q156" i="5"/>
  <c r="AQ156" i="5" s="1"/>
  <c r="Q155" i="5"/>
  <c r="AQ155" i="5" s="1"/>
  <c r="Q154" i="5"/>
  <c r="AQ154" i="5" s="1"/>
  <c r="Q153" i="5"/>
  <c r="AQ153" i="5" s="1"/>
  <c r="Q152" i="5"/>
  <c r="AQ152" i="5" s="1"/>
  <c r="Q151" i="5"/>
  <c r="AQ151" i="5" s="1"/>
  <c r="Q150" i="5"/>
  <c r="AQ150" i="5" s="1"/>
  <c r="Q149" i="5"/>
  <c r="AQ149" i="5" s="1"/>
  <c r="Q148" i="5"/>
  <c r="AQ148" i="5" s="1"/>
  <c r="Q147" i="5"/>
  <c r="AQ147" i="5" s="1"/>
  <c r="Q146" i="5"/>
  <c r="AQ146" i="5" s="1"/>
  <c r="Q145" i="5"/>
  <c r="AQ145" i="5" s="1"/>
  <c r="Q144" i="5"/>
  <c r="AQ144" i="5" s="1"/>
  <c r="Q143" i="5"/>
  <c r="AQ143" i="5" s="1"/>
  <c r="Q142" i="5"/>
  <c r="AQ142" i="5" s="1"/>
  <c r="Q141" i="5"/>
  <c r="AQ141" i="5" s="1"/>
  <c r="Q140" i="5"/>
  <c r="AQ140" i="5" s="1"/>
  <c r="Q139" i="5"/>
  <c r="AQ139" i="5" s="1"/>
  <c r="Q138" i="5"/>
  <c r="AQ138" i="5" s="1"/>
  <c r="Q137" i="5"/>
  <c r="AQ137" i="5" s="1"/>
  <c r="Q136" i="5"/>
  <c r="AQ136" i="5" s="1"/>
  <c r="Q135" i="5"/>
  <c r="AQ135" i="5" s="1"/>
  <c r="Q134" i="5"/>
  <c r="AQ134" i="5" s="1"/>
  <c r="Q133" i="5"/>
  <c r="AQ133" i="5" s="1"/>
  <c r="Q132" i="5"/>
  <c r="AQ132" i="5" s="1"/>
  <c r="Q131" i="5"/>
  <c r="AQ131" i="5" s="1"/>
  <c r="Q130" i="5"/>
  <c r="AQ130" i="5" s="1"/>
  <c r="Q129" i="5"/>
  <c r="AQ129" i="5" s="1"/>
  <c r="Q128" i="5"/>
  <c r="AQ128" i="5" s="1"/>
  <c r="Q127" i="5"/>
  <c r="AQ127" i="5" s="1"/>
  <c r="Q126" i="5"/>
  <c r="AQ126" i="5" s="1"/>
  <c r="Q125" i="5"/>
  <c r="AQ125" i="5" s="1"/>
  <c r="Q124" i="5"/>
  <c r="AQ124" i="5" s="1"/>
  <c r="Q123" i="5"/>
  <c r="AQ123" i="5" s="1"/>
  <c r="Q122" i="5"/>
  <c r="AQ122" i="5" s="1"/>
  <c r="Q121" i="5"/>
  <c r="AQ121" i="5" s="1"/>
  <c r="Q120" i="5"/>
  <c r="AQ120" i="5" s="1"/>
  <c r="Q119" i="5"/>
  <c r="AQ119" i="5" s="1"/>
  <c r="Q118" i="5"/>
  <c r="AQ118" i="5" s="1"/>
  <c r="Q117" i="5"/>
  <c r="AQ117" i="5" s="1"/>
  <c r="Q116" i="5"/>
  <c r="AQ116" i="5" s="1"/>
  <c r="Q115" i="5"/>
  <c r="AQ115" i="5" s="1"/>
  <c r="Q114" i="5"/>
  <c r="AQ114" i="5" s="1"/>
  <c r="Q113" i="5"/>
  <c r="AQ113" i="5" s="1"/>
  <c r="Q112" i="5"/>
  <c r="AQ112" i="5" s="1"/>
  <c r="Q111" i="5"/>
  <c r="AQ111" i="5" s="1"/>
  <c r="Q110" i="5"/>
  <c r="AQ110" i="5" s="1"/>
  <c r="Q109" i="5"/>
  <c r="AQ109" i="5" s="1"/>
  <c r="Q108" i="5"/>
  <c r="AQ108" i="5" s="1"/>
  <c r="Q107" i="5"/>
  <c r="AQ107" i="5" s="1"/>
  <c r="Q106" i="5"/>
  <c r="AQ106" i="5" s="1"/>
  <c r="Q105" i="5"/>
  <c r="AQ105" i="5" s="1"/>
  <c r="Q104" i="5"/>
  <c r="AQ104" i="5" s="1"/>
  <c r="Q103" i="5"/>
  <c r="AQ103" i="5" s="1"/>
  <c r="Q102" i="5"/>
  <c r="AQ102" i="5" s="1"/>
  <c r="Q101" i="5"/>
  <c r="AQ101" i="5" s="1"/>
  <c r="Q100" i="5"/>
  <c r="AQ100" i="5" s="1"/>
  <c r="Q99" i="5"/>
  <c r="AQ99" i="5" s="1"/>
  <c r="Q98" i="5"/>
  <c r="AQ98" i="5" s="1"/>
  <c r="Q97" i="5"/>
  <c r="AQ97" i="5" s="1"/>
  <c r="Q96" i="5"/>
  <c r="AQ96" i="5" s="1"/>
  <c r="Q95" i="5"/>
  <c r="AQ95" i="5" s="1"/>
  <c r="Q94" i="5"/>
  <c r="AQ94" i="5" s="1"/>
  <c r="Q93" i="5"/>
  <c r="AQ93" i="5" s="1"/>
  <c r="Q92" i="5"/>
  <c r="AQ92" i="5" s="1"/>
  <c r="Q91" i="5"/>
  <c r="AQ91" i="5" s="1"/>
  <c r="Q90" i="5"/>
  <c r="AQ90" i="5" s="1"/>
  <c r="Q89" i="5"/>
  <c r="AQ89" i="5" s="1"/>
  <c r="Q88" i="5"/>
  <c r="AQ88" i="5" s="1"/>
  <c r="Q87" i="5"/>
  <c r="AQ87" i="5" s="1"/>
  <c r="Q86" i="5"/>
  <c r="AQ86" i="5" s="1"/>
  <c r="Q85" i="5"/>
  <c r="AQ85" i="5" s="1"/>
  <c r="Q84" i="5"/>
  <c r="AQ84" i="5" s="1"/>
  <c r="Q83" i="5"/>
  <c r="AQ83" i="5" s="1"/>
  <c r="Q82" i="5"/>
  <c r="AQ82" i="5" s="1"/>
  <c r="Q81" i="5"/>
  <c r="AQ81" i="5" s="1"/>
  <c r="Q80" i="5"/>
  <c r="AQ80" i="5" s="1"/>
  <c r="Q79" i="5"/>
  <c r="AQ79" i="5" s="1"/>
  <c r="Q78" i="5"/>
  <c r="AQ78" i="5" s="1"/>
  <c r="Q77" i="5"/>
  <c r="AQ77" i="5" s="1"/>
  <c r="Q76" i="5"/>
  <c r="AQ76" i="5" s="1"/>
  <c r="Q75" i="5"/>
  <c r="AQ75" i="5" s="1"/>
  <c r="Q74" i="5"/>
  <c r="AQ74" i="5" s="1"/>
  <c r="Q73" i="5"/>
  <c r="AQ73" i="5" s="1"/>
  <c r="Q72" i="5"/>
  <c r="AQ72" i="5" s="1"/>
  <c r="Q71" i="5"/>
  <c r="AQ71" i="5" s="1"/>
  <c r="Q70" i="5"/>
  <c r="AQ70" i="5" s="1"/>
  <c r="Q69" i="5"/>
  <c r="AQ69" i="5" s="1"/>
  <c r="Q68" i="5"/>
  <c r="AQ68" i="5" s="1"/>
  <c r="Q67" i="5"/>
  <c r="AQ67" i="5" s="1"/>
  <c r="Q66" i="5"/>
  <c r="AQ66" i="5" s="1"/>
  <c r="Q65" i="5"/>
  <c r="AQ65" i="5" s="1"/>
  <c r="Q64" i="5"/>
  <c r="AQ64" i="5" s="1"/>
  <c r="Q63" i="5"/>
  <c r="AQ63" i="5" s="1"/>
  <c r="Q62" i="5"/>
  <c r="AQ62" i="5" s="1"/>
  <c r="Q61" i="5"/>
  <c r="AQ61" i="5" s="1"/>
  <c r="Q60" i="5"/>
  <c r="AQ60" i="5" s="1"/>
  <c r="Q59" i="5"/>
  <c r="AQ59" i="5" s="1"/>
  <c r="Q58" i="5"/>
  <c r="AQ58" i="5" s="1"/>
  <c r="Q57" i="5"/>
  <c r="AQ57" i="5" s="1"/>
  <c r="Q56" i="5"/>
  <c r="AQ56" i="5" s="1"/>
  <c r="Q55" i="5"/>
  <c r="AQ55" i="5" s="1"/>
  <c r="Q54" i="5"/>
  <c r="AQ54" i="5" s="1"/>
  <c r="Q53" i="5"/>
  <c r="AQ53" i="5" s="1"/>
  <c r="Q52" i="5"/>
  <c r="AQ52" i="5" s="1"/>
  <c r="Q51" i="5"/>
  <c r="AQ51" i="5" s="1"/>
  <c r="Q50" i="5"/>
  <c r="AQ50" i="5" s="1"/>
  <c r="Q49" i="5"/>
  <c r="AQ49" i="5" s="1"/>
  <c r="Q48" i="5"/>
  <c r="AQ48" i="5" s="1"/>
  <c r="Q47" i="5"/>
  <c r="AQ47" i="5" s="1"/>
  <c r="Q46" i="5"/>
  <c r="AQ46" i="5" s="1"/>
  <c r="Q45" i="5"/>
  <c r="AQ45" i="5" s="1"/>
  <c r="Q44" i="5"/>
  <c r="AQ44" i="5" s="1"/>
  <c r="Q43" i="5"/>
  <c r="AQ43" i="5" s="1"/>
  <c r="Q42" i="5"/>
  <c r="AQ42" i="5" s="1"/>
  <c r="Q41" i="5"/>
  <c r="AQ41" i="5" s="1"/>
  <c r="Q40" i="5"/>
  <c r="AQ40" i="5" s="1"/>
  <c r="Q39" i="5"/>
  <c r="AQ39" i="5" s="1"/>
  <c r="Q38" i="5"/>
  <c r="AQ38" i="5" s="1"/>
  <c r="Q37" i="5"/>
  <c r="AQ37" i="5" s="1"/>
  <c r="Q36" i="5"/>
  <c r="AQ36" i="5" s="1"/>
  <c r="Q35" i="5"/>
  <c r="AQ35" i="5" s="1"/>
  <c r="Q34" i="5"/>
  <c r="AQ34" i="5" s="1"/>
  <c r="Q33" i="5"/>
  <c r="AQ33" i="5" s="1"/>
  <c r="Q32" i="5"/>
  <c r="AQ32" i="5" s="1"/>
  <c r="Q31" i="5"/>
  <c r="AQ31" i="5" s="1"/>
  <c r="Q30" i="5"/>
  <c r="AQ30" i="5" s="1"/>
  <c r="Q29" i="5"/>
  <c r="AQ29" i="5" s="1"/>
  <c r="Q28" i="5"/>
  <c r="AQ28" i="5" s="1"/>
  <c r="Q27" i="5"/>
  <c r="AQ27" i="5" s="1"/>
  <c r="Q26" i="5"/>
  <c r="AQ26" i="5" s="1"/>
  <c r="Q25" i="5"/>
  <c r="AQ25" i="5" s="1"/>
  <c r="Q24" i="5"/>
  <c r="AQ24" i="5" s="1"/>
  <c r="Q23" i="5"/>
  <c r="AQ23" i="5" s="1"/>
  <c r="Q22" i="5"/>
  <c r="AQ22" i="5" s="1"/>
  <c r="Q21" i="5"/>
  <c r="AQ21" i="5" s="1"/>
  <c r="Q20" i="5"/>
  <c r="AQ20" i="5" s="1"/>
  <c r="Q19" i="5"/>
  <c r="AQ19" i="5" s="1"/>
  <c r="Q18" i="5"/>
  <c r="AQ18" i="5" s="1"/>
  <c r="Q17" i="5"/>
  <c r="AQ17" i="5" s="1"/>
  <c r="Q16" i="5"/>
  <c r="AQ16" i="5" s="1"/>
  <c r="Q15" i="5"/>
  <c r="AQ15" i="5" s="1"/>
  <c r="Q14" i="5"/>
  <c r="AQ14" i="5" s="1"/>
  <c r="Q13" i="5"/>
  <c r="AQ13" i="5" s="1"/>
  <c r="Q12" i="5"/>
  <c r="AQ12" i="5" s="1"/>
  <c r="Q11" i="5"/>
  <c r="AQ11" i="5" s="1"/>
  <c r="Q10" i="5"/>
  <c r="AQ10" i="5" s="1"/>
  <c r="Q9" i="5"/>
  <c r="AQ9" i="5" s="1"/>
  <c r="Q8" i="5"/>
  <c r="AQ8" i="5" s="1"/>
  <c r="O646" i="5"/>
  <c r="O643" i="5"/>
  <c r="AP643" i="5" s="1"/>
  <c r="O642" i="5"/>
  <c r="AP642" i="5" s="1"/>
  <c r="O641" i="5"/>
  <c r="AP641" i="5" s="1"/>
  <c r="O640" i="5"/>
  <c r="AP640" i="5" s="1"/>
  <c r="O639" i="5"/>
  <c r="AP639" i="5" s="1"/>
  <c r="O638" i="5"/>
  <c r="AP638" i="5" s="1"/>
  <c r="O637" i="5"/>
  <c r="AP637" i="5" s="1"/>
  <c r="O636" i="5"/>
  <c r="AP636" i="5" s="1"/>
  <c r="O635" i="5"/>
  <c r="AP635" i="5" s="1"/>
  <c r="O634" i="5"/>
  <c r="AP634" i="5" s="1"/>
  <c r="O633" i="5"/>
  <c r="AP633" i="5" s="1"/>
  <c r="O632" i="5"/>
  <c r="AP632" i="5" s="1"/>
  <c r="O631" i="5"/>
  <c r="AP631" i="5" s="1"/>
  <c r="O630" i="5"/>
  <c r="AP630" i="5" s="1"/>
  <c r="O629" i="5"/>
  <c r="AP629" i="5" s="1"/>
  <c r="O628" i="5"/>
  <c r="AP628" i="5" s="1"/>
  <c r="O627" i="5"/>
  <c r="AP627" i="5" s="1"/>
  <c r="O626" i="5"/>
  <c r="AP626" i="5" s="1"/>
  <c r="O625" i="5"/>
  <c r="AP625" i="5" s="1"/>
  <c r="O624" i="5"/>
  <c r="AP624" i="5" s="1"/>
  <c r="O623" i="5"/>
  <c r="AP623" i="5" s="1"/>
  <c r="O622" i="5"/>
  <c r="AP622" i="5" s="1"/>
  <c r="O621" i="5"/>
  <c r="AP621" i="5" s="1"/>
  <c r="O620" i="5"/>
  <c r="AP620" i="5" s="1"/>
  <c r="O619" i="5"/>
  <c r="AP619" i="5" s="1"/>
  <c r="O618" i="5"/>
  <c r="AP618" i="5" s="1"/>
  <c r="O617" i="5"/>
  <c r="AP617" i="5" s="1"/>
  <c r="O616" i="5"/>
  <c r="AP616" i="5" s="1"/>
  <c r="O615" i="5"/>
  <c r="AP615" i="5" s="1"/>
  <c r="O614" i="5"/>
  <c r="AP614" i="5" s="1"/>
  <c r="O613" i="5"/>
  <c r="AP613" i="5" s="1"/>
  <c r="O612" i="5"/>
  <c r="AP612" i="5" s="1"/>
  <c r="O611" i="5"/>
  <c r="AP611" i="5" s="1"/>
  <c r="O610" i="5"/>
  <c r="AP610" i="5" s="1"/>
  <c r="O609" i="5"/>
  <c r="AP609" i="5" s="1"/>
  <c r="O608" i="5"/>
  <c r="AP608" i="5" s="1"/>
  <c r="O607" i="5"/>
  <c r="AP607" i="5" s="1"/>
  <c r="O606" i="5"/>
  <c r="AP606" i="5" s="1"/>
  <c r="O605" i="5"/>
  <c r="AP605" i="5" s="1"/>
  <c r="O604" i="5"/>
  <c r="AP604" i="5" s="1"/>
  <c r="O603" i="5"/>
  <c r="AP603" i="5" s="1"/>
  <c r="O602" i="5"/>
  <c r="AP602" i="5" s="1"/>
  <c r="O601" i="5"/>
  <c r="AP601" i="5" s="1"/>
  <c r="O600" i="5"/>
  <c r="AP600" i="5" s="1"/>
  <c r="O599" i="5"/>
  <c r="AP599" i="5" s="1"/>
  <c r="O598" i="5"/>
  <c r="AP598" i="5" s="1"/>
  <c r="O597" i="5"/>
  <c r="AP597" i="5" s="1"/>
  <c r="O596" i="5"/>
  <c r="AP596" i="5" s="1"/>
  <c r="O595" i="5"/>
  <c r="AP595" i="5" s="1"/>
  <c r="O594" i="5"/>
  <c r="AP594" i="5" s="1"/>
  <c r="O593" i="5"/>
  <c r="AP593" i="5" s="1"/>
  <c r="O592" i="5"/>
  <c r="AP592" i="5" s="1"/>
  <c r="O590" i="5"/>
  <c r="AP590" i="5" s="1"/>
  <c r="O589" i="5"/>
  <c r="O588" i="5"/>
  <c r="AP588" i="5" s="1"/>
  <c r="O587" i="5"/>
  <c r="AP587" i="5" s="1"/>
  <c r="O586" i="5"/>
  <c r="AP586" i="5" s="1"/>
  <c r="O585" i="5"/>
  <c r="AP585" i="5" s="1"/>
  <c r="O584" i="5"/>
  <c r="AP584" i="5" s="1"/>
  <c r="O583" i="5"/>
  <c r="AP583" i="5" s="1"/>
  <c r="O582" i="5"/>
  <c r="AP582" i="5" s="1"/>
  <c r="O581" i="5"/>
  <c r="AP581" i="5" s="1"/>
  <c r="O580" i="5"/>
  <c r="AP580" i="5" s="1"/>
  <c r="O579" i="5"/>
  <c r="AP579" i="5" s="1"/>
  <c r="O578" i="5"/>
  <c r="AP578" i="5" s="1"/>
  <c r="O577" i="5"/>
  <c r="AP577" i="5" s="1"/>
  <c r="O576" i="5"/>
  <c r="AP576" i="5" s="1"/>
  <c r="O575" i="5"/>
  <c r="AP575" i="5" s="1"/>
  <c r="O574" i="5"/>
  <c r="AP574" i="5" s="1"/>
  <c r="O573" i="5"/>
  <c r="AP573" i="5" s="1"/>
  <c r="O572" i="5"/>
  <c r="AP572" i="5" s="1"/>
  <c r="O571" i="5"/>
  <c r="AP571" i="5" s="1"/>
  <c r="O570" i="5"/>
  <c r="AP570" i="5" s="1"/>
  <c r="O569" i="5"/>
  <c r="AP569" i="5" s="1"/>
  <c r="O568" i="5"/>
  <c r="AP568" i="5" s="1"/>
  <c r="O567" i="5"/>
  <c r="AP567" i="5" s="1"/>
  <c r="O566" i="5"/>
  <c r="AP566" i="5" s="1"/>
  <c r="O565" i="5"/>
  <c r="AP565" i="5" s="1"/>
  <c r="O564" i="5"/>
  <c r="AP564" i="5" s="1"/>
  <c r="O563" i="5"/>
  <c r="AP563" i="5" s="1"/>
  <c r="O562" i="5"/>
  <c r="AP562" i="5" s="1"/>
  <c r="O561" i="5"/>
  <c r="AP561" i="5" s="1"/>
  <c r="O560" i="5"/>
  <c r="AP560" i="5" s="1"/>
  <c r="O559" i="5"/>
  <c r="AP559" i="5" s="1"/>
  <c r="O558" i="5"/>
  <c r="AP558" i="5" s="1"/>
  <c r="O557" i="5"/>
  <c r="AP557" i="5" s="1"/>
  <c r="O556" i="5"/>
  <c r="AP556" i="5" s="1"/>
  <c r="O555" i="5"/>
  <c r="AP555" i="5" s="1"/>
  <c r="O554" i="5"/>
  <c r="AP554" i="5" s="1"/>
  <c r="O553" i="5"/>
  <c r="AP553" i="5" s="1"/>
  <c r="O552" i="5"/>
  <c r="AP552" i="5" s="1"/>
  <c r="O551" i="5"/>
  <c r="AP551" i="5" s="1"/>
  <c r="O550" i="5"/>
  <c r="AP550" i="5" s="1"/>
  <c r="O549" i="5"/>
  <c r="AP549" i="5" s="1"/>
  <c r="O548" i="5"/>
  <c r="AP548" i="5" s="1"/>
  <c r="O547" i="5"/>
  <c r="AP547" i="5" s="1"/>
  <c r="O546" i="5"/>
  <c r="AP546" i="5" s="1"/>
  <c r="O545" i="5"/>
  <c r="AP545" i="5" s="1"/>
  <c r="O544" i="5"/>
  <c r="AP544" i="5" s="1"/>
  <c r="O543" i="5"/>
  <c r="AP543" i="5" s="1"/>
  <c r="O542" i="5"/>
  <c r="AP542" i="5" s="1"/>
  <c r="O541" i="5"/>
  <c r="AP541" i="5" s="1"/>
  <c r="O540" i="5"/>
  <c r="AP540" i="5" s="1"/>
  <c r="O539" i="5"/>
  <c r="AP539" i="5" s="1"/>
  <c r="O538" i="5"/>
  <c r="AP538" i="5" s="1"/>
  <c r="O537" i="5"/>
  <c r="AP537" i="5" s="1"/>
  <c r="O536" i="5"/>
  <c r="AP536" i="5" s="1"/>
  <c r="O535" i="5"/>
  <c r="AP535" i="5" s="1"/>
  <c r="O534" i="5"/>
  <c r="AP534" i="5" s="1"/>
  <c r="O533" i="5"/>
  <c r="AP533" i="5" s="1"/>
  <c r="O532" i="5"/>
  <c r="AP532" i="5" s="1"/>
  <c r="O531" i="5"/>
  <c r="AP531" i="5" s="1"/>
  <c r="O530" i="5"/>
  <c r="AP530" i="5" s="1"/>
  <c r="O529" i="5"/>
  <c r="AP529" i="5" s="1"/>
  <c r="O528" i="5"/>
  <c r="AP528" i="5" s="1"/>
  <c r="O527" i="5"/>
  <c r="AP527" i="5" s="1"/>
  <c r="O526" i="5"/>
  <c r="AP526" i="5" s="1"/>
  <c r="O525" i="5"/>
  <c r="AP525" i="5" s="1"/>
  <c r="O524" i="5"/>
  <c r="AP524" i="5" s="1"/>
  <c r="O523" i="5"/>
  <c r="AP523" i="5" s="1"/>
  <c r="O522" i="5"/>
  <c r="AP522" i="5" s="1"/>
  <c r="O521" i="5"/>
  <c r="AP521" i="5" s="1"/>
  <c r="O520" i="5"/>
  <c r="AP520" i="5" s="1"/>
  <c r="O519" i="5"/>
  <c r="AP519" i="5" s="1"/>
  <c r="O518" i="5"/>
  <c r="AP518" i="5" s="1"/>
  <c r="O517" i="5"/>
  <c r="AP517" i="5" s="1"/>
  <c r="O516" i="5"/>
  <c r="AP516" i="5" s="1"/>
  <c r="O515" i="5"/>
  <c r="AP515" i="5" s="1"/>
  <c r="O514" i="5"/>
  <c r="AP514" i="5" s="1"/>
  <c r="O513" i="5"/>
  <c r="AP513" i="5" s="1"/>
  <c r="O512" i="5"/>
  <c r="AP512" i="5" s="1"/>
  <c r="O511" i="5"/>
  <c r="AP511" i="5" s="1"/>
  <c r="O510" i="5"/>
  <c r="AP510" i="5" s="1"/>
  <c r="O509" i="5"/>
  <c r="AP509" i="5" s="1"/>
  <c r="O508" i="5"/>
  <c r="AP508" i="5" s="1"/>
  <c r="O507" i="5"/>
  <c r="AP507" i="5" s="1"/>
  <c r="O506" i="5"/>
  <c r="AP506" i="5" s="1"/>
  <c r="O505" i="5"/>
  <c r="AP505" i="5" s="1"/>
  <c r="O504" i="5"/>
  <c r="AP504" i="5" s="1"/>
  <c r="O503" i="5"/>
  <c r="AP503" i="5" s="1"/>
  <c r="O502" i="5"/>
  <c r="AP502" i="5" s="1"/>
  <c r="O501" i="5"/>
  <c r="AP501" i="5" s="1"/>
  <c r="O500" i="5"/>
  <c r="AP500" i="5" s="1"/>
  <c r="O499" i="5"/>
  <c r="AP499" i="5" s="1"/>
  <c r="O498" i="5"/>
  <c r="AP498" i="5" s="1"/>
  <c r="O497" i="5"/>
  <c r="AP497" i="5" s="1"/>
  <c r="O496" i="5"/>
  <c r="AP496" i="5" s="1"/>
  <c r="O495" i="5"/>
  <c r="AP495" i="5" s="1"/>
  <c r="O494" i="5"/>
  <c r="AP494" i="5" s="1"/>
  <c r="O493" i="5"/>
  <c r="AP493" i="5" s="1"/>
  <c r="O492" i="5"/>
  <c r="AP492" i="5" s="1"/>
  <c r="O491" i="5"/>
  <c r="AP491" i="5" s="1"/>
  <c r="O490" i="5"/>
  <c r="AP490" i="5" s="1"/>
  <c r="O489" i="5"/>
  <c r="AP489" i="5" s="1"/>
  <c r="O488" i="5"/>
  <c r="AP488" i="5" s="1"/>
  <c r="O487" i="5"/>
  <c r="AP487" i="5" s="1"/>
  <c r="O486" i="5"/>
  <c r="AP486" i="5" s="1"/>
  <c r="O485" i="5"/>
  <c r="AP485" i="5" s="1"/>
  <c r="O484" i="5"/>
  <c r="AP484" i="5" s="1"/>
  <c r="O483" i="5"/>
  <c r="AP483" i="5" s="1"/>
  <c r="O482" i="5"/>
  <c r="AP482" i="5" s="1"/>
  <c r="O481" i="5"/>
  <c r="AP481" i="5" s="1"/>
  <c r="O480" i="5"/>
  <c r="AP480" i="5" s="1"/>
  <c r="O479" i="5"/>
  <c r="AP479" i="5" s="1"/>
  <c r="O478" i="5"/>
  <c r="AP478" i="5" s="1"/>
  <c r="O477" i="5"/>
  <c r="AP477" i="5" s="1"/>
  <c r="O476" i="5"/>
  <c r="AP476" i="5" s="1"/>
  <c r="O475" i="5"/>
  <c r="AP475" i="5" s="1"/>
  <c r="O474" i="5"/>
  <c r="AP474" i="5" s="1"/>
  <c r="O473" i="5"/>
  <c r="AP473" i="5" s="1"/>
  <c r="O472" i="5"/>
  <c r="AP472" i="5" s="1"/>
  <c r="O471" i="5"/>
  <c r="AP471" i="5" s="1"/>
  <c r="O470" i="5"/>
  <c r="AP470" i="5" s="1"/>
  <c r="O469" i="5"/>
  <c r="AP469" i="5" s="1"/>
  <c r="O468" i="5"/>
  <c r="AP468" i="5" s="1"/>
  <c r="O467" i="5"/>
  <c r="AP467" i="5" s="1"/>
  <c r="O466" i="5"/>
  <c r="AP466" i="5" s="1"/>
  <c r="O465" i="5"/>
  <c r="AP465" i="5" s="1"/>
  <c r="O464" i="5"/>
  <c r="AP464" i="5" s="1"/>
  <c r="O463" i="5"/>
  <c r="AP463" i="5" s="1"/>
  <c r="O462" i="5"/>
  <c r="AP462" i="5" s="1"/>
  <c r="O461" i="5"/>
  <c r="AP461" i="5" s="1"/>
  <c r="O460" i="5"/>
  <c r="AP460" i="5" s="1"/>
  <c r="O459" i="5"/>
  <c r="AP459" i="5" s="1"/>
  <c r="O458" i="5"/>
  <c r="AP458" i="5" s="1"/>
  <c r="O457" i="5"/>
  <c r="AP457" i="5" s="1"/>
  <c r="O456" i="5"/>
  <c r="AP456" i="5" s="1"/>
  <c r="O455" i="5"/>
  <c r="AP455" i="5" s="1"/>
  <c r="O454" i="5"/>
  <c r="AP454" i="5" s="1"/>
  <c r="O453" i="5"/>
  <c r="AP453" i="5" s="1"/>
  <c r="O452" i="5"/>
  <c r="AP452" i="5" s="1"/>
  <c r="O451" i="5"/>
  <c r="AP451" i="5" s="1"/>
  <c r="O450" i="5"/>
  <c r="AP450" i="5" s="1"/>
  <c r="O449" i="5"/>
  <c r="AP449" i="5" s="1"/>
  <c r="O448" i="5"/>
  <c r="AP448" i="5" s="1"/>
  <c r="O447" i="5"/>
  <c r="AP447" i="5" s="1"/>
  <c r="O446" i="5"/>
  <c r="AP446" i="5" s="1"/>
  <c r="O445" i="5"/>
  <c r="AP445" i="5" s="1"/>
  <c r="O444" i="5"/>
  <c r="AP444" i="5" s="1"/>
  <c r="O443" i="5"/>
  <c r="AP443" i="5" s="1"/>
  <c r="O442" i="5"/>
  <c r="AP442" i="5" s="1"/>
  <c r="O441" i="5"/>
  <c r="AP441" i="5" s="1"/>
  <c r="O440" i="5"/>
  <c r="AP440" i="5" s="1"/>
  <c r="O439" i="5"/>
  <c r="AP439" i="5" s="1"/>
  <c r="O438" i="5"/>
  <c r="AP438" i="5" s="1"/>
  <c r="O437" i="5"/>
  <c r="AP437" i="5" s="1"/>
  <c r="O436" i="5"/>
  <c r="AP436" i="5" s="1"/>
  <c r="O435" i="5"/>
  <c r="AP435" i="5" s="1"/>
  <c r="O434" i="5"/>
  <c r="AP434" i="5" s="1"/>
  <c r="O433" i="5"/>
  <c r="AP433" i="5" s="1"/>
  <c r="O432" i="5"/>
  <c r="AP432" i="5" s="1"/>
  <c r="O431" i="5"/>
  <c r="AP431" i="5" s="1"/>
  <c r="O430" i="5"/>
  <c r="AP430" i="5" s="1"/>
  <c r="O429" i="5"/>
  <c r="AP429" i="5" s="1"/>
  <c r="O428" i="5"/>
  <c r="AP428" i="5" s="1"/>
  <c r="O427" i="5"/>
  <c r="AP427" i="5" s="1"/>
  <c r="O426" i="5"/>
  <c r="AP426" i="5" s="1"/>
  <c r="O425" i="5"/>
  <c r="AP425" i="5" s="1"/>
  <c r="O424" i="5"/>
  <c r="AP424" i="5" s="1"/>
  <c r="O423" i="5"/>
  <c r="AP423" i="5" s="1"/>
  <c r="O422" i="5"/>
  <c r="AP422" i="5" s="1"/>
  <c r="O421" i="5"/>
  <c r="AP421" i="5" s="1"/>
  <c r="O420" i="5"/>
  <c r="AP420" i="5" s="1"/>
  <c r="O419" i="5"/>
  <c r="AP419" i="5" s="1"/>
  <c r="O418" i="5"/>
  <c r="AP418" i="5" s="1"/>
  <c r="O417" i="5"/>
  <c r="AP417" i="5" s="1"/>
  <c r="O416" i="5"/>
  <c r="AP416" i="5" s="1"/>
  <c r="O415" i="5"/>
  <c r="AP415" i="5" s="1"/>
  <c r="O414" i="5"/>
  <c r="AP414" i="5" s="1"/>
  <c r="O413" i="5"/>
  <c r="AP413" i="5" s="1"/>
  <c r="O412" i="5"/>
  <c r="AP412" i="5" s="1"/>
  <c r="O411" i="5"/>
  <c r="AP411" i="5" s="1"/>
  <c r="O410" i="5"/>
  <c r="AP410" i="5" s="1"/>
  <c r="O409" i="5"/>
  <c r="AP409" i="5" s="1"/>
  <c r="O408" i="5"/>
  <c r="AP408" i="5" s="1"/>
  <c r="O407" i="5"/>
  <c r="AP407" i="5" s="1"/>
  <c r="O406" i="5"/>
  <c r="AP406" i="5" s="1"/>
  <c r="O405" i="5"/>
  <c r="AP405" i="5" s="1"/>
  <c r="O404" i="5"/>
  <c r="AP404" i="5" s="1"/>
  <c r="O403" i="5"/>
  <c r="AP403" i="5" s="1"/>
  <c r="O402" i="5"/>
  <c r="AP402" i="5" s="1"/>
  <c r="O401" i="5"/>
  <c r="AP401" i="5" s="1"/>
  <c r="O400" i="5"/>
  <c r="AP400" i="5" s="1"/>
  <c r="O399" i="5"/>
  <c r="AP399" i="5" s="1"/>
  <c r="O398" i="5"/>
  <c r="AP398" i="5" s="1"/>
  <c r="O397" i="5"/>
  <c r="AP397" i="5" s="1"/>
  <c r="O396" i="5"/>
  <c r="AP396" i="5" s="1"/>
  <c r="O395" i="5"/>
  <c r="AP395" i="5" s="1"/>
  <c r="O394" i="5"/>
  <c r="AP394" i="5" s="1"/>
  <c r="O393" i="5"/>
  <c r="AP393" i="5" s="1"/>
  <c r="O392" i="5"/>
  <c r="AP392" i="5" s="1"/>
  <c r="O391" i="5"/>
  <c r="AP391" i="5" s="1"/>
  <c r="O390" i="5"/>
  <c r="AP390" i="5" s="1"/>
  <c r="O389" i="5"/>
  <c r="AP389" i="5" s="1"/>
  <c r="O388" i="5"/>
  <c r="AP388" i="5" s="1"/>
  <c r="O387" i="5"/>
  <c r="AP387" i="5" s="1"/>
  <c r="O386" i="5"/>
  <c r="AP386" i="5" s="1"/>
  <c r="O385" i="5"/>
  <c r="AP385" i="5" s="1"/>
  <c r="O384" i="5"/>
  <c r="AP384" i="5" s="1"/>
  <c r="O383" i="5"/>
  <c r="AP383" i="5" s="1"/>
  <c r="O382" i="5"/>
  <c r="AP382" i="5" s="1"/>
  <c r="O381" i="5"/>
  <c r="AP381" i="5" s="1"/>
  <c r="O380" i="5"/>
  <c r="AP380" i="5" s="1"/>
  <c r="O379" i="5"/>
  <c r="AP379" i="5" s="1"/>
  <c r="O378" i="5"/>
  <c r="AP378" i="5" s="1"/>
  <c r="O377" i="5"/>
  <c r="AP377" i="5" s="1"/>
  <c r="O376" i="5"/>
  <c r="AP376" i="5" s="1"/>
  <c r="O375" i="5"/>
  <c r="AP375" i="5" s="1"/>
  <c r="O374" i="5"/>
  <c r="AP374" i="5" s="1"/>
  <c r="O373" i="5"/>
  <c r="AP373" i="5" s="1"/>
  <c r="O372" i="5"/>
  <c r="AP372" i="5" s="1"/>
  <c r="O371" i="5"/>
  <c r="AP371" i="5" s="1"/>
  <c r="O370" i="5"/>
  <c r="AP370" i="5" s="1"/>
  <c r="O369" i="5"/>
  <c r="AP369" i="5" s="1"/>
  <c r="O368" i="5"/>
  <c r="AP368" i="5" s="1"/>
  <c r="O367" i="5"/>
  <c r="AP367" i="5" s="1"/>
  <c r="O366" i="5"/>
  <c r="AP366" i="5" s="1"/>
  <c r="O365" i="5"/>
  <c r="AP365" i="5" s="1"/>
  <c r="O364" i="5"/>
  <c r="AP364" i="5" s="1"/>
  <c r="O363" i="5"/>
  <c r="AP363" i="5" s="1"/>
  <c r="O362" i="5"/>
  <c r="AP362" i="5" s="1"/>
  <c r="O361" i="5"/>
  <c r="AP361" i="5" s="1"/>
  <c r="O360" i="5"/>
  <c r="AP360" i="5" s="1"/>
  <c r="O359" i="5"/>
  <c r="AP359" i="5" s="1"/>
  <c r="O358" i="5"/>
  <c r="AP358" i="5" s="1"/>
  <c r="O357" i="5"/>
  <c r="AP357" i="5" s="1"/>
  <c r="O356" i="5"/>
  <c r="AP356" i="5" s="1"/>
  <c r="O355" i="5"/>
  <c r="AP355" i="5" s="1"/>
  <c r="O354" i="5"/>
  <c r="AP354" i="5" s="1"/>
  <c r="O353" i="5"/>
  <c r="AP353" i="5" s="1"/>
  <c r="O352" i="5"/>
  <c r="AP352" i="5" s="1"/>
  <c r="O351" i="5"/>
  <c r="AP351" i="5" s="1"/>
  <c r="O350" i="5"/>
  <c r="AP350" i="5" s="1"/>
  <c r="O349" i="5"/>
  <c r="AP349" i="5" s="1"/>
  <c r="O348" i="5"/>
  <c r="AP348" i="5" s="1"/>
  <c r="O347" i="5"/>
  <c r="AP347" i="5" s="1"/>
  <c r="O346" i="5"/>
  <c r="AP346" i="5" s="1"/>
  <c r="O345" i="5"/>
  <c r="AP345" i="5" s="1"/>
  <c r="O344" i="5"/>
  <c r="AP344" i="5" s="1"/>
  <c r="O343" i="5"/>
  <c r="AP343" i="5" s="1"/>
  <c r="O342" i="5"/>
  <c r="AP342" i="5" s="1"/>
  <c r="O341" i="5"/>
  <c r="AP341" i="5" s="1"/>
  <c r="O340" i="5"/>
  <c r="AP340" i="5" s="1"/>
  <c r="O339" i="5"/>
  <c r="AP339" i="5" s="1"/>
  <c r="O338" i="5"/>
  <c r="AP338" i="5" s="1"/>
  <c r="O337" i="5"/>
  <c r="AP337" i="5" s="1"/>
  <c r="O336" i="5"/>
  <c r="AP336" i="5" s="1"/>
  <c r="O335" i="5"/>
  <c r="AP335" i="5" s="1"/>
  <c r="O334" i="5"/>
  <c r="AP334" i="5" s="1"/>
  <c r="O333" i="5"/>
  <c r="AP333" i="5" s="1"/>
  <c r="O332" i="5"/>
  <c r="AP332" i="5" s="1"/>
  <c r="O331" i="5"/>
  <c r="AP331" i="5" s="1"/>
  <c r="O330" i="5"/>
  <c r="AP330" i="5" s="1"/>
  <c r="O329" i="5"/>
  <c r="AP329" i="5" s="1"/>
  <c r="O328" i="5"/>
  <c r="AP328" i="5" s="1"/>
  <c r="O327" i="5"/>
  <c r="AP327" i="5" s="1"/>
  <c r="O326" i="5"/>
  <c r="AP326" i="5" s="1"/>
  <c r="O325" i="5"/>
  <c r="AP325" i="5" s="1"/>
  <c r="O324" i="5"/>
  <c r="AP324" i="5" s="1"/>
  <c r="O323" i="5"/>
  <c r="AP323" i="5" s="1"/>
  <c r="O322" i="5"/>
  <c r="AP322" i="5" s="1"/>
  <c r="O321" i="5"/>
  <c r="AP321" i="5" s="1"/>
  <c r="O320" i="5"/>
  <c r="AP320" i="5" s="1"/>
  <c r="O319" i="5"/>
  <c r="AP319" i="5" s="1"/>
  <c r="O318" i="5"/>
  <c r="AP318" i="5" s="1"/>
  <c r="O317" i="5"/>
  <c r="AP317" i="5" s="1"/>
  <c r="O316" i="5"/>
  <c r="AP316" i="5" s="1"/>
  <c r="O315" i="5"/>
  <c r="AP315" i="5" s="1"/>
  <c r="O314" i="5"/>
  <c r="AP314" i="5" s="1"/>
  <c r="O313" i="5"/>
  <c r="AP313" i="5" s="1"/>
  <c r="O312" i="5"/>
  <c r="AP312" i="5" s="1"/>
  <c r="O311" i="5"/>
  <c r="AP311" i="5" s="1"/>
  <c r="O310" i="5"/>
  <c r="AP310" i="5" s="1"/>
  <c r="O309" i="5"/>
  <c r="AP309" i="5" s="1"/>
  <c r="O308" i="5"/>
  <c r="AP308" i="5" s="1"/>
  <c r="O307" i="5"/>
  <c r="AP307" i="5" s="1"/>
  <c r="O306" i="5"/>
  <c r="AP306" i="5" s="1"/>
  <c r="O305" i="5"/>
  <c r="AP305" i="5" s="1"/>
  <c r="O304" i="5"/>
  <c r="AP304" i="5" s="1"/>
  <c r="O303" i="5"/>
  <c r="AP303" i="5" s="1"/>
  <c r="O302" i="5"/>
  <c r="AP302" i="5" s="1"/>
  <c r="O301" i="5"/>
  <c r="AP301" i="5" s="1"/>
  <c r="O300" i="5"/>
  <c r="AP300" i="5" s="1"/>
  <c r="O299" i="5"/>
  <c r="AP299" i="5" s="1"/>
  <c r="O298" i="5"/>
  <c r="AP298" i="5" s="1"/>
  <c r="O297" i="5"/>
  <c r="AP297" i="5" s="1"/>
  <c r="O296" i="5"/>
  <c r="AP296" i="5" s="1"/>
  <c r="O295" i="5"/>
  <c r="AP295" i="5" s="1"/>
  <c r="O294" i="5"/>
  <c r="AP294" i="5" s="1"/>
  <c r="O293" i="5"/>
  <c r="AP293" i="5" s="1"/>
  <c r="O292" i="5"/>
  <c r="AP292" i="5" s="1"/>
  <c r="O291" i="5"/>
  <c r="AP291" i="5" s="1"/>
  <c r="O290" i="5"/>
  <c r="AP290" i="5" s="1"/>
  <c r="O289" i="5"/>
  <c r="AP289" i="5" s="1"/>
  <c r="O288" i="5"/>
  <c r="AP288" i="5" s="1"/>
  <c r="O287" i="5"/>
  <c r="AP287" i="5" s="1"/>
  <c r="O286" i="5"/>
  <c r="AP286" i="5" s="1"/>
  <c r="O285" i="5"/>
  <c r="AP285" i="5" s="1"/>
  <c r="O284" i="5"/>
  <c r="AP284" i="5" s="1"/>
  <c r="O283" i="5"/>
  <c r="AP283" i="5" s="1"/>
  <c r="O282" i="5"/>
  <c r="AP282" i="5" s="1"/>
  <c r="O281" i="5"/>
  <c r="AP281" i="5" s="1"/>
  <c r="O280" i="5"/>
  <c r="AP280" i="5" s="1"/>
  <c r="O279" i="5"/>
  <c r="AP279" i="5" s="1"/>
  <c r="O278" i="5"/>
  <c r="AP278" i="5" s="1"/>
  <c r="O277" i="5"/>
  <c r="AP277" i="5" s="1"/>
  <c r="O276" i="5"/>
  <c r="AP276" i="5" s="1"/>
  <c r="O275" i="5"/>
  <c r="AP275" i="5" s="1"/>
  <c r="O274" i="5"/>
  <c r="AP274" i="5" s="1"/>
  <c r="O273" i="5"/>
  <c r="AP273" i="5" s="1"/>
  <c r="O272" i="5"/>
  <c r="AP272" i="5" s="1"/>
  <c r="O271" i="5"/>
  <c r="AP271" i="5" s="1"/>
  <c r="O270" i="5"/>
  <c r="AP270" i="5" s="1"/>
  <c r="O269" i="5"/>
  <c r="AP269" i="5" s="1"/>
  <c r="O268" i="5"/>
  <c r="AP268" i="5" s="1"/>
  <c r="O267" i="5"/>
  <c r="AP267" i="5" s="1"/>
  <c r="O266" i="5"/>
  <c r="AP266" i="5" s="1"/>
  <c r="O265" i="5"/>
  <c r="AP265" i="5" s="1"/>
  <c r="O264" i="5"/>
  <c r="AP264" i="5" s="1"/>
  <c r="O263" i="5"/>
  <c r="AP263" i="5" s="1"/>
  <c r="O262" i="5"/>
  <c r="AP262" i="5" s="1"/>
  <c r="O261" i="5"/>
  <c r="AP261" i="5" s="1"/>
  <c r="O260" i="5"/>
  <c r="AP260" i="5" s="1"/>
  <c r="O259" i="5"/>
  <c r="AP259" i="5" s="1"/>
  <c r="O258" i="5"/>
  <c r="AP258" i="5" s="1"/>
  <c r="O257" i="5"/>
  <c r="AP257" i="5" s="1"/>
  <c r="O256" i="5"/>
  <c r="AP256" i="5" s="1"/>
  <c r="O255" i="5"/>
  <c r="AP255" i="5" s="1"/>
  <c r="O254" i="5"/>
  <c r="AP254" i="5" s="1"/>
  <c r="O253" i="5"/>
  <c r="AP253" i="5" s="1"/>
  <c r="O252" i="5"/>
  <c r="AP252" i="5" s="1"/>
  <c r="O251" i="5"/>
  <c r="AP251" i="5" s="1"/>
  <c r="O250" i="5"/>
  <c r="AP250" i="5" s="1"/>
  <c r="O249" i="5"/>
  <c r="AP249" i="5" s="1"/>
  <c r="O248" i="5"/>
  <c r="AP248" i="5" s="1"/>
  <c r="O247" i="5"/>
  <c r="AP247" i="5" s="1"/>
  <c r="O246" i="5"/>
  <c r="AP246" i="5" s="1"/>
  <c r="O245" i="5"/>
  <c r="AP245" i="5" s="1"/>
  <c r="O244" i="5"/>
  <c r="AP244" i="5" s="1"/>
  <c r="O243" i="5"/>
  <c r="AP243" i="5" s="1"/>
  <c r="O242" i="5"/>
  <c r="AP242" i="5" s="1"/>
  <c r="O241" i="5"/>
  <c r="AP241" i="5" s="1"/>
  <c r="O240" i="5"/>
  <c r="AP240" i="5" s="1"/>
  <c r="O239" i="5"/>
  <c r="AP239" i="5" s="1"/>
  <c r="O238" i="5"/>
  <c r="AP238" i="5" s="1"/>
  <c r="O237" i="5"/>
  <c r="AP237" i="5" s="1"/>
  <c r="O236" i="5"/>
  <c r="AP236" i="5" s="1"/>
  <c r="O235" i="5"/>
  <c r="AP235" i="5" s="1"/>
  <c r="O234" i="5"/>
  <c r="AP234" i="5" s="1"/>
  <c r="O233" i="5"/>
  <c r="AP233" i="5" s="1"/>
  <c r="O232" i="5"/>
  <c r="AP232" i="5" s="1"/>
  <c r="O231" i="5"/>
  <c r="AP231" i="5" s="1"/>
  <c r="O230" i="5"/>
  <c r="AP230" i="5" s="1"/>
  <c r="O229" i="5"/>
  <c r="AP229" i="5" s="1"/>
  <c r="O228" i="5"/>
  <c r="AP228" i="5" s="1"/>
  <c r="O227" i="5"/>
  <c r="AP227" i="5" s="1"/>
  <c r="O226" i="5"/>
  <c r="AP226" i="5" s="1"/>
  <c r="O225" i="5"/>
  <c r="AP225" i="5" s="1"/>
  <c r="O224" i="5"/>
  <c r="AP224" i="5" s="1"/>
  <c r="O223" i="5"/>
  <c r="AP223" i="5" s="1"/>
  <c r="O222" i="5"/>
  <c r="AP222" i="5" s="1"/>
  <c r="O221" i="5"/>
  <c r="AP221" i="5" s="1"/>
  <c r="O220" i="5"/>
  <c r="AP220" i="5" s="1"/>
  <c r="O219" i="5"/>
  <c r="AP219" i="5" s="1"/>
  <c r="O218" i="5"/>
  <c r="AP218" i="5" s="1"/>
  <c r="O217" i="5"/>
  <c r="AP217" i="5" s="1"/>
  <c r="O216" i="5"/>
  <c r="AP216" i="5" s="1"/>
  <c r="O215" i="5"/>
  <c r="AP215" i="5" s="1"/>
  <c r="O214" i="5"/>
  <c r="AP214" i="5" s="1"/>
  <c r="O213" i="5"/>
  <c r="AP213" i="5" s="1"/>
  <c r="O212" i="5"/>
  <c r="AP212" i="5" s="1"/>
  <c r="O211" i="5"/>
  <c r="AP211" i="5" s="1"/>
  <c r="O210" i="5"/>
  <c r="AP210" i="5" s="1"/>
  <c r="O209" i="5"/>
  <c r="AP209" i="5" s="1"/>
  <c r="O208" i="5"/>
  <c r="AP208" i="5" s="1"/>
  <c r="O207" i="5"/>
  <c r="AP207" i="5" s="1"/>
  <c r="O206" i="5"/>
  <c r="AP206" i="5" s="1"/>
  <c r="O205" i="5"/>
  <c r="AP205" i="5" s="1"/>
  <c r="O204" i="5"/>
  <c r="AP204" i="5" s="1"/>
  <c r="O203" i="5"/>
  <c r="AP203" i="5" s="1"/>
  <c r="O202" i="5"/>
  <c r="AP202" i="5" s="1"/>
  <c r="O201" i="5"/>
  <c r="AP201" i="5" s="1"/>
  <c r="O200" i="5"/>
  <c r="AP200" i="5" s="1"/>
  <c r="O199" i="5"/>
  <c r="AP199" i="5" s="1"/>
  <c r="O198" i="5"/>
  <c r="AP198" i="5" s="1"/>
  <c r="O197" i="5"/>
  <c r="AP197" i="5" s="1"/>
  <c r="O196" i="5"/>
  <c r="AP196" i="5" s="1"/>
  <c r="O195" i="5"/>
  <c r="AP195" i="5" s="1"/>
  <c r="O194" i="5"/>
  <c r="AP194" i="5" s="1"/>
  <c r="O193" i="5"/>
  <c r="AP193" i="5" s="1"/>
  <c r="O192" i="5"/>
  <c r="AP192" i="5" s="1"/>
  <c r="O191" i="5"/>
  <c r="AP191" i="5" s="1"/>
  <c r="O190" i="5"/>
  <c r="AP190" i="5" s="1"/>
  <c r="O189" i="5"/>
  <c r="AP189" i="5" s="1"/>
  <c r="O188" i="5"/>
  <c r="AP188" i="5" s="1"/>
  <c r="O187" i="5"/>
  <c r="AP187" i="5" s="1"/>
  <c r="O186" i="5"/>
  <c r="AP186" i="5" s="1"/>
  <c r="O185" i="5"/>
  <c r="AP185" i="5" s="1"/>
  <c r="O184" i="5"/>
  <c r="AP184" i="5" s="1"/>
  <c r="O183" i="5"/>
  <c r="AP183" i="5" s="1"/>
  <c r="O182" i="5"/>
  <c r="AP182" i="5" s="1"/>
  <c r="O181" i="5"/>
  <c r="AP181" i="5" s="1"/>
  <c r="O180" i="5"/>
  <c r="AP180" i="5" s="1"/>
  <c r="O179" i="5"/>
  <c r="AP179" i="5" s="1"/>
  <c r="O178" i="5"/>
  <c r="AP178" i="5" s="1"/>
  <c r="O177" i="5"/>
  <c r="AP177" i="5" s="1"/>
  <c r="O176" i="5"/>
  <c r="AP176" i="5" s="1"/>
  <c r="O175" i="5"/>
  <c r="AP175" i="5" s="1"/>
  <c r="O174" i="5"/>
  <c r="AP174" i="5" s="1"/>
  <c r="O173" i="5"/>
  <c r="AP173" i="5" s="1"/>
  <c r="O172" i="5"/>
  <c r="AP172" i="5" s="1"/>
  <c r="O171" i="5"/>
  <c r="AP171" i="5" s="1"/>
  <c r="O170" i="5"/>
  <c r="AP170" i="5" s="1"/>
  <c r="O169" i="5"/>
  <c r="AP169" i="5" s="1"/>
  <c r="O168" i="5"/>
  <c r="AP168" i="5" s="1"/>
  <c r="O167" i="5"/>
  <c r="AP167" i="5" s="1"/>
  <c r="O166" i="5"/>
  <c r="AP166" i="5" s="1"/>
  <c r="O165" i="5"/>
  <c r="AP165" i="5" s="1"/>
  <c r="O164" i="5"/>
  <c r="AP164" i="5" s="1"/>
  <c r="O163" i="5"/>
  <c r="AP163" i="5" s="1"/>
  <c r="O162" i="5"/>
  <c r="AP162" i="5" s="1"/>
  <c r="O161" i="5"/>
  <c r="AP161" i="5" s="1"/>
  <c r="O160" i="5"/>
  <c r="AP160" i="5" s="1"/>
  <c r="O159" i="5"/>
  <c r="AP159" i="5" s="1"/>
  <c r="O158" i="5"/>
  <c r="AP158" i="5" s="1"/>
  <c r="O157" i="5"/>
  <c r="AP157" i="5" s="1"/>
  <c r="O156" i="5"/>
  <c r="AP156" i="5" s="1"/>
  <c r="O155" i="5"/>
  <c r="AP155" i="5" s="1"/>
  <c r="O154" i="5"/>
  <c r="AP154" i="5" s="1"/>
  <c r="O153" i="5"/>
  <c r="AP153" i="5" s="1"/>
  <c r="O152" i="5"/>
  <c r="AP152" i="5" s="1"/>
  <c r="O151" i="5"/>
  <c r="AP151" i="5" s="1"/>
  <c r="O150" i="5"/>
  <c r="AP150" i="5" s="1"/>
  <c r="O149" i="5"/>
  <c r="AP149" i="5" s="1"/>
  <c r="O148" i="5"/>
  <c r="AP148" i="5" s="1"/>
  <c r="O147" i="5"/>
  <c r="AP147" i="5" s="1"/>
  <c r="O146" i="5"/>
  <c r="AP146" i="5" s="1"/>
  <c r="O145" i="5"/>
  <c r="AP145" i="5" s="1"/>
  <c r="O144" i="5"/>
  <c r="AP144" i="5" s="1"/>
  <c r="O143" i="5"/>
  <c r="AP143" i="5" s="1"/>
  <c r="O142" i="5"/>
  <c r="AP142" i="5" s="1"/>
  <c r="O141" i="5"/>
  <c r="AP141" i="5" s="1"/>
  <c r="O140" i="5"/>
  <c r="AP140" i="5" s="1"/>
  <c r="O139" i="5"/>
  <c r="AP139" i="5" s="1"/>
  <c r="O138" i="5"/>
  <c r="AP138" i="5" s="1"/>
  <c r="O137" i="5"/>
  <c r="AP137" i="5" s="1"/>
  <c r="O136" i="5"/>
  <c r="AP136" i="5" s="1"/>
  <c r="O135" i="5"/>
  <c r="AP135" i="5" s="1"/>
  <c r="O134" i="5"/>
  <c r="AP134" i="5" s="1"/>
  <c r="O133" i="5"/>
  <c r="AP133" i="5" s="1"/>
  <c r="O132" i="5"/>
  <c r="AP132" i="5" s="1"/>
  <c r="O131" i="5"/>
  <c r="AP131" i="5" s="1"/>
  <c r="O130" i="5"/>
  <c r="AP130" i="5" s="1"/>
  <c r="O129" i="5"/>
  <c r="AP129" i="5" s="1"/>
  <c r="O128" i="5"/>
  <c r="AP128" i="5" s="1"/>
  <c r="O127" i="5"/>
  <c r="AP127" i="5" s="1"/>
  <c r="O126" i="5"/>
  <c r="AP126" i="5" s="1"/>
  <c r="O125" i="5"/>
  <c r="AP125" i="5" s="1"/>
  <c r="O124" i="5"/>
  <c r="AP124" i="5" s="1"/>
  <c r="O123" i="5"/>
  <c r="AP123" i="5" s="1"/>
  <c r="O122" i="5"/>
  <c r="AP122" i="5" s="1"/>
  <c r="O121" i="5"/>
  <c r="AP121" i="5" s="1"/>
  <c r="O120" i="5"/>
  <c r="AP120" i="5" s="1"/>
  <c r="O119" i="5"/>
  <c r="AP119" i="5" s="1"/>
  <c r="O118" i="5"/>
  <c r="AP118" i="5" s="1"/>
  <c r="O117" i="5"/>
  <c r="AP117" i="5" s="1"/>
  <c r="O116" i="5"/>
  <c r="AP116" i="5" s="1"/>
  <c r="O115" i="5"/>
  <c r="AP115" i="5" s="1"/>
  <c r="O114" i="5"/>
  <c r="AP114" i="5" s="1"/>
  <c r="O113" i="5"/>
  <c r="AP113" i="5" s="1"/>
  <c r="O112" i="5"/>
  <c r="AP112" i="5" s="1"/>
  <c r="O111" i="5"/>
  <c r="AP111" i="5" s="1"/>
  <c r="O110" i="5"/>
  <c r="AP110" i="5" s="1"/>
  <c r="O109" i="5"/>
  <c r="AP109" i="5" s="1"/>
  <c r="O108" i="5"/>
  <c r="AP108" i="5" s="1"/>
  <c r="O107" i="5"/>
  <c r="AP107" i="5" s="1"/>
  <c r="O106" i="5"/>
  <c r="AP106" i="5" s="1"/>
  <c r="O105" i="5"/>
  <c r="AP105" i="5" s="1"/>
  <c r="O104" i="5"/>
  <c r="AP104" i="5" s="1"/>
  <c r="O103" i="5"/>
  <c r="AP103" i="5" s="1"/>
  <c r="O102" i="5"/>
  <c r="AP102" i="5" s="1"/>
  <c r="O101" i="5"/>
  <c r="AP101" i="5" s="1"/>
  <c r="O100" i="5"/>
  <c r="AP100" i="5" s="1"/>
  <c r="O99" i="5"/>
  <c r="AP99" i="5" s="1"/>
  <c r="O98" i="5"/>
  <c r="AP98" i="5" s="1"/>
  <c r="O97" i="5"/>
  <c r="AP97" i="5" s="1"/>
  <c r="O96" i="5"/>
  <c r="AP96" i="5" s="1"/>
  <c r="O95" i="5"/>
  <c r="AP95" i="5" s="1"/>
  <c r="O94" i="5"/>
  <c r="AP94" i="5" s="1"/>
  <c r="O93" i="5"/>
  <c r="AP93" i="5" s="1"/>
  <c r="O92" i="5"/>
  <c r="AP92" i="5" s="1"/>
  <c r="O91" i="5"/>
  <c r="AP91" i="5" s="1"/>
  <c r="O90" i="5"/>
  <c r="AP90" i="5" s="1"/>
  <c r="O89" i="5"/>
  <c r="AP89" i="5" s="1"/>
  <c r="O88" i="5"/>
  <c r="AP88" i="5" s="1"/>
  <c r="O87" i="5"/>
  <c r="AP87" i="5" s="1"/>
  <c r="O86" i="5"/>
  <c r="AP86" i="5" s="1"/>
  <c r="O85" i="5"/>
  <c r="AP85" i="5" s="1"/>
  <c r="O84" i="5"/>
  <c r="AP84" i="5" s="1"/>
  <c r="O83" i="5"/>
  <c r="AP83" i="5" s="1"/>
  <c r="O82" i="5"/>
  <c r="AP82" i="5" s="1"/>
  <c r="O81" i="5"/>
  <c r="AP81" i="5" s="1"/>
  <c r="O80" i="5"/>
  <c r="AP80" i="5" s="1"/>
  <c r="O79" i="5"/>
  <c r="AP79" i="5" s="1"/>
  <c r="O78" i="5"/>
  <c r="AP78" i="5" s="1"/>
  <c r="O77" i="5"/>
  <c r="AP77" i="5" s="1"/>
  <c r="O76" i="5"/>
  <c r="AP76" i="5" s="1"/>
  <c r="O75" i="5"/>
  <c r="AP75" i="5" s="1"/>
  <c r="O74" i="5"/>
  <c r="AP74" i="5" s="1"/>
  <c r="O73" i="5"/>
  <c r="AP73" i="5" s="1"/>
  <c r="O72" i="5"/>
  <c r="AP72" i="5" s="1"/>
  <c r="O71" i="5"/>
  <c r="AP71" i="5" s="1"/>
  <c r="O70" i="5"/>
  <c r="AP70" i="5" s="1"/>
  <c r="O69" i="5"/>
  <c r="AP69" i="5" s="1"/>
  <c r="O68" i="5"/>
  <c r="AP68" i="5" s="1"/>
  <c r="O67" i="5"/>
  <c r="AP67" i="5" s="1"/>
  <c r="O66" i="5"/>
  <c r="AP66" i="5" s="1"/>
  <c r="O65" i="5"/>
  <c r="AP65" i="5" s="1"/>
  <c r="O64" i="5"/>
  <c r="AP64" i="5" s="1"/>
  <c r="O63" i="5"/>
  <c r="AP63" i="5" s="1"/>
  <c r="O62" i="5"/>
  <c r="AP62" i="5" s="1"/>
  <c r="O61" i="5"/>
  <c r="AP61" i="5" s="1"/>
  <c r="O60" i="5"/>
  <c r="AP60" i="5" s="1"/>
  <c r="O59" i="5"/>
  <c r="AP59" i="5" s="1"/>
  <c r="O58" i="5"/>
  <c r="AP58" i="5" s="1"/>
  <c r="O57" i="5"/>
  <c r="AP57" i="5" s="1"/>
  <c r="O56" i="5"/>
  <c r="AP56" i="5" s="1"/>
  <c r="O55" i="5"/>
  <c r="AP55" i="5" s="1"/>
  <c r="O54" i="5"/>
  <c r="AP54" i="5" s="1"/>
  <c r="O53" i="5"/>
  <c r="AP53" i="5" s="1"/>
  <c r="O52" i="5"/>
  <c r="AP52" i="5" s="1"/>
  <c r="O51" i="5"/>
  <c r="AP51" i="5" s="1"/>
  <c r="O50" i="5"/>
  <c r="AP50" i="5" s="1"/>
  <c r="O49" i="5"/>
  <c r="AP49" i="5" s="1"/>
  <c r="O48" i="5"/>
  <c r="AP48" i="5" s="1"/>
  <c r="O47" i="5"/>
  <c r="AP47" i="5" s="1"/>
  <c r="O46" i="5"/>
  <c r="AP46" i="5" s="1"/>
  <c r="O45" i="5"/>
  <c r="AP45" i="5" s="1"/>
  <c r="O44" i="5"/>
  <c r="AP44" i="5" s="1"/>
  <c r="O43" i="5"/>
  <c r="AP43" i="5" s="1"/>
  <c r="O42" i="5"/>
  <c r="AP42" i="5" s="1"/>
  <c r="O41" i="5"/>
  <c r="AP41" i="5" s="1"/>
  <c r="O40" i="5"/>
  <c r="AP40" i="5" s="1"/>
  <c r="O39" i="5"/>
  <c r="AP39" i="5" s="1"/>
  <c r="O38" i="5"/>
  <c r="AP38" i="5" s="1"/>
  <c r="O37" i="5"/>
  <c r="AP37" i="5" s="1"/>
  <c r="O36" i="5"/>
  <c r="AP36" i="5" s="1"/>
  <c r="O35" i="5"/>
  <c r="AP35" i="5" s="1"/>
  <c r="O34" i="5"/>
  <c r="AP34" i="5" s="1"/>
  <c r="O33" i="5"/>
  <c r="AP33" i="5" s="1"/>
  <c r="O32" i="5"/>
  <c r="AP32" i="5" s="1"/>
  <c r="O31" i="5"/>
  <c r="AP31" i="5" s="1"/>
  <c r="O30" i="5"/>
  <c r="AP30" i="5" s="1"/>
  <c r="O29" i="5"/>
  <c r="AP29" i="5" s="1"/>
  <c r="O28" i="5"/>
  <c r="AP28" i="5" s="1"/>
  <c r="O27" i="5"/>
  <c r="AP27" i="5" s="1"/>
  <c r="O26" i="5"/>
  <c r="AP26" i="5" s="1"/>
  <c r="O25" i="5"/>
  <c r="AP25" i="5" s="1"/>
  <c r="O24" i="5"/>
  <c r="AP24" i="5" s="1"/>
  <c r="O23" i="5"/>
  <c r="AP23" i="5" s="1"/>
  <c r="O22" i="5"/>
  <c r="AP22" i="5" s="1"/>
  <c r="O21" i="5"/>
  <c r="AP21" i="5" s="1"/>
  <c r="O20" i="5"/>
  <c r="AP20" i="5" s="1"/>
  <c r="O19" i="5"/>
  <c r="AP19" i="5" s="1"/>
  <c r="O18" i="5"/>
  <c r="AP18" i="5" s="1"/>
  <c r="O17" i="5"/>
  <c r="AP17" i="5" s="1"/>
  <c r="O16" i="5"/>
  <c r="AP16" i="5" s="1"/>
  <c r="O15" i="5"/>
  <c r="AP15" i="5" s="1"/>
  <c r="O14" i="5"/>
  <c r="AP14" i="5" s="1"/>
  <c r="O13" i="5"/>
  <c r="AP13" i="5" s="1"/>
  <c r="O12" i="5"/>
  <c r="AP12" i="5" s="1"/>
  <c r="O11" i="5"/>
  <c r="AP11" i="5" s="1"/>
  <c r="O10" i="5"/>
  <c r="AP10" i="5" s="1"/>
  <c r="O9" i="5"/>
  <c r="AP9" i="5" s="1"/>
  <c r="O8" i="5"/>
  <c r="AP8" i="5" s="1"/>
  <c r="M13" i="5"/>
  <c r="AO13" i="5" s="1"/>
  <c r="M14" i="5"/>
  <c r="AO14" i="5" s="1"/>
  <c r="M15" i="5"/>
  <c r="AO15" i="5" s="1"/>
  <c r="M16" i="5"/>
  <c r="AO16" i="5" s="1"/>
  <c r="M17" i="5"/>
  <c r="AO17" i="5" s="1"/>
  <c r="M18" i="5"/>
  <c r="AO18" i="5" s="1"/>
  <c r="M19" i="5"/>
  <c r="AO19" i="5" s="1"/>
  <c r="M20" i="5"/>
  <c r="AO20" i="5" s="1"/>
  <c r="M21" i="5"/>
  <c r="AO21" i="5" s="1"/>
  <c r="M22" i="5"/>
  <c r="AO22" i="5" s="1"/>
  <c r="M23" i="5"/>
  <c r="AO23" i="5" s="1"/>
  <c r="M24" i="5"/>
  <c r="AO24" i="5" s="1"/>
  <c r="M25" i="5"/>
  <c r="AO25" i="5" s="1"/>
  <c r="M26" i="5"/>
  <c r="AO26" i="5" s="1"/>
  <c r="M27" i="5"/>
  <c r="AO27" i="5" s="1"/>
  <c r="M28" i="5"/>
  <c r="AO28" i="5" s="1"/>
  <c r="M29" i="5"/>
  <c r="AO29" i="5" s="1"/>
  <c r="M30" i="5"/>
  <c r="AO30" i="5" s="1"/>
  <c r="M31" i="5"/>
  <c r="AO31" i="5" s="1"/>
  <c r="M32" i="5"/>
  <c r="AO32" i="5" s="1"/>
  <c r="M33" i="5"/>
  <c r="AO33" i="5" s="1"/>
  <c r="M34" i="5"/>
  <c r="AO34" i="5" s="1"/>
  <c r="M35" i="5"/>
  <c r="AO35" i="5" s="1"/>
  <c r="M36" i="5"/>
  <c r="AO36" i="5" s="1"/>
  <c r="M37" i="5"/>
  <c r="AO37" i="5" s="1"/>
  <c r="M38" i="5"/>
  <c r="AO38" i="5" s="1"/>
  <c r="M39" i="5"/>
  <c r="AO39" i="5" s="1"/>
  <c r="M40" i="5"/>
  <c r="AO40" i="5" s="1"/>
  <c r="M41" i="5"/>
  <c r="AO41" i="5" s="1"/>
  <c r="M42" i="5"/>
  <c r="AO42" i="5" s="1"/>
  <c r="M43" i="5"/>
  <c r="AO43" i="5" s="1"/>
  <c r="M44" i="5"/>
  <c r="AO44" i="5" s="1"/>
  <c r="M45" i="5"/>
  <c r="AO45" i="5" s="1"/>
  <c r="M46" i="5"/>
  <c r="AO46" i="5" s="1"/>
  <c r="M47" i="5"/>
  <c r="AO47" i="5" s="1"/>
  <c r="M48" i="5"/>
  <c r="AO48" i="5" s="1"/>
  <c r="M49" i="5"/>
  <c r="AO49" i="5" s="1"/>
  <c r="M50" i="5"/>
  <c r="AO50" i="5" s="1"/>
  <c r="M51" i="5"/>
  <c r="AO51" i="5" s="1"/>
  <c r="M52" i="5"/>
  <c r="AO52" i="5" s="1"/>
  <c r="M53" i="5"/>
  <c r="AO53" i="5" s="1"/>
  <c r="M54" i="5"/>
  <c r="AO54" i="5" s="1"/>
  <c r="M55" i="5"/>
  <c r="AO55" i="5" s="1"/>
  <c r="M56" i="5"/>
  <c r="AO56" i="5" s="1"/>
  <c r="M57" i="5"/>
  <c r="AO57" i="5" s="1"/>
  <c r="M58" i="5"/>
  <c r="AO58" i="5" s="1"/>
  <c r="M59" i="5"/>
  <c r="AO59" i="5" s="1"/>
  <c r="M60" i="5"/>
  <c r="AO60" i="5" s="1"/>
  <c r="M61" i="5"/>
  <c r="AO61" i="5" s="1"/>
  <c r="M62" i="5"/>
  <c r="AO62" i="5" s="1"/>
  <c r="M63" i="5"/>
  <c r="AO63" i="5" s="1"/>
  <c r="M64" i="5"/>
  <c r="AO64" i="5" s="1"/>
  <c r="M65" i="5"/>
  <c r="AO65" i="5" s="1"/>
  <c r="M66" i="5"/>
  <c r="AO66" i="5" s="1"/>
  <c r="M67" i="5"/>
  <c r="AO67" i="5" s="1"/>
  <c r="M68" i="5"/>
  <c r="AO68" i="5" s="1"/>
  <c r="M69" i="5"/>
  <c r="AO69" i="5" s="1"/>
  <c r="M70" i="5"/>
  <c r="AO70" i="5" s="1"/>
  <c r="M71" i="5"/>
  <c r="AO71" i="5" s="1"/>
  <c r="M72" i="5"/>
  <c r="AO72" i="5" s="1"/>
  <c r="M73" i="5"/>
  <c r="AO73" i="5" s="1"/>
  <c r="M74" i="5"/>
  <c r="AO74" i="5" s="1"/>
  <c r="M75" i="5"/>
  <c r="AO75" i="5" s="1"/>
  <c r="M76" i="5"/>
  <c r="AO76" i="5" s="1"/>
  <c r="M77" i="5"/>
  <c r="AO77" i="5" s="1"/>
  <c r="M78" i="5"/>
  <c r="AO78" i="5" s="1"/>
  <c r="M79" i="5"/>
  <c r="AO79" i="5" s="1"/>
  <c r="M80" i="5"/>
  <c r="AO80" i="5" s="1"/>
  <c r="M81" i="5"/>
  <c r="AO81" i="5" s="1"/>
  <c r="M82" i="5"/>
  <c r="AO82" i="5" s="1"/>
  <c r="M83" i="5"/>
  <c r="AO83" i="5" s="1"/>
  <c r="M84" i="5"/>
  <c r="AO84" i="5" s="1"/>
  <c r="M85" i="5"/>
  <c r="AO85" i="5" s="1"/>
  <c r="M86" i="5"/>
  <c r="AO86" i="5" s="1"/>
  <c r="M87" i="5"/>
  <c r="AO87" i="5" s="1"/>
  <c r="M88" i="5"/>
  <c r="AO88" i="5" s="1"/>
  <c r="M89" i="5"/>
  <c r="AO89" i="5" s="1"/>
  <c r="M90" i="5"/>
  <c r="AO90" i="5" s="1"/>
  <c r="M91" i="5"/>
  <c r="AO91" i="5" s="1"/>
  <c r="M92" i="5"/>
  <c r="AO92" i="5" s="1"/>
  <c r="M93" i="5"/>
  <c r="AO93" i="5" s="1"/>
  <c r="M94" i="5"/>
  <c r="AO94" i="5" s="1"/>
  <c r="M95" i="5"/>
  <c r="AO95" i="5" s="1"/>
  <c r="M96" i="5"/>
  <c r="AO96" i="5" s="1"/>
  <c r="M97" i="5"/>
  <c r="AO97" i="5" s="1"/>
  <c r="M98" i="5"/>
  <c r="AO98" i="5" s="1"/>
  <c r="M99" i="5"/>
  <c r="AO99" i="5" s="1"/>
  <c r="M100" i="5"/>
  <c r="AO100" i="5" s="1"/>
  <c r="M101" i="5"/>
  <c r="AO101" i="5" s="1"/>
  <c r="M102" i="5"/>
  <c r="AO102" i="5" s="1"/>
  <c r="M103" i="5"/>
  <c r="AO103" i="5" s="1"/>
  <c r="M104" i="5"/>
  <c r="AO104" i="5" s="1"/>
  <c r="M105" i="5"/>
  <c r="AO105" i="5" s="1"/>
  <c r="M106" i="5"/>
  <c r="AO106" i="5" s="1"/>
  <c r="M107" i="5"/>
  <c r="AO107" i="5" s="1"/>
  <c r="M108" i="5"/>
  <c r="AO108" i="5" s="1"/>
  <c r="M109" i="5"/>
  <c r="AO109" i="5" s="1"/>
  <c r="M110" i="5"/>
  <c r="AO110" i="5" s="1"/>
  <c r="M111" i="5"/>
  <c r="AO111" i="5" s="1"/>
  <c r="M112" i="5"/>
  <c r="AO112" i="5" s="1"/>
  <c r="M113" i="5"/>
  <c r="AO113" i="5" s="1"/>
  <c r="M114" i="5"/>
  <c r="AO114" i="5" s="1"/>
  <c r="M115" i="5"/>
  <c r="AO115" i="5" s="1"/>
  <c r="M116" i="5"/>
  <c r="AO116" i="5" s="1"/>
  <c r="M117" i="5"/>
  <c r="AO117" i="5" s="1"/>
  <c r="M118" i="5"/>
  <c r="AO118" i="5" s="1"/>
  <c r="M119" i="5"/>
  <c r="AO119" i="5" s="1"/>
  <c r="M120" i="5"/>
  <c r="AO120" i="5" s="1"/>
  <c r="M121" i="5"/>
  <c r="AO121" i="5" s="1"/>
  <c r="M122" i="5"/>
  <c r="AO122" i="5" s="1"/>
  <c r="M123" i="5"/>
  <c r="AO123" i="5" s="1"/>
  <c r="M124" i="5"/>
  <c r="AO124" i="5" s="1"/>
  <c r="M125" i="5"/>
  <c r="AO125" i="5" s="1"/>
  <c r="M126" i="5"/>
  <c r="AO126" i="5" s="1"/>
  <c r="M127" i="5"/>
  <c r="AO127" i="5" s="1"/>
  <c r="M128" i="5"/>
  <c r="AO128" i="5" s="1"/>
  <c r="M129" i="5"/>
  <c r="AO129" i="5" s="1"/>
  <c r="M130" i="5"/>
  <c r="AO130" i="5" s="1"/>
  <c r="M131" i="5"/>
  <c r="AO131" i="5" s="1"/>
  <c r="M132" i="5"/>
  <c r="AO132" i="5" s="1"/>
  <c r="M133" i="5"/>
  <c r="AO133" i="5" s="1"/>
  <c r="M134" i="5"/>
  <c r="AO134" i="5" s="1"/>
  <c r="M135" i="5"/>
  <c r="AO135" i="5" s="1"/>
  <c r="M136" i="5"/>
  <c r="AO136" i="5" s="1"/>
  <c r="M137" i="5"/>
  <c r="AO137" i="5" s="1"/>
  <c r="M138" i="5"/>
  <c r="AO138" i="5" s="1"/>
  <c r="M139" i="5"/>
  <c r="AO139" i="5" s="1"/>
  <c r="M140" i="5"/>
  <c r="AO140" i="5" s="1"/>
  <c r="M141" i="5"/>
  <c r="AO141" i="5" s="1"/>
  <c r="M142" i="5"/>
  <c r="AO142" i="5" s="1"/>
  <c r="M143" i="5"/>
  <c r="AO143" i="5" s="1"/>
  <c r="M144" i="5"/>
  <c r="AO144" i="5" s="1"/>
  <c r="M145" i="5"/>
  <c r="AO145" i="5" s="1"/>
  <c r="M146" i="5"/>
  <c r="AO146" i="5" s="1"/>
  <c r="M147" i="5"/>
  <c r="AO147" i="5" s="1"/>
  <c r="M148" i="5"/>
  <c r="AO148" i="5" s="1"/>
  <c r="M149" i="5"/>
  <c r="AO149" i="5" s="1"/>
  <c r="M150" i="5"/>
  <c r="AO150" i="5" s="1"/>
  <c r="M151" i="5"/>
  <c r="AO151" i="5" s="1"/>
  <c r="M152" i="5"/>
  <c r="AO152" i="5" s="1"/>
  <c r="M153" i="5"/>
  <c r="AO153" i="5" s="1"/>
  <c r="M154" i="5"/>
  <c r="AO154" i="5" s="1"/>
  <c r="M155" i="5"/>
  <c r="AO155" i="5" s="1"/>
  <c r="M156" i="5"/>
  <c r="AO156" i="5" s="1"/>
  <c r="M157" i="5"/>
  <c r="AO157" i="5" s="1"/>
  <c r="M158" i="5"/>
  <c r="AO158" i="5" s="1"/>
  <c r="M159" i="5"/>
  <c r="AO159" i="5" s="1"/>
  <c r="M160" i="5"/>
  <c r="AO160" i="5" s="1"/>
  <c r="M161" i="5"/>
  <c r="AO161" i="5" s="1"/>
  <c r="M162" i="5"/>
  <c r="AO162" i="5" s="1"/>
  <c r="M163" i="5"/>
  <c r="AO163" i="5" s="1"/>
  <c r="M164" i="5"/>
  <c r="AO164" i="5" s="1"/>
  <c r="M165" i="5"/>
  <c r="AO165" i="5" s="1"/>
  <c r="M166" i="5"/>
  <c r="AO166" i="5" s="1"/>
  <c r="M167" i="5"/>
  <c r="AO167" i="5" s="1"/>
  <c r="M168" i="5"/>
  <c r="AO168" i="5" s="1"/>
  <c r="M169" i="5"/>
  <c r="AO169" i="5" s="1"/>
  <c r="M170" i="5"/>
  <c r="AO170" i="5" s="1"/>
  <c r="M171" i="5"/>
  <c r="AO171" i="5" s="1"/>
  <c r="M172" i="5"/>
  <c r="AO172" i="5" s="1"/>
  <c r="M173" i="5"/>
  <c r="AO173" i="5" s="1"/>
  <c r="M174" i="5"/>
  <c r="AO174" i="5" s="1"/>
  <c r="M175" i="5"/>
  <c r="AO175" i="5" s="1"/>
  <c r="M176" i="5"/>
  <c r="AO176" i="5" s="1"/>
  <c r="M177" i="5"/>
  <c r="AO177" i="5" s="1"/>
  <c r="M178" i="5"/>
  <c r="AO178" i="5" s="1"/>
  <c r="M179" i="5"/>
  <c r="AO179" i="5" s="1"/>
  <c r="M180" i="5"/>
  <c r="AO180" i="5" s="1"/>
  <c r="M181" i="5"/>
  <c r="AO181" i="5" s="1"/>
  <c r="M182" i="5"/>
  <c r="AO182" i="5" s="1"/>
  <c r="M183" i="5"/>
  <c r="AO183" i="5" s="1"/>
  <c r="M184" i="5"/>
  <c r="AO184" i="5" s="1"/>
  <c r="M185" i="5"/>
  <c r="AO185" i="5" s="1"/>
  <c r="M186" i="5"/>
  <c r="AO186" i="5" s="1"/>
  <c r="M187" i="5"/>
  <c r="AO187" i="5" s="1"/>
  <c r="M188" i="5"/>
  <c r="AO188" i="5" s="1"/>
  <c r="M189" i="5"/>
  <c r="AO189" i="5" s="1"/>
  <c r="M190" i="5"/>
  <c r="AO190" i="5" s="1"/>
  <c r="M191" i="5"/>
  <c r="AO191" i="5" s="1"/>
  <c r="M192" i="5"/>
  <c r="AO192" i="5" s="1"/>
  <c r="M193" i="5"/>
  <c r="AO193" i="5" s="1"/>
  <c r="M194" i="5"/>
  <c r="AO194" i="5" s="1"/>
  <c r="M195" i="5"/>
  <c r="AO195" i="5" s="1"/>
  <c r="M196" i="5"/>
  <c r="AO196" i="5" s="1"/>
  <c r="M197" i="5"/>
  <c r="AO197" i="5" s="1"/>
  <c r="M198" i="5"/>
  <c r="AO198" i="5" s="1"/>
  <c r="M199" i="5"/>
  <c r="AO199" i="5" s="1"/>
  <c r="M200" i="5"/>
  <c r="AO200" i="5" s="1"/>
  <c r="M201" i="5"/>
  <c r="AO201" i="5" s="1"/>
  <c r="M202" i="5"/>
  <c r="AO202" i="5" s="1"/>
  <c r="M203" i="5"/>
  <c r="AO203" i="5" s="1"/>
  <c r="M204" i="5"/>
  <c r="AO204" i="5" s="1"/>
  <c r="M205" i="5"/>
  <c r="AO205" i="5" s="1"/>
  <c r="M206" i="5"/>
  <c r="AO206" i="5" s="1"/>
  <c r="M207" i="5"/>
  <c r="AO207" i="5" s="1"/>
  <c r="M208" i="5"/>
  <c r="AO208" i="5" s="1"/>
  <c r="M209" i="5"/>
  <c r="AO209" i="5" s="1"/>
  <c r="M210" i="5"/>
  <c r="AO210" i="5" s="1"/>
  <c r="M211" i="5"/>
  <c r="AO211" i="5" s="1"/>
  <c r="M212" i="5"/>
  <c r="AO212" i="5" s="1"/>
  <c r="M213" i="5"/>
  <c r="AO213" i="5" s="1"/>
  <c r="M214" i="5"/>
  <c r="AO214" i="5" s="1"/>
  <c r="M215" i="5"/>
  <c r="AO215" i="5" s="1"/>
  <c r="M216" i="5"/>
  <c r="AO216" i="5" s="1"/>
  <c r="M217" i="5"/>
  <c r="AO217" i="5" s="1"/>
  <c r="M218" i="5"/>
  <c r="AO218" i="5" s="1"/>
  <c r="M219" i="5"/>
  <c r="AO219" i="5" s="1"/>
  <c r="M220" i="5"/>
  <c r="AO220" i="5" s="1"/>
  <c r="M221" i="5"/>
  <c r="AO221" i="5" s="1"/>
  <c r="M222" i="5"/>
  <c r="AO222" i="5" s="1"/>
  <c r="M223" i="5"/>
  <c r="AO223" i="5" s="1"/>
  <c r="M224" i="5"/>
  <c r="AO224" i="5" s="1"/>
  <c r="M225" i="5"/>
  <c r="AO225" i="5" s="1"/>
  <c r="M226" i="5"/>
  <c r="AO226" i="5" s="1"/>
  <c r="M227" i="5"/>
  <c r="AO227" i="5" s="1"/>
  <c r="M228" i="5"/>
  <c r="AO228" i="5" s="1"/>
  <c r="M229" i="5"/>
  <c r="AO229" i="5" s="1"/>
  <c r="M230" i="5"/>
  <c r="AO230" i="5" s="1"/>
  <c r="M231" i="5"/>
  <c r="AO231" i="5" s="1"/>
  <c r="M232" i="5"/>
  <c r="AO232" i="5" s="1"/>
  <c r="M233" i="5"/>
  <c r="AO233" i="5" s="1"/>
  <c r="M234" i="5"/>
  <c r="AO234" i="5" s="1"/>
  <c r="M235" i="5"/>
  <c r="AO235" i="5" s="1"/>
  <c r="M236" i="5"/>
  <c r="AO236" i="5" s="1"/>
  <c r="M237" i="5"/>
  <c r="AO237" i="5" s="1"/>
  <c r="M238" i="5"/>
  <c r="AO238" i="5" s="1"/>
  <c r="M239" i="5"/>
  <c r="AO239" i="5" s="1"/>
  <c r="M240" i="5"/>
  <c r="AO240" i="5" s="1"/>
  <c r="M241" i="5"/>
  <c r="AO241" i="5" s="1"/>
  <c r="M242" i="5"/>
  <c r="AO242" i="5" s="1"/>
  <c r="M243" i="5"/>
  <c r="AO243" i="5" s="1"/>
  <c r="M244" i="5"/>
  <c r="AO244" i="5" s="1"/>
  <c r="M245" i="5"/>
  <c r="AO245" i="5" s="1"/>
  <c r="M246" i="5"/>
  <c r="AO246" i="5" s="1"/>
  <c r="M247" i="5"/>
  <c r="AO247" i="5" s="1"/>
  <c r="M248" i="5"/>
  <c r="AO248" i="5" s="1"/>
  <c r="M249" i="5"/>
  <c r="AO249" i="5" s="1"/>
  <c r="M250" i="5"/>
  <c r="AO250" i="5" s="1"/>
  <c r="M251" i="5"/>
  <c r="AO251" i="5" s="1"/>
  <c r="M252" i="5"/>
  <c r="AO252" i="5" s="1"/>
  <c r="M253" i="5"/>
  <c r="AO253" i="5" s="1"/>
  <c r="M254" i="5"/>
  <c r="AO254" i="5" s="1"/>
  <c r="M255" i="5"/>
  <c r="AO255" i="5" s="1"/>
  <c r="M256" i="5"/>
  <c r="AO256" i="5" s="1"/>
  <c r="M257" i="5"/>
  <c r="AO257" i="5" s="1"/>
  <c r="M258" i="5"/>
  <c r="AO258" i="5" s="1"/>
  <c r="M259" i="5"/>
  <c r="AO259" i="5" s="1"/>
  <c r="M260" i="5"/>
  <c r="AO260" i="5" s="1"/>
  <c r="M261" i="5"/>
  <c r="AO261" i="5" s="1"/>
  <c r="M262" i="5"/>
  <c r="AO262" i="5" s="1"/>
  <c r="M263" i="5"/>
  <c r="AO263" i="5" s="1"/>
  <c r="M264" i="5"/>
  <c r="AO264" i="5" s="1"/>
  <c r="M265" i="5"/>
  <c r="AO265" i="5" s="1"/>
  <c r="M266" i="5"/>
  <c r="AO266" i="5" s="1"/>
  <c r="M267" i="5"/>
  <c r="AO267" i="5" s="1"/>
  <c r="M268" i="5"/>
  <c r="AO268" i="5" s="1"/>
  <c r="M269" i="5"/>
  <c r="AO269" i="5" s="1"/>
  <c r="M270" i="5"/>
  <c r="AO270" i="5" s="1"/>
  <c r="M271" i="5"/>
  <c r="AO271" i="5" s="1"/>
  <c r="M272" i="5"/>
  <c r="AO272" i="5" s="1"/>
  <c r="M273" i="5"/>
  <c r="AO273" i="5" s="1"/>
  <c r="M274" i="5"/>
  <c r="AO274" i="5" s="1"/>
  <c r="M275" i="5"/>
  <c r="AO275" i="5" s="1"/>
  <c r="M276" i="5"/>
  <c r="AO276" i="5" s="1"/>
  <c r="M277" i="5"/>
  <c r="AO277" i="5" s="1"/>
  <c r="M278" i="5"/>
  <c r="AO278" i="5" s="1"/>
  <c r="M279" i="5"/>
  <c r="AO279" i="5" s="1"/>
  <c r="M280" i="5"/>
  <c r="AO280" i="5" s="1"/>
  <c r="M281" i="5"/>
  <c r="AO281" i="5" s="1"/>
  <c r="M282" i="5"/>
  <c r="AO282" i="5" s="1"/>
  <c r="M283" i="5"/>
  <c r="AO283" i="5" s="1"/>
  <c r="M284" i="5"/>
  <c r="AO284" i="5" s="1"/>
  <c r="M285" i="5"/>
  <c r="AO285" i="5" s="1"/>
  <c r="M286" i="5"/>
  <c r="AO286" i="5" s="1"/>
  <c r="M287" i="5"/>
  <c r="AO287" i="5" s="1"/>
  <c r="M288" i="5"/>
  <c r="AO288" i="5" s="1"/>
  <c r="M289" i="5"/>
  <c r="AO289" i="5" s="1"/>
  <c r="M290" i="5"/>
  <c r="AO290" i="5" s="1"/>
  <c r="M291" i="5"/>
  <c r="AO291" i="5" s="1"/>
  <c r="M292" i="5"/>
  <c r="AO292" i="5" s="1"/>
  <c r="M293" i="5"/>
  <c r="AO293" i="5" s="1"/>
  <c r="M294" i="5"/>
  <c r="AO294" i="5" s="1"/>
  <c r="M295" i="5"/>
  <c r="AO295" i="5" s="1"/>
  <c r="M296" i="5"/>
  <c r="AO296" i="5" s="1"/>
  <c r="M297" i="5"/>
  <c r="AO297" i="5" s="1"/>
  <c r="M298" i="5"/>
  <c r="AO298" i="5" s="1"/>
  <c r="M299" i="5"/>
  <c r="AO299" i="5" s="1"/>
  <c r="M300" i="5"/>
  <c r="AO300" i="5" s="1"/>
  <c r="M301" i="5"/>
  <c r="AO301" i="5" s="1"/>
  <c r="M302" i="5"/>
  <c r="AO302" i="5" s="1"/>
  <c r="M303" i="5"/>
  <c r="AO303" i="5" s="1"/>
  <c r="M304" i="5"/>
  <c r="AO304" i="5" s="1"/>
  <c r="M305" i="5"/>
  <c r="AO305" i="5" s="1"/>
  <c r="M306" i="5"/>
  <c r="AO306" i="5" s="1"/>
  <c r="M307" i="5"/>
  <c r="AO307" i="5" s="1"/>
  <c r="M308" i="5"/>
  <c r="AO308" i="5" s="1"/>
  <c r="M309" i="5"/>
  <c r="AO309" i="5" s="1"/>
  <c r="M310" i="5"/>
  <c r="AO310" i="5" s="1"/>
  <c r="M311" i="5"/>
  <c r="AO311" i="5" s="1"/>
  <c r="M312" i="5"/>
  <c r="AO312" i="5" s="1"/>
  <c r="M313" i="5"/>
  <c r="AO313" i="5" s="1"/>
  <c r="M314" i="5"/>
  <c r="AO314" i="5" s="1"/>
  <c r="M315" i="5"/>
  <c r="AO315" i="5" s="1"/>
  <c r="M316" i="5"/>
  <c r="AO316" i="5" s="1"/>
  <c r="M317" i="5"/>
  <c r="AO317" i="5" s="1"/>
  <c r="M318" i="5"/>
  <c r="AO318" i="5" s="1"/>
  <c r="M319" i="5"/>
  <c r="AO319" i="5" s="1"/>
  <c r="M320" i="5"/>
  <c r="AO320" i="5" s="1"/>
  <c r="M321" i="5"/>
  <c r="AO321" i="5" s="1"/>
  <c r="M322" i="5"/>
  <c r="AO322" i="5" s="1"/>
  <c r="M323" i="5"/>
  <c r="AO323" i="5" s="1"/>
  <c r="M324" i="5"/>
  <c r="AO324" i="5" s="1"/>
  <c r="M325" i="5"/>
  <c r="AO325" i="5" s="1"/>
  <c r="M326" i="5"/>
  <c r="AO326" i="5" s="1"/>
  <c r="M327" i="5"/>
  <c r="AO327" i="5" s="1"/>
  <c r="M328" i="5"/>
  <c r="AO328" i="5" s="1"/>
  <c r="M329" i="5"/>
  <c r="AO329" i="5" s="1"/>
  <c r="M330" i="5"/>
  <c r="AO330" i="5" s="1"/>
  <c r="M331" i="5"/>
  <c r="AO331" i="5" s="1"/>
  <c r="M332" i="5"/>
  <c r="AO332" i="5" s="1"/>
  <c r="M333" i="5"/>
  <c r="AO333" i="5" s="1"/>
  <c r="M334" i="5"/>
  <c r="AO334" i="5" s="1"/>
  <c r="M335" i="5"/>
  <c r="AO335" i="5" s="1"/>
  <c r="M336" i="5"/>
  <c r="AO336" i="5" s="1"/>
  <c r="M337" i="5"/>
  <c r="AO337" i="5" s="1"/>
  <c r="M338" i="5"/>
  <c r="AO338" i="5" s="1"/>
  <c r="M339" i="5"/>
  <c r="AO339" i="5" s="1"/>
  <c r="M340" i="5"/>
  <c r="AO340" i="5" s="1"/>
  <c r="M341" i="5"/>
  <c r="AO341" i="5" s="1"/>
  <c r="M342" i="5"/>
  <c r="AO342" i="5" s="1"/>
  <c r="M343" i="5"/>
  <c r="AO343" i="5" s="1"/>
  <c r="M344" i="5"/>
  <c r="AO344" i="5" s="1"/>
  <c r="M345" i="5"/>
  <c r="AO345" i="5" s="1"/>
  <c r="M346" i="5"/>
  <c r="AO346" i="5" s="1"/>
  <c r="M347" i="5"/>
  <c r="AO347" i="5" s="1"/>
  <c r="M348" i="5"/>
  <c r="AO348" i="5" s="1"/>
  <c r="M349" i="5"/>
  <c r="AO349" i="5" s="1"/>
  <c r="M350" i="5"/>
  <c r="AO350" i="5" s="1"/>
  <c r="M351" i="5"/>
  <c r="AO351" i="5" s="1"/>
  <c r="M352" i="5"/>
  <c r="AO352" i="5" s="1"/>
  <c r="M353" i="5"/>
  <c r="AO353" i="5" s="1"/>
  <c r="M354" i="5"/>
  <c r="AO354" i="5" s="1"/>
  <c r="M355" i="5"/>
  <c r="AO355" i="5" s="1"/>
  <c r="M356" i="5"/>
  <c r="AO356" i="5" s="1"/>
  <c r="M357" i="5"/>
  <c r="AO357" i="5" s="1"/>
  <c r="M358" i="5"/>
  <c r="AO358" i="5" s="1"/>
  <c r="M359" i="5"/>
  <c r="AO359" i="5" s="1"/>
  <c r="M360" i="5"/>
  <c r="AO360" i="5" s="1"/>
  <c r="M361" i="5"/>
  <c r="AO361" i="5" s="1"/>
  <c r="M362" i="5"/>
  <c r="AO362" i="5" s="1"/>
  <c r="M363" i="5"/>
  <c r="AO363" i="5" s="1"/>
  <c r="M364" i="5"/>
  <c r="AO364" i="5" s="1"/>
  <c r="M365" i="5"/>
  <c r="AO365" i="5" s="1"/>
  <c r="M366" i="5"/>
  <c r="AO366" i="5" s="1"/>
  <c r="M367" i="5"/>
  <c r="AO367" i="5" s="1"/>
  <c r="M368" i="5"/>
  <c r="AO368" i="5" s="1"/>
  <c r="M369" i="5"/>
  <c r="AO369" i="5" s="1"/>
  <c r="M370" i="5"/>
  <c r="AO370" i="5" s="1"/>
  <c r="M371" i="5"/>
  <c r="AO371" i="5" s="1"/>
  <c r="M372" i="5"/>
  <c r="AO372" i="5" s="1"/>
  <c r="M373" i="5"/>
  <c r="AO373" i="5" s="1"/>
  <c r="M374" i="5"/>
  <c r="AO374" i="5" s="1"/>
  <c r="M375" i="5"/>
  <c r="AO375" i="5" s="1"/>
  <c r="M376" i="5"/>
  <c r="AO376" i="5" s="1"/>
  <c r="M377" i="5"/>
  <c r="AO377" i="5" s="1"/>
  <c r="M378" i="5"/>
  <c r="AO378" i="5" s="1"/>
  <c r="M379" i="5"/>
  <c r="AO379" i="5" s="1"/>
  <c r="M380" i="5"/>
  <c r="AO380" i="5" s="1"/>
  <c r="M381" i="5"/>
  <c r="AO381" i="5" s="1"/>
  <c r="M382" i="5"/>
  <c r="AO382" i="5" s="1"/>
  <c r="M383" i="5"/>
  <c r="AO383" i="5" s="1"/>
  <c r="M384" i="5"/>
  <c r="AO384" i="5" s="1"/>
  <c r="M385" i="5"/>
  <c r="AO385" i="5" s="1"/>
  <c r="M386" i="5"/>
  <c r="AO386" i="5" s="1"/>
  <c r="M387" i="5"/>
  <c r="AO387" i="5" s="1"/>
  <c r="M388" i="5"/>
  <c r="AO388" i="5" s="1"/>
  <c r="M389" i="5"/>
  <c r="AO389" i="5" s="1"/>
  <c r="M390" i="5"/>
  <c r="AO390" i="5" s="1"/>
  <c r="M391" i="5"/>
  <c r="AO391" i="5" s="1"/>
  <c r="M392" i="5"/>
  <c r="AO392" i="5" s="1"/>
  <c r="M393" i="5"/>
  <c r="AO393" i="5" s="1"/>
  <c r="M394" i="5"/>
  <c r="AO394" i="5" s="1"/>
  <c r="M395" i="5"/>
  <c r="AO395" i="5" s="1"/>
  <c r="M396" i="5"/>
  <c r="AO396" i="5" s="1"/>
  <c r="M397" i="5"/>
  <c r="AO397" i="5" s="1"/>
  <c r="M398" i="5"/>
  <c r="AO398" i="5" s="1"/>
  <c r="M399" i="5"/>
  <c r="AO399" i="5" s="1"/>
  <c r="M400" i="5"/>
  <c r="AO400" i="5" s="1"/>
  <c r="M401" i="5"/>
  <c r="AO401" i="5" s="1"/>
  <c r="M402" i="5"/>
  <c r="AO402" i="5" s="1"/>
  <c r="M403" i="5"/>
  <c r="AO403" i="5" s="1"/>
  <c r="M404" i="5"/>
  <c r="AO404" i="5" s="1"/>
  <c r="M405" i="5"/>
  <c r="AO405" i="5" s="1"/>
  <c r="M406" i="5"/>
  <c r="AO406" i="5" s="1"/>
  <c r="M407" i="5"/>
  <c r="AO407" i="5" s="1"/>
  <c r="M408" i="5"/>
  <c r="AO408" i="5" s="1"/>
  <c r="M409" i="5"/>
  <c r="AO409" i="5" s="1"/>
  <c r="M410" i="5"/>
  <c r="AO410" i="5" s="1"/>
  <c r="M411" i="5"/>
  <c r="AO411" i="5" s="1"/>
  <c r="M412" i="5"/>
  <c r="AO412" i="5" s="1"/>
  <c r="M413" i="5"/>
  <c r="AO413" i="5" s="1"/>
  <c r="M414" i="5"/>
  <c r="AO414" i="5" s="1"/>
  <c r="M415" i="5"/>
  <c r="AO415" i="5" s="1"/>
  <c r="M416" i="5"/>
  <c r="AO416" i="5" s="1"/>
  <c r="M417" i="5"/>
  <c r="AO417" i="5" s="1"/>
  <c r="M418" i="5"/>
  <c r="AO418" i="5" s="1"/>
  <c r="M419" i="5"/>
  <c r="AO419" i="5" s="1"/>
  <c r="M420" i="5"/>
  <c r="AO420" i="5" s="1"/>
  <c r="M421" i="5"/>
  <c r="AO421" i="5" s="1"/>
  <c r="M422" i="5"/>
  <c r="AO422" i="5" s="1"/>
  <c r="M423" i="5"/>
  <c r="AO423" i="5" s="1"/>
  <c r="M424" i="5"/>
  <c r="AO424" i="5" s="1"/>
  <c r="M425" i="5"/>
  <c r="AO425" i="5" s="1"/>
  <c r="M426" i="5"/>
  <c r="AO426" i="5" s="1"/>
  <c r="M427" i="5"/>
  <c r="AO427" i="5" s="1"/>
  <c r="M428" i="5"/>
  <c r="AO428" i="5" s="1"/>
  <c r="M429" i="5"/>
  <c r="AO429" i="5" s="1"/>
  <c r="M430" i="5"/>
  <c r="AO430" i="5" s="1"/>
  <c r="M431" i="5"/>
  <c r="AO431" i="5" s="1"/>
  <c r="M432" i="5"/>
  <c r="AO432" i="5" s="1"/>
  <c r="M433" i="5"/>
  <c r="AO433" i="5" s="1"/>
  <c r="M434" i="5"/>
  <c r="AO434" i="5" s="1"/>
  <c r="M435" i="5"/>
  <c r="AO435" i="5" s="1"/>
  <c r="M436" i="5"/>
  <c r="AO436" i="5" s="1"/>
  <c r="M437" i="5"/>
  <c r="AO437" i="5" s="1"/>
  <c r="M438" i="5"/>
  <c r="AO438" i="5" s="1"/>
  <c r="M439" i="5"/>
  <c r="AO439" i="5" s="1"/>
  <c r="M440" i="5"/>
  <c r="AO440" i="5" s="1"/>
  <c r="M441" i="5"/>
  <c r="AO441" i="5" s="1"/>
  <c r="M442" i="5"/>
  <c r="AO442" i="5" s="1"/>
  <c r="M443" i="5"/>
  <c r="AO443" i="5" s="1"/>
  <c r="M444" i="5"/>
  <c r="AO444" i="5" s="1"/>
  <c r="M445" i="5"/>
  <c r="AO445" i="5" s="1"/>
  <c r="M446" i="5"/>
  <c r="AO446" i="5" s="1"/>
  <c r="M447" i="5"/>
  <c r="AO447" i="5" s="1"/>
  <c r="M448" i="5"/>
  <c r="AO448" i="5" s="1"/>
  <c r="M449" i="5"/>
  <c r="AO449" i="5" s="1"/>
  <c r="M450" i="5"/>
  <c r="AO450" i="5" s="1"/>
  <c r="M451" i="5"/>
  <c r="AO451" i="5" s="1"/>
  <c r="M452" i="5"/>
  <c r="AO452" i="5" s="1"/>
  <c r="M453" i="5"/>
  <c r="AO453" i="5" s="1"/>
  <c r="M454" i="5"/>
  <c r="AO454" i="5" s="1"/>
  <c r="M455" i="5"/>
  <c r="AO455" i="5" s="1"/>
  <c r="M456" i="5"/>
  <c r="AO456" i="5" s="1"/>
  <c r="M457" i="5"/>
  <c r="AO457" i="5" s="1"/>
  <c r="M458" i="5"/>
  <c r="AO458" i="5" s="1"/>
  <c r="M459" i="5"/>
  <c r="AO459" i="5" s="1"/>
  <c r="M460" i="5"/>
  <c r="AO460" i="5" s="1"/>
  <c r="M461" i="5"/>
  <c r="AO461" i="5" s="1"/>
  <c r="M462" i="5"/>
  <c r="AO462" i="5" s="1"/>
  <c r="M463" i="5"/>
  <c r="AO463" i="5" s="1"/>
  <c r="M464" i="5"/>
  <c r="AO464" i="5" s="1"/>
  <c r="M465" i="5"/>
  <c r="AO465" i="5" s="1"/>
  <c r="M466" i="5"/>
  <c r="AO466" i="5" s="1"/>
  <c r="M467" i="5"/>
  <c r="AO467" i="5" s="1"/>
  <c r="M468" i="5"/>
  <c r="AO468" i="5" s="1"/>
  <c r="M469" i="5"/>
  <c r="AO469" i="5" s="1"/>
  <c r="M470" i="5"/>
  <c r="AO470" i="5" s="1"/>
  <c r="M471" i="5"/>
  <c r="AO471" i="5" s="1"/>
  <c r="M472" i="5"/>
  <c r="AO472" i="5" s="1"/>
  <c r="M473" i="5"/>
  <c r="AO473" i="5" s="1"/>
  <c r="M474" i="5"/>
  <c r="AO474" i="5" s="1"/>
  <c r="M475" i="5"/>
  <c r="AO475" i="5" s="1"/>
  <c r="M476" i="5"/>
  <c r="AO476" i="5" s="1"/>
  <c r="M477" i="5"/>
  <c r="AO477" i="5" s="1"/>
  <c r="M478" i="5"/>
  <c r="AO478" i="5" s="1"/>
  <c r="M479" i="5"/>
  <c r="AO479" i="5" s="1"/>
  <c r="M480" i="5"/>
  <c r="AO480" i="5" s="1"/>
  <c r="M481" i="5"/>
  <c r="AO481" i="5" s="1"/>
  <c r="M482" i="5"/>
  <c r="AO482" i="5" s="1"/>
  <c r="M483" i="5"/>
  <c r="AO483" i="5" s="1"/>
  <c r="M484" i="5"/>
  <c r="AO484" i="5" s="1"/>
  <c r="M485" i="5"/>
  <c r="AO485" i="5" s="1"/>
  <c r="M486" i="5"/>
  <c r="AO486" i="5" s="1"/>
  <c r="M487" i="5"/>
  <c r="AO487" i="5" s="1"/>
  <c r="M488" i="5"/>
  <c r="AO488" i="5" s="1"/>
  <c r="M489" i="5"/>
  <c r="AO489" i="5" s="1"/>
  <c r="M490" i="5"/>
  <c r="AO490" i="5" s="1"/>
  <c r="M491" i="5"/>
  <c r="AO491" i="5" s="1"/>
  <c r="M492" i="5"/>
  <c r="AO492" i="5" s="1"/>
  <c r="M493" i="5"/>
  <c r="AO493" i="5" s="1"/>
  <c r="M494" i="5"/>
  <c r="AO494" i="5" s="1"/>
  <c r="M495" i="5"/>
  <c r="AO495" i="5" s="1"/>
  <c r="M496" i="5"/>
  <c r="AO496" i="5" s="1"/>
  <c r="M497" i="5"/>
  <c r="AO497" i="5" s="1"/>
  <c r="M498" i="5"/>
  <c r="AO498" i="5" s="1"/>
  <c r="M499" i="5"/>
  <c r="AO499" i="5" s="1"/>
  <c r="M500" i="5"/>
  <c r="AO500" i="5" s="1"/>
  <c r="M501" i="5"/>
  <c r="AO501" i="5" s="1"/>
  <c r="M502" i="5"/>
  <c r="AO502" i="5" s="1"/>
  <c r="M503" i="5"/>
  <c r="AO503" i="5" s="1"/>
  <c r="M504" i="5"/>
  <c r="AO504" i="5" s="1"/>
  <c r="M505" i="5"/>
  <c r="AO505" i="5" s="1"/>
  <c r="M506" i="5"/>
  <c r="AO506" i="5" s="1"/>
  <c r="M507" i="5"/>
  <c r="AO507" i="5" s="1"/>
  <c r="M508" i="5"/>
  <c r="AO508" i="5" s="1"/>
  <c r="M509" i="5"/>
  <c r="AO509" i="5" s="1"/>
  <c r="M510" i="5"/>
  <c r="AO510" i="5" s="1"/>
  <c r="M511" i="5"/>
  <c r="AO511" i="5" s="1"/>
  <c r="M512" i="5"/>
  <c r="AO512" i="5" s="1"/>
  <c r="M513" i="5"/>
  <c r="AO513" i="5" s="1"/>
  <c r="M514" i="5"/>
  <c r="AO514" i="5" s="1"/>
  <c r="M515" i="5"/>
  <c r="AO515" i="5" s="1"/>
  <c r="M516" i="5"/>
  <c r="AO516" i="5" s="1"/>
  <c r="M517" i="5"/>
  <c r="AO517" i="5" s="1"/>
  <c r="M518" i="5"/>
  <c r="AO518" i="5" s="1"/>
  <c r="M519" i="5"/>
  <c r="AO519" i="5" s="1"/>
  <c r="M520" i="5"/>
  <c r="AO520" i="5" s="1"/>
  <c r="M521" i="5"/>
  <c r="AO521" i="5" s="1"/>
  <c r="M522" i="5"/>
  <c r="AO522" i="5" s="1"/>
  <c r="M523" i="5"/>
  <c r="AO523" i="5" s="1"/>
  <c r="M524" i="5"/>
  <c r="AO524" i="5" s="1"/>
  <c r="M525" i="5"/>
  <c r="AO525" i="5" s="1"/>
  <c r="M526" i="5"/>
  <c r="AO526" i="5" s="1"/>
  <c r="M527" i="5"/>
  <c r="AO527" i="5" s="1"/>
  <c r="M528" i="5"/>
  <c r="AO528" i="5" s="1"/>
  <c r="M529" i="5"/>
  <c r="AO529" i="5" s="1"/>
  <c r="M530" i="5"/>
  <c r="AO530" i="5" s="1"/>
  <c r="M531" i="5"/>
  <c r="AO531" i="5" s="1"/>
  <c r="M532" i="5"/>
  <c r="AO532" i="5" s="1"/>
  <c r="M533" i="5"/>
  <c r="AO533" i="5" s="1"/>
  <c r="M534" i="5"/>
  <c r="AO534" i="5" s="1"/>
  <c r="M535" i="5"/>
  <c r="AO535" i="5" s="1"/>
  <c r="M536" i="5"/>
  <c r="AO536" i="5" s="1"/>
  <c r="M537" i="5"/>
  <c r="AO537" i="5" s="1"/>
  <c r="M538" i="5"/>
  <c r="AO538" i="5" s="1"/>
  <c r="M539" i="5"/>
  <c r="AO539" i="5" s="1"/>
  <c r="M540" i="5"/>
  <c r="AO540" i="5" s="1"/>
  <c r="M541" i="5"/>
  <c r="AO541" i="5" s="1"/>
  <c r="M542" i="5"/>
  <c r="AO542" i="5" s="1"/>
  <c r="M543" i="5"/>
  <c r="AO543" i="5" s="1"/>
  <c r="M544" i="5"/>
  <c r="AO544" i="5" s="1"/>
  <c r="M545" i="5"/>
  <c r="AO545" i="5" s="1"/>
  <c r="M546" i="5"/>
  <c r="AO546" i="5" s="1"/>
  <c r="M547" i="5"/>
  <c r="AO547" i="5" s="1"/>
  <c r="M548" i="5"/>
  <c r="AO548" i="5" s="1"/>
  <c r="M549" i="5"/>
  <c r="AO549" i="5" s="1"/>
  <c r="M550" i="5"/>
  <c r="AO550" i="5" s="1"/>
  <c r="M551" i="5"/>
  <c r="AO551" i="5" s="1"/>
  <c r="M552" i="5"/>
  <c r="AO552" i="5" s="1"/>
  <c r="M553" i="5"/>
  <c r="AO553" i="5" s="1"/>
  <c r="M554" i="5"/>
  <c r="AO554" i="5" s="1"/>
  <c r="M555" i="5"/>
  <c r="AO555" i="5" s="1"/>
  <c r="M556" i="5"/>
  <c r="AO556" i="5" s="1"/>
  <c r="M557" i="5"/>
  <c r="AO557" i="5" s="1"/>
  <c r="M558" i="5"/>
  <c r="AO558" i="5" s="1"/>
  <c r="M559" i="5"/>
  <c r="AO559" i="5" s="1"/>
  <c r="M560" i="5"/>
  <c r="AO560" i="5" s="1"/>
  <c r="M561" i="5"/>
  <c r="AO561" i="5" s="1"/>
  <c r="M562" i="5"/>
  <c r="AO562" i="5" s="1"/>
  <c r="M563" i="5"/>
  <c r="AO563" i="5" s="1"/>
  <c r="M564" i="5"/>
  <c r="AO564" i="5" s="1"/>
  <c r="M565" i="5"/>
  <c r="AO565" i="5" s="1"/>
  <c r="M566" i="5"/>
  <c r="AO566" i="5" s="1"/>
  <c r="M567" i="5"/>
  <c r="AO567" i="5" s="1"/>
  <c r="M568" i="5"/>
  <c r="AO568" i="5" s="1"/>
  <c r="M569" i="5"/>
  <c r="AO569" i="5" s="1"/>
  <c r="M570" i="5"/>
  <c r="AO570" i="5" s="1"/>
  <c r="M571" i="5"/>
  <c r="AO571" i="5" s="1"/>
  <c r="M572" i="5"/>
  <c r="AO572" i="5" s="1"/>
  <c r="M573" i="5"/>
  <c r="AO573" i="5" s="1"/>
  <c r="M574" i="5"/>
  <c r="AO574" i="5" s="1"/>
  <c r="M575" i="5"/>
  <c r="AO575" i="5" s="1"/>
  <c r="M576" i="5"/>
  <c r="AO576" i="5" s="1"/>
  <c r="M577" i="5"/>
  <c r="AO577" i="5" s="1"/>
  <c r="M578" i="5"/>
  <c r="AO578" i="5" s="1"/>
  <c r="M579" i="5"/>
  <c r="AO579" i="5" s="1"/>
  <c r="M580" i="5"/>
  <c r="AO580" i="5" s="1"/>
  <c r="M581" i="5"/>
  <c r="AO581" i="5" s="1"/>
  <c r="M582" i="5"/>
  <c r="AO582" i="5" s="1"/>
  <c r="M583" i="5"/>
  <c r="AO583" i="5" s="1"/>
  <c r="M584" i="5"/>
  <c r="AO584" i="5" s="1"/>
  <c r="M585" i="5"/>
  <c r="AO585" i="5" s="1"/>
  <c r="M586" i="5"/>
  <c r="AO586" i="5" s="1"/>
  <c r="M587" i="5"/>
  <c r="AO587" i="5" s="1"/>
  <c r="M588" i="5"/>
  <c r="AO588" i="5" s="1"/>
  <c r="M589" i="5"/>
  <c r="M590" i="5"/>
  <c r="AO590" i="5" s="1"/>
  <c r="M592" i="5"/>
  <c r="AO592" i="5" s="1"/>
  <c r="M593" i="5"/>
  <c r="AO593" i="5" s="1"/>
  <c r="M594" i="5"/>
  <c r="AO594" i="5" s="1"/>
  <c r="M595" i="5"/>
  <c r="AO595" i="5" s="1"/>
  <c r="AO596" i="5"/>
  <c r="AO597" i="5"/>
  <c r="M599" i="5"/>
  <c r="AO599" i="5" s="1"/>
  <c r="M600" i="5"/>
  <c r="AO600" i="5" s="1"/>
  <c r="M601" i="5"/>
  <c r="AO601" i="5" s="1"/>
  <c r="M602" i="5"/>
  <c r="AO602" i="5" s="1"/>
  <c r="M603" i="5"/>
  <c r="AO603" i="5" s="1"/>
  <c r="M604" i="5"/>
  <c r="AO604" i="5" s="1"/>
  <c r="M605" i="5"/>
  <c r="AO605" i="5" s="1"/>
  <c r="M606" i="5"/>
  <c r="AO606" i="5" s="1"/>
  <c r="M607" i="5"/>
  <c r="AO607" i="5" s="1"/>
  <c r="M608" i="5"/>
  <c r="AO608" i="5" s="1"/>
  <c r="M609" i="5"/>
  <c r="AO609" i="5" s="1"/>
  <c r="M610" i="5"/>
  <c r="AO610" i="5" s="1"/>
  <c r="M611" i="5"/>
  <c r="AO611" i="5" s="1"/>
  <c r="M612" i="5"/>
  <c r="AO612" i="5" s="1"/>
  <c r="M613" i="5"/>
  <c r="AO613" i="5" s="1"/>
  <c r="M614" i="5"/>
  <c r="AO614" i="5" s="1"/>
  <c r="M615" i="5"/>
  <c r="AO615" i="5" s="1"/>
  <c r="M616" i="5"/>
  <c r="AO616" i="5" s="1"/>
  <c r="M617" i="5"/>
  <c r="AO617" i="5" s="1"/>
  <c r="M618" i="5"/>
  <c r="AO618" i="5" s="1"/>
  <c r="M619" i="5"/>
  <c r="AO619" i="5" s="1"/>
  <c r="M620" i="5"/>
  <c r="AO620" i="5" s="1"/>
  <c r="M621" i="5"/>
  <c r="AO621" i="5" s="1"/>
  <c r="M622" i="5"/>
  <c r="AO622" i="5" s="1"/>
  <c r="M623" i="5"/>
  <c r="AO623" i="5" s="1"/>
  <c r="M624" i="5"/>
  <c r="AO624" i="5" s="1"/>
  <c r="M625" i="5"/>
  <c r="AO625" i="5" s="1"/>
  <c r="M626" i="5"/>
  <c r="AO626" i="5" s="1"/>
  <c r="M627" i="5"/>
  <c r="AO627" i="5" s="1"/>
  <c r="M628" i="5"/>
  <c r="AO628" i="5" s="1"/>
  <c r="M629" i="5"/>
  <c r="AO629" i="5" s="1"/>
  <c r="M630" i="5"/>
  <c r="AO630" i="5" s="1"/>
  <c r="M631" i="5"/>
  <c r="AO631" i="5" s="1"/>
  <c r="M632" i="5"/>
  <c r="AO632" i="5" s="1"/>
  <c r="M633" i="5"/>
  <c r="AO633" i="5" s="1"/>
  <c r="M634" i="5"/>
  <c r="AO634" i="5" s="1"/>
  <c r="M635" i="5"/>
  <c r="AO635" i="5" s="1"/>
  <c r="M636" i="5"/>
  <c r="AO636" i="5" s="1"/>
  <c r="M637" i="5"/>
  <c r="AO637" i="5" s="1"/>
  <c r="M638" i="5"/>
  <c r="AO638" i="5" s="1"/>
  <c r="M639" i="5"/>
  <c r="AO639" i="5" s="1"/>
  <c r="M640" i="5"/>
  <c r="AO640" i="5" s="1"/>
  <c r="M641" i="5"/>
  <c r="AO641" i="5" s="1"/>
  <c r="M642" i="5"/>
  <c r="AO642" i="5" s="1"/>
  <c r="M643" i="5"/>
  <c r="AO643" i="5" s="1"/>
  <c r="M646" i="5"/>
  <c r="M9" i="5"/>
  <c r="AO9" i="5" s="1"/>
  <c r="M10" i="5"/>
  <c r="AO10" i="5" s="1"/>
  <c r="M11" i="5"/>
  <c r="AO11" i="5" s="1"/>
  <c r="M12" i="5"/>
  <c r="AO12" i="5" s="1"/>
  <c r="M8" i="5"/>
  <c r="AO8" i="5" s="1"/>
  <c r="AR589" i="5" l="1"/>
  <c r="AP589" i="5"/>
  <c r="AZ589" i="5"/>
  <c r="BA589" i="5"/>
  <c r="BA647" i="5" s="1"/>
  <c r="AX589" i="5"/>
  <c r="BB589" i="5"/>
  <c r="AQ589" i="5"/>
  <c r="AS589" i="5"/>
  <c r="AS647" i="5" s="1"/>
  <c r="AV589" i="5"/>
  <c r="AR647" i="5"/>
  <c r="AO589" i="5"/>
  <c r="AX647" i="5"/>
  <c r="BB594" i="5"/>
  <c r="BB645" i="5" s="1"/>
  <c r="AZ647" i="5"/>
  <c r="AX645" i="5"/>
  <c r="AZ645" i="5"/>
  <c r="BA645" i="5"/>
  <c r="AT645" i="5"/>
  <c r="AP647" i="5"/>
  <c r="AQ647" i="5"/>
  <c r="AR645" i="5"/>
  <c r="AS645" i="5"/>
  <c r="AT647" i="5"/>
  <c r="AU647" i="5"/>
  <c r="AP645" i="5"/>
  <c r="AY647" i="5"/>
  <c r="AV645" i="5"/>
  <c r="AW645" i="5"/>
  <c r="BB647" i="5"/>
  <c r="AY645" i="5"/>
  <c r="AU645" i="5"/>
  <c r="AQ645" i="5"/>
  <c r="AW647" i="5"/>
  <c r="AV647" i="5"/>
  <c r="AO645" i="5"/>
  <c r="AO647" i="5"/>
  <c r="E11" i="5"/>
  <c r="E12" i="5"/>
  <c r="E13" i="5"/>
  <c r="E15" i="5"/>
  <c r="E16" i="5"/>
  <c r="E17" i="5"/>
  <c r="E19" i="5"/>
  <c r="E20" i="5"/>
  <c r="E23" i="5"/>
  <c r="E24" i="5"/>
  <c r="E25" i="5"/>
  <c r="E26" i="5"/>
  <c r="E27" i="5"/>
  <c r="E28" i="5"/>
  <c r="E31" i="5"/>
  <c r="E33" i="5"/>
  <c r="E35" i="5"/>
  <c r="E36" i="5"/>
  <c r="E37" i="5"/>
  <c r="E39" i="5"/>
  <c r="E42" i="5"/>
  <c r="E43" i="5"/>
  <c r="E46" i="5"/>
  <c r="E47" i="5"/>
  <c r="E48" i="5"/>
  <c r="E50" i="5"/>
  <c r="E51" i="5"/>
  <c r="E52" i="5"/>
  <c r="E53" i="5"/>
  <c r="E55" i="5"/>
  <c r="E56" i="5"/>
  <c r="E58" i="5"/>
  <c r="E59" i="5"/>
  <c r="E60" i="5"/>
  <c r="E61" i="5"/>
  <c r="E62" i="5"/>
  <c r="E63" i="5"/>
  <c r="E64" i="5"/>
  <c r="E66" i="5"/>
  <c r="E67" i="5"/>
  <c r="E68" i="5"/>
  <c r="E69" i="5"/>
  <c r="E70" i="5"/>
  <c r="E71" i="5"/>
  <c r="E72" i="5"/>
  <c r="E74" i="5"/>
  <c r="E76" i="5"/>
  <c r="E79" i="5"/>
  <c r="E80" i="5"/>
  <c r="E81" i="5"/>
  <c r="E84" i="5"/>
  <c r="E87" i="5"/>
  <c r="E92" i="5"/>
  <c r="E93" i="5"/>
  <c r="E94" i="5"/>
  <c r="E97" i="5"/>
  <c r="E98" i="5"/>
  <c r="E99" i="5"/>
  <c r="E105" i="5"/>
  <c r="E107" i="5"/>
  <c r="E108" i="5"/>
  <c r="E109" i="5"/>
  <c r="E113" i="5"/>
  <c r="E116" i="5"/>
  <c r="E117" i="5"/>
  <c r="E119" i="5"/>
  <c r="E120" i="5"/>
  <c r="E121" i="5"/>
  <c r="E122" i="5"/>
  <c r="E123" i="5"/>
  <c r="E124" i="5"/>
  <c r="E125" i="5"/>
  <c r="E127" i="5"/>
  <c r="E128" i="5"/>
  <c r="E130" i="5"/>
  <c r="E131" i="5"/>
  <c r="E132" i="5"/>
  <c r="E143" i="5"/>
  <c r="E146" i="5"/>
  <c r="E147" i="5"/>
  <c r="E154" i="5"/>
  <c r="E155" i="5"/>
  <c r="E163" i="5"/>
  <c r="E164" i="5"/>
  <c r="E166" i="5"/>
  <c r="E167" i="5"/>
  <c r="E168" i="5"/>
  <c r="E169" i="5"/>
  <c r="E170" i="5"/>
  <c r="E172" i="5"/>
  <c r="E174" i="5"/>
  <c r="E176" i="5"/>
  <c r="E178" i="5"/>
  <c r="E179" i="5"/>
  <c r="E181" i="5"/>
  <c r="E183" i="5"/>
  <c r="E185" i="5"/>
  <c r="E187" i="5"/>
  <c r="E193" i="5"/>
  <c r="E194" i="5"/>
  <c r="E195" i="5"/>
  <c r="E196" i="5"/>
  <c r="E197" i="5"/>
  <c r="E198" i="5"/>
  <c r="E200" i="5"/>
  <c r="E201" i="5"/>
  <c r="E202" i="5"/>
  <c r="E203" i="5"/>
  <c r="E204" i="5"/>
  <c r="E205" i="5"/>
  <c r="E206" i="5"/>
  <c r="E208" i="5"/>
  <c r="E210" i="5"/>
  <c r="E212" i="5"/>
  <c r="E213" i="5"/>
  <c r="E215" i="5"/>
  <c r="E216" i="5"/>
  <c r="E217" i="5"/>
  <c r="E220" i="5"/>
  <c r="E224" i="5"/>
  <c r="E226" i="5"/>
  <c r="E229" i="5"/>
  <c r="E230" i="5"/>
  <c r="E231" i="5"/>
  <c r="E234" i="5"/>
  <c r="E235" i="5"/>
  <c r="E236" i="5"/>
  <c r="E240" i="5"/>
  <c r="E241" i="5"/>
  <c r="E243" i="5"/>
  <c r="E244" i="5"/>
  <c r="E246" i="5"/>
  <c r="E247" i="5"/>
  <c r="E248" i="5"/>
  <c r="E251" i="5"/>
  <c r="E252" i="5"/>
  <c r="E253" i="5"/>
  <c r="E254" i="5"/>
  <c r="E256" i="5"/>
  <c r="E257" i="5"/>
  <c r="E258" i="5"/>
  <c r="E259" i="5"/>
  <c r="E260" i="5"/>
  <c r="E261" i="5"/>
  <c r="E262" i="5"/>
  <c r="E264" i="5"/>
  <c r="E265" i="5"/>
  <c r="E266" i="5"/>
  <c r="E267" i="5"/>
  <c r="E268" i="5"/>
  <c r="E269" i="5"/>
  <c r="E270" i="5"/>
  <c r="E272" i="5"/>
  <c r="E273" i="5"/>
  <c r="E274" i="5"/>
  <c r="E275" i="5"/>
  <c r="E276" i="5"/>
  <c r="E277" i="5"/>
  <c r="E278" i="5"/>
  <c r="E280" i="5"/>
  <c r="E284" i="5"/>
  <c r="E285" i="5"/>
  <c r="E286" i="5"/>
  <c r="E287" i="5"/>
  <c r="E290" i="5"/>
  <c r="E293" i="5"/>
  <c r="E294" i="5"/>
  <c r="E296" i="5"/>
  <c r="E300" i="5"/>
  <c r="E301" i="5"/>
  <c r="E303" i="5"/>
  <c r="E306" i="5"/>
  <c r="E307" i="5"/>
  <c r="E310" i="5"/>
  <c r="E311" i="5"/>
  <c r="E312" i="5"/>
  <c r="E313" i="5"/>
  <c r="E316" i="5"/>
  <c r="E317" i="5"/>
  <c r="E318" i="5"/>
  <c r="E322" i="5"/>
  <c r="E323" i="5"/>
  <c r="E324" i="5"/>
  <c r="E326" i="5"/>
  <c r="E327" i="5"/>
  <c r="E329" i="5"/>
  <c r="E330" i="5"/>
  <c r="E331" i="5"/>
  <c r="E333" i="5"/>
  <c r="E334" i="5"/>
  <c r="E336" i="5"/>
  <c r="E337" i="5"/>
  <c r="E338" i="5"/>
  <c r="E339" i="5"/>
  <c r="E341" i="5"/>
  <c r="E342" i="5"/>
  <c r="E343" i="5"/>
  <c r="E347" i="5"/>
  <c r="E348" i="5"/>
  <c r="E350" i="5"/>
  <c r="E351" i="5"/>
  <c r="E352" i="5"/>
  <c r="E353" i="5"/>
  <c r="E354" i="5"/>
  <c r="E355" i="5"/>
  <c r="E356" i="5"/>
  <c r="E358" i="5"/>
  <c r="E359" i="5"/>
  <c r="E360" i="5"/>
  <c r="E361" i="5"/>
  <c r="E362" i="5"/>
  <c r="E363" i="5"/>
  <c r="E364" i="5"/>
  <c r="E366" i="5"/>
  <c r="E368" i="5"/>
  <c r="E370" i="5"/>
  <c r="E373" i="5"/>
  <c r="E374" i="5"/>
  <c r="E375" i="5"/>
  <c r="E377" i="5"/>
  <c r="E378" i="5"/>
  <c r="E380" i="5"/>
  <c r="E383" i="5"/>
  <c r="E384" i="5"/>
  <c r="E386" i="5"/>
  <c r="E387" i="5"/>
  <c r="E389" i="5"/>
  <c r="E390" i="5"/>
  <c r="E391" i="5"/>
  <c r="E393" i="5"/>
  <c r="E394" i="5"/>
  <c r="E395" i="5"/>
  <c r="E400" i="5"/>
  <c r="E401" i="5"/>
  <c r="E403" i="5"/>
  <c r="E404" i="5"/>
  <c r="E406" i="5"/>
  <c r="E407" i="5"/>
  <c r="E408" i="5"/>
  <c r="E410" i="5"/>
  <c r="E412" i="5"/>
  <c r="E413" i="5"/>
  <c r="E414" i="5"/>
  <c r="E415" i="5"/>
  <c r="E417" i="5"/>
  <c r="E418" i="5"/>
  <c r="E421" i="5"/>
  <c r="E424" i="5"/>
  <c r="E425" i="5"/>
  <c r="E426" i="5"/>
  <c r="E427" i="5"/>
  <c r="E429" i="5"/>
  <c r="E431" i="5"/>
  <c r="E432" i="5"/>
  <c r="E434" i="5"/>
  <c r="E435" i="5"/>
  <c r="E436" i="5"/>
  <c r="E437" i="5"/>
  <c r="E438" i="5"/>
  <c r="E439" i="5"/>
  <c r="E440" i="5"/>
  <c r="E442" i="5"/>
  <c r="E443" i="5"/>
  <c r="E444" i="5"/>
  <c r="E445" i="5"/>
  <c r="E446" i="5"/>
  <c r="E447" i="5"/>
  <c r="E448" i="5"/>
  <c r="E450" i="5"/>
  <c r="E451" i="5"/>
  <c r="E453" i="5"/>
  <c r="E455" i="5"/>
  <c r="E456" i="5"/>
  <c r="E461" i="5"/>
  <c r="E462" i="5"/>
  <c r="E463" i="5"/>
  <c r="E465" i="5"/>
  <c r="E467" i="5"/>
  <c r="E470" i="5"/>
  <c r="E472" i="5"/>
  <c r="E475" i="5"/>
  <c r="E476" i="5"/>
  <c r="E477" i="5"/>
  <c r="E481" i="5"/>
  <c r="E482" i="5"/>
  <c r="E483" i="5"/>
  <c r="E488" i="5"/>
  <c r="E489" i="5"/>
  <c r="E491" i="5"/>
  <c r="E492" i="5"/>
  <c r="E494" i="5"/>
  <c r="E495" i="5"/>
  <c r="E496" i="5"/>
  <c r="E497" i="5"/>
  <c r="E500" i="5"/>
  <c r="E501" i="5"/>
  <c r="E503" i="5"/>
  <c r="E504" i="5"/>
  <c r="E505" i="5"/>
  <c r="E507" i="5"/>
  <c r="E508" i="5"/>
  <c r="E510" i="5"/>
  <c r="E511" i="5"/>
  <c r="E512" i="5"/>
  <c r="E513" i="5"/>
  <c r="E514" i="5"/>
  <c r="E515" i="5"/>
  <c r="E516" i="5"/>
  <c r="E518" i="5"/>
  <c r="E519" i="5"/>
  <c r="E520" i="5"/>
  <c r="E521" i="5"/>
  <c r="E522" i="5"/>
  <c r="E523" i="5"/>
  <c r="E524" i="5"/>
  <c r="E526" i="5"/>
  <c r="E528" i="5"/>
  <c r="E530" i="5"/>
  <c r="E532" i="5"/>
  <c r="E533" i="5"/>
  <c r="E534" i="5"/>
  <c r="E537" i="5"/>
  <c r="E539" i="5"/>
  <c r="E542" i="5"/>
  <c r="E544" i="5"/>
  <c r="E546" i="5"/>
  <c r="E547" i="5"/>
  <c r="E548" i="5"/>
  <c r="E551" i="5"/>
  <c r="E552" i="5"/>
  <c r="E553" i="5"/>
  <c r="E559" i="5"/>
  <c r="E560" i="5"/>
  <c r="E562" i="5"/>
  <c r="E563" i="5"/>
  <c r="E564" i="5"/>
  <c r="E567" i="5"/>
  <c r="E570" i="5"/>
  <c r="E571" i="5"/>
  <c r="E572" i="5"/>
  <c r="E573" i="5"/>
  <c r="E577" i="5"/>
  <c r="E578" i="5"/>
  <c r="E580" i="5"/>
  <c r="E581" i="5"/>
  <c r="E582" i="5"/>
  <c r="E585" i="5"/>
  <c r="E586" i="5"/>
  <c r="E588" i="5"/>
  <c r="E589" i="5"/>
  <c r="E590" i="5"/>
  <c r="E592" i="5"/>
  <c r="E599" i="5"/>
  <c r="E609" i="5"/>
  <c r="E614" i="5"/>
  <c r="E623" i="5"/>
  <c r="E627" i="5"/>
  <c r="E635" i="5"/>
  <c r="E639" i="5"/>
  <c r="E642" i="5"/>
  <c r="E9" i="5"/>
  <c r="H2342" i="10" l="1"/>
  <c r="H2339" i="10"/>
  <c r="H2340" i="10" s="1"/>
  <c r="H2336" i="10"/>
  <c r="G2331" i="10"/>
  <c r="G2334" i="10" s="1"/>
  <c r="F2327" i="10"/>
  <c r="G2326" i="10"/>
  <c r="G2329" i="10" s="1"/>
  <c r="H2324" i="10"/>
  <c r="H2330" i="10" s="1"/>
  <c r="H2331" i="10" s="1"/>
  <c r="H2332" i="10" s="1"/>
  <c r="F2320" i="10"/>
  <c r="G2319" i="10"/>
  <c r="G2321" i="10" s="1"/>
  <c r="H2318" i="10"/>
  <c r="H2322" i="10" s="1"/>
  <c r="H2311" i="10"/>
  <c r="H2312" i="10" s="1"/>
  <c r="L2312" i="10" s="1"/>
  <c r="G2306" i="10"/>
  <c r="G2307" i="10" s="1"/>
  <c r="H2305" i="10"/>
  <c r="H2306" i="10" s="1"/>
  <c r="H2307" i="10" s="1"/>
  <c r="H2303" i="10"/>
  <c r="H2304" i="10" s="1"/>
  <c r="G2301" i="10"/>
  <c r="G2302" i="10" s="1"/>
  <c r="F2300" i="10"/>
  <c r="H2299" i="10"/>
  <c r="H2297" i="10"/>
  <c r="H2298" i="10" s="1"/>
  <c r="F2294" i="10"/>
  <c r="G2293" i="10"/>
  <c r="G2295" i="10" s="1"/>
  <c r="H2292" i="10"/>
  <c r="H2296" i="10" s="1"/>
  <c r="F2289" i="10"/>
  <c r="G2288" i="10"/>
  <c r="G2290" i="10" s="1"/>
  <c r="H2287" i="10"/>
  <c r="H2291" i="10" s="1"/>
  <c r="H2280" i="10"/>
  <c r="H2282" i="10" s="1"/>
  <c r="H2276" i="10"/>
  <c r="H2277" i="10" s="1"/>
  <c r="H2273" i="10"/>
  <c r="L2274" i="10" s="1"/>
  <c r="L2273" i="10" s="1"/>
  <c r="G2266" i="10"/>
  <c r="G2267" i="10" s="1"/>
  <c r="H2259" i="10"/>
  <c r="H2271" i="10" s="1"/>
  <c r="G2256" i="10"/>
  <c r="G2257" i="10" s="1"/>
  <c r="F2255" i="10"/>
  <c r="H2254" i="10"/>
  <c r="H2252" i="10"/>
  <c r="H2253" i="10" s="1"/>
  <c r="G2246" i="10"/>
  <c r="G2249" i="10" s="1"/>
  <c r="F2242" i="10"/>
  <c r="G2241" i="10"/>
  <c r="G2242" i="10" s="1"/>
  <c r="H2240" i="10"/>
  <c r="H2245" i="10" s="1"/>
  <c r="H2246" i="10" s="1"/>
  <c r="H2247" i="10" s="1"/>
  <c r="F2237" i="10"/>
  <c r="G2236" i="10"/>
  <c r="G2237" i="10" s="1"/>
  <c r="H2235" i="10"/>
  <c r="H2239" i="10" s="1"/>
  <c r="H2231" i="10"/>
  <c r="H2232" i="10" s="1"/>
  <c r="H2228" i="10"/>
  <c r="H2229" i="10" s="1"/>
  <c r="G2222" i="10"/>
  <c r="G2226" i="10" s="1"/>
  <c r="G2220" i="10"/>
  <c r="G2214" i="10"/>
  <c r="G2217" i="10" s="1"/>
  <c r="F2210" i="10"/>
  <c r="G2209" i="10"/>
  <c r="G2210" i="10" s="1"/>
  <c r="H2208" i="10"/>
  <c r="H2213" i="10" s="1"/>
  <c r="H2218" i="10" s="1"/>
  <c r="G2204" i="10"/>
  <c r="G2205" i="10" s="1"/>
  <c r="F2203" i="10"/>
  <c r="H2202" i="10"/>
  <c r="G2195" i="10"/>
  <c r="G2197" i="10" s="1"/>
  <c r="H2188" i="10"/>
  <c r="L2200" i="10" s="1"/>
  <c r="H2184" i="10"/>
  <c r="H2185" i="10" s="1"/>
  <c r="H2186" i="10" s="1"/>
  <c r="G2177" i="10"/>
  <c r="G2179" i="10" s="1"/>
  <c r="H2170" i="10"/>
  <c r="L2182" i="10" s="1"/>
  <c r="H2166" i="10"/>
  <c r="H2167" i="10" s="1"/>
  <c r="H2163" i="10"/>
  <c r="H2164" i="10" s="1"/>
  <c r="L2164" i="10" s="1"/>
  <c r="L2163" i="10" s="1"/>
  <c r="H2160" i="10"/>
  <c r="L2161" i="10" s="1"/>
  <c r="L2160" i="10" s="1"/>
  <c r="G2154" i="10"/>
  <c r="G2157" i="10" s="1"/>
  <c r="G2152" i="10"/>
  <c r="H2150" i="10"/>
  <c r="H2147" i="10"/>
  <c r="H2148" i="10" s="1"/>
  <c r="H2145" i="10"/>
  <c r="H2146" i="10" s="1"/>
  <c r="L2146" i="10" s="1"/>
  <c r="H2143" i="10"/>
  <c r="H2144" i="10" s="1"/>
  <c r="L2144" i="10" s="1"/>
  <c r="H2141" i="10"/>
  <c r="H2142" i="10" s="1"/>
  <c r="H2139" i="10"/>
  <c r="H2140" i="10" s="1"/>
  <c r="H2137" i="10"/>
  <c r="H2138" i="10" s="1"/>
  <c r="H2135" i="10"/>
  <c r="H2136" i="10" s="1"/>
  <c r="G2133" i="10"/>
  <c r="G2134" i="10" s="1"/>
  <c r="F2132" i="10"/>
  <c r="H2131" i="10"/>
  <c r="G2127" i="10"/>
  <c r="G2129" i="10" s="1"/>
  <c r="H2126" i="10"/>
  <c r="H2127" i="10" s="1"/>
  <c r="H2128" i="10" s="1"/>
  <c r="F2123" i="10"/>
  <c r="G2122" i="10"/>
  <c r="G2123" i="10" s="1"/>
  <c r="H2121" i="10"/>
  <c r="H2125" i="10" s="1"/>
  <c r="H2118" i="10"/>
  <c r="H2119" i="10" s="1"/>
  <c r="L2119" i="10" s="1"/>
  <c r="H2116" i="10"/>
  <c r="H2117" i="10" s="1"/>
  <c r="L2117" i="10" s="1"/>
  <c r="H2114" i="10"/>
  <c r="H2115" i="10" s="1"/>
  <c r="H2112" i="10"/>
  <c r="H2113" i="10" s="1"/>
  <c r="G2110" i="10"/>
  <c r="G2111" i="10" s="1"/>
  <c r="F2109" i="10"/>
  <c r="H2108" i="10"/>
  <c r="G2106" i="10"/>
  <c r="G2107" i="10" s="1"/>
  <c r="F2105" i="10"/>
  <c r="H2104" i="10"/>
  <c r="G2100" i="10"/>
  <c r="G2102" i="10" s="1"/>
  <c r="H2099" i="10"/>
  <c r="H2100" i="10" s="1"/>
  <c r="H2101" i="10" s="1"/>
  <c r="F2096" i="10"/>
  <c r="G2095" i="10"/>
  <c r="G2097" i="10" s="1"/>
  <c r="H2094" i="10"/>
  <c r="H2098" i="10" s="1"/>
  <c r="F2091" i="10"/>
  <c r="G2090" i="10"/>
  <c r="G2092" i="10" s="1"/>
  <c r="H2089" i="10"/>
  <c r="H2093" i="10" s="1"/>
  <c r="H2086" i="10"/>
  <c r="H2087" i="10" s="1"/>
  <c r="L2087" i="10" s="1"/>
  <c r="H2084" i="10"/>
  <c r="H2085" i="10" s="1"/>
  <c r="L2085" i="10" s="1"/>
  <c r="H2079" i="10"/>
  <c r="H2083" i="10" s="1"/>
  <c r="H2072" i="10"/>
  <c r="H2077" i="10" s="1"/>
  <c r="H2068" i="10"/>
  <c r="H2069" i="10" s="1"/>
  <c r="L2069" i="10" s="1"/>
  <c r="L2068" i="10" s="1"/>
  <c r="H2065" i="10"/>
  <c r="H2066" i="10" s="1"/>
  <c r="G2055" i="10"/>
  <c r="G2057" i="10" s="1"/>
  <c r="H2048" i="10"/>
  <c r="L2060" i="10" s="1"/>
  <c r="G2046" i="10"/>
  <c r="H2042" i="10"/>
  <c r="H2043" i="10" s="1"/>
  <c r="H2046" i="10" s="1"/>
  <c r="H2039" i="10"/>
  <c r="H2036" i="10"/>
  <c r="H2037" i="10" s="1"/>
  <c r="L2037" i="10" s="1"/>
  <c r="L2036" i="10" s="1"/>
  <c r="H2029" i="10"/>
  <c r="H2034" i="10" s="1"/>
  <c r="L2034" i="10" s="1"/>
  <c r="L2030" i="10" s="1"/>
  <c r="G2019" i="10"/>
  <c r="G2022" i="10" s="1"/>
  <c r="G2016" i="10"/>
  <c r="G2017" i="10" s="1"/>
  <c r="F2011" i="10"/>
  <c r="G2010" i="10"/>
  <c r="F2006" i="10"/>
  <c r="G2005" i="10"/>
  <c r="H2004" i="10"/>
  <c r="H2007" i="10" s="1"/>
  <c r="H2003" i="10"/>
  <c r="H2025" i="10" s="1"/>
  <c r="L2025" i="10" s="1"/>
  <c r="H1993" i="10"/>
  <c r="H1995" i="10" s="1"/>
  <c r="F1990" i="10"/>
  <c r="F1989" i="10"/>
  <c r="F1988" i="10"/>
  <c r="H1986" i="10"/>
  <c r="H1991" i="10" s="1"/>
  <c r="L1991" i="10" s="1"/>
  <c r="L1986" i="10" s="1"/>
  <c r="H1981" i="10"/>
  <c r="H1983" i="10" s="1"/>
  <c r="L1983" i="10" s="1"/>
  <c r="F1978" i="10"/>
  <c r="F1977" i="10"/>
  <c r="F1976" i="10"/>
  <c r="H1974" i="10"/>
  <c r="H1970" i="10"/>
  <c r="H1971" i="10" s="1"/>
  <c r="L1971" i="10" s="1"/>
  <c r="H1967" i="10"/>
  <c r="H1968" i="10" s="1"/>
  <c r="L1968" i="10" s="1"/>
  <c r="L1967" i="10" s="1"/>
  <c r="G1957" i="10"/>
  <c r="G1958" i="10" s="1"/>
  <c r="H1950" i="10"/>
  <c r="H1953" i="10" s="1"/>
  <c r="G1943" i="10"/>
  <c r="G1945" i="10" s="1"/>
  <c r="H1936" i="10"/>
  <c r="H1948" i="10" s="1"/>
  <c r="H1931" i="10"/>
  <c r="H1934" i="10" s="1"/>
  <c r="L1934" i="10" s="1"/>
  <c r="G1924" i="10"/>
  <c r="G1926" i="10" s="1"/>
  <c r="H1917" i="10"/>
  <c r="H1922" i="10" s="1"/>
  <c r="H1912" i="10"/>
  <c r="L1914" i="10" s="1"/>
  <c r="F1910" i="10"/>
  <c r="G1907" i="10"/>
  <c r="H1903" i="10"/>
  <c r="H1899" i="10"/>
  <c r="H1896" i="10"/>
  <c r="H1891" i="10"/>
  <c r="H1889" i="10"/>
  <c r="H1884" i="10"/>
  <c r="H1880" i="10"/>
  <c r="F1877" i="10"/>
  <c r="G1876" i="10"/>
  <c r="F1874" i="10"/>
  <c r="G1873" i="10"/>
  <c r="H1868" i="10"/>
  <c r="G1865" i="10"/>
  <c r="F1864" i="10"/>
  <c r="H1863" i="10"/>
  <c r="G1861" i="10"/>
  <c r="H1850" i="10"/>
  <c r="H1842" i="10"/>
  <c r="H1832" i="10"/>
  <c r="G1826" i="10"/>
  <c r="F1823" i="10"/>
  <c r="H1822" i="10"/>
  <c r="H1819" i="10"/>
  <c r="G1816" i="10"/>
  <c r="H1813" i="10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520" i="3"/>
  <c r="H2343" i="10"/>
  <c r="L2343" i="10"/>
  <c r="I2343" i="10"/>
  <c r="E2343" i="10"/>
  <c r="M2343" i="10" s="1"/>
  <c r="M2342" i="10" s="1"/>
  <c r="I2340" i="10"/>
  <c r="E2340" i="10"/>
  <c r="M2340" i="10" s="1"/>
  <c r="M2339" i="10" s="1"/>
  <c r="H2337" i="10"/>
  <c r="L2337" i="10" s="1"/>
  <c r="I2337" i="10"/>
  <c r="E2337" i="10"/>
  <c r="M2337" i="10" s="1"/>
  <c r="M2336" i="10" s="1"/>
  <c r="H2325" i="10"/>
  <c r="H2328" i="10" s="1"/>
  <c r="I2334" i="10"/>
  <c r="E2334" i="10"/>
  <c r="I2333" i="10"/>
  <c r="E2333" i="10"/>
  <c r="M2333" i="10" s="1"/>
  <c r="I2332" i="10"/>
  <c r="E2332" i="10"/>
  <c r="M2332" i="10" s="1"/>
  <c r="I2331" i="10"/>
  <c r="E2331" i="10"/>
  <c r="P2331" i="10" s="1"/>
  <c r="I2329" i="10"/>
  <c r="E2329" i="10"/>
  <c r="I2328" i="10"/>
  <c r="G2328" i="10"/>
  <c r="E2328" i="10"/>
  <c r="M2328" i="10" s="1"/>
  <c r="I2327" i="10"/>
  <c r="E2327" i="10"/>
  <c r="M2327" i="10" s="1"/>
  <c r="I2326" i="10"/>
  <c r="E2326" i="10"/>
  <c r="M2326" i="10" s="1"/>
  <c r="I2322" i="10"/>
  <c r="E2322" i="10"/>
  <c r="I2321" i="10"/>
  <c r="E2321" i="10"/>
  <c r="M2321" i="10" s="1"/>
  <c r="I2320" i="10"/>
  <c r="G2320" i="10"/>
  <c r="E2320" i="10"/>
  <c r="M2320" i="10" s="1"/>
  <c r="I2319" i="10"/>
  <c r="E2319" i="10"/>
  <c r="M2319" i="10" s="1"/>
  <c r="H2313" i="10"/>
  <c r="I2316" i="10"/>
  <c r="E2313" i="10"/>
  <c r="N2313" i="10" s="1"/>
  <c r="I2313" i="10"/>
  <c r="E2314" i="10"/>
  <c r="O2314" i="10" s="1"/>
  <c r="I2314" i="10"/>
  <c r="E2315" i="10"/>
  <c r="N2315" i="10" s="1"/>
  <c r="I2315" i="10"/>
  <c r="I2312" i="10"/>
  <c r="E2312" i="10"/>
  <c r="M2312" i="10" s="1"/>
  <c r="I2309" i="10"/>
  <c r="E2309" i="10"/>
  <c r="I2308" i="10"/>
  <c r="E2308" i="10"/>
  <c r="M2308" i="10" s="1"/>
  <c r="I2307" i="10"/>
  <c r="E2307" i="10"/>
  <c r="M2307" i="10" s="1"/>
  <c r="I2306" i="10"/>
  <c r="E2306" i="10"/>
  <c r="P2306" i="10" s="1"/>
  <c r="I2304" i="10"/>
  <c r="E2304" i="10"/>
  <c r="M2304" i="10" s="1"/>
  <c r="I2302" i="10"/>
  <c r="E2302" i="10"/>
  <c r="M2302" i="10" s="1"/>
  <c r="I2301" i="10"/>
  <c r="E2301" i="10"/>
  <c r="O2301" i="10" s="1"/>
  <c r="I2300" i="10"/>
  <c r="E2300" i="10"/>
  <c r="P2300" i="10" s="1"/>
  <c r="I2298" i="10"/>
  <c r="E2298" i="10"/>
  <c r="P2298" i="10" s="1"/>
  <c r="I2296" i="10"/>
  <c r="E2296" i="10"/>
  <c r="I2295" i="10"/>
  <c r="E2295" i="10"/>
  <c r="M2295" i="10" s="1"/>
  <c r="I2294" i="10"/>
  <c r="E2294" i="10"/>
  <c r="M2294" i="10" s="1"/>
  <c r="I2293" i="10"/>
  <c r="E2293" i="10"/>
  <c r="M2293" i="10" s="1"/>
  <c r="I2291" i="10"/>
  <c r="E2291" i="10"/>
  <c r="I2290" i="10"/>
  <c r="E2290" i="10"/>
  <c r="M2290" i="10" s="1"/>
  <c r="I2289" i="10"/>
  <c r="E2289" i="10"/>
  <c r="M2289" i="10" s="1"/>
  <c r="I2288" i="10"/>
  <c r="E2288" i="10"/>
  <c r="P2288" i="10" s="1"/>
  <c r="E2282" i="10"/>
  <c r="M2282" i="10" s="1"/>
  <c r="I2282" i="10"/>
  <c r="I2281" i="10"/>
  <c r="E2281" i="10"/>
  <c r="M2281" i="10" s="1"/>
  <c r="I2278" i="10"/>
  <c r="E2278" i="10"/>
  <c r="M2278" i="10" s="1"/>
  <c r="I2277" i="10"/>
  <c r="E2277" i="10"/>
  <c r="O2277" i="10" s="1"/>
  <c r="I2274" i="10"/>
  <c r="E2274" i="10"/>
  <c r="M2274" i="10" s="1"/>
  <c r="M2273" i="10" s="1"/>
  <c r="I2271" i="10"/>
  <c r="E2271" i="10"/>
  <c r="M2271" i="10" s="1"/>
  <c r="I2270" i="10"/>
  <c r="E2270" i="10"/>
  <c r="O2270" i="10" s="1"/>
  <c r="I2269" i="10"/>
  <c r="E2269" i="10"/>
  <c r="I2268" i="10"/>
  <c r="E2268" i="10"/>
  <c r="O2268" i="10" s="1"/>
  <c r="I2267" i="10"/>
  <c r="E2267" i="10"/>
  <c r="P2267" i="10" s="1"/>
  <c r="I2266" i="10"/>
  <c r="E2266" i="10"/>
  <c r="P2266" i="10" s="1"/>
  <c r="I2265" i="10"/>
  <c r="E2265" i="10"/>
  <c r="I2264" i="10"/>
  <c r="E2264" i="10"/>
  <c r="P2264" i="10" s="1"/>
  <c r="I2263" i="10"/>
  <c r="E2263" i="10"/>
  <c r="I2262" i="10"/>
  <c r="E2262" i="10"/>
  <c r="P2262" i="10" s="1"/>
  <c r="I2261" i="10"/>
  <c r="E2261" i="10"/>
  <c r="I2260" i="10"/>
  <c r="E2260" i="10"/>
  <c r="I2257" i="10"/>
  <c r="E2257" i="10"/>
  <c r="M2257" i="10" s="1"/>
  <c r="I2256" i="10"/>
  <c r="E2256" i="10"/>
  <c r="P2256" i="10" s="1"/>
  <c r="I2255" i="10"/>
  <c r="E2255" i="10"/>
  <c r="P2255" i="10" s="1"/>
  <c r="I2253" i="10"/>
  <c r="E2253" i="10"/>
  <c r="M2253" i="10" s="1"/>
  <c r="I2251" i="10"/>
  <c r="E2251" i="10"/>
  <c r="M2251" i="10" s="1"/>
  <c r="I2249" i="10"/>
  <c r="E2249" i="10"/>
  <c r="I2248" i="10"/>
  <c r="E2248" i="10"/>
  <c r="M2248" i="10" s="1"/>
  <c r="I2247" i="10"/>
  <c r="E2247" i="10"/>
  <c r="M2247" i="10" s="1"/>
  <c r="I2246" i="10"/>
  <c r="E2246" i="10"/>
  <c r="P2246" i="10" s="1"/>
  <c r="I2244" i="10"/>
  <c r="E2244" i="10"/>
  <c r="I2243" i="10"/>
  <c r="E2243" i="10"/>
  <c r="M2243" i="10" s="1"/>
  <c r="I2242" i="10"/>
  <c r="E2242" i="10"/>
  <c r="M2242" i="10" s="1"/>
  <c r="I2241" i="10"/>
  <c r="E2241" i="10"/>
  <c r="P2241" i="10" s="1"/>
  <c r="I2239" i="10"/>
  <c r="E2239" i="10"/>
  <c r="I2238" i="10"/>
  <c r="E2238" i="10"/>
  <c r="M2238" i="10" s="1"/>
  <c r="I2237" i="10"/>
  <c r="E2237" i="10"/>
  <c r="M2237" i="10" s="1"/>
  <c r="I2236" i="10"/>
  <c r="E2236" i="10"/>
  <c r="M2236" i="10" s="1"/>
  <c r="I2232" i="10"/>
  <c r="E2232" i="10"/>
  <c r="M2232" i="10" s="1"/>
  <c r="M2231" i="10" s="1"/>
  <c r="I2229" i="10"/>
  <c r="E2229" i="10"/>
  <c r="N2229" i="10" s="1"/>
  <c r="N2228" i="10" s="1"/>
  <c r="P2226" i="10"/>
  <c r="O2226" i="10"/>
  <c r="N2226" i="10"/>
  <c r="I2226" i="10"/>
  <c r="P2225" i="10"/>
  <c r="N2225" i="10"/>
  <c r="M2225" i="10"/>
  <c r="I2225" i="10"/>
  <c r="P2224" i="10"/>
  <c r="N2224" i="10"/>
  <c r="M2224" i="10"/>
  <c r="I2224" i="10"/>
  <c r="P2223" i="10"/>
  <c r="N2223" i="10"/>
  <c r="M2223" i="10"/>
  <c r="I2223" i="10"/>
  <c r="P2222" i="10"/>
  <c r="N2222" i="10"/>
  <c r="M2222" i="10"/>
  <c r="I2222" i="10"/>
  <c r="I2220" i="10"/>
  <c r="E2220" i="10"/>
  <c r="O2220" i="10" s="1"/>
  <c r="I2217" i="10"/>
  <c r="E2217" i="10"/>
  <c r="I2216" i="10"/>
  <c r="E2216" i="10"/>
  <c r="M2216" i="10" s="1"/>
  <c r="I2215" i="10"/>
  <c r="E2215" i="10"/>
  <c r="M2215" i="10" s="1"/>
  <c r="I2214" i="10"/>
  <c r="E2214" i="10"/>
  <c r="P2214" i="10" s="1"/>
  <c r="I2212" i="10"/>
  <c r="E2212" i="10"/>
  <c r="O2212" i="10" s="1"/>
  <c r="I2211" i="10"/>
  <c r="E2211" i="10"/>
  <c r="M2211" i="10" s="1"/>
  <c r="I2210" i="10"/>
  <c r="E2210" i="10"/>
  <c r="P2210" i="10" s="1"/>
  <c r="I2209" i="10"/>
  <c r="E2209" i="10"/>
  <c r="N2209" i="10" s="1"/>
  <c r="I2205" i="10"/>
  <c r="E2205" i="10"/>
  <c r="M2205" i="10" s="1"/>
  <c r="I2204" i="10"/>
  <c r="E2204" i="10"/>
  <c r="N2204" i="10" s="1"/>
  <c r="I2203" i="10"/>
  <c r="E2203" i="10"/>
  <c r="P2203" i="10" s="1"/>
  <c r="I2200" i="10"/>
  <c r="E2200" i="10"/>
  <c r="M2200" i="10" s="1"/>
  <c r="I2199" i="10"/>
  <c r="E2199" i="10"/>
  <c r="O2199" i="10" s="1"/>
  <c r="I2198" i="10"/>
  <c r="E2198" i="10"/>
  <c r="I2197" i="10"/>
  <c r="E2197" i="10"/>
  <c r="O2197" i="10" s="1"/>
  <c r="I2196" i="10"/>
  <c r="E2196" i="10"/>
  <c r="P2196" i="10" s="1"/>
  <c r="I2195" i="10"/>
  <c r="E2195" i="10"/>
  <c r="P2195" i="10" s="1"/>
  <c r="I2194" i="10"/>
  <c r="E2194" i="10"/>
  <c r="I2193" i="10"/>
  <c r="E2193" i="10"/>
  <c r="P2193" i="10" s="1"/>
  <c r="I2192" i="10"/>
  <c r="E2192" i="10"/>
  <c r="I2191" i="10"/>
  <c r="E2191" i="10"/>
  <c r="P2191" i="10" s="1"/>
  <c r="I2190" i="10"/>
  <c r="E2190" i="10"/>
  <c r="O2190" i="10" s="1"/>
  <c r="I2189" i="10"/>
  <c r="E2189" i="10"/>
  <c r="I2186" i="10"/>
  <c r="E2186" i="10"/>
  <c r="M2186" i="10" s="1"/>
  <c r="I2185" i="10"/>
  <c r="E2185" i="10"/>
  <c r="O2185" i="10" s="1"/>
  <c r="I2182" i="10"/>
  <c r="E2182" i="10"/>
  <c r="M2182" i="10" s="1"/>
  <c r="I2181" i="10"/>
  <c r="E2181" i="10"/>
  <c r="O2181" i="10" s="1"/>
  <c r="I2180" i="10"/>
  <c r="E2180" i="10"/>
  <c r="I2179" i="10"/>
  <c r="E2179" i="10"/>
  <c r="O2179" i="10" s="1"/>
  <c r="I2178" i="10"/>
  <c r="E2178" i="10"/>
  <c r="P2178" i="10" s="1"/>
  <c r="I2177" i="10"/>
  <c r="E2177" i="10"/>
  <c r="P2177" i="10" s="1"/>
  <c r="I2176" i="10"/>
  <c r="E2176" i="10"/>
  <c r="I2175" i="10"/>
  <c r="E2175" i="10"/>
  <c r="M2175" i="10" s="1"/>
  <c r="I2174" i="10"/>
  <c r="E2174" i="10"/>
  <c r="O2174" i="10" s="1"/>
  <c r="I2173" i="10"/>
  <c r="E2173" i="10"/>
  <c r="M2173" i="10" s="1"/>
  <c r="I2172" i="10"/>
  <c r="E2172" i="10"/>
  <c r="O2172" i="10" s="1"/>
  <c r="I2171" i="10"/>
  <c r="E2171" i="10"/>
  <c r="E2168" i="10"/>
  <c r="M2168" i="10" s="1"/>
  <c r="I2168" i="10"/>
  <c r="I2167" i="10"/>
  <c r="E2167" i="10"/>
  <c r="M2167" i="10" s="1"/>
  <c r="I2164" i="10"/>
  <c r="E2164" i="10"/>
  <c r="M2164" i="10" s="1"/>
  <c r="M2163" i="10" s="1"/>
  <c r="I2161" i="10"/>
  <c r="E2161" i="10"/>
  <c r="M2161" i="10" s="1"/>
  <c r="M2160" i="10" s="1"/>
  <c r="P2158" i="10"/>
  <c r="O2158" i="10"/>
  <c r="N2158" i="10"/>
  <c r="I2158" i="10"/>
  <c r="P2157" i="10"/>
  <c r="N2157" i="10"/>
  <c r="M2157" i="10"/>
  <c r="I2157" i="10"/>
  <c r="P2156" i="10"/>
  <c r="N2156" i="10"/>
  <c r="M2156" i="10"/>
  <c r="I2156" i="10"/>
  <c r="P2155" i="10"/>
  <c r="N2155" i="10"/>
  <c r="M2155" i="10"/>
  <c r="I2155" i="10"/>
  <c r="P2154" i="10"/>
  <c r="N2154" i="10"/>
  <c r="M2154" i="10"/>
  <c r="I2154" i="10"/>
  <c r="I2152" i="10"/>
  <c r="E2152" i="10"/>
  <c r="O2152" i="10" s="1"/>
  <c r="P2146" i="10"/>
  <c r="O2146" i="10"/>
  <c r="N2146" i="10"/>
  <c r="I2146" i="10"/>
  <c r="P2144" i="10"/>
  <c r="O2144" i="10"/>
  <c r="N2144" i="10"/>
  <c r="I2144" i="10"/>
  <c r="I2142" i="10"/>
  <c r="E2142" i="10"/>
  <c r="M2142" i="10" s="1"/>
  <c r="I2140" i="10"/>
  <c r="E2140" i="10"/>
  <c r="M2140" i="10" s="1"/>
  <c r="I2148" i="10"/>
  <c r="E2148" i="10"/>
  <c r="M2148" i="10" s="1"/>
  <c r="I2138" i="10"/>
  <c r="E2138" i="10"/>
  <c r="M2138" i="10" s="1"/>
  <c r="I2136" i="10"/>
  <c r="E2136" i="10"/>
  <c r="M2136" i="10" s="1"/>
  <c r="I2134" i="10"/>
  <c r="E2134" i="10"/>
  <c r="M2134" i="10" s="1"/>
  <c r="I2133" i="10"/>
  <c r="E2133" i="10"/>
  <c r="N2133" i="10" s="1"/>
  <c r="I2132" i="10"/>
  <c r="E2132" i="10"/>
  <c r="P2132" i="10" s="1"/>
  <c r="I2130" i="10"/>
  <c r="E2130" i="10"/>
  <c r="I2129" i="10"/>
  <c r="E2129" i="10"/>
  <c r="M2129" i="10" s="1"/>
  <c r="I2128" i="10"/>
  <c r="E2128" i="10"/>
  <c r="M2128" i="10" s="1"/>
  <c r="I2127" i="10"/>
  <c r="E2127" i="10"/>
  <c r="P2127" i="10" s="1"/>
  <c r="I2125" i="10"/>
  <c r="E2125" i="10"/>
  <c r="I2124" i="10"/>
  <c r="E2124" i="10"/>
  <c r="M2124" i="10" s="1"/>
  <c r="I2123" i="10"/>
  <c r="E2123" i="10"/>
  <c r="M2123" i="10" s="1"/>
  <c r="I2122" i="10"/>
  <c r="E2122" i="10"/>
  <c r="M2122" i="10" s="1"/>
  <c r="P2119" i="10"/>
  <c r="O2119" i="10"/>
  <c r="N2119" i="10"/>
  <c r="I2119" i="10"/>
  <c r="P2117" i="10"/>
  <c r="O2117" i="10"/>
  <c r="N2117" i="10"/>
  <c r="I2117" i="10"/>
  <c r="I2115" i="10"/>
  <c r="E2115" i="10"/>
  <c r="M2115" i="10" s="1"/>
  <c r="I2113" i="10"/>
  <c r="E2113" i="10"/>
  <c r="M2113" i="10" s="1"/>
  <c r="I2111" i="10"/>
  <c r="E2111" i="10"/>
  <c r="M2111" i="10" s="1"/>
  <c r="I2110" i="10"/>
  <c r="E2110" i="10"/>
  <c r="N2110" i="10" s="1"/>
  <c r="I2109" i="10"/>
  <c r="E2109" i="10"/>
  <c r="P2109" i="10" s="1"/>
  <c r="I2107" i="10"/>
  <c r="E2107" i="10"/>
  <c r="M2107" i="10" s="1"/>
  <c r="I2106" i="10"/>
  <c r="E2106" i="10"/>
  <c r="P2106" i="10" s="1"/>
  <c r="I2105" i="10"/>
  <c r="E2105" i="10"/>
  <c r="P2105" i="10" s="1"/>
  <c r="I2103" i="10"/>
  <c r="E2103" i="10"/>
  <c r="I2102" i="10"/>
  <c r="E2102" i="10"/>
  <c r="M2102" i="10" s="1"/>
  <c r="I2101" i="10"/>
  <c r="E2101" i="10"/>
  <c r="M2101" i="10" s="1"/>
  <c r="I2100" i="10"/>
  <c r="E2100" i="10"/>
  <c r="P2100" i="10" s="1"/>
  <c r="I2098" i="10"/>
  <c r="E2098" i="10"/>
  <c r="I2097" i="10"/>
  <c r="E2097" i="10"/>
  <c r="M2097" i="10" s="1"/>
  <c r="I2096" i="10"/>
  <c r="E2096" i="10"/>
  <c r="M2096" i="10" s="1"/>
  <c r="I2095" i="10"/>
  <c r="E2095" i="10"/>
  <c r="M2095" i="10" s="1"/>
  <c r="I2093" i="10"/>
  <c r="E2093" i="10"/>
  <c r="I2092" i="10"/>
  <c r="E2092" i="10"/>
  <c r="M2092" i="10" s="1"/>
  <c r="I2091" i="10"/>
  <c r="E2091" i="10"/>
  <c r="M2091" i="10" s="1"/>
  <c r="I2090" i="10"/>
  <c r="E2090" i="10"/>
  <c r="P2090" i="10" s="1"/>
  <c r="P2087" i="10"/>
  <c r="O2087" i="10"/>
  <c r="N2087" i="10"/>
  <c r="I2087" i="10"/>
  <c r="P2085" i="10"/>
  <c r="O2085" i="10"/>
  <c r="N2085" i="10"/>
  <c r="I2085" i="10"/>
  <c r="P2083" i="10"/>
  <c r="O2083" i="10"/>
  <c r="N2083" i="10"/>
  <c r="I2083" i="10"/>
  <c r="P2082" i="10"/>
  <c r="O2082" i="10"/>
  <c r="N2082" i="10"/>
  <c r="I2082" i="10"/>
  <c r="G2082" i="10"/>
  <c r="P2081" i="10"/>
  <c r="N2081" i="10"/>
  <c r="M2081" i="10"/>
  <c r="I2081" i="10"/>
  <c r="P2080" i="10"/>
  <c r="N2080" i="10"/>
  <c r="M2080" i="10"/>
  <c r="I2080" i="10"/>
  <c r="G2077" i="10"/>
  <c r="I2077" i="10"/>
  <c r="N2077" i="10"/>
  <c r="P2077" i="10"/>
  <c r="G2078" i="10"/>
  <c r="I2078" i="10"/>
  <c r="N2078" i="10"/>
  <c r="P2078" i="10"/>
  <c r="I2074" i="10"/>
  <c r="M2074" i="10"/>
  <c r="N2074" i="10"/>
  <c r="P2074" i="10"/>
  <c r="I2075" i="10"/>
  <c r="M2075" i="10"/>
  <c r="N2075" i="10"/>
  <c r="P2075" i="10"/>
  <c r="I2076" i="10"/>
  <c r="M2076" i="10"/>
  <c r="N2076" i="10"/>
  <c r="P2076" i="10"/>
  <c r="P2073" i="10"/>
  <c r="N2073" i="10"/>
  <c r="M2073" i="10"/>
  <c r="I2073" i="10"/>
  <c r="I2066" i="10"/>
  <c r="E2066" i="10"/>
  <c r="M2066" i="10" s="1"/>
  <c r="I2046" i="10"/>
  <c r="E2046" i="10"/>
  <c r="M2046" i="10" s="1"/>
  <c r="I2045" i="10"/>
  <c r="E2045" i="10"/>
  <c r="P2045" i="10" s="1"/>
  <c r="I2044" i="10"/>
  <c r="E2044" i="10"/>
  <c r="O2044" i="10" s="1"/>
  <c r="I2043" i="10"/>
  <c r="E2043" i="10"/>
  <c r="I2060" i="10"/>
  <c r="E2060" i="10"/>
  <c r="M2060" i="10" s="1"/>
  <c r="I2059" i="10"/>
  <c r="E2059" i="10"/>
  <c r="O2059" i="10" s="1"/>
  <c r="I2058" i="10"/>
  <c r="E2058" i="10"/>
  <c r="I2057" i="10"/>
  <c r="E2057" i="10"/>
  <c r="N2057" i="10" s="1"/>
  <c r="I2056" i="10"/>
  <c r="E2056" i="10"/>
  <c r="N2056" i="10" s="1"/>
  <c r="I2055" i="10"/>
  <c r="E2055" i="10"/>
  <c r="N2055" i="10" s="1"/>
  <c r="I2054" i="10"/>
  <c r="E2054" i="10"/>
  <c r="I2053" i="10"/>
  <c r="E2053" i="10"/>
  <c r="P2053" i="10" s="1"/>
  <c r="I2052" i="10"/>
  <c r="E2052" i="10"/>
  <c r="O2052" i="10" s="1"/>
  <c r="I2051" i="10"/>
  <c r="E2051" i="10"/>
  <c r="P2051" i="10" s="1"/>
  <c r="I2050" i="10"/>
  <c r="E2050" i="10"/>
  <c r="O2050" i="10" s="1"/>
  <c r="I2049" i="10"/>
  <c r="E2049" i="10"/>
  <c r="I2069" i="10"/>
  <c r="E2069" i="10"/>
  <c r="N2069" i="10" s="1"/>
  <c r="I2040" i="10"/>
  <c r="E2040" i="10"/>
  <c r="M2040" i="10" s="1"/>
  <c r="E1719" i="10"/>
  <c r="N1719" i="10" s="1"/>
  <c r="I1719" i="10"/>
  <c r="E1720" i="10"/>
  <c r="N1720" i="10" s="1"/>
  <c r="I1720" i="10"/>
  <c r="I2037" i="10"/>
  <c r="E2037" i="10"/>
  <c r="P2037" i="10" s="1"/>
  <c r="I2034" i="10"/>
  <c r="E2034" i="10"/>
  <c r="M2034" i="10" s="1"/>
  <c r="I2033" i="10"/>
  <c r="E2033" i="10"/>
  <c r="O2033" i="10" s="1"/>
  <c r="I2032" i="10"/>
  <c r="E2032" i="10"/>
  <c r="M2032" i="10" s="1"/>
  <c r="I2031" i="10"/>
  <c r="E2031" i="10"/>
  <c r="O2031" i="10" s="1"/>
  <c r="I2030" i="10"/>
  <c r="E2030" i="10"/>
  <c r="H2063" i="10"/>
  <c r="L2063" i="10" s="1"/>
  <c r="I2063" i="10"/>
  <c r="E2063" i="10"/>
  <c r="N2063" i="10" s="1"/>
  <c r="I2017" i="10"/>
  <c r="E2017" i="10"/>
  <c r="M2017" i="10" s="1"/>
  <c r="I2016" i="10"/>
  <c r="E2016" i="10"/>
  <c r="P2016" i="10" s="1"/>
  <c r="I2015" i="10"/>
  <c r="H2015" i="10"/>
  <c r="H2017" i="10" s="1"/>
  <c r="E2015" i="10"/>
  <c r="P2015" i="10" s="1"/>
  <c r="I2022" i="10"/>
  <c r="E2022" i="10"/>
  <c r="I2021" i="10"/>
  <c r="E2021" i="10"/>
  <c r="M2021" i="10" s="1"/>
  <c r="I2020" i="10"/>
  <c r="E2020" i="10"/>
  <c r="M2020" i="10" s="1"/>
  <c r="I2019" i="10"/>
  <c r="E2019" i="10"/>
  <c r="M2019" i="10" s="1"/>
  <c r="I2013" i="10"/>
  <c r="E2013" i="10"/>
  <c r="I2012" i="10"/>
  <c r="E2012" i="10"/>
  <c r="M2012" i="10" s="1"/>
  <c r="I2011" i="10"/>
  <c r="E2011" i="10"/>
  <c r="M2011" i="10" s="1"/>
  <c r="I2010" i="10"/>
  <c r="E2010" i="10"/>
  <c r="N2010" i="10" s="1"/>
  <c r="I2008" i="10"/>
  <c r="E2008" i="10"/>
  <c r="I2007" i="10"/>
  <c r="E2007" i="10"/>
  <c r="M2007" i="10" s="1"/>
  <c r="I2006" i="10"/>
  <c r="E2006" i="10"/>
  <c r="M2006" i="10" s="1"/>
  <c r="I2005" i="10"/>
  <c r="E2005" i="10"/>
  <c r="N2005" i="10" s="1"/>
  <c r="E2025" i="10"/>
  <c r="O2025" i="10" s="1"/>
  <c r="I2025" i="10"/>
  <c r="E2026" i="10"/>
  <c r="O2026" i="10" s="1"/>
  <c r="I2026" i="10"/>
  <c r="I2024" i="10"/>
  <c r="E2024" i="10"/>
  <c r="G1997" i="10"/>
  <c r="G2000" i="10" s="1"/>
  <c r="I1998" i="10"/>
  <c r="M1998" i="10"/>
  <c r="P1998" i="10"/>
  <c r="I1999" i="10"/>
  <c r="M1999" i="10"/>
  <c r="P1999" i="10"/>
  <c r="I2000" i="10"/>
  <c r="M2000" i="10"/>
  <c r="P2000" i="10"/>
  <c r="I2001" i="10"/>
  <c r="O2001" i="10"/>
  <c r="P2001" i="10"/>
  <c r="P1997" i="10"/>
  <c r="M1997" i="10"/>
  <c r="I1997" i="10"/>
  <c r="I1995" i="10"/>
  <c r="E1995" i="10"/>
  <c r="I1992" i="10"/>
  <c r="E1992" i="10"/>
  <c r="I1991" i="10"/>
  <c r="E1991" i="10"/>
  <c r="O1991" i="10" s="1"/>
  <c r="I1990" i="10"/>
  <c r="E1990" i="10"/>
  <c r="O1990" i="10" s="1"/>
  <c r="I1989" i="10"/>
  <c r="E1989" i="10"/>
  <c r="O1989" i="10" s="1"/>
  <c r="I1988" i="10"/>
  <c r="E1988" i="10"/>
  <c r="O1988" i="10" s="1"/>
  <c r="I1987" i="10"/>
  <c r="E1987" i="10"/>
  <c r="I1980" i="10"/>
  <c r="E1980" i="10"/>
  <c r="I1979" i="10"/>
  <c r="E1979" i="10"/>
  <c r="O1979" i="10" s="1"/>
  <c r="I1978" i="10"/>
  <c r="E1978" i="10"/>
  <c r="O1978" i="10" s="1"/>
  <c r="I1977" i="10"/>
  <c r="E1977" i="10"/>
  <c r="P1977" i="10" s="1"/>
  <c r="I1976" i="10"/>
  <c r="E1976" i="10"/>
  <c r="O1976" i="10" s="1"/>
  <c r="I1975" i="10"/>
  <c r="E1975" i="10"/>
  <c r="I1984" i="10"/>
  <c r="E1984" i="10"/>
  <c r="N1984" i="10" s="1"/>
  <c r="P1983" i="10"/>
  <c r="O1983" i="10"/>
  <c r="M1983" i="10"/>
  <c r="I1983" i="10"/>
  <c r="I1982" i="10"/>
  <c r="E1982" i="10"/>
  <c r="P1982" i="10" s="1"/>
  <c r="I1971" i="10"/>
  <c r="E1971" i="10"/>
  <c r="N1971" i="10" s="1"/>
  <c r="N1970" i="10" s="1"/>
  <c r="I1968" i="10"/>
  <c r="E1968" i="10"/>
  <c r="P1968" i="10" s="1"/>
  <c r="P1967" i="10" s="1"/>
  <c r="I1962" i="10"/>
  <c r="E1962" i="10"/>
  <c r="M1962" i="10" s="1"/>
  <c r="I1961" i="10"/>
  <c r="E1961" i="10"/>
  <c r="O1961" i="10" s="1"/>
  <c r="I1960" i="10"/>
  <c r="E1960" i="10"/>
  <c r="I1959" i="10"/>
  <c r="E1959" i="10"/>
  <c r="O1959" i="10" s="1"/>
  <c r="I1958" i="10"/>
  <c r="E1958" i="10"/>
  <c r="P1958" i="10" s="1"/>
  <c r="I1957" i="10"/>
  <c r="E1957" i="10"/>
  <c r="P1957" i="10" s="1"/>
  <c r="I1956" i="10"/>
  <c r="E1956" i="10"/>
  <c r="I1955" i="10"/>
  <c r="E1955" i="10"/>
  <c r="P1955" i="10" s="1"/>
  <c r="I1954" i="10"/>
  <c r="E1954" i="10"/>
  <c r="P1954" i="10" s="1"/>
  <c r="I1953" i="10"/>
  <c r="E1953" i="10"/>
  <c r="P1953" i="10" s="1"/>
  <c r="I1952" i="10"/>
  <c r="E1952" i="10"/>
  <c r="P1952" i="10" s="1"/>
  <c r="I1951" i="10"/>
  <c r="E1951" i="10"/>
  <c r="I1948" i="10"/>
  <c r="E1948" i="10"/>
  <c r="M1948" i="10" s="1"/>
  <c r="I1947" i="10"/>
  <c r="E1947" i="10"/>
  <c r="O1947" i="10" s="1"/>
  <c r="I1946" i="10"/>
  <c r="E1946" i="10"/>
  <c r="I1945" i="10"/>
  <c r="E1945" i="10"/>
  <c r="O1945" i="10" s="1"/>
  <c r="I1944" i="10"/>
  <c r="E1944" i="10"/>
  <c r="P1944" i="10" s="1"/>
  <c r="I1943" i="10"/>
  <c r="E1943" i="10"/>
  <c r="P1943" i="10" s="1"/>
  <c r="I1942" i="10"/>
  <c r="E1942" i="10"/>
  <c r="I1941" i="10"/>
  <c r="E1941" i="10"/>
  <c r="P1941" i="10" s="1"/>
  <c r="I1940" i="10"/>
  <c r="E1940" i="10"/>
  <c r="I1939" i="10"/>
  <c r="E1939" i="10"/>
  <c r="P1939" i="10" s="1"/>
  <c r="I1938" i="10"/>
  <c r="E1938" i="10"/>
  <c r="I1937" i="10"/>
  <c r="E1937" i="10"/>
  <c r="E1964" i="10"/>
  <c r="O1964" i="10" s="1"/>
  <c r="I1964" i="10"/>
  <c r="E1965" i="10"/>
  <c r="O1965" i="10" s="1"/>
  <c r="I1965" i="10"/>
  <c r="I1929" i="10"/>
  <c r="E1929" i="10"/>
  <c r="M1929" i="10" s="1"/>
  <c r="I1928" i="10"/>
  <c r="E1928" i="10"/>
  <c r="O1928" i="10" s="1"/>
  <c r="I1927" i="10"/>
  <c r="E1927" i="10"/>
  <c r="I1926" i="10"/>
  <c r="E1926" i="10"/>
  <c r="O1926" i="10" s="1"/>
  <c r="I1925" i="10"/>
  <c r="E1925" i="10"/>
  <c r="P1925" i="10" s="1"/>
  <c r="I1924" i="10"/>
  <c r="E1924" i="10"/>
  <c r="P1924" i="10" s="1"/>
  <c r="I1923" i="10"/>
  <c r="E1923" i="10"/>
  <c r="I1922" i="10"/>
  <c r="E1922" i="10"/>
  <c r="M1922" i="10" s="1"/>
  <c r="I1921" i="10"/>
  <c r="E1921" i="10"/>
  <c r="O1921" i="10" s="1"/>
  <c r="I1920" i="10"/>
  <c r="E1920" i="10"/>
  <c r="M1920" i="10" s="1"/>
  <c r="I1919" i="10"/>
  <c r="E1919" i="10"/>
  <c r="O1919" i="10" s="1"/>
  <c r="I1918" i="10"/>
  <c r="E1918" i="10"/>
  <c r="I1915" i="10"/>
  <c r="M1915" i="10"/>
  <c r="O1915" i="10"/>
  <c r="P1915" i="10"/>
  <c r="E1932" i="10"/>
  <c r="I1932" i="10"/>
  <c r="I1933" i="10"/>
  <c r="M1933" i="10"/>
  <c r="O1933" i="10"/>
  <c r="P1933" i="10"/>
  <c r="E1934" i="10"/>
  <c r="I1934" i="10"/>
  <c r="I1914" i="10"/>
  <c r="E1914" i="10"/>
  <c r="M1914" i="10" s="1"/>
  <c r="P1913" i="10"/>
  <c r="O1913" i="10"/>
  <c r="I1913" i="10"/>
  <c r="L2340" i="10" l="1"/>
  <c r="L2339" i="10" s="1"/>
  <c r="G2309" i="10"/>
  <c r="G2333" i="10"/>
  <c r="G2332" i="10"/>
  <c r="G2327" i="10"/>
  <c r="H2329" i="10"/>
  <c r="H2326" i="10"/>
  <c r="L2326" i="10" s="1"/>
  <c r="H2327" i="10"/>
  <c r="G2322" i="10"/>
  <c r="J2322" i="10" s="1"/>
  <c r="M2322" i="10" s="1"/>
  <c r="M2318" i="10" s="1"/>
  <c r="H2319" i="10"/>
  <c r="L2319" i="10" s="1"/>
  <c r="H2320" i="10"/>
  <c r="H2321" i="10"/>
  <c r="H2314" i="10"/>
  <c r="J2314" i="10" s="1"/>
  <c r="H2316" i="10"/>
  <c r="J2316" i="10" s="1"/>
  <c r="M2316" i="10" s="1"/>
  <c r="H2315" i="10"/>
  <c r="J2315" i="10" s="1"/>
  <c r="G2308" i="10"/>
  <c r="J2313" i="10"/>
  <c r="H2300" i="10"/>
  <c r="H2302" i="10" s="1"/>
  <c r="H2274" i="10"/>
  <c r="J2274" i="10" s="1"/>
  <c r="J2273" i="10" s="1"/>
  <c r="G2289" i="10"/>
  <c r="G2294" i="10"/>
  <c r="G2296" i="10"/>
  <c r="H2270" i="10"/>
  <c r="J2270" i="10" s="1"/>
  <c r="N2270" i="10" s="1"/>
  <c r="H2293" i="10"/>
  <c r="H2294" i="10"/>
  <c r="L2294" i="10" s="1"/>
  <c r="H2295" i="10"/>
  <c r="G2291" i="10"/>
  <c r="L2291" i="10" s="1"/>
  <c r="K2291" i="10" s="1"/>
  <c r="G2244" i="10"/>
  <c r="G2243" i="10"/>
  <c r="G2268" i="10"/>
  <c r="H2288" i="10"/>
  <c r="J2288" i="10" s="1"/>
  <c r="O2288" i="10" s="1"/>
  <c r="H2289" i="10"/>
  <c r="H2290" i="10"/>
  <c r="L2290" i="10" s="1"/>
  <c r="K2290" i="10" s="1"/>
  <c r="H2278" i="10"/>
  <c r="J2278" i="10" s="1"/>
  <c r="P2278" i="10" s="1"/>
  <c r="H2241" i="10"/>
  <c r="H2242" i="10"/>
  <c r="H2243" i="10"/>
  <c r="L2243" i="10" s="1"/>
  <c r="H2244" i="10"/>
  <c r="H2281" i="10"/>
  <c r="L2281" i="10" s="1"/>
  <c r="H2264" i="10"/>
  <c r="J2264" i="10" s="1"/>
  <c r="N2264" i="10" s="1"/>
  <c r="M2280" i="10"/>
  <c r="H2263" i="10"/>
  <c r="J2263" i="10" s="1"/>
  <c r="N2263" i="10" s="1"/>
  <c r="H2266" i="10"/>
  <c r="J2266" i="10" s="1"/>
  <c r="O2266" i="10" s="1"/>
  <c r="L2271" i="10"/>
  <c r="H2262" i="10"/>
  <c r="J2262" i="10" s="1"/>
  <c r="N2262" i="10" s="1"/>
  <c r="H2261" i="10"/>
  <c r="J2261" i="10" s="1"/>
  <c r="N2261" i="10" s="1"/>
  <c r="G2248" i="10"/>
  <c r="H2255" i="10"/>
  <c r="H2257" i="10" s="1"/>
  <c r="L2257" i="10" s="1"/>
  <c r="K2257" i="10" s="1"/>
  <c r="G2247" i="10"/>
  <c r="J2247" i="10" s="1"/>
  <c r="O2247" i="10" s="1"/>
  <c r="G2238" i="10"/>
  <c r="G2239" i="10"/>
  <c r="J2239" i="10" s="1"/>
  <c r="M2239" i="10" s="1"/>
  <c r="G2216" i="10"/>
  <c r="G2196" i="10"/>
  <c r="H2250" i="10"/>
  <c r="H2251" i="10" s="1"/>
  <c r="J2251" i="10" s="1"/>
  <c r="N2251" i="10" s="1"/>
  <c r="H2236" i="10"/>
  <c r="L2236" i="10" s="1"/>
  <c r="H2237" i="10"/>
  <c r="L2237" i="10" s="1"/>
  <c r="K2237" i="10" s="1"/>
  <c r="H2238" i="10"/>
  <c r="G2215" i="10"/>
  <c r="L2229" i="10"/>
  <c r="L2228" i="10" s="1"/>
  <c r="L2232" i="10"/>
  <c r="L2231" i="10" s="1"/>
  <c r="G2212" i="10"/>
  <c r="H2161" i="10"/>
  <c r="J2161" i="10" s="1"/>
  <c r="G2211" i="10"/>
  <c r="H2181" i="10"/>
  <c r="J2181" i="10" s="1"/>
  <c r="N2181" i="10" s="1"/>
  <c r="H2209" i="10"/>
  <c r="J2209" i="10" s="1"/>
  <c r="O2209" i="10" s="1"/>
  <c r="H2210" i="10"/>
  <c r="J2210" i="10" s="1"/>
  <c r="O2210" i="10" s="1"/>
  <c r="H2211" i="10"/>
  <c r="H2212" i="10"/>
  <c r="H2172" i="10"/>
  <c r="J2172" i="10" s="1"/>
  <c r="N2172" i="10" s="1"/>
  <c r="H2191" i="10"/>
  <c r="J2191" i="10" s="1"/>
  <c r="N2191" i="10" s="1"/>
  <c r="H2203" i="10"/>
  <c r="H2205" i="10" s="1"/>
  <c r="J2205" i="10" s="1"/>
  <c r="O2205" i="10" s="1"/>
  <c r="H2214" i="10"/>
  <c r="H2215" i="10" s="1"/>
  <c r="H2174" i="10"/>
  <c r="J2174" i="10" s="1"/>
  <c r="N2174" i="10" s="1"/>
  <c r="H2190" i="10"/>
  <c r="J2190" i="10" s="1"/>
  <c r="N2190" i="10" s="1"/>
  <c r="H2200" i="10"/>
  <c r="J2200" i="10" s="1"/>
  <c r="P2200" i="10" s="1"/>
  <c r="H2193" i="10"/>
  <c r="J2193" i="10" s="1"/>
  <c r="N2193" i="10" s="1"/>
  <c r="H2199" i="10"/>
  <c r="J2199" i="10" s="1"/>
  <c r="N2199" i="10" s="1"/>
  <c r="H2192" i="10"/>
  <c r="J2192" i="10" s="1"/>
  <c r="N2192" i="10" s="1"/>
  <c r="H2195" i="10"/>
  <c r="H2173" i="10"/>
  <c r="J2173" i="10" s="1"/>
  <c r="N2173" i="10" s="1"/>
  <c r="H2177" i="10"/>
  <c r="L2177" i="10" s="1"/>
  <c r="H2182" i="10"/>
  <c r="J2182" i="10" s="1"/>
  <c r="P2182" i="10" s="1"/>
  <c r="H2175" i="10"/>
  <c r="J2175" i="10" s="1"/>
  <c r="N2175" i="10" s="1"/>
  <c r="H2168" i="10"/>
  <c r="H2152" i="10"/>
  <c r="J2152" i="10" s="1"/>
  <c r="N2152" i="10" s="1"/>
  <c r="N2150" i="10" s="1"/>
  <c r="H2154" i="10"/>
  <c r="H2158" i="10" s="1"/>
  <c r="L2142" i="10"/>
  <c r="L2141" i="10" s="1"/>
  <c r="H2132" i="10"/>
  <c r="H2134" i="10" s="1"/>
  <c r="L2134" i="10" s="1"/>
  <c r="K2134" i="10" s="1"/>
  <c r="G2128" i="10"/>
  <c r="L2128" i="10" s="1"/>
  <c r="K2128" i="10" s="1"/>
  <c r="G2130" i="10"/>
  <c r="G2124" i="10"/>
  <c r="G2125" i="10"/>
  <c r="J2125" i="10" s="1"/>
  <c r="M2125" i="10" s="1"/>
  <c r="H2122" i="10"/>
  <c r="L2122" i="10" s="1"/>
  <c r="H2123" i="10"/>
  <c r="J2123" i="10" s="1"/>
  <c r="O2123" i="10" s="1"/>
  <c r="H2124" i="10"/>
  <c r="H2074" i="10"/>
  <c r="L2074" i="10" s="1"/>
  <c r="G2096" i="10"/>
  <c r="H2109" i="10"/>
  <c r="H2111" i="10" s="1"/>
  <c r="L2111" i="10" s="1"/>
  <c r="K2111" i="10" s="1"/>
  <c r="G2101" i="10"/>
  <c r="J2101" i="10" s="1"/>
  <c r="O2101" i="10" s="1"/>
  <c r="H2105" i="10"/>
  <c r="H2107" i="10" s="1"/>
  <c r="J2107" i="10" s="1"/>
  <c r="O2107" i="10" s="1"/>
  <c r="G2091" i="10"/>
  <c r="G2103" i="10"/>
  <c r="G2098" i="10"/>
  <c r="L2098" i="10" s="1"/>
  <c r="K2098" i="10" s="1"/>
  <c r="H2095" i="10"/>
  <c r="J2095" i="10" s="1"/>
  <c r="O2095" i="10" s="1"/>
  <c r="H2096" i="10"/>
  <c r="H2097" i="10"/>
  <c r="J2097" i="10" s="1"/>
  <c r="O2097" i="10" s="1"/>
  <c r="H2080" i="10"/>
  <c r="L2080" i="10" s="1"/>
  <c r="G2093" i="10"/>
  <c r="J2093" i="10" s="1"/>
  <c r="M2093" i="10" s="1"/>
  <c r="H2081" i="10"/>
  <c r="L2081" i="10" s="1"/>
  <c r="H2090" i="10"/>
  <c r="J2090" i="10" s="1"/>
  <c r="O2090" i="10" s="1"/>
  <c r="H2091" i="10"/>
  <c r="H2092" i="10"/>
  <c r="L2092" i="10" s="1"/>
  <c r="K2092" i="10" s="1"/>
  <c r="H2078" i="10"/>
  <c r="J2078" i="10" s="1"/>
  <c r="H2073" i="10"/>
  <c r="L2073" i="10" s="1"/>
  <c r="L2066" i="10"/>
  <c r="H2082" i="10"/>
  <c r="J2082" i="10" s="1"/>
  <c r="M2082" i="10" s="1"/>
  <c r="Q2082" i="10" s="1"/>
  <c r="H2060" i="10"/>
  <c r="J2060" i="10" s="1"/>
  <c r="P2060" i="10" s="1"/>
  <c r="H2075" i="10"/>
  <c r="J2075" i="10" s="1"/>
  <c r="O2075" i="10" s="1"/>
  <c r="Q2075" i="10" s="1"/>
  <c r="H2052" i="10"/>
  <c r="J2052" i="10" s="1"/>
  <c r="N2052" i="10" s="1"/>
  <c r="H2055" i="10"/>
  <c r="H2056" i="10" s="1"/>
  <c r="H2076" i="10"/>
  <c r="L2076" i="10" s="1"/>
  <c r="H2051" i="10"/>
  <c r="J2051" i="10" s="1"/>
  <c r="N2051" i="10" s="1"/>
  <c r="H2059" i="10"/>
  <c r="J2059" i="10" s="1"/>
  <c r="N2059" i="10" s="1"/>
  <c r="H2040" i="10"/>
  <c r="L2040" i="10" s="1"/>
  <c r="H2050" i="10"/>
  <c r="J2050" i="10" s="1"/>
  <c r="N2050" i="10" s="1"/>
  <c r="H2053" i="10"/>
  <c r="J2053" i="10" s="1"/>
  <c r="N2053" i="10" s="1"/>
  <c r="H2045" i="10"/>
  <c r="J2045" i="10" s="1"/>
  <c r="N2045" i="10" s="1"/>
  <c r="H2006" i="10"/>
  <c r="H2032" i="10"/>
  <c r="H2033" i="10" s="1"/>
  <c r="J2033" i="10" s="1"/>
  <c r="N2033" i="10" s="1"/>
  <c r="H2031" i="10"/>
  <c r="J2031" i="10" s="1"/>
  <c r="H2026" i="10"/>
  <c r="J2026" i="10" s="1"/>
  <c r="M2026" i="10" s="1"/>
  <c r="H1984" i="10"/>
  <c r="L1984" i="10" s="1"/>
  <c r="H2005" i="10"/>
  <c r="L2005" i="10" s="1"/>
  <c r="K2005" i="10" s="1"/>
  <c r="H2018" i="10"/>
  <c r="H2019" i="10" s="1"/>
  <c r="H2020" i="10" s="1"/>
  <c r="H2021" i="10" s="1"/>
  <c r="H2022" i="10" s="1"/>
  <c r="J2022" i="10" s="1"/>
  <c r="M2022" i="10" s="1"/>
  <c r="H2008" i="10"/>
  <c r="H2009" i="10"/>
  <c r="H2011" i="10" s="1"/>
  <c r="H2024" i="10"/>
  <c r="L2024" i="10" s="1"/>
  <c r="H1997" i="10"/>
  <c r="H1998" i="10" s="1"/>
  <c r="H1982" i="10"/>
  <c r="L1982" i="10" s="1"/>
  <c r="H1989" i="10"/>
  <c r="H1990" i="10" s="1"/>
  <c r="J1990" i="10" s="1"/>
  <c r="N1990" i="10" s="1"/>
  <c r="H1976" i="10"/>
  <c r="J1976" i="10" s="1"/>
  <c r="H1962" i="10"/>
  <c r="J1962" i="10" s="1"/>
  <c r="P1962" i="10" s="1"/>
  <c r="H1988" i="10"/>
  <c r="J1988" i="10" s="1"/>
  <c r="N1988" i="10" s="1"/>
  <c r="H1977" i="10"/>
  <c r="H1978" i="10" s="1"/>
  <c r="J1978" i="10" s="1"/>
  <c r="N1978" i="10" s="1"/>
  <c r="H1979" i="10"/>
  <c r="L1979" i="10" s="1"/>
  <c r="H1952" i="10"/>
  <c r="J1952" i="10" s="1"/>
  <c r="N1952" i="10" s="1"/>
  <c r="H1940" i="10"/>
  <c r="J1940" i="10" s="1"/>
  <c r="N1940" i="10" s="1"/>
  <c r="H1943" i="10"/>
  <c r="H1944" i="10" s="1"/>
  <c r="H1947" i="10"/>
  <c r="J1947" i="10" s="1"/>
  <c r="N1947" i="10" s="1"/>
  <c r="L1948" i="10"/>
  <c r="H1921" i="10"/>
  <c r="J1921" i="10" s="1"/>
  <c r="N1921" i="10" s="1"/>
  <c r="H1941" i="10"/>
  <c r="J1941" i="10" s="1"/>
  <c r="N1941" i="10" s="1"/>
  <c r="G1944" i="10"/>
  <c r="G1959" i="10"/>
  <c r="H1955" i="10"/>
  <c r="J1955" i="10" s="1"/>
  <c r="N1955" i="10" s="1"/>
  <c r="H1961" i="10"/>
  <c r="J1961" i="10" s="1"/>
  <c r="N1961" i="10" s="1"/>
  <c r="L1962" i="10"/>
  <c r="H1954" i="10"/>
  <c r="J1954" i="10" s="1"/>
  <c r="N1954" i="10" s="1"/>
  <c r="H1957" i="10"/>
  <c r="H1958" i="10" s="1"/>
  <c r="L1929" i="10"/>
  <c r="H1933" i="10"/>
  <c r="L1933" i="10" s="1"/>
  <c r="H1939" i="10"/>
  <c r="J1939" i="10" s="1"/>
  <c r="N1939" i="10" s="1"/>
  <c r="H1964" i="10"/>
  <c r="H1932" i="10"/>
  <c r="L1932" i="10" s="1"/>
  <c r="H1913" i="10"/>
  <c r="J1913" i="10" s="1"/>
  <c r="H1938" i="10"/>
  <c r="J1938" i="10" s="1"/>
  <c r="N1938" i="10" s="1"/>
  <c r="H1924" i="10"/>
  <c r="H1925" i="10" s="1"/>
  <c r="H1919" i="10"/>
  <c r="J1919" i="10" s="1"/>
  <c r="N1919" i="10" s="1"/>
  <c r="H1928" i="10"/>
  <c r="J1928" i="10" s="1"/>
  <c r="N1928" i="10" s="1"/>
  <c r="H1920" i="10"/>
  <c r="J1920" i="10" s="1"/>
  <c r="N1920" i="10" s="1"/>
  <c r="H1929" i="10"/>
  <c r="J1929" i="10" s="1"/>
  <c r="P1929" i="10" s="1"/>
  <c r="H1914" i="10"/>
  <c r="J1914" i="10" s="1"/>
  <c r="P1914" i="10" s="1"/>
  <c r="H1965" i="10"/>
  <c r="L1965" i="10" s="1"/>
  <c r="H1915" i="10"/>
  <c r="J2343" i="10"/>
  <c r="J2342" i="10" s="1"/>
  <c r="N2343" i="10"/>
  <c r="N2342" i="10" s="1"/>
  <c r="O2343" i="10"/>
  <c r="O2342" i="10" s="1"/>
  <c r="J2340" i="10"/>
  <c r="J2339" i="10" s="1"/>
  <c r="N2340" i="10"/>
  <c r="N2339" i="10" s="1"/>
  <c r="J2312" i="10"/>
  <c r="O2340" i="10"/>
  <c r="O2339" i="10" s="1"/>
  <c r="P2340" i="10"/>
  <c r="P2339" i="10" s="1"/>
  <c r="G2225" i="10"/>
  <c r="J2306" i="10"/>
  <c r="O2306" i="10" s="1"/>
  <c r="J2304" i="10"/>
  <c r="O2304" i="10" s="1"/>
  <c r="J2326" i="10"/>
  <c r="N2319" i="10"/>
  <c r="J2337" i="10"/>
  <c r="N2337" i="10"/>
  <c r="N2336" i="10" s="1"/>
  <c r="O2337" i="10"/>
  <c r="O2336" i="10" s="1"/>
  <c r="N2331" i="10"/>
  <c r="J2329" i="10"/>
  <c r="J2328" i="10"/>
  <c r="O2328" i="10" s="1"/>
  <c r="M2331" i="10"/>
  <c r="J2331" i="10"/>
  <c r="M2329" i="10"/>
  <c r="H2333" i="10"/>
  <c r="L2333" i="10" s="1"/>
  <c r="K2333" i="10" s="1"/>
  <c r="J2332" i="10"/>
  <c r="O2332" i="10" s="1"/>
  <c r="N2332" i="10"/>
  <c r="N2333" i="10"/>
  <c r="N2334" i="10"/>
  <c r="N2326" i="10"/>
  <c r="O2331" i="10"/>
  <c r="O2334" i="10"/>
  <c r="L2331" i="10"/>
  <c r="K2331" i="10" s="1"/>
  <c r="L2332" i="10"/>
  <c r="K2332" i="10" s="1"/>
  <c r="P2332" i="10"/>
  <c r="P2333" i="10"/>
  <c r="P2334" i="10"/>
  <c r="N2327" i="10"/>
  <c r="N2328" i="10"/>
  <c r="N2329" i="10"/>
  <c r="O2329" i="10"/>
  <c r="J2319" i="10"/>
  <c r="O2319" i="10" s="1"/>
  <c r="P2326" i="10"/>
  <c r="P2327" i="10"/>
  <c r="L2328" i="10"/>
  <c r="K2328" i="10" s="1"/>
  <c r="P2328" i="10"/>
  <c r="L2329" i="10"/>
  <c r="K2329" i="10" s="1"/>
  <c r="P2329" i="10"/>
  <c r="N2320" i="10"/>
  <c r="N2321" i="10"/>
  <c r="N2322" i="10"/>
  <c r="O2322" i="10"/>
  <c r="K2319" i="10"/>
  <c r="P2319" i="10"/>
  <c r="P2320" i="10"/>
  <c r="P2321" i="10"/>
  <c r="P2322" i="10"/>
  <c r="N2312" i="10"/>
  <c r="L2316" i="10"/>
  <c r="P2316" i="10"/>
  <c r="N2316" i="10"/>
  <c r="O2316" i="10"/>
  <c r="O2315" i="10"/>
  <c r="M2315" i="10"/>
  <c r="M2314" i="10"/>
  <c r="N2314" i="10"/>
  <c r="M2313" i="10"/>
  <c r="O2313" i="10"/>
  <c r="O2312" i="10"/>
  <c r="N2306" i="10"/>
  <c r="M2306" i="10"/>
  <c r="H2308" i="10"/>
  <c r="J2307" i="10"/>
  <c r="O2307" i="10" s="1"/>
  <c r="N2307" i="10"/>
  <c r="N2308" i="10"/>
  <c r="N2309" i="10"/>
  <c r="O2309" i="10"/>
  <c r="L2306" i="10"/>
  <c r="K2306" i="10" s="1"/>
  <c r="L2307" i="10"/>
  <c r="K2307" i="10" s="1"/>
  <c r="P2307" i="10"/>
  <c r="P2308" i="10"/>
  <c r="P2309" i="10"/>
  <c r="N2301" i="10"/>
  <c r="M2298" i="10"/>
  <c r="M2300" i="10"/>
  <c r="P2301" i="10"/>
  <c r="N2304" i="10"/>
  <c r="O2300" i="10"/>
  <c r="J2298" i="10"/>
  <c r="N2298" i="10" s="1"/>
  <c r="L2304" i="10"/>
  <c r="K2304" i="10" s="1"/>
  <c r="P2304" i="10"/>
  <c r="N2302" i="10"/>
  <c r="P2302" i="10"/>
  <c r="L2300" i="10"/>
  <c r="O2298" i="10"/>
  <c r="N2293" i="10"/>
  <c r="L2298" i="10"/>
  <c r="M2288" i="10"/>
  <c r="N2294" i="10"/>
  <c r="N2295" i="10"/>
  <c r="N2296" i="10"/>
  <c r="N2288" i="10"/>
  <c r="O2296" i="10"/>
  <c r="P2293" i="10"/>
  <c r="P2294" i="10"/>
  <c r="P2295" i="10"/>
  <c r="P2296" i="10"/>
  <c r="N2289" i="10"/>
  <c r="N2290" i="10"/>
  <c r="N2291" i="10"/>
  <c r="O2291" i="10"/>
  <c r="P2289" i="10"/>
  <c r="P2290" i="10"/>
  <c r="P2291" i="10"/>
  <c r="N2266" i="10"/>
  <c r="O2282" i="10"/>
  <c r="N2282" i="10"/>
  <c r="L2282" i="10"/>
  <c r="J2282" i="10"/>
  <c r="P2282" i="10" s="1"/>
  <c r="N2278" i="10"/>
  <c r="N2281" i="10"/>
  <c r="O2281" i="10"/>
  <c r="P2277" i="10"/>
  <c r="M2277" i="10"/>
  <c r="M2276" i="10" s="1"/>
  <c r="O2278" i="10"/>
  <c r="O2276" i="10" s="1"/>
  <c r="J2277" i="10"/>
  <c r="N2274" i="10"/>
  <c r="N2273" i="10" s="1"/>
  <c r="O2274" i="10"/>
  <c r="O2273" i="10" s="1"/>
  <c r="M2263" i="10"/>
  <c r="J2185" i="10"/>
  <c r="N2185" i="10" s="1"/>
  <c r="G2223" i="10"/>
  <c r="J2229" i="10"/>
  <c r="J2228" i="10" s="1"/>
  <c r="J2232" i="10"/>
  <c r="J2231" i="10" s="1"/>
  <c r="J2253" i="10"/>
  <c r="O2253" i="10" s="1"/>
  <c r="O2263" i="10"/>
  <c r="M2264" i="10"/>
  <c r="P2268" i="10"/>
  <c r="J2271" i="10"/>
  <c r="P2271" i="10" s="1"/>
  <c r="O2261" i="10"/>
  <c r="M2262" i="10"/>
  <c r="O2264" i="10"/>
  <c r="O2262" i="10"/>
  <c r="N2271" i="10"/>
  <c r="L2270" i="10"/>
  <c r="P2270" i="10"/>
  <c r="L2261" i="10"/>
  <c r="P2261" i="10"/>
  <c r="L2263" i="10"/>
  <c r="P2263" i="10"/>
  <c r="M2266" i="10"/>
  <c r="M2267" i="10"/>
  <c r="M2270" i="10"/>
  <c r="O2271" i="10"/>
  <c r="M2261" i="10"/>
  <c r="N2267" i="10"/>
  <c r="N2268" i="10"/>
  <c r="L2262" i="10"/>
  <c r="L2264" i="10"/>
  <c r="N2256" i="10"/>
  <c r="M2255" i="10"/>
  <c r="N2253" i="10"/>
  <c r="N2257" i="10"/>
  <c r="O2256" i="10"/>
  <c r="O2255" i="10"/>
  <c r="P2257" i="10"/>
  <c r="N2246" i="10"/>
  <c r="L2255" i="10"/>
  <c r="J2246" i="10"/>
  <c r="O2246" i="10" s="1"/>
  <c r="L2253" i="10"/>
  <c r="K2253" i="10" s="1"/>
  <c r="P2253" i="10"/>
  <c r="O2251" i="10"/>
  <c r="L2251" i="10"/>
  <c r="P2251" i="10"/>
  <c r="M2246" i="10"/>
  <c r="H2248" i="10"/>
  <c r="M2241" i="10"/>
  <c r="N2247" i="10"/>
  <c r="N2248" i="10"/>
  <c r="N2249" i="10"/>
  <c r="N2241" i="10"/>
  <c r="O2249" i="10"/>
  <c r="L2246" i="10"/>
  <c r="K2246" i="10" s="1"/>
  <c r="P2247" i="10"/>
  <c r="P2248" i="10"/>
  <c r="P2249" i="10"/>
  <c r="N2242" i="10"/>
  <c r="N2243" i="10"/>
  <c r="N2244" i="10"/>
  <c r="N2236" i="10"/>
  <c r="O2244" i="10"/>
  <c r="P2242" i="10"/>
  <c r="P2243" i="10"/>
  <c r="P2244" i="10"/>
  <c r="N2237" i="10"/>
  <c r="N2238" i="10"/>
  <c r="N2239" i="10"/>
  <c r="O2239" i="10"/>
  <c r="P2236" i="10"/>
  <c r="P2237" i="10"/>
  <c r="P2238" i="10"/>
  <c r="P2239" i="10"/>
  <c r="N2232" i="10"/>
  <c r="N2231" i="10" s="1"/>
  <c r="O2232" i="10"/>
  <c r="O2231" i="10" s="1"/>
  <c r="P2220" i="10"/>
  <c r="M2229" i="10"/>
  <c r="M2228" i="10" s="1"/>
  <c r="P2209" i="10"/>
  <c r="O2229" i="10"/>
  <c r="H2222" i="10"/>
  <c r="H2226" i="10" s="1"/>
  <c r="L2226" i="10" s="1"/>
  <c r="H2220" i="10"/>
  <c r="J2220" i="10" s="1"/>
  <c r="N2220" i="10" s="1"/>
  <c r="M2220" i="10"/>
  <c r="G2224" i="10"/>
  <c r="P2211" i="10"/>
  <c r="P2212" i="10"/>
  <c r="M2210" i="10"/>
  <c r="M2214" i="10"/>
  <c r="M2209" i="10"/>
  <c r="N2214" i="10"/>
  <c r="N2215" i="10"/>
  <c r="N2216" i="10"/>
  <c r="N2217" i="10"/>
  <c r="N2210" i="10"/>
  <c r="N2211" i="10"/>
  <c r="N2212" i="10"/>
  <c r="O2217" i="10"/>
  <c r="P2215" i="10"/>
  <c r="P2216" i="10"/>
  <c r="P2217" i="10"/>
  <c r="M2203" i="10"/>
  <c r="N2205" i="10"/>
  <c r="O2204" i="10"/>
  <c r="O2203" i="10"/>
  <c r="P2204" i="10"/>
  <c r="P2205" i="10"/>
  <c r="M2191" i="10"/>
  <c r="N2195" i="10"/>
  <c r="L2203" i="10"/>
  <c r="O2193" i="10"/>
  <c r="O2191" i="10"/>
  <c r="N2200" i="10"/>
  <c r="M2192" i="10"/>
  <c r="G2155" i="10"/>
  <c r="M2190" i="10"/>
  <c r="O2192" i="10"/>
  <c r="M2193" i="10"/>
  <c r="P2197" i="10"/>
  <c r="L2199" i="10"/>
  <c r="P2199" i="10"/>
  <c r="L2190" i="10"/>
  <c r="P2190" i="10"/>
  <c r="L2192" i="10"/>
  <c r="P2192" i="10"/>
  <c r="M2195" i="10"/>
  <c r="M2196" i="10"/>
  <c r="M2199" i="10"/>
  <c r="O2200" i="10"/>
  <c r="N2196" i="10"/>
  <c r="N2197" i="10"/>
  <c r="L2191" i="10"/>
  <c r="L2193" i="10"/>
  <c r="J2186" i="10"/>
  <c r="P2186" i="10" s="1"/>
  <c r="M2166" i="10"/>
  <c r="N2186" i="10"/>
  <c r="L2186" i="10"/>
  <c r="L2184" i="10" s="1"/>
  <c r="P2185" i="10"/>
  <c r="P2179" i="10"/>
  <c r="M2185" i="10"/>
  <c r="O2186" i="10"/>
  <c r="O2184" i="10" s="1"/>
  <c r="N2182" i="10"/>
  <c r="L2172" i="10"/>
  <c r="P2172" i="10"/>
  <c r="L2174" i="10"/>
  <c r="P2174" i="10"/>
  <c r="L2181" i="10"/>
  <c r="P2181" i="10"/>
  <c r="M2172" i="10"/>
  <c r="O2173" i="10"/>
  <c r="M2174" i="10"/>
  <c r="O2175" i="10"/>
  <c r="M2177" i="10"/>
  <c r="M2178" i="10"/>
  <c r="M2181" i="10"/>
  <c r="O2182" i="10"/>
  <c r="L2173" i="10"/>
  <c r="P2173" i="10"/>
  <c r="L2175" i="10"/>
  <c r="P2175" i="10"/>
  <c r="N2177" i="10"/>
  <c r="N2178" i="10"/>
  <c r="N2179" i="10"/>
  <c r="G2178" i="10"/>
  <c r="O2168" i="10"/>
  <c r="J2167" i="10"/>
  <c r="G2158" i="10"/>
  <c r="N2168" i="10"/>
  <c r="O2167" i="10"/>
  <c r="P2167" i="10"/>
  <c r="N2164" i="10"/>
  <c r="N2163" i="10" s="1"/>
  <c r="J2164" i="10"/>
  <c r="O2164" i="10"/>
  <c r="O2163" i="10" s="1"/>
  <c r="N2161" i="10"/>
  <c r="N2160" i="10" s="1"/>
  <c r="O2161" i="10"/>
  <c r="O2160" i="10" s="1"/>
  <c r="P2152" i="10"/>
  <c r="P2150" i="10" s="1"/>
  <c r="M2152" i="10"/>
  <c r="G2156" i="10"/>
  <c r="J2034" i="10"/>
  <c r="P2034" i="10" s="1"/>
  <c r="J2148" i="10"/>
  <c r="O2148" i="10" s="1"/>
  <c r="H2044" i="10"/>
  <c r="J2044" i="10" s="1"/>
  <c r="N2044" i="10" s="1"/>
  <c r="J2100" i="10"/>
  <c r="O2100" i="10" s="1"/>
  <c r="J2117" i="10"/>
  <c r="M2117" i="10" s="1"/>
  <c r="Q2117" i="10" s="1"/>
  <c r="J2138" i="10"/>
  <c r="O2138" i="10" s="1"/>
  <c r="J2142" i="10"/>
  <c r="P2142" i="10" s="1"/>
  <c r="J2127" i="10"/>
  <c r="O2127" i="10" s="1"/>
  <c r="J2136" i="10"/>
  <c r="N2136" i="10" s="1"/>
  <c r="N2142" i="10"/>
  <c r="J2146" i="10"/>
  <c r="M2146" i="10" s="1"/>
  <c r="Q2146" i="10" s="1"/>
  <c r="O2142" i="10"/>
  <c r="J2144" i="10"/>
  <c r="M2144" i="10" s="1"/>
  <c r="Q2144" i="10" s="1"/>
  <c r="J2140" i="10"/>
  <c r="N2140" i="10" s="1"/>
  <c r="N2148" i="10"/>
  <c r="O2140" i="10"/>
  <c r="L2140" i="10"/>
  <c r="P2140" i="10"/>
  <c r="N2138" i="10"/>
  <c r="L2148" i="10"/>
  <c r="K2148" i="10" s="1"/>
  <c r="P2148" i="10"/>
  <c r="O2136" i="10"/>
  <c r="L2138" i="10"/>
  <c r="K2138" i="10" s="1"/>
  <c r="P2138" i="10"/>
  <c r="M2132" i="10"/>
  <c r="L2136" i="10"/>
  <c r="P2136" i="10"/>
  <c r="O2132" i="10"/>
  <c r="M2127" i="10"/>
  <c r="N2134" i="10"/>
  <c r="N2127" i="10"/>
  <c r="O2133" i="10"/>
  <c r="P2133" i="10"/>
  <c r="P2134" i="10"/>
  <c r="L2132" i="10"/>
  <c r="H2129" i="10"/>
  <c r="L2129" i="10" s="1"/>
  <c r="K2129" i="10" s="1"/>
  <c r="N2128" i="10"/>
  <c r="N2129" i="10"/>
  <c r="N2130" i="10"/>
  <c r="N2122" i="10"/>
  <c r="O2130" i="10"/>
  <c r="L2127" i="10"/>
  <c r="P2128" i="10"/>
  <c r="P2129" i="10"/>
  <c r="P2130" i="10"/>
  <c r="N2123" i="10"/>
  <c r="N2124" i="10"/>
  <c r="N2125" i="10"/>
  <c r="O2125" i="10"/>
  <c r="P2122" i="10"/>
  <c r="P2123" i="10"/>
  <c r="P2124" i="10"/>
  <c r="P2125" i="10"/>
  <c r="J2119" i="10"/>
  <c r="M2119" i="10" s="1"/>
  <c r="Q2119" i="10" s="1"/>
  <c r="J2115" i="10"/>
  <c r="O2115" i="10" s="1"/>
  <c r="N2115" i="10"/>
  <c r="L2115" i="10"/>
  <c r="K2115" i="10" s="1"/>
  <c r="P2115" i="10"/>
  <c r="J2113" i="10"/>
  <c r="N2113" i="10" s="1"/>
  <c r="O2113" i="10"/>
  <c r="L2113" i="10"/>
  <c r="P2113" i="10"/>
  <c r="M2105" i="10"/>
  <c r="M2109" i="10"/>
  <c r="N2111" i="10"/>
  <c r="O2110" i="10"/>
  <c r="O2109" i="10"/>
  <c r="P2110" i="10"/>
  <c r="P2111" i="10"/>
  <c r="N2106" i="10"/>
  <c r="L2109" i="10"/>
  <c r="M2100" i="10"/>
  <c r="N2107" i="10"/>
  <c r="N2100" i="10"/>
  <c r="O2106" i="10"/>
  <c r="O2105" i="10"/>
  <c r="P2107" i="10"/>
  <c r="L2105" i="10"/>
  <c r="H2102" i="10"/>
  <c r="L2102" i="10" s="1"/>
  <c r="K2102" i="10" s="1"/>
  <c r="N2101" i="10"/>
  <c r="N2102" i="10"/>
  <c r="N2103" i="10"/>
  <c r="J2066" i="10"/>
  <c r="P2066" i="10" s="1"/>
  <c r="N2090" i="10"/>
  <c r="N2095" i="10"/>
  <c r="O2103" i="10"/>
  <c r="L2100" i="10"/>
  <c r="P2101" i="10"/>
  <c r="P2102" i="10"/>
  <c r="P2103" i="10"/>
  <c r="N2096" i="10"/>
  <c r="N2097" i="10"/>
  <c r="N2098" i="10"/>
  <c r="O2098" i="10"/>
  <c r="M2090" i="10"/>
  <c r="P2095" i="10"/>
  <c r="P2096" i="10"/>
  <c r="P2097" i="10"/>
  <c r="P2098" i="10"/>
  <c r="N2091" i="10"/>
  <c r="N2092" i="10"/>
  <c r="N2093" i="10"/>
  <c r="O2093" i="10"/>
  <c r="P2091" i="10"/>
  <c r="P2092" i="10"/>
  <c r="P2093" i="10"/>
  <c r="J2087" i="10"/>
  <c r="M2087" i="10" s="1"/>
  <c r="Q2087" i="10" s="1"/>
  <c r="J2085" i="10"/>
  <c r="M2085" i="10" s="1"/>
  <c r="Q2085" i="10" s="1"/>
  <c r="L2083" i="10"/>
  <c r="J2083" i="10"/>
  <c r="M2083" i="10" s="1"/>
  <c r="Q2083" i="10" s="1"/>
  <c r="L2077" i="10"/>
  <c r="P2057" i="10"/>
  <c r="M2045" i="10"/>
  <c r="N2066" i="10"/>
  <c r="L2046" i="10"/>
  <c r="P2056" i="10"/>
  <c r="O2045" i="10"/>
  <c r="O2066" i="10"/>
  <c r="N2060" i="10"/>
  <c r="J2046" i="10"/>
  <c r="P2046" i="10" s="1"/>
  <c r="L2044" i="10"/>
  <c r="P2044" i="10"/>
  <c r="N2046" i="10"/>
  <c r="P2055" i="10"/>
  <c r="M2044" i="10"/>
  <c r="O2046" i="10"/>
  <c r="M2051" i="10"/>
  <c r="M2053" i="10"/>
  <c r="L2045" i="10"/>
  <c r="O1720" i="10"/>
  <c r="O2057" i="10"/>
  <c r="L2050" i="10"/>
  <c r="P2050" i="10"/>
  <c r="L2052" i="10"/>
  <c r="P2052" i="10"/>
  <c r="L2059" i="10"/>
  <c r="P2059" i="10"/>
  <c r="M2050" i="10"/>
  <c r="O2051" i="10"/>
  <c r="M2052" i="10"/>
  <c r="O2053" i="10"/>
  <c r="M2055" i="10"/>
  <c r="M2056" i="10"/>
  <c r="M2059" i="10"/>
  <c r="O2060" i="10"/>
  <c r="L2051" i="10"/>
  <c r="L2053" i="10"/>
  <c r="G2056" i="10"/>
  <c r="M1719" i="10"/>
  <c r="M1720" i="10"/>
  <c r="M2069" i="10"/>
  <c r="O1719" i="10"/>
  <c r="N2040" i="10"/>
  <c r="J2069" i="10"/>
  <c r="P2069" i="10" s="1"/>
  <c r="O2069" i="10"/>
  <c r="O2040" i="10"/>
  <c r="M2037" i="10"/>
  <c r="N2034" i="10"/>
  <c r="J2037" i="10"/>
  <c r="N2037" i="10" s="1"/>
  <c r="O2037" i="10"/>
  <c r="L2031" i="10"/>
  <c r="P2031" i="10"/>
  <c r="L2033" i="10"/>
  <c r="P2033" i="10"/>
  <c r="M2031" i="10"/>
  <c r="O2032" i="10"/>
  <c r="M2033" i="10"/>
  <c r="O2034" i="10"/>
  <c r="L2032" i="10"/>
  <c r="P2032" i="10"/>
  <c r="J2063" i="10"/>
  <c r="M2063" i="10" s="1"/>
  <c r="O2063" i="10"/>
  <c r="P2063" i="10"/>
  <c r="J1983" i="10"/>
  <c r="N1983" i="10" s="1"/>
  <c r="Q1983" i="10" s="1"/>
  <c r="J2017" i="10"/>
  <c r="O2017" i="10" s="1"/>
  <c r="N2016" i="10"/>
  <c r="M2015" i="10"/>
  <c r="N2017" i="10"/>
  <c r="O2016" i="10"/>
  <c r="J2015" i="10"/>
  <c r="N2015" i="10" s="1"/>
  <c r="O2015" i="10"/>
  <c r="H2016" i="10"/>
  <c r="J2016" i="10" s="1"/>
  <c r="M2016" i="10" s="1"/>
  <c r="L2017" i="10"/>
  <c r="K2017" i="10" s="1"/>
  <c r="P2017" i="10"/>
  <c r="L2015" i="10"/>
  <c r="G2001" i="10"/>
  <c r="G1998" i="10"/>
  <c r="G1999" i="10"/>
  <c r="N2019" i="10"/>
  <c r="N2020" i="10"/>
  <c r="N2021" i="10"/>
  <c r="N2022" i="10"/>
  <c r="N2011" i="10"/>
  <c r="G2020" i="10"/>
  <c r="G2021" i="10"/>
  <c r="O2022" i="10"/>
  <c r="P2019" i="10"/>
  <c r="P2020" i="10"/>
  <c r="P2021" i="10"/>
  <c r="P2022" i="10"/>
  <c r="N2012" i="10"/>
  <c r="N2013" i="10"/>
  <c r="P2010" i="10"/>
  <c r="G2011" i="10"/>
  <c r="G2012" i="10"/>
  <c r="G2013" i="10"/>
  <c r="O2013" i="10"/>
  <c r="M2010" i="10"/>
  <c r="P2011" i="10"/>
  <c r="P2012" i="10"/>
  <c r="P2013" i="10"/>
  <c r="N2006" i="10"/>
  <c r="N2007" i="10"/>
  <c r="N2008" i="10"/>
  <c r="P2005" i="10"/>
  <c r="G2006" i="10"/>
  <c r="G2007" i="10"/>
  <c r="J2007" i="10" s="1"/>
  <c r="O2007" i="10" s="1"/>
  <c r="G2008" i="10"/>
  <c r="O2008" i="10"/>
  <c r="M2005" i="10"/>
  <c r="P2006" i="10"/>
  <c r="P2007" i="10"/>
  <c r="P2008" i="10"/>
  <c r="J2025" i="10"/>
  <c r="M2025" i="10" s="1"/>
  <c r="P2026" i="10"/>
  <c r="N2026" i="10"/>
  <c r="P2025" i="10"/>
  <c r="N2025" i="10"/>
  <c r="N2024" i="10"/>
  <c r="O2024" i="10"/>
  <c r="P2024" i="10"/>
  <c r="L1989" i="10"/>
  <c r="J1995" i="10"/>
  <c r="O1986" i="10"/>
  <c r="P1995" i="10"/>
  <c r="P1993" i="10" s="1"/>
  <c r="M1978" i="10"/>
  <c r="P1989" i="10"/>
  <c r="M1995" i="10"/>
  <c r="M1977" i="10"/>
  <c r="M1990" i="10"/>
  <c r="L1988" i="10"/>
  <c r="P1990" i="10"/>
  <c r="P1988" i="10"/>
  <c r="M1989" i="10"/>
  <c r="L1990" i="10"/>
  <c r="J1991" i="10"/>
  <c r="P1991" i="10" s="1"/>
  <c r="L1976" i="10"/>
  <c r="L1978" i="10"/>
  <c r="M1988" i="10"/>
  <c r="M1991" i="10"/>
  <c r="P1976" i="10"/>
  <c r="N1991" i="10"/>
  <c r="P1978" i="10"/>
  <c r="M1976" i="10"/>
  <c r="M1979" i="10"/>
  <c r="O1977" i="10"/>
  <c r="N1979" i="10"/>
  <c r="M1982" i="10"/>
  <c r="L1977" i="10"/>
  <c r="N1982" i="10"/>
  <c r="O1984" i="10"/>
  <c r="P1984" i="10"/>
  <c r="J1968" i="10"/>
  <c r="N1968" i="10" s="1"/>
  <c r="N1967" i="10" s="1"/>
  <c r="J1971" i="10"/>
  <c r="O1971" i="10"/>
  <c r="O1970" i="10" s="1"/>
  <c r="P1971" i="10"/>
  <c r="P1970" i="10" s="1"/>
  <c r="M1968" i="10"/>
  <c r="M1967" i="10" s="1"/>
  <c r="O1968" i="10"/>
  <c r="O1967" i="10" s="1"/>
  <c r="J1953" i="10"/>
  <c r="N1953" i="10" s="1"/>
  <c r="M1955" i="10"/>
  <c r="N1957" i="10"/>
  <c r="P1959" i="10"/>
  <c r="M1954" i="10"/>
  <c r="O1954" i="10"/>
  <c r="M1952" i="10"/>
  <c r="O1955" i="10"/>
  <c r="O1952" i="10"/>
  <c r="M1953" i="10"/>
  <c r="N1962" i="10"/>
  <c r="L1961" i="10"/>
  <c r="P1961" i="10"/>
  <c r="L1952" i="10"/>
  <c r="L1954" i="10"/>
  <c r="M1957" i="10"/>
  <c r="M1958" i="10"/>
  <c r="M1961" i="10"/>
  <c r="O1962" i="10"/>
  <c r="M1941" i="10"/>
  <c r="O1953" i="10"/>
  <c r="N1958" i="10"/>
  <c r="N1959" i="10"/>
  <c r="L1953" i="10"/>
  <c r="L1955" i="10"/>
  <c r="M1939" i="10"/>
  <c r="J1948" i="10"/>
  <c r="P1948" i="10" s="1"/>
  <c r="N1943" i="10"/>
  <c r="P1945" i="10"/>
  <c r="M1940" i="10"/>
  <c r="O1940" i="10"/>
  <c r="O1938" i="10"/>
  <c r="O1941" i="10"/>
  <c r="O1939" i="10"/>
  <c r="N1948" i="10"/>
  <c r="L1947" i="10"/>
  <c r="P1947" i="10"/>
  <c r="L1938" i="10"/>
  <c r="P1938" i="10"/>
  <c r="L1940" i="10"/>
  <c r="P1940" i="10"/>
  <c r="M1943" i="10"/>
  <c r="M1944" i="10"/>
  <c r="M1947" i="10"/>
  <c r="O1948" i="10"/>
  <c r="P1965" i="10"/>
  <c r="M1938" i="10"/>
  <c r="N1944" i="10"/>
  <c r="N1945" i="10"/>
  <c r="L1939" i="10"/>
  <c r="L1941" i="10"/>
  <c r="N1965" i="10"/>
  <c r="P1964" i="10"/>
  <c r="N1964" i="10"/>
  <c r="P1926" i="10"/>
  <c r="J1922" i="10"/>
  <c r="N1922" i="10" s="1"/>
  <c r="N1929" i="10"/>
  <c r="L1921" i="10"/>
  <c r="P1921" i="10"/>
  <c r="L1928" i="10"/>
  <c r="P1928" i="10"/>
  <c r="M1919" i="10"/>
  <c r="O1920" i="10"/>
  <c r="M1921" i="10"/>
  <c r="O1922" i="10"/>
  <c r="M1924" i="10"/>
  <c r="M1925" i="10"/>
  <c r="M1928" i="10"/>
  <c r="O1929" i="10"/>
  <c r="M1932" i="10"/>
  <c r="L1922" i="10"/>
  <c r="P1922" i="10"/>
  <c r="N1924" i="10"/>
  <c r="N1925" i="10"/>
  <c r="N1926" i="10"/>
  <c r="L1919" i="10"/>
  <c r="P1919" i="10"/>
  <c r="L1920" i="10"/>
  <c r="P1920" i="10"/>
  <c r="G1925" i="10"/>
  <c r="N1932" i="10"/>
  <c r="O1934" i="10"/>
  <c r="N1934" i="10"/>
  <c r="N1914" i="10"/>
  <c r="O1914" i="10"/>
  <c r="L1905" i="10"/>
  <c r="H1910" i="10"/>
  <c r="H1909" i="10"/>
  <c r="H1908" i="10"/>
  <c r="H1907" i="10"/>
  <c r="I1911" i="10"/>
  <c r="E1911" i="10"/>
  <c r="I1910" i="10"/>
  <c r="E1910" i="10"/>
  <c r="N1910" i="10" s="1"/>
  <c r="I1909" i="10"/>
  <c r="E1909" i="10"/>
  <c r="P1909" i="10" s="1"/>
  <c r="I1908" i="10"/>
  <c r="E1908" i="10"/>
  <c r="P1908" i="10" s="1"/>
  <c r="I1907" i="10"/>
  <c r="G1910" i="10"/>
  <c r="E1907" i="10"/>
  <c r="N1907" i="10" s="1"/>
  <c r="I1905" i="10"/>
  <c r="E1905" i="10"/>
  <c r="M1905" i="10" s="1"/>
  <c r="P1904" i="10"/>
  <c r="O1904" i="10"/>
  <c r="M1904" i="10"/>
  <c r="I1904" i="10"/>
  <c r="H1904" i="10"/>
  <c r="H1905" i="10" s="1"/>
  <c r="L1901" i="10"/>
  <c r="L1899" i="10" s="1"/>
  <c r="I1901" i="10"/>
  <c r="E1901" i="10"/>
  <c r="N1901" i="10" s="1"/>
  <c r="P1900" i="10"/>
  <c r="O1900" i="10"/>
  <c r="M1900" i="10"/>
  <c r="I1900" i="10"/>
  <c r="H1900" i="10"/>
  <c r="H1901" i="10" s="1"/>
  <c r="I1897" i="10"/>
  <c r="H1897" i="10"/>
  <c r="L1897" i="10" s="1"/>
  <c r="L1896" i="10" s="1"/>
  <c r="E1897" i="10"/>
  <c r="O1897" i="10" s="1"/>
  <c r="O1896" i="10" s="1"/>
  <c r="L1888" i="10"/>
  <c r="H1894" i="10"/>
  <c r="I1894" i="10"/>
  <c r="E1894" i="10"/>
  <c r="H1892" i="10"/>
  <c r="H1890" i="10"/>
  <c r="I1892" i="10"/>
  <c r="E1892" i="10"/>
  <c r="M1892" i="10" s="1"/>
  <c r="I1890" i="10"/>
  <c r="E1890" i="10"/>
  <c r="L1886" i="10"/>
  <c r="I1885" i="10"/>
  <c r="H1885" i="10"/>
  <c r="H1886" i="10" s="1"/>
  <c r="I1886" i="10"/>
  <c r="E1886" i="10"/>
  <c r="M1886" i="10" s="1"/>
  <c r="M1885" i="10"/>
  <c r="H1881" i="10"/>
  <c r="H1883" i="10" s="1"/>
  <c r="I1883" i="10"/>
  <c r="G1883" i="10"/>
  <c r="E1883" i="10"/>
  <c r="N1883" i="10" s="1"/>
  <c r="I1882" i="10"/>
  <c r="E1882" i="10"/>
  <c r="O1882" i="10" s="1"/>
  <c r="I1881" i="10"/>
  <c r="E1881" i="10"/>
  <c r="P1881" i="10" s="1"/>
  <c r="H1869" i="10"/>
  <c r="H1870" i="10" s="1"/>
  <c r="H1871" i="10" s="1"/>
  <c r="I1879" i="10"/>
  <c r="E1879" i="10"/>
  <c r="N1879" i="10" s="1"/>
  <c r="I1878" i="10"/>
  <c r="E1878" i="10"/>
  <c r="N1878" i="10" s="1"/>
  <c r="I1877" i="10"/>
  <c r="E1877" i="10"/>
  <c r="O1877" i="10" s="1"/>
  <c r="I1876" i="10"/>
  <c r="G1879" i="10"/>
  <c r="E1876" i="10"/>
  <c r="N1876" i="10" s="1"/>
  <c r="I1875" i="10"/>
  <c r="E1875" i="10"/>
  <c r="P1875" i="10" s="1"/>
  <c r="I1874" i="10"/>
  <c r="E1874" i="10"/>
  <c r="N1874" i="10" s="1"/>
  <c r="I1873" i="10"/>
  <c r="G1874" i="10"/>
  <c r="E1873" i="10"/>
  <c r="P1873" i="10" s="1"/>
  <c r="I1872" i="10"/>
  <c r="E1872" i="10"/>
  <c r="O1872" i="10" s="1"/>
  <c r="I1871" i="10"/>
  <c r="E1871" i="10"/>
  <c r="I1870" i="10"/>
  <c r="E1870" i="10"/>
  <c r="L1819" i="10"/>
  <c r="L1836" i="10"/>
  <c r="L1837" i="10"/>
  <c r="I1867" i="10"/>
  <c r="E1867" i="10"/>
  <c r="I1866" i="10"/>
  <c r="E1866" i="10"/>
  <c r="P1866" i="10" s="1"/>
  <c r="I1865" i="10"/>
  <c r="G1866" i="10"/>
  <c r="E1865" i="10"/>
  <c r="O1865" i="10" s="1"/>
  <c r="I1864" i="10"/>
  <c r="H1864" i="10"/>
  <c r="E1864" i="10"/>
  <c r="O1864" i="10" s="1"/>
  <c r="H1858" i="10"/>
  <c r="H1860" i="10" s="1"/>
  <c r="I1861" i="10"/>
  <c r="E1861" i="10"/>
  <c r="M1861" i="10" s="1"/>
  <c r="I1860" i="10"/>
  <c r="E1860" i="10"/>
  <c r="P1860" i="10" s="1"/>
  <c r="I1859" i="10"/>
  <c r="E1859" i="10"/>
  <c r="O1859" i="10" s="1"/>
  <c r="I1858" i="10"/>
  <c r="E1858" i="10"/>
  <c r="I1856" i="10"/>
  <c r="H1856" i="10"/>
  <c r="L1856" i="10" s="1"/>
  <c r="E1856" i="10"/>
  <c r="M1856" i="10" s="1"/>
  <c r="I1855" i="10"/>
  <c r="E1855" i="10"/>
  <c r="O1855" i="10" s="1"/>
  <c r="I1854" i="10"/>
  <c r="H1854" i="10"/>
  <c r="H1855" i="10" s="1"/>
  <c r="E1854" i="10"/>
  <c r="M1854" i="10" s="1"/>
  <c r="I1853" i="10"/>
  <c r="H1853" i="10"/>
  <c r="E1853" i="10"/>
  <c r="O1853" i="10" s="1"/>
  <c r="I1852" i="10"/>
  <c r="E1852" i="10"/>
  <c r="H1846" i="10"/>
  <c r="H1847" i="10" s="1"/>
  <c r="H1845" i="10"/>
  <c r="H1848" i="10"/>
  <c r="L1848" i="10" s="1"/>
  <c r="L1842" i="10" s="1"/>
  <c r="I1848" i="10"/>
  <c r="E1848" i="10"/>
  <c r="O1848" i="10" s="1"/>
  <c r="I1847" i="10"/>
  <c r="E1847" i="10"/>
  <c r="M1847" i="10" s="1"/>
  <c r="I1846" i="10"/>
  <c r="E1846" i="10"/>
  <c r="O1846" i="10" s="1"/>
  <c r="I1845" i="10"/>
  <c r="E1845" i="10"/>
  <c r="M1845" i="10" s="1"/>
  <c r="I1844" i="10"/>
  <c r="E1844" i="10"/>
  <c r="H1835" i="10"/>
  <c r="L1835" i="10" s="1"/>
  <c r="I1839" i="10"/>
  <c r="E1839" i="10"/>
  <c r="M1839" i="10" s="1"/>
  <c r="I1838" i="10"/>
  <c r="E1838" i="10"/>
  <c r="O1838" i="10" s="1"/>
  <c r="I1837" i="10"/>
  <c r="E1837" i="10"/>
  <c r="M1837" i="10" s="1"/>
  <c r="I1836" i="10"/>
  <c r="J1836" i="10" s="1"/>
  <c r="E1836" i="10"/>
  <c r="O1836" i="10" s="1"/>
  <c r="I1835" i="10"/>
  <c r="E1835" i="10"/>
  <c r="H1834" i="10"/>
  <c r="I1834" i="10"/>
  <c r="E1834" i="10"/>
  <c r="M1834" i="10" s="1"/>
  <c r="I1831" i="10"/>
  <c r="E1831" i="10"/>
  <c r="I1830" i="10"/>
  <c r="E1830" i="10"/>
  <c r="M1830" i="10" s="1"/>
  <c r="I1829" i="10"/>
  <c r="E1829" i="10"/>
  <c r="I1828" i="10"/>
  <c r="E1828" i="10"/>
  <c r="M1828" i="10" s="1"/>
  <c r="I1827" i="10"/>
  <c r="E1827" i="10"/>
  <c r="M1827" i="10" s="1"/>
  <c r="I1826" i="10"/>
  <c r="G1830" i="10"/>
  <c r="E1826" i="10"/>
  <c r="M1826" i="10" s="1"/>
  <c r="I1825" i="10"/>
  <c r="E1825" i="10"/>
  <c r="I1824" i="10"/>
  <c r="E1824" i="10"/>
  <c r="P1824" i="10" s="1"/>
  <c r="I1823" i="10"/>
  <c r="H1823" i="10"/>
  <c r="E1823" i="10"/>
  <c r="H1820" i="10"/>
  <c r="I1820" i="10"/>
  <c r="E1820" i="10"/>
  <c r="M1820" i="10" s="1"/>
  <c r="M1819" i="10" s="1"/>
  <c r="H1817" i="10"/>
  <c r="G1817" i="10"/>
  <c r="H1816" i="10"/>
  <c r="H1815" i="10"/>
  <c r="H1814" i="10"/>
  <c r="P1815" i="10"/>
  <c r="O1815" i="10"/>
  <c r="M1815" i="10"/>
  <c r="L1815" i="10"/>
  <c r="I1815" i="10"/>
  <c r="I1817" i="10"/>
  <c r="E1817" i="10"/>
  <c r="P1817" i="10" s="1"/>
  <c r="I1816" i="10"/>
  <c r="E1816" i="10"/>
  <c r="O1816" i="10" s="1"/>
  <c r="I1814" i="10"/>
  <c r="E1814" i="10"/>
  <c r="L2244" i="10" l="1"/>
  <c r="H2197" i="10"/>
  <c r="L2197" i="10" s="1"/>
  <c r="L2195" i="10"/>
  <c r="K2236" i="10"/>
  <c r="L2280" i="10"/>
  <c r="L2241" i="10"/>
  <c r="K2241" i="10" s="1"/>
  <c r="L2320" i="10"/>
  <c r="K2320" i="10" s="1"/>
  <c r="K2326" i="10"/>
  <c r="J2295" i="10"/>
  <c r="O2295" i="10" s="1"/>
  <c r="L2295" i="10"/>
  <c r="J2302" i="10"/>
  <c r="O2302" i="10" s="1"/>
  <c r="L2302" i="10"/>
  <c r="K2177" i="10"/>
  <c r="L2296" i="10"/>
  <c r="K2296" i="10" s="1"/>
  <c r="L2242" i="10"/>
  <c r="K2242" i="10" s="1"/>
  <c r="J2293" i="10"/>
  <c r="O2293" i="10" s="1"/>
  <c r="L2293" i="10"/>
  <c r="K2293" i="10" s="1"/>
  <c r="J2321" i="10"/>
  <c r="O2321" i="10" s="1"/>
  <c r="L2321" i="10"/>
  <c r="L2318" i="10" s="1"/>
  <c r="L2322" i="10"/>
  <c r="K2322" i="10" s="1"/>
  <c r="P2202" i="10"/>
  <c r="O2202" i="10"/>
  <c r="K2127" i="10"/>
  <c r="K2122" i="10"/>
  <c r="K2046" i="10"/>
  <c r="L2042" i="10"/>
  <c r="K2100" i="10"/>
  <c r="P2324" i="10"/>
  <c r="N2318" i="10"/>
  <c r="P2318" i="10"/>
  <c r="N2324" i="10"/>
  <c r="O2326" i="10"/>
  <c r="J2327" i="10"/>
  <c r="O2327" i="10" s="1"/>
  <c r="P2343" i="10"/>
  <c r="P2342" i="10" s="1"/>
  <c r="L2327" i="10"/>
  <c r="K2327" i="10" s="1"/>
  <c r="J2320" i="10"/>
  <c r="O2320" i="10" s="1"/>
  <c r="Q2320" i="10" s="1"/>
  <c r="L2278" i="10"/>
  <c r="L2276" i="10" s="1"/>
  <c r="K2302" i="10"/>
  <c r="J2124" i="10"/>
  <c r="O2124" i="10" s="1"/>
  <c r="Q2124" i="10" s="1"/>
  <c r="J2289" i="10"/>
  <c r="O2289" i="10" s="1"/>
  <c r="Q2289" i="10" s="1"/>
  <c r="J2291" i="10"/>
  <c r="M2291" i="10" s="1"/>
  <c r="Q2291" i="10" s="1"/>
  <c r="L2308" i="10"/>
  <c r="K2308" i="10" s="1"/>
  <c r="H2301" i="10"/>
  <c r="J2300" i="10"/>
  <c r="N2300" i="10" s="1"/>
  <c r="Q2300" i="10" s="1"/>
  <c r="J2294" i="10"/>
  <c r="O2294" i="10" s="1"/>
  <c r="Q2294" i="10" s="1"/>
  <c r="H2267" i="10"/>
  <c r="J2267" i="10" s="1"/>
  <c r="O2267" i="10" s="1"/>
  <c r="Q2267" i="10" s="1"/>
  <c r="O2280" i="10"/>
  <c r="K2295" i="10"/>
  <c r="J2296" i="10"/>
  <c r="M2296" i="10" s="1"/>
  <c r="Q2296" i="10" s="1"/>
  <c r="L2239" i="10"/>
  <c r="K2239" i="10" s="1"/>
  <c r="J2281" i="10"/>
  <c r="J2280" i="10" s="1"/>
  <c r="J2241" i="10"/>
  <c r="O2241" i="10" s="1"/>
  <c r="Q2241" i="10" s="1"/>
  <c r="L2289" i="10"/>
  <c r="K2289" i="10" s="1"/>
  <c r="H2268" i="10"/>
  <c r="J2268" i="10" s="1"/>
  <c r="M2268" i="10" s="1"/>
  <c r="Q2268" i="10" s="1"/>
  <c r="J2243" i="10"/>
  <c r="O2243" i="10" s="1"/>
  <c r="Q2243" i="10" s="1"/>
  <c r="J2290" i="10"/>
  <c r="O2290" i="10" s="1"/>
  <c r="Q2290" i="10" s="1"/>
  <c r="K2294" i="10"/>
  <c r="K2243" i="10"/>
  <c r="J2244" i="10"/>
  <c r="M2244" i="10" s="1"/>
  <c r="Q2244" i="10" s="1"/>
  <c r="L2288" i="10"/>
  <c r="K2244" i="10"/>
  <c r="P2274" i="10"/>
  <c r="P2273" i="10" s="1"/>
  <c r="L2248" i="10"/>
  <c r="K2248" i="10" s="1"/>
  <c r="H2256" i="10"/>
  <c r="J2256" i="10" s="1"/>
  <c r="M2256" i="10" s="1"/>
  <c r="Q2256" i="10" s="1"/>
  <c r="L2266" i="10"/>
  <c r="J2255" i="10"/>
  <c r="N2255" i="10" s="1"/>
  <c r="Q2255" i="10" s="1"/>
  <c r="J2242" i="10"/>
  <c r="O2242" i="10" s="1"/>
  <c r="Q2242" i="10" s="1"/>
  <c r="J2257" i="10"/>
  <c r="O2257" i="10" s="1"/>
  <c r="Q2257" i="10" s="1"/>
  <c r="L2247" i="10"/>
  <c r="K2247" i="10" s="1"/>
  <c r="J2237" i="10"/>
  <c r="O2237" i="10" s="1"/>
  <c r="Q2237" i="10" s="1"/>
  <c r="J2238" i="10"/>
  <c r="O2238" i="10" s="1"/>
  <c r="Q2238" i="10" s="1"/>
  <c r="L2238" i="10"/>
  <c r="K2238" i="10" s="1"/>
  <c r="L2211" i="10"/>
  <c r="K2211" i="10" s="1"/>
  <c r="J2203" i="10"/>
  <c r="J2236" i="10"/>
  <c r="O2236" i="10" s="1"/>
  <c r="Q2236" i="10" s="1"/>
  <c r="J2211" i="10"/>
  <c r="O2211" i="10" s="1"/>
  <c r="Q2211" i="10" s="1"/>
  <c r="L2215" i="10"/>
  <c r="K2215" i="10" s="1"/>
  <c r="L2212" i="10"/>
  <c r="K2212" i="10" s="1"/>
  <c r="L2209" i="10"/>
  <c r="K2209" i="10" s="1"/>
  <c r="L2210" i="10"/>
  <c r="K2210" i="10" s="1"/>
  <c r="J2215" i="10"/>
  <c r="O2215" i="10" s="1"/>
  <c r="Q2215" i="10" s="1"/>
  <c r="L2214" i="10"/>
  <c r="K2214" i="10" s="1"/>
  <c r="J2212" i="10"/>
  <c r="M2212" i="10" s="1"/>
  <c r="Q2212" i="10" s="1"/>
  <c r="H2216" i="10"/>
  <c r="L2216" i="10" s="1"/>
  <c r="K2216" i="10" s="1"/>
  <c r="J2214" i="10"/>
  <c r="O2214" i="10" s="1"/>
  <c r="Q2214" i="10" s="1"/>
  <c r="H2196" i="10"/>
  <c r="H2204" i="10"/>
  <c r="J2204" i="10" s="1"/>
  <c r="M2204" i="10" s="1"/>
  <c r="Q2204" i="10" s="1"/>
  <c r="L2205" i="10"/>
  <c r="K2205" i="10" s="1"/>
  <c r="J2226" i="10"/>
  <c r="M2226" i="10" s="1"/>
  <c r="Q2226" i="10" s="1"/>
  <c r="L2222" i="10"/>
  <c r="J2177" i="10"/>
  <c r="O2177" i="10" s="1"/>
  <c r="Q2177" i="10" s="1"/>
  <c r="H2155" i="10"/>
  <c r="J2155" i="10" s="1"/>
  <c r="O2155" i="10" s="1"/>
  <c r="Q2155" i="10" s="1"/>
  <c r="H2224" i="10"/>
  <c r="J2224" i="10" s="1"/>
  <c r="O2224" i="10" s="1"/>
  <c r="Q2224" i="10" s="1"/>
  <c r="H2225" i="10"/>
  <c r="J2225" i="10" s="1"/>
  <c r="O2225" i="10" s="1"/>
  <c r="Q2225" i="10" s="1"/>
  <c r="K2195" i="10"/>
  <c r="J2222" i="10"/>
  <c r="O2222" i="10" s="1"/>
  <c r="Q2222" i="10" s="1"/>
  <c r="J2195" i="10"/>
  <c r="O2195" i="10" s="1"/>
  <c r="Q2195" i="10" s="1"/>
  <c r="J2154" i="10"/>
  <c r="O2154" i="10" s="1"/>
  <c r="Q2154" i="10" s="1"/>
  <c r="H2179" i="10"/>
  <c r="J2179" i="10" s="1"/>
  <c r="M2179" i="10" s="1"/>
  <c r="Q2179" i="10" s="1"/>
  <c r="J2128" i="10"/>
  <c r="O2128" i="10" s="1"/>
  <c r="Q2128" i="10" s="1"/>
  <c r="H2178" i="10"/>
  <c r="J2178" i="10" s="1"/>
  <c r="O2178" i="10" s="1"/>
  <c r="Q2178" i="10" s="1"/>
  <c r="J2158" i="10"/>
  <c r="M2158" i="10" s="1"/>
  <c r="Q2158" i="10" s="1"/>
  <c r="H2156" i="10"/>
  <c r="J2156" i="10" s="1"/>
  <c r="O2156" i="10" s="1"/>
  <c r="Q2156" i="10" s="1"/>
  <c r="H2157" i="10"/>
  <c r="L2157" i="10" s="1"/>
  <c r="L2154" i="10"/>
  <c r="J2134" i="10"/>
  <c r="O2134" i="10" s="1"/>
  <c r="Q2134" i="10" s="1"/>
  <c r="H2133" i="10"/>
  <c r="J2133" i="10" s="1"/>
  <c r="M2133" i="10" s="1"/>
  <c r="Q2133" i="10" s="1"/>
  <c r="J2092" i="10"/>
  <c r="O2092" i="10" s="1"/>
  <c r="Q2092" i="10" s="1"/>
  <c r="J2132" i="10"/>
  <c r="N2132" i="10" s="1"/>
  <c r="J2109" i="10"/>
  <c r="N2109" i="10" s="1"/>
  <c r="Q2109" i="10" s="1"/>
  <c r="L2107" i="10"/>
  <c r="K2107" i="10" s="1"/>
  <c r="L2125" i="10"/>
  <c r="K2125" i="10" s="1"/>
  <c r="L2124" i="10"/>
  <c r="K2124" i="10" s="1"/>
  <c r="J2098" i="10"/>
  <c r="M2098" i="10" s="1"/>
  <c r="Q2098" i="10" s="1"/>
  <c r="J2122" i="10"/>
  <c r="O2122" i="10" s="1"/>
  <c r="Q2122" i="10" s="1"/>
  <c r="H2110" i="10"/>
  <c r="J2110" i="10" s="1"/>
  <c r="M2110" i="10" s="1"/>
  <c r="Q2110" i="10" s="1"/>
  <c r="J2111" i="10"/>
  <c r="O2111" i="10" s="1"/>
  <c r="Q2111" i="10" s="1"/>
  <c r="L2123" i="10"/>
  <c r="K2123" i="10" s="1"/>
  <c r="L2096" i="10"/>
  <c r="K2096" i="10" s="1"/>
  <c r="H2106" i="10"/>
  <c r="J2106" i="10" s="1"/>
  <c r="M2106" i="10" s="1"/>
  <c r="Q2106" i="10" s="1"/>
  <c r="J2105" i="10"/>
  <c r="N2105" i="10" s="1"/>
  <c r="Q2105" i="10" s="1"/>
  <c r="J2074" i="10"/>
  <c r="O2074" i="10" s="1"/>
  <c r="Q2074" i="10" s="1"/>
  <c r="L2101" i="10"/>
  <c r="K2101" i="10" s="1"/>
  <c r="J2091" i="10"/>
  <c r="O2091" i="10" s="1"/>
  <c r="Q2091" i="10" s="1"/>
  <c r="L2082" i="10"/>
  <c r="L2093" i="10"/>
  <c r="K2093" i="10" s="1"/>
  <c r="L2095" i="10"/>
  <c r="L2055" i="10"/>
  <c r="J2096" i="10"/>
  <c r="O2096" i="10" s="1"/>
  <c r="Q2096" i="10" s="1"/>
  <c r="J2081" i="10"/>
  <c r="O2081" i="10" s="1"/>
  <c r="Q2081" i="10" s="1"/>
  <c r="L2091" i="10"/>
  <c r="K2091" i="10" s="1"/>
  <c r="L2090" i="10"/>
  <c r="L2097" i="10"/>
  <c r="K2097" i="10" s="1"/>
  <c r="J2080" i="10"/>
  <c r="O2080" i="10" s="1"/>
  <c r="Q2080" i="10" s="1"/>
  <c r="J2073" i="10"/>
  <c r="O2073" i="10" s="1"/>
  <c r="J2076" i="10"/>
  <c r="O2076" i="10" s="1"/>
  <c r="Q2076" i="10" s="1"/>
  <c r="J2008" i="10"/>
  <c r="M2008" i="10" s="1"/>
  <c r="Q2008" i="10" s="1"/>
  <c r="H2057" i="10"/>
  <c r="J2057" i="10" s="1"/>
  <c r="M2057" i="10" s="1"/>
  <c r="Q2057" i="10" s="1"/>
  <c r="J2055" i="10"/>
  <c r="O2055" i="10" s="1"/>
  <c r="Q2055" i="10" s="1"/>
  <c r="J2040" i="10"/>
  <c r="P2040" i="10" s="1"/>
  <c r="P2028" i="10" s="1"/>
  <c r="J2005" i="10"/>
  <c r="O2005" i="10" s="1"/>
  <c r="Q2005" i="10" s="1"/>
  <c r="J2032" i="10"/>
  <c r="N2032" i="10" s="1"/>
  <c r="Q2032" i="10" s="1"/>
  <c r="J2024" i="10"/>
  <c r="M2024" i="10" s="1"/>
  <c r="Q2024" i="10" s="1"/>
  <c r="L2026" i="10"/>
  <c r="J1984" i="10"/>
  <c r="M1984" i="10" s="1"/>
  <c r="M1973" i="10" s="1"/>
  <c r="H2010" i="10"/>
  <c r="J2010" i="10" s="1"/>
  <c r="O2010" i="10" s="1"/>
  <c r="Q2010" i="10" s="1"/>
  <c r="J1997" i="10"/>
  <c r="O1997" i="10" s="1"/>
  <c r="H2001" i="10"/>
  <c r="L2001" i="10" s="1"/>
  <c r="J1982" i="10"/>
  <c r="O1982" i="10" s="1"/>
  <c r="O1973" i="10" s="1"/>
  <c r="L1998" i="10"/>
  <c r="H2000" i="10"/>
  <c r="L2000" i="10" s="1"/>
  <c r="L1997" i="10"/>
  <c r="H1999" i="10"/>
  <c r="L1999" i="10" s="1"/>
  <c r="H2012" i="10"/>
  <c r="J2012" i="10" s="1"/>
  <c r="O2012" i="10" s="1"/>
  <c r="Q2012" i="10" s="1"/>
  <c r="H2013" i="10"/>
  <c r="L2013" i="10" s="1"/>
  <c r="K2013" i="10" s="1"/>
  <c r="J1977" i="10"/>
  <c r="N1977" i="10" s="1"/>
  <c r="Q1977" i="10" s="1"/>
  <c r="L1973" i="10"/>
  <c r="J1989" i="10"/>
  <c r="N1989" i="10" s="1"/>
  <c r="N1986" i="10" s="1"/>
  <c r="J1979" i="10"/>
  <c r="P1979" i="10" s="1"/>
  <c r="Q1979" i="10" s="1"/>
  <c r="H1959" i="10"/>
  <c r="L1959" i="10" s="1"/>
  <c r="K1959" i="10" s="1"/>
  <c r="L1924" i="10"/>
  <c r="J1924" i="10"/>
  <c r="O1924" i="10" s="1"/>
  <c r="Q1924" i="10" s="1"/>
  <c r="L1957" i="10"/>
  <c r="K1957" i="10" s="1"/>
  <c r="J1957" i="10"/>
  <c r="O1957" i="10" s="1"/>
  <c r="Q1957" i="10" s="1"/>
  <c r="L1943" i="10"/>
  <c r="K1943" i="10" s="1"/>
  <c r="J1943" i="10"/>
  <c r="O1943" i="10" s="1"/>
  <c r="Q1943" i="10" s="1"/>
  <c r="H1945" i="10"/>
  <c r="J1945" i="10" s="1"/>
  <c r="M1945" i="10" s="1"/>
  <c r="Q1945" i="10" s="1"/>
  <c r="J1965" i="10"/>
  <c r="M1965" i="10" s="1"/>
  <c r="Q1965" i="10" s="1"/>
  <c r="H1926" i="10"/>
  <c r="J1926" i="10" s="1"/>
  <c r="M1926" i="10" s="1"/>
  <c r="Q1926" i="10" s="1"/>
  <c r="J2006" i="10"/>
  <c r="O2006" i="10" s="1"/>
  <c r="Q2006" i="10" s="1"/>
  <c r="J2011" i="10"/>
  <c r="O2011" i="10" s="1"/>
  <c r="Q2011" i="10" s="1"/>
  <c r="Q2343" i="10"/>
  <c r="Q2340" i="10"/>
  <c r="Q2339" i="10" s="1"/>
  <c r="E641" i="5" s="1"/>
  <c r="H2223" i="10"/>
  <c r="L2223" i="10" s="1"/>
  <c r="L2158" i="10"/>
  <c r="P2337" i="10"/>
  <c r="P2336" i="10" s="1"/>
  <c r="J2336" i="10"/>
  <c r="Q2331" i="10"/>
  <c r="J2318" i="10"/>
  <c r="Q2332" i="10"/>
  <c r="Q2329" i="10"/>
  <c r="Q2328" i="10"/>
  <c r="H2334" i="10"/>
  <c r="J2333" i="10"/>
  <c r="O2333" i="10" s="1"/>
  <c r="Q2333" i="10" s="1"/>
  <c r="Q2327" i="10"/>
  <c r="Q2326" i="10"/>
  <c r="M2311" i="10"/>
  <c r="N2311" i="10"/>
  <c r="Q2319" i="10"/>
  <c r="Q2322" i="10"/>
  <c r="Q2321" i="10"/>
  <c r="O2311" i="10"/>
  <c r="Q2316" i="10"/>
  <c r="Q2304" i="10"/>
  <c r="P2312" i="10"/>
  <c r="L2313" i="10"/>
  <c r="P2313" i="10"/>
  <c r="Q2313" i="10" s="1"/>
  <c r="Q2306" i="10"/>
  <c r="Q2282" i="10"/>
  <c r="P2286" i="10"/>
  <c r="Q2298" i="10"/>
  <c r="Q2307" i="10"/>
  <c r="Q2288" i="10"/>
  <c r="H2309" i="10"/>
  <c r="J2308" i="10"/>
  <c r="O2308" i="10" s="1"/>
  <c r="Q2308" i="10" s="1"/>
  <c r="Q2302" i="10"/>
  <c r="Q2293" i="10"/>
  <c r="N2280" i="10"/>
  <c r="Q2295" i="10"/>
  <c r="P2276" i="10"/>
  <c r="N2184" i="10"/>
  <c r="N2277" i="10"/>
  <c r="N2276" i="10" s="1"/>
  <c r="J2276" i="10"/>
  <c r="P2281" i="10"/>
  <c r="P2280" i="10" s="1"/>
  <c r="P2229" i="10"/>
  <c r="P2228" i="10" s="1"/>
  <c r="Q2262" i="10"/>
  <c r="Q2264" i="10"/>
  <c r="P2232" i="10"/>
  <c r="P2231" i="10" s="1"/>
  <c r="Q2278" i="10"/>
  <c r="P2259" i="10"/>
  <c r="N2259" i="10"/>
  <c r="Q2263" i="10"/>
  <c r="J2184" i="10"/>
  <c r="Q2271" i="10"/>
  <c r="Q2246" i="10"/>
  <c r="Q2261" i="10"/>
  <c r="Q2266" i="10"/>
  <c r="Q2270" i="10"/>
  <c r="P2234" i="10"/>
  <c r="Q2253" i="10"/>
  <c r="Q2251" i="10"/>
  <c r="Q2247" i="10"/>
  <c r="H2249" i="10"/>
  <c r="J2248" i="10"/>
  <c r="O2248" i="10" s="1"/>
  <c r="Q2248" i="10" s="1"/>
  <c r="Q2239" i="10"/>
  <c r="Q2220" i="10"/>
  <c r="O2228" i="10"/>
  <c r="P2207" i="10"/>
  <c r="N2207" i="10"/>
  <c r="Q2209" i="10"/>
  <c r="Q2210" i="10"/>
  <c r="Q2205" i="10"/>
  <c r="Q2200" i="10"/>
  <c r="Q2193" i="10"/>
  <c r="Q2192" i="10"/>
  <c r="Q2190" i="10"/>
  <c r="P2188" i="10"/>
  <c r="Q2174" i="10"/>
  <c r="N2188" i="10"/>
  <c r="P2184" i="10"/>
  <c r="Q2191" i="10"/>
  <c r="Q2199" i="10"/>
  <c r="J2197" i="10"/>
  <c r="M2197" i="10" s="1"/>
  <c r="Q2197" i="10" s="1"/>
  <c r="K2197" i="10"/>
  <c r="P2170" i="10"/>
  <c r="Q2185" i="10"/>
  <c r="M2184" i="10"/>
  <c r="Q2173" i="10"/>
  <c r="Q2186" i="10"/>
  <c r="P2164" i="10"/>
  <c r="P2163" i="10" s="1"/>
  <c r="J2163" i="10"/>
  <c r="N2170" i="10"/>
  <c r="Q2182" i="10"/>
  <c r="P2161" i="10"/>
  <c r="P2160" i="10" s="1"/>
  <c r="J2160" i="10"/>
  <c r="O2166" i="10"/>
  <c r="N2167" i="10"/>
  <c r="N2166" i="10" s="1"/>
  <c r="Q2175" i="10"/>
  <c r="Q2172" i="10"/>
  <c r="Q2181" i="10"/>
  <c r="L2168" i="10"/>
  <c r="L2166" i="10" s="1"/>
  <c r="J2168" i="10"/>
  <c r="P2168" i="10" s="1"/>
  <c r="Q2168" i="10" s="1"/>
  <c r="P2071" i="10"/>
  <c r="Q2152" i="10"/>
  <c r="Q2142" i="10"/>
  <c r="Q2127" i="10"/>
  <c r="Q2138" i="10"/>
  <c r="Q2148" i="10"/>
  <c r="Q2140" i="10"/>
  <c r="Q2136" i="10"/>
  <c r="Q2125" i="10"/>
  <c r="Q2123" i="10"/>
  <c r="H2130" i="10"/>
  <c r="J2129" i="10"/>
  <c r="O2129" i="10" s="1"/>
  <c r="Q2129" i="10" s="1"/>
  <c r="Q2115" i="10"/>
  <c r="Q2100" i="10"/>
  <c r="Q2113" i="10"/>
  <c r="Q2097" i="10"/>
  <c r="Q2107" i="10"/>
  <c r="Q2101" i="10"/>
  <c r="H2103" i="10"/>
  <c r="J2102" i="10"/>
  <c r="O2102" i="10" s="1"/>
  <c r="Q2102" i="10" s="1"/>
  <c r="Q2095" i="10"/>
  <c r="Q2093" i="10"/>
  <c r="Q2090" i="10"/>
  <c r="L2078" i="10"/>
  <c r="L2075" i="10"/>
  <c r="L2022" i="10"/>
  <c r="K2022" i="10" s="1"/>
  <c r="L2019" i="10"/>
  <c r="K2019" i="10" s="1"/>
  <c r="J2077" i="10"/>
  <c r="M2077" i="10" s="1"/>
  <c r="O2077" i="10"/>
  <c r="O2078" i="10"/>
  <c r="M2078" i="10"/>
  <c r="Q2045" i="10"/>
  <c r="Q2051" i="10"/>
  <c r="N2031" i="10"/>
  <c r="Q2060" i="10"/>
  <c r="Q2053" i="10"/>
  <c r="Q2066" i="10"/>
  <c r="Q2046" i="10"/>
  <c r="Q2044" i="10"/>
  <c r="Q2052" i="10"/>
  <c r="Q2050" i="10"/>
  <c r="J2056" i="10"/>
  <c r="O2056" i="10" s="1"/>
  <c r="Q2056" i="10" s="1"/>
  <c r="L2056" i="10"/>
  <c r="K2056" i="10" s="1"/>
  <c r="Q2059" i="10"/>
  <c r="J2020" i="10"/>
  <c r="O2020" i="10" s="1"/>
  <c r="Q2020" i="10" s="1"/>
  <c r="Q2069" i="10"/>
  <c r="Q2037" i="10"/>
  <c r="Q2063" i="10"/>
  <c r="Q2034" i="10"/>
  <c r="Q2033" i="10"/>
  <c r="N2003" i="10"/>
  <c r="P2003" i="10"/>
  <c r="J1998" i="10"/>
  <c r="O1998" i="10" s="1"/>
  <c r="J2019" i="10"/>
  <c r="J2021" i="10"/>
  <c r="O2021" i="10" s="1"/>
  <c r="Q2021" i="10" s="1"/>
  <c r="L2016" i="10"/>
  <c r="K2016" i="10" s="1"/>
  <c r="Q2017" i="10"/>
  <c r="Q2015" i="10"/>
  <c r="Q2016" i="10"/>
  <c r="L2007" i="10"/>
  <c r="K2007" i="10" s="1"/>
  <c r="L2021" i="10"/>
  <c r="K2021" i="10" s="1"/>
  <c r="L2011" i="10"/>
  <c r="K2011" i="10" s="1"/>
  <c r="L2020" i="10"/>
  <c r="K2020" i="10" s="1"/>
  <c r="L2008" i="10"/>
  <c r="K2008" i="10" s="1"/>
  <c r="Q2022" i="10"/>
  <c r="Q2026" i="10"/>
  <c r="L2006" i="10"/>
  <c r="K2006" i="10" s="1"/>
  <c r="Q2007" i="10"/>
  <c r="Q2025" i="10"/>
  <c r="O1995" i="10"/>
  <c r="N2000" i="10"/>
  <c r="N2001" i="10"/>
  <c r="N1997" i="10"/>
  <c r="N1998" i="10"/>
  <c r="N1995" i="10"/>
  <c r="Q1990" i="10"/>
  <c r="M1986" i="10"/>
  <c r="P1986" i="10"/>
  <c r="Q1978" i="10"/>
  <c r="N1976" i="10"/>
  <c r="Q1988" i="10"/>
  <c r="Q1991" i="10"/>
  <c r="Q1954" i="10"/>
  <c r="J1967" i="10"/>
  <c r="M1971" i="10"/>
  <c r="M1970" i="10" s="1"/>
  <c r="J1970" i="10"/>
  <c r="Q1955" i="10"/>
  <c r="N1913" i="10"/>
  <c r="Q1968" i="10"/>
  <c r="Q1967" i="10" s="1"/>
  <c r="E607" i="5" s="1"/>
  <c r="Q1952" i="10"/>
  <c r="Q1962" i="10"/>
  <c r="J1900" i="10"/>
  <c r="N1900" i="10" s="1"/>
  <c r="N1899" i="10" s="1"/>
  <c r="Q1948" i="10"/>
  <c r="Q1961" i="10"/>
  <c r="Q1953" i="10"/>
  <c r="Q1941" i="10"/>
  <c r="Q1947" i="10"/>
  <c r="J1958" i="10"/>
  <c r="O1958" i="10" s="1"/>
  <c r="Q1958" i="10" s="1"/>
  <c r="L1958" i="10"/>
  <c r="K1958" i="10" s="1"/>
  <c r="Q1939" i="10"/>
  <c r="Q1940" i="10"/>
  <c r="Q1938" i="10"/>
  <c r="J1944" i="10"/>
  <c r="O1944" i="10" s="1"/>
  <c r="Q1944" i="10" s="1"/>
  <c r="L1944" i="10"/>
  <c r="K1944" i="10" s="1"/>
  <c r="M1913" i="10"/>
  <c r="L1964" i="10"/>
  <c r="J1964" i="10"/>
  <c r="M1964" i="10" s="1"/>
  <c r="Q1964" i="10" s="1"/>
  <c r="Q1929" i="10"/>
  <c r="Q1922" i="10"/>
  <c r="Q1921" i="10"/>
  <c r="Q1920" i="10"/>
  <c r="Q1919" i="10"/>
  <c r="J1925" i="10"/>
  <c r="O1925" i="10" s="1"/>
  <c r="Q1925" i="10" s="1"/>
  <c r="L1925" i="10"/>
  <c r="K1925" i="10" s="1"/>
  <c r="Q1928" i="10"/>
  <c r="J1915" i="10"/>
  <c r="N1915" i="10" s="1"/>
  <c r="Q1915" i="10" s="1"/>
  <c r="Q1914" i="10"/>
  <c r="J1909" i="10"/>
  <c r="N1909" i="10" s="1"/>
  <c r="P1910" i="10"/>
  <c r="J1908" i="10"/>
  <c r="N1908" i="10" s="1"/>
  <c r="J1904" i="10"/>
  <c r="P1907" i="10"/>
  <c r="O1910" i="10"/>
  <c r="L1907" i="10"/>
  <c r="K1907" i="10" s="1"/>
  <c r="M1908" i="10"/>
  <c r="N1905" i="10"/>
  <c r="O1908" i="10"/>
  <c r="M1909" i="10"/>
  <c r="M1907" i="10"/>
  <c r="J1910" i="10"/>
  <c r="M1910" i="10" s="1"/>
  <c r="L1910" i="10"/>
  <c r="K1910" i="10" s="1"/>
  <c r="J1907" i="10"/>
  <c r="O1907" i="10" s="1"/>
  <c r="L1908" i="10"/>
  <c r="O1909" i="10"/>
  <c r="J1905" i="10"/>
  <c r="P1905" i="10" s="1"/>
  <c r="L1909" i="10"/>
  <c r="O1905" i="10"/>
  <c r="J1897" i="10"/>
  <c r="J1896" i="10" s="1"/>
  <c r="M1901" i="10"/>
  <c r="M1899" i="10" s="1"/>
  <c r="J1901" i="10"/>
  <c r="O1901" i="10"/>
  <c r="O1899" i="10" s="1"/>
  <c r="J1892" i="10"/>
  <c r="P1892" i="10" s="1"/>
  <c r="M1897" i="10"/>
  <c r="M1896" i="10" s="1"/>
  <c r="N1897" i="10"/>
  <c r="N1896" i="10" s="1"/>
  <c r="N1892" i="10"/>
  <c r="J1894" i="10"/>
  <c r="P1894" i="10" s="1"/>
  <c r="N1894" i="10"/>
  <c r="O1894" i="10"/>
  <c r="J1890" i="10"/>
  <c r="O1892" i="10"/>
  <c r="O1890" i="10"/>
  <c r="M1890" i="10"/>
  <c r="N1890" i="10"/>
  <c r="N1886" i="10"/>
  <c r="J1886" i="10"/>
  <c r="P1886" i="10" s="1"/>
  <c r="O1886" i="10"/>
  <c r="O1885" i="10"/>
  <c r="J1885" i="10"/>
  <c r="N1885" i="10" s="1"/>
  <c r="P1885" i="10"/>
  <c r="P1883" i="10"/>
  <c r="J1883" i="10"/>
  <c r="O1883" i="10" s="1"/>
  <c r="O1881" i="10"/>
  <c r="M1881" i="10"/>
  <c r="J1881" i="10"/>
  <c r="N1881" i="10" s="1"/>
  <c r="H1882" i="10"/>
  <c r="J1882" i="10" s="1"/>
  <c r="M1882" i="10" s="1"/>
  <c r="L1883" i="10"/>
  <c r="K1883" i="10" s="1"/>
  <c r="M1875" i="10"/>
  <c r="M1876" i="10"/>
  <c r="L1881" i="10"/>
  <c r="M1883" i="10"/>
  <c r="N1882" i="10"/>
  <c r="P1877" i="10"/>
  <c r="O1874" i="10"/>
  <c r="O1875" i="10"/>
  <c r="N1877" i="10"/>
  <c r="P1879" i="10"/>
  <c r="P1876" i="10"/>
  <c r="P1878" i="10"/>
  <c r="H1875" i="10"/>
  <c r="J1875" i="10" s="1"/>
  <c r="N1875" i="10" s="1"/>
  <c r="H1873" i="10"/>
  <c r="J1873" i="10" s="1"/>
  <c r="O1873" i="10" s="1"/>
  <c r="H1876" i="10"/>
  <c r="H1879" i="10"/>
  <c r="H1878" i="10"/>
  <c r="H1877" i="10"/>
  <c r="L1872" i="10"/>
  <c r="P1872" i="10"/>
  <c r="H1872" i="10"/>
  <c r="J1872" i="10" s="1"/>
  <c r="M1872" i="10"/>
  <c r="M1873" i="10"/>
  <c r="H1874" i="10"/>
  <c r="J1874" i="10" s="1"/>
  <c r="M1874" i="10" s="1"/>
  <c r="P1874" i="10"/>
  <c r="M1878" i="10"/>
  <c r="M1879" i="10"/>
  <c r="N1873" i="10"/>
  <c r="L1875" i="10"/>
  <c r="G1877" i="10"/>
  <c r="G1878" i="10"/>
  <c r="L1832" i="10"/>
  <c r="L1864" i="10"/>
  <c r="P1865" i="10"/>
  <c r="P1864" i="10"/>
  <c r="H1859" i="10"/>
  <c r="J1859" i="10" s="1"/>
  <c r="N1859" i="10" s="1"/>
  <c r="J1864" i="10"/>
  <c r="H1866" i="10"/>
  <c r="H1865" i="10"/>
  <c r="M1864" i="10"/>
  <c r="M1866" i="10"/>
  <c r="N1865" i="10"/>
  <c r="N1866" i="10"/>
  <c r="N1856" i="10"/>
  <c r="M1860" i="10"/>
  <c r="H1861" i="10"/>
  <c r="J1861" i="10" s="1"/>
  <c r="P1861" i="10" s="1"/>
  <c r="O1860" i="10"/>
  <c r="J1860" i="10"/>
  <c r="N1860" i="10" s="1"/>
  <c r="L1859" i="10"/>
  <c r="P1859" i="10"/>
  <c r="N1861" i="10"/>
  <c r="J1855" i="10"/>
  <c r="N1855" i="10" s="1"/>
  <c r="M1859" i="10"/>
  <c r="O1861" i="10"/>
  <c r="J1853" i="10"/>
  <c r="N1853" i="10" s="1"/>
  <c r="L1860" i="10"/>
  <c r="J1854" i="10"/>
  <c r="N1854" i="10" s="1"/>
  <c r="J1856" i="10"/>
  <c r="P1856" i="10" s="1"/>
  <c r="L1853" i="10"/>
  <c r="P1853" i="10"/>
  <c r="L1855" i="10"/>
  <c r="P1855" i="10"/>
  <c r="M1853" i="10"/>
  <c r="O1854" i="10"/>
  <c r="M1855" i="10"/>
  <c r="O1856" i="10"/>
  <c r="L1854" i="10"/>
  <c r="P1854" i="10"/>
  <c r="J1847" i="10"/>
  <c r="N1847" i="10" s="1"/>
  <c r="J1846" i="10"/>
  <c r="N1846" i="10" s="1"/>
  <c r="J1845" i="10"/>
  <c r="J1848" i="10"/>
  <c r="P1848" i="10" s="1"/>
  <c r="O1845" i="10"/>
  <c r="M1846" i="10"/>
  <c r="O1847" i="10"/>
  <c r="M1848" i="10"/>
  <c r="L1846" i="10"/>
  <c r="P1846" i="10"/>
  <c r="L1847" i="10"/>
  <c r="P1847" i="10"/>
  <c r="N1848" i="10"/>
  <c r="L1845" i="10"/>
  <c r="P1845" i="10"/>
  <c r="N1834" i="10"/>
  <c r="N1837" i="10"/>
  <c r="J1837" i="10"/>
  <c r="O1837" i="10" s="1"/>
  <c r="N1835" i="10"/>
  <c r="P1838" i="10"/>
  <c r="J1835" i="10"/>
  <c r="M1835" i="10" s="1"/>
  <c r="O1835" i="10"/>
  <c r="M1836" i="10"/>
  <c r="M1838" i="10"/>
  <c r="O1839" i="10"/>
  <c r="N1836" i="10"/>
  <c r="P1836" i="10"/>
  <c r="P1835" i="10"/>
  <c r="P1837" i="10"/>
  <c r="P1839" i="10"/>
  <c r="J1834" i="10"/>
  <c r="P1834" i="10" s="1"/>
  <c r="O1834" i="10"/>
  <c r="H1830" i="10"/>
  <c r="J1830" i="10" s="1"/>
  <c r="O1830" i="10" s="1"/>
  <c r="H1829" i="10"/>
  <c r="H1828" i="10"/>
  <c r="H1827" i="10"/>
  <c r="H1826" i="10"/>
  <c r="J1826" i="10" s="1"/>
  <c r="O1826" i="10" s="1"/>
  <c r="H1824" i="10"/>
  <c r="N1827" i="10"/>
  <c r="N1830" i="10"/>
  <c r="M1824" i="10"/>
  <c r="G1827" i="10"/>
  <c r="G1828" i="10"/>
  <c r="G1829" i="10"/>
  <c r="O1829" i="10"/>
  <c r="N1826" i="10"/>
  <c r="N1828" i="10"/>
  <c r="N1829" i="10"/>
  <c r="N1824" i="10"/>
  <c r="P1826" i="10"/>
  <c r="P1827" i="10"/>
  <c r="P1828" i="10"/>
  <c r="P1829" i="10"/>
  <c r="P1830" i="10"/>
  <c r="N1820" i="10"/>
  <c r="N1819" i="10" s="1"/>
  <c r="J1820" i="10"/>
  <c r="O1820" i="10"/>
  <c r="O1819" i="10" s="1"/>
  <c r="J1815" i="10"/>
  <c r="N1815" i="10" s="1"/>
  <c r="Q1815" i="10" s="1"/>
  <c r="P1816" i="10"/>
  <c r="N1816" i="10"/>
  <c r="M1817" i="10"/>
  <c r="J1817" i="10"/>
  <c r="O1817" i="10" s="1"/>
  <c r="J1814" i="10"/>
  <c r="N1814" i="10" s="1"/>
  <c r="O1814" i="10"/>
  <c r="L1814" i="10"/>
  <c r="P1814" i="10"/>
  <c r="N1817" i="10"/>
  <c r="M1814" i="10"/>
  <c r="B211" i="7"/>
  <c r="C211" i="7"/>
  <c r="B181" i="7"/>
  <c r="C181" i="7"/>
  <c r="B151" i="7"/>
  <c r="C151" i="7"/>
  <c r="B118" i="7"/>
  <c r="C118" i="7"/>
  <c r="B242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110" i="7"/>
  <c r="B111" i="7"/>
  <c r="B112" i="7"/>
  <c r="B113" i="7"/>
  <c r="B114" i="7"/>
  <c r="B115" i="7"/>
  <c r="B116" i="7"/>
  <c r="B117" i="7"/>
  <c r="B119" i="7"/>
  <c r="C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2" i="7"/>
  <c r="C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2" i="7"/>
  <c r="C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2" i="7"/>
  <c r="C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93" i="7"/>
  <c r="C93" i="7"/>
  <c r="B4" i="7"/>
  <c r="B80" i="7"/>
  <c r="C80" i="7"/>
  <c r="B51" i="7"/>
  <c r="B23" i="7"/>
  <c r="C6" i="7"/>
  <c r="C20" i="7"/>
  <c r="C21" i="7"/>
  <c r="C24" i="7"/>
  <c r="C52" i="7"/>
  <c r="C72" i="7"/>
  <c r="C73" i="7"/>
  <c r="C78" i="7"/>
  <c r="C94" i="7"/>
  <c r="C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1" i="7"/>
  <c r="B82" i="7"/>
  <c r="B83" i="7"/>
  <c r="B84" i="7"/>
  <c r="B85" i="7"/>
  <c r="B86" i="7"/>
  <c r="B87" i="7"/>
  <c r="B88" i="7"/>
  <c r="B89" i="7"/>
  <c r="B90" i="7"/>
  <c r="B91" i="7"/>
  <c r="B92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5" i="7"/>
  <c r="K2321" i="10" l="1"/>
  <c r="J2196" i="10"/>
  <c r="O2196" i="10" s="1"/>
  <c r="Q2196" i="10" s="1"/>
  <c r="L2196" i="10"/>
  <c r="L2301" i="10"/>
  <c r="K2301" i="10" s="1"/>
  <c r="K2266" i="10"/>
  <c r="K2288" i="10"/>
  <c r="L2188" i="10"/>
  <c r="Q2318" i="10"/>
  <c r="K2090" i="10"/>
  <c r="L2089" i="10"/>
  <c r="K2055" i="10"/>
  <c r="K2095" i="10"/>
  <c r="L2094" i="10"/>
  <c r="M2202" i="10"/>
  <c r="N2203" i="10"/>
  <c r="J2202" i="10"/>
  <c r="L2121" i="10"/>
  <c r="O2324" i="10"/>
  <c r="Q2342" i="10"/>
  <c r="E643" i="5" s="1"/>
  <c r="O2318" i="10"/>
  <c r="L2268" i="10"/>
  <c r="K2268" i="10" s="1"/>
  <c r="L2256" i="10"/>
  <c r="K2256" i="10" s="1"/>
  <c r="Q2281" i="10"/>
  <c r="J2301" i="10"/>
  <c r="M2301" i="10" s="1"/>
  <c r="Q2301" i="10" s="1"/>
  <c r="N2286" i="10"/>
  <c r="L2267" i="10"/>
  <c r="K2267" i="10" s="1"/>
  <c r="Q2280" i="10"/>
  <c r="E634" i="5" s="1"/>
  <c r="N2234" i="10"/>
  <c r="Q2274" i="10"/>
  <c r="Q2273" i="10" s="1"/>
  <c r="E631" i="5" s="1"/>
  <c r="L2208" i="10"/>
  <c r="L2204" i="10"/>
  <c r="K2204" i="10" s="1"/>
  <c r="J2216" i="10"/>
  <c r="O2216" i="10" s="1"/>
  <c r="Q2216" i="10" s="1"/>
  <c r="H2217" i="10"/>
  <c r="L2217" i="10" s="1"/>
  <c r="L2213" i="10" s="1"/>
  <c r="L2224" i="10"/>
  <c r="K2196" i="10"/>
  <c r="J2223" i="10"/>
  <c r="O2223" i="10" s="1"/>
  <c r="Q2223" i="10" s="1"/>
  <c r="L2178" i="10"/>
  <c r="J2157" i="10"/>
  <c r="O2157" i="10" s="1"/>
  <c r="Q2157" i="10" s="1"/>
  <c r="Q2150" i="10" s="1"/>
  <c r="E619" i="5" s="1"/>
  <c r="L2155" i="10"/>
  <c r="L2110" i="10"/>
  <c r="L2133" i="10"/>
  <c r="M2150" i="10"/>
  <c r="L2179" i="10"/>
  <c r="K2179" i="10" s="1"/>
  <c r="L2225" i="10"/>
  <c r="L2156" i="10"/>
  <c r="N2071" i="10"/>
  <c r="Q2132" i="10"/>
  <c r="L1828" i="10"/>
  <c r="K1828" i="10" s="1"/>
  <c r="L2106" i="10"/>
  <c r="Q1984" i="10"/>
  <c r="L2010" i="10"/>
  <c r="K2010" i="10" s="1"/>
  <c r="N2028" i="10"/>
  <c r="L2057" i="10"/>
  <c r="K2057" i="10" s="1"/>
  <c r="J2013" i="10"/>
  <c r="M2013" i="10" s="1"/>
  <c r="Q2013" i="10" s="1"/>
  <c r="Q2040" i="10"/>
  <c r="Q1982" i="10"/>
  <c r="J1999" i="10"/>
  <c r="O1999" i="10" s="1"/>
  <c r="J2000" i="10"/>
  <c r="O2000" i="10" s="1"/>
  <c r="Q2000" i="10" s="1"/>
  <c r="J2001" i="10"/>
  <c r="M2001" i="10" s="1"/>
  <c r="M1993" i="10" s="1"/>
  <c r="L2012" i="10"/>
  <c r="K2012" i="10" s="1"/>
  <c r="Q1989" i="10"/>
  <c r="Q1986" i="10" s="1"/>
  <c r="E611" i="5" s="1"/>
  <c r="N1973" i="10"/>
  <c r="L1993" i="10"/>
  <c r="J1959" i="10"/>
  <c r="M1959" i="10" s="1"/>
  <c r="Q1959" i="10" s="1"/>
  <c r="J1986" i="10"/>
  <c r="P1973" i="10"/>
  <c r="J1973" i="10"/>
  <c r="L1912" i="10"/>
  <c r="L1945" i="10"/>
  <c r="K1945" i="10" s="1"/>
  <c r="L1926" i="10"/>
  <c r="K1926" i="10" s="1"/>
  <c r="K1924" i="10"/>
  <c r="Q2337" i="10"/>
  <c r="Q2336" i="10" s="1"/>
  <c r="E638" i="5" s="1"/>
  <c r="J2334" i="10"/>
  <c r="M2334" i="10" s="1"/>
  <c r="L2334" i="10"/>
  <c r="K2334" i="10" s="1"/>
  <c r="Q2312" i="10"/>
  <c r="L2314" i="10"/>
  <c r="O2286" i="10"/>
  <c r="J2309" i="10"/>
  <c r="M2309" i="10" s="1"/>
  <c r="Q2309" i="10" s="1"/>
  <c r="L2309" i="10"/>
  <c r="K2309" i="10" s="1"/>
  <c r="Q2229" i="10"/>
  <c r="Q2228" i="10" s="1"/>
  <c r="E628" i="5" s="1"/>
  <c r="Q2277" i="10"/>
  <c r="Q2276" i="10" s="1"/>
  <c r="E632" i="5" s="1"/>
  <c r="Q2232" i="10"/>
  <c r="Q2231" i="10" s="1"/>
  <c r="E630" i="5" s="1"/>
  <c r="M2259" i="10"/>
  <c r="Q2259" i="10"/>
  <c r="E633" i="5" s="1"/>
  <c r="O2259" i="10"/>
  <c r="J2259" i="10"/>
  <c r="O2234" i="10"/>
  <c r="J2249" i="10"/>
  <c r="M2249" i="10" s="1"/>
  <c r="L2249" i="10"/>
  <c r="K2249" i="10" s="1"/>
  <c r="Q2161" i="10"/>
  <c r="Q2160" i="10" s="1"/>
  <c r="Q2164" i="10"/>
  <c r="Q2163" i="10" s="1"/>
  <c r="E620" i="5" s="1"/>
  <c r="Q2167" i="10"/>
  <c r="M2188" i="10"/>
  <c r="Q2188" i="10"/>
  <c r="E624" i="5" s="1"/>
  <c r="O2188" i="10"/>
  <c r="J2188" i="10"/>
  <c r="J2166" i="10"/>
  <c r="P2166" i="10"/>
  <c r="M2170" i="10"/>
  <c r="Q2166" i="10"/>
  <c r="E621" i="5" s="1"/>
  <c r="Q2184" i="10"/>
  <c r="Q2170" i="10"/>
  <c r="E622" i="5" s="1"/>
  <c r="O2170" i="10"/>
  <c r="J2170" i="10"/>
  <c r="Q2073" i="10"/>
  <c r="O2071" i="10"/>
  <c r="J2130" i="10"/>
  <c r="M2130" i="10" s="1"/>
  <c r="Q2130" i="10" s="1"/>
  <c r="L2130" i="10"/>
  <c r="J2103" i="10"/>
  <c r="M2103" i="10" s="1"/>
  <c r="Q2103" i="10" s="1"/>
  <c r="L2103" i="10"/>
  <c r="K2103" i="10" s="1"/>
  <c r="Q2077" i="10"/>
  <c r="Q2078" i="10"/>
  <c r="Q2031" i="10"/>
  <c r="J2028" i="10"/>
  <c r="M2028" i="10"/>
  <c r="O2028" i="10"/>
  <c r="O2019" i="10"/>
  <c r="Q1995" i="10"/>
  <c r="Q1998" i="10"/>
  <c r="N1999" i="10"/>
  <c r="N1993" i="10" s="1"/>
  <c r="Q1997" i="10"/>
  <c r="Q1900" i="10"/>
  <c r="Q1976" i="10"/>
  <c r="Q1971" i="10"/>
  <c r="Q1970" i="10" s="1"/>
  <c r="E608" i="5" s="1"/>
  <c r="L1861" i="10"/>
  <c r="K1861" i="10" s="1"/>
  <c r="Q1913" i="10"/>
  <c r="J1899" i="10"/>
  <c r="Q1908" i="10"/>
  <c r="Q1910" i="10"/>
  <c r="P1903" i="10"/>
  <c r="Q1907" i="10"/>
  <c r="O1903" i="10"/>
  <c r="Q1909" i="10"/>
  <c r="P1897" i="10"/>
  <c r="P1896" i="10" s="1"/>
  <c r="M1903" i="10"/>
  <c r="N1904" i="10"/>
  <c r="J1903" i="10"/>
  <c r="L1903" i="10"/>
  <c r="P1901" i="10"/>
  <c r="P1899" i="10" s="1"/>
  <c r="Q1905" i="10"/>
  <c r="N1888" i="10"/>
  <c r="O1888" i="10"/>
  <c r="P1890" i="10"/>
  <c r="P1888" i="10" s="1"/>
  <c r="J1888" i="10"/>
  <c r="Q1892" i="10"/>
  <c r="M1894" i="10"/>
  <c r="Q1894" i="10" s="1"/>
  <c r="L1874" i="10"/>
  <c r="K1874" i="10" s="1"/>
  <c r="N1872" i="10"/>
  <c r="N1868" i="10" s="1"/>
  <c r="Q1886" i="10"/>
  <c r="Q1885" i="10"/>
  <c r="Q1883" i="10"/>
  <c r="P1882" i="10"/>
  <c r="Q1882" i="10" s="1"/>
  <c r="Q1881" i="10"/>
  <c r="L1882" i="10"/>
  <c r="K1882" i="10" s="1"/>
  <c r="P1863" i="10"/>
  <c r="Q1875" i="10"/>
  <c r="L1873" i="10"/>
  <c r="Q1874" i="10"/>
  <c r="J1878" i="10"/>
  <c r="O1878" i="10" s="1"/>
  <c r="Q1878" i="10" s="1"/>
  <c r="L1878" i="10"/>
  <c r="K1878" i="10" s="1"/>
  <c r="J1879" i="10"/>
  <c r="O1879" i="10" s="1"/>
  <c r="Q1879" i="10" s="1"/>
  <c r="L1879" i="10"/>
  <c r="K1879" i="10" s="1"/>
  <c r="L1876" i="10"/>
  <c r="K1876" i="10" s="1"/>
  <c r="J1876" i="10"/>
  <c r="O1876" i="10" s="1"/>
  <c r="Q1876" i="10" s="1"/>
  <c r="Q1873" i="10"/>
  <c r="J1877" i="10"/>
  <c r="M1877" i="10" s="1"/>
  <c r="Q1877" i="10" s="1"/>
  <c r="L1877" i="10"/>
  <c r="K1877" i="10" s="1"/>
  <c r="N1864" i="10"/>
  <c r="N1863" i="10" s="1"/>
  <c r="O1850" i="10"/>
  <c r="N1850" i="10"/>
  <c r="Q1860" i="10"/>
  <c r="M1850" i="10"/>
  <c r="J1865" i="10"/>
  <c r="M1865" i="10" s="1"/>
  <c r="Q1865" i="10" s="1"/>
  <c r="L1865" i="10"/>
  <c r="J1866" i="10"/>
  <c r="O1866" i="10" s="1"/>
  <c r="L1866" i="10"/>
  <c r="K1866" i="10" s="1"/>
  <c r="M1842" i="10"/>
  <c r="P1850" i="10"/>
  <c r="J1850" i="10"/>
  <c r="Q1861" i="10"/>
  <c r="Q1859" i="10"/>
  <c r="Q1854" i="10"/>
  <c r="Q1856" i="10"/>
  <c r="Q1853" i="10"/>
  <c r="Q1855" i="10"/>
  <c r="N1845" i="10"/>
  <c r="N1842" i="10" s="1"/>
  <c r="J1842" i="10"/>
  <c r="O1842" i="10"/>
  <c r="P1842" i="10"/>
  <c r="Q1847" i="10"/>
  <c r="Q1848" i="10"/>
  <c r="Q1846" i="10"/>
  <c r="P1832" i="10"/>
  <c r="L1829" i="10"/>
  <c r="K1829" i="10" s="1"/>
  <c r="L1827" i="10"/>
  <c r="K1827" i="10" s="1"/>
  <c r="M1832" i="10"/>
  <c r="O1832" i="10"/>
  <c r="Q1836" i="10"/>
  <c r="Q1837" i="10"/>
  <c r="Q1835" i="10"/>
  <c r="J1838" i="10"/>
  <c r="N1838" i="10" s="1"/>
  <c r="Q1838" i="10" s="1"/>
  <c r="J1839" i="10"/>
  <c r="N1839" i="10" s="1"/>
  <c r="Q1839" i="10" s="1"/>
  <c r="Q1834" i="10"/>
  <c r="P1822" i="10"/>
  <c r="N1822" i="10"/>
  <c r="Q1826" i="10"/>
  <c r="J1827" i="10"/>
  <c r="O1827" i="10" s="1"/>
  <c r="Q1827" i="10" s="1"/>
  <c r="L1830" i="10"/>
  <c r="K1830" i="10" s="1"/>
  <c r="L1826" i="10"/>
  <c r="K1826" i="10" s="1"/>
  <c r="Q1830" i="10"/>
  <c r="P1820" i="10"/>
  <c r="P1819" i="10" s="1"/>
  <c r="J1819" i="10"/>
  <c r="J1828" i="10"/>
  <c r="O1828" i="10" s="1"/>
  <c r="Q1828" i="10" s="1"/>
  <c r="J1824" i="10"/>
  <c r="L1824" i="10"/>
  <c r="J1829" i="10"/>
  <c r="M1829" i="10" s="1"/>
  <c r="Q1829" i="10" s="1"/>
  <c r="P1813" i="10"/>
  <c r="O1813" i="10"/>
  <c r="N1813" i="10"/>
  <c r="Q1817" i="10"/>
  <c r="L1817" i="10"/>
  <c r="K1817" i="10" s="1"/>
  <c r="Q1814" i="10"/>
  <c r="J1816" i="10"/>
  <c r="L1816" i="10"/>
  <c r="B519" i="3"/>
  <c r="C519" i="3"/>
  <c r="E519" i="3"/>
  <c r="F1809" i="10"/>
  <c r="H1808" i="10"/>
  <c r="H1805" i="10"/>
  <c r="H1801" i="10"/>
  <c r="H1798" i="10"/>
  <c r="H1795" i="10"/>
  <c r="H1790" i="10"/>
  <c r="H1786" i="10"/>
  <c r="H1783" i="10"/>
  <c r="H1778" i="10"/>
  <c r="G1769" i="10"/>
  <c r="H1762" i="10"/>
  <c r="G1755" i="10"/>
  <c r="H1748" i="10"/>
  <c r="H1744" i="10"/>
  <c r="H1735" i="10"/>
  <c r="H1731" i="10"/>
  <c r="H1727" i="10"/>
  <c r="H1724" i="10"/>
  <c r="H1718" i="10"/>
  <c r="G1713" i="10"/>
  <c r="G1708" i="10"/>
  <c r="H1706" i="10"/>
  <c r="G1701" i="10"/>
  <c r="G1695" i="10"/>
  <c r="F1693" i="10"/>
  <c r="F1692" i="10"/>
  <c r="H1691" i="10"/>
  <c r="G1685" i="10"/>
  <c r="F1683" i="10"/>
  <c r="F1682" i="10"/>
  <c r="H1681" i="10"/>
  <c r="G1675" i="10"/>
  <c r="F1673" i="10"/>
  <c r="F1672" i="10"/>
  <c r="H1671" i="10"/>
  <c r="H1666" i="10"/>
  <c r="G1661" i="10"/>
  <c r="H1656" i="10"/>
  <c r="H1647" i="10"/>
  <c r="H1641" i="10"/>
  <c r="F1636" i="10"/>
  <c r="G1635" i="10"/>
  <c r="F1633" i="10"/>
  <c r="G1632" i="10"/>
  <c r="H1628" i="10"/>
  <c r="H1620" i="10"/>
  <c r="G1617" i="10"/>
  <c r="H1613" i="10"/>
  <c r="H1606" i="10"/>
  <c r="F1602" i="10"/>
  <c r="G1601" i="10"/>
  <c r="H1600" i="10"/>
  <c r="G1593" i="10"/>
  <c r="F1589" i="10"/>
  <c r="G1588" i="10"/>
  <c r="H1587" i="10"/>
  <c r="G1581" i="10"/>
  <c r="H1580" i="10"/>
  <c r="H1575" i="10"/>
  <c r="F1572" i="10"/>
  <c r="H1570" i="10"/>
  <c r="H1555" i="10"/>
  <c r="H1549" i="10"/>
  <c r="H1545" i="10"/>
  <c r="H1540" i="10"/>
  <c r="G1531" i="10"/>
  <c r="H1524" i="10"/>
  <c r="G1517" i="10"/>
  <c r="H1510" i="10"/>
  <c r="H1504" i="10"/>
  <c r="H1499" i="10"/>
  <c r="G1494" i="10"/>
  <c r="H1492" i="10"/>
  <c r="G1489" i="10"/>
  <c r="H1487" i="10"/>
  <c r="G1482" i="10"/>
  <c r="G1476" i="10"/>
  <c r="F1473" i="10"/>
  <c r="H1472" i="10"/>
  <c r="G1466" i="10"/>
  <c r="F1464" i="10"/>
  <c r="F1463" i="10"/>
  <c r="H1462" i="10"/>
  <c r="H1457" i="10"/>
  <c r="G1452" i="10"/>
  <c r="H1447" i="10"/>
  <c r="G1442" i="10"/>
  <c r="H1437" i="10"/>
  <c r="H1428" i="10"/>
  <c r="H1421" i="10"/>
  <c r="H1415" i="10"/>
  <c r="F1410" i="10"/>
  <c r="G1409" i="10"/>
  <c r="F1407" i="10"/>
  <c r="G1406" i="10"/>
  <c r="H1402" i="10"/>
  <c r="H1393" i="10"/>
  <c r="H1386" i="10"/>
  <c r="F1381" i="10"/>
  <c r="G1380" i="10"/>
  <c r="H1379" i="10"/>
  <c r="G1372" i="10"/>
  <c r="F1368" i="10"/>
  <c r="G1367" i="10"/>
  <c r="H1366" i="10"/>
  <c r="G1360" i="10"/>
  <c r="H1359" i="10"/>
  <c r="G1354" i="10"/>
  <c r="F1350" i="10"/>
  <c r="G1349" i="10"/>
  <c r="H1348" i="10"/>
  <c r="F1344" i="10"/>
  <c r="G1343" i="10"/>
  <c r="H1342" i="10"/>
  <c r="F1337" i="10"/>
  <c r="G1336" i="10"/>
  <c r="H1335" i="10"/>
  <c r="H1330" i="10"/>
  <c r="F1325" i="10"/>
  <c r="H1323" i="10"/>
  <c r="F1315" i="10"/>
  <c r="H1311" i="10"/>
  <c r="H1310" i="10"/>
  <c r="H1308" i="10"/>
  <c r="H1302" i="10"/>
  <c r="H1298" i="10"/>
  <c r="H1294" i="10"/>
  <c r="G1288" i="10"/>
  <c r="H1286" i="10"/>
  <c r="H1283" i="10"/>
  <c r="H1279" i="10"/>
  <c r="H1276" i="10"/>
  <c r="G1267" i="10"/>
  <c r="H1260" i="10"/>
  <c r="H1253" i="10"/>
  <c r="H1249" i="10"/>
  <c r="H1244" i="10"/>
  <c r="H1239" i="10"/>
  <c r="G1234" i="10"/>
  <c r="H1232" i="10"/>
  <c r="G1229" i="10"/>
  <c r="H1227" i="10"/>
  <c r="G1222" i="10"/>
  <c r="G1216" i="10"/>
  <c r="F1214" i="10"/>
  <c r="F1213" i="10"/>
  <c r="H1212" i="10"/>
  <c r="G1206" i="10"/>
  <c r="F1204" i="10"/>
  <c r="F1203" i="10"/>
  <c r="H1202" i="10"/>
  <c r="G1195" i="10"/>
  <c r="H1190" i="10"/>
  <c r="H1181" i="10"/>
  <c r="H1174" i="10"/>
  <c r="F1168" i="10"/>
  <c r="G1167" i="10"/>
  <c r="F1165" i="10"/>
  <c r="G1164" i="10"/>
  <c r="H1160" i="10"/>
  <c r="H1151" i="10"/>
  <c r="G1148" i="10"/>
  <c r="H1144" i="10"/>
  <c r="F1138" i="10"/>
  <c r="G1137" i="10"/>
  <c r="H1136" i="10"/>
  <c r="G1129" i="10"/>
  <c r="G1124" i="10"/>
  <c r="H1123" i="10"/>
  <c r="G1118" i="10"/>
  <c r="G1113" i="10"/>
  <c r="H1112" i="10"/>
  <c r="F1107" i="10"/>
  <c r="G1106" i="10"/>
  <c r="H1105" i="10"/>
  <c r="H1100" i="10"/>
  <c r="F1097" i="10"/>
  <c r="H1095" i="10"/>
  <c r="F1087" i="10"/>
  <c r="H1083" i="10"/>
  <c r="H1082" i="10"/>
  <c r="H1080" i="10"/>
  <c r="H1074" i="10"/>
  <c r="H1070" i="10"/>
  <c r="H1067" i="10"/>
  <c r="H1064" i="10"/>
  <c r="G1055" i="10"/>
  <c r="H1048" i="10"/>
  <c r="H1042" i="10"/>
  <c r="H1036" i="10"/>
  <c r="H1031" i="10"/>
  <c r="H1026" i="10"/>
  <c r="G1021" i="10"/>
  <c r="H1019" i="10"/>
  <c r="F1017" i="10"/>
  <c r="G1014" i="10"/>
  <c r="G1008" i="10"/>
  <c r="F1006" i="10"/>
  <c r="F1005" i="10"/>
  <c r="H1004" i="10"/>
  <c r="F1001" i="10"/>
  <c r="G998" i="10"/>
  <c r="F996" i="10"/>
  <c r="F995" i="10"/>
  <c r="H994" i="10"/>
  <c r="H989" i="10"/>
  <c r="F985" i="10"/>
  <c r="G984" i="10"/>
  <c r="H979" i="10"/>
  <c r="H969" i="10"/>
  <c r="H962" i="10"/>
  <c r="H957" i="10"/>
  <c r="H952" i="10"/>
  <c r="H942" i="10"/>
  <c r="F937" i="10"/>
  <c r="G936" i="10"/>
  <c r="F934" i="10"/>
  <c r="G933" i="10"/>
  <c r="H929" i="10"/>
  <c r="F925" i="10"/>
  <c r="G924" i="10"/>
  <c r="F922" i="10"/>
  <c r="G921" i="10"/>
  <c r="H917" i="10"/>
  <c r="F913" i="10"/>
  <c r="G912" i="10"/>
  <c r="F910" i="10"/>
  <c r="G909" i="10"/>
  <c r="H905" i="10"/>
  <c r="F902" i="10"/>
  <c r="G899" i="10"/>
  <c r="H898" i="10"/>
  <c r="F894" i="10"/>
  <c r="G891" i="10"/>
  <c r="H890" i="10"/>
  <c r="F888" i="10"/>
  <c r="G885" i="10"/>
  <c r="H884" i="10"/>
  <c r="G880" i="10"/>
  <c r="H876" i="10"/>
  <c r="F872" i="10"/>
  <c r="G871" i="10"/>
  <c r="H870" i="10"/>
  <c r="F866" i="10"/>
  <c r="F859" i="10"/>
  <c r="G858" i="10"/>
  <c r="H857" i="10"/>
  <c r="F855" i="10"/>
  <c r="G851" i="10"/>
  <c r="H850" i="10"/>
  <c r="F848" i="10"/>
  <c r="G845" i="10"/>
  <c r="H839" i="10"/>
  <c r="F836" i="10"/>
  <c r="H835" i="10"/>
  <c r="H834" i="10"/>
  <c r="F826" i="10"/>
  <c r="H822" i="10"/>
  <c r="H821" i="10"/>
  <c r="H819" i="10"/>
  <c r="H813" i="10"/>
  <c r="G801" i="10"/>
  <c r="H794" i="10"/>
  <c r="H787" i="10"/>
  <c r="H784" i="10"/>
  <c r="F780" i="10"/>
  <c r="H779" i="10"/>
  <c r="F775" i="10"/>
  <c r="H774" i="10"/>
  <c r="F768" i="10"/>
  <c r="H767" i="10"/>
  <c r="G762" i="10"/>
  <c r="G756" i="10"/>
  <c r="F754" i="10"/>
  <c r="F753" i="10"/>
  <c r="H752" i="10"/>
  <c r="G746" i="10"/>
  <c r="F744" i="10"/>
  <c r="F743" i="10"/>
  <c r="H742" i="10"/>
  <c r="H737" i="10"/>
  <c r="G732" i="10"/>
  <c r="H727" i="10"/>
  <c r="F722" i="10"/>
  <c r="F721" i="10"/>
  <c r="F720" i="10"/>
  <c r="H718" i="10"/>
  <c r="F715" i="10"/>
  <c r="F714" i="10"/>
  <c r="F713" i="10"/>
  <c r="H711" i="10"/>
  <c r="G706" i="10"/>
  <c r="H705" i="10"/>
  <c r="F699" i="10"/>
  <c r="H698" i="10"/>
  <c r="G693" i="10"/>
  <c r="H692" i="10"/>
  <c r="G687" i="10"/>
  <c r="H686" i="10"/>
  <c r="H682" i="10"/>
  <c r="G677" i="10"/>
  <c r="H676" i="10"/>
  <c r="F665" i="10"/>
  <c r="G664" i="10"/>
  <c r="H663" i="10"/>
  <c r="F658" i="10"/>
  <c r="G657" i="10"/>
  <c r="H656" i="10"/>
  <c r="F652" i="10"/>
  <c r="H651" i="10"/>
  <c r="F647" i="10"/>
  <c r="H646" i="10"/>
  <c r="F638" i="10"/>
  <c r="H634" i="10"/>
  <c r="H633" i="10"/>
  <c r="H631" i="10"/>
  <c r="H625" i="10"/>
  <c r="H622" i="10"/>
  <c r="H619" i="10"/>
  <c r="H616" i="10"/>
  <c r="H613" i="10"/>
  <c r="H609" i="10"/>
  <c r="H605" i="10"/>
  <c r="H601" i="10"/>
  <c r="H597" i="10"/>
  <c r="B188" i="3"/>
  <c r="E188" i="3"/>
  <c r="H592" i="10"/>
  <c r="H588" i="10"/>
  <c r="H584" i="10"/>
  <c r="H580" i="10"/>
  <c r="H576" i="10"/>
  <c r="H572" i="10"/>
  <c r="H573" i="10" s="1"/>
  <c r="G565" i="10"/>
  <c r="H558" i="10"/>
  <c r="G551" i="10"/>
  <c r="H544" i="10"/>
  <c r="H540" i="10"/>
  <c r="G533" i="10"/>
  <c r="H526" i="10"/>
  <c r="H523" i="10"/>
  <c r="H520" i="10"/>
  <c r="H516" i="10"/>
  <c r="F514" i="10"/>
  <c r="H513" i="10"/>
  <c r="G510" i="10"/>
  <c r="F509" i="10"/>
  <c r="H508" i="10"/>
  <c r="G505" i="10"/>
  <c r="F504" i="10"/>
  <c r="H503" i="10"/>
  <c r="G497" i="10"/>
  <c r="F495" i="10"/>
  <c r="F494" i="10"/>
  <c r="H493" i="10"/>
  <c r="G488" i="10"/>
  <c r="G482" i="10"/>
  <c r="F480" i="10"/>
  <c r="F479" i="10"/>
  <c r="H478" i="10"/>
  <c r="H474" i="10"/>
  <c r="G469" i="10"/>
  <c r="H464" i="10"/>
  <c r="F460" i="10"/>
  <c r="F459" i="10"/>
  <c r="F458" i="10"/>
  <c r="H456" i="10"/>
  <c r="F453" i="10"/>
  <c r="F452" i="10"/>
  <c r="F451" i="10"/>
  <c r="H449" i="10"/>
  <c r="F446" i="10"/>
  <c r="F445" i="10"/>
  <c r="F444" i="10"/>
  <c r="H442" i="10"/>
  <c r="H439" i="10"/>
  <c r="G437" i="10"/>
  <c r="H433" i="10"/>
  <c r="G428" i="10"/>
  <c r="H427" i="10"/>
  <c r="H424" i="10"/>
  <c r="F422" i="10"/>
  <c r="G419" i="10"/>
  <c r="G414" i="10"/>
  <c r="H413" i="10"/>
  <c r="F411" i="10"/>
  <c r="G407" i="10"/>
  <c r="H406" i="10"/>
  <c r="F404" i="10"/>
  <c r="G401" i="10"/>
  <c r="F397" i="10"/>
  <c r="G396" i="10"/>
  <c r="H395" i="10"/>
  <c r="F390" i="10"/>
  <c r="H389" i="10"/>
  <c r="H386" i="10"/>
  <c r="H382" i="10"/>
  <c r="H381" i="10"/>
  <c r="H378" i="10"/>
  <c r="H372" i="10"/>
  <c r="G368" i="10"/>
  <c r="H366" i="10"/>
  <c r="F364" i="10"/>
  <c r="H363" i="10"/>
  <c r="G355" i="10"/>
  <c r="H347" i="10"/>
  <c r="H343" i="10"/>
  <c r="G336" i="10"/>
  <c r="H329" i="10"/>
  <c r="F325" i="10"/>
  <c r="H324" i="10"/>
  <c r="F321" i="10"/>
  <c r="H320" i="10"/>
  <c r="F316" i="10"/>
  <c r="H315" i="10"/>
  <c r="G312" i="10"/>
  <c r="F311" i="10"/>
  <c r="H310" i="10"/>
  <c r="G305" i="10"/>
  <c r="F296" i="10"/>
  <c r="H295" i="10"/>
  <c r="G289" i="10"/>
  <c r="F287" i="10"/>
  <c r="F286" i="10"/>
  <c r="H285" i="10"/>
  <c r="H280" i="10"/>
  <c r="F276" i="10"/>
  <c r="G275" i="10"/>
  <c r="H270" i="10"/>
  <c r="F265" i="10"/>
  <c r="F264" i="10"/>
  <c r="F263" i="10"/>
  <c r="H261" i="10"/>
  <c r="F258" i="10"/>
  <c r="F257" i="10"/>
  <c r="F256" i="10"/>
  <c r="H254" i="10"/>
  <c r="F251" i="10"/>
  <c r="F250" i="10"/>
  <c r="F249" i="10"/>
  <c r="H247" i="10"/>
  <c r="G240" i="10"/>
  <c r="H233" i="10"/>
  <c r="H229" i="10"/>
  <c r="F227" i="10"/>
  <c r="G224" i="10"/>
  <c r="H223" i="10"/>
  <c r="H219" i="10"/>
  <c r="G214" i="10"/>
  <c r="H213" i="10"/>
  <c r="F209" i="10"/>
  <c r="G206" i="10"/>
  <c r="G201" i="10"/>
  <c r="H200" i="10"/>
  <c r="F198" i="10"/>
  <c r="G195" i="10"/>
  <c r="H189" i="10"/>
  <c r="F185" i="10"/>
  <c r="H184" i="10"/>
  <c r="H179" i="10"/>
  <c r="H171" i="10"/>
  <c r="H167" i="10"/>
  <c r="H166" i="10"/>
  <c r="H163" i="10"/>
  <c r="H157" i="10"/>
  <c r="F154" i="10"/>
  <c r="H153" i="10"/>
  <c r="H147" i="10"/>
  <c r="F143" i="10"/>
  <c r="H142" i="10"/>
  <c r="F140" i="10"/>
  <c r="H139" i="10"/>
  <c r="F134" i="10"/>
  <c r="G131" i="10"/>
  <c r="F129" i="10"/>
  <c r="F128" i="10"/>
  <c r="H127" i="10"/>
  <c r="F125" i="10"/>
  <c r="G122" i="10"/>
  <c r="G116" i="10"/>
  <c r="F114" i="10"/>
  <c r="F113" i="10"/>
  <c r="H112" i="10"/>
  <c r="F109" i="10"/>
  <c r="F108" i="10"/>
  <c r="G103" i="10"/>
  <c r="H101" i="10"/>
  <c r="F95" i="10"/>
  <c r="G94" i="10"/>
  <c r="H93" i="10"/>
  <c r="H88" i="10"/>
  <c r="F83" i="10"/>
  <c r="G82" i="10"/>
  <c r="F80" i="10"/>
  <c r="H75" i="10"/>
  <c r="H66" i="10"/>
  <c r="F60" i="10"/>
  <c r="G57" i="10"/>
  <c r="F53" i="10"/>
  <c r="G52" i="10"/>
  <c r="H51" i="10"/>
  <c r="F49" i="10"/>
  <c r="F47" i="10"/>
  <c r="G46" i="10"/>
  <c r="H45" i="10"/>
  <c r="H39" i="10"/>
  <c r="H38" i="10"/>
  <c r="H22" i="10"/>
  <c r="H19" i="10"/>
  <c r="H15" i="10"/>
  <c r="H14" i="10"/>
  <c r="H11" i="10"/>
  <c r="H7" i="10"/>
  <c r="H5" i="10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2" i="3"/>
  <c r="L2324" i="10" l="1"/>
  <c r="L2259" i="10"/>
  <c r="L2286" i="10"/>
  <c r="K2178" i="10"/>
  <c r="L2170" i="10"/>
  <c r="L2234" i="10"/>
  <c r="K2106" i="10"/>
  <c r="L2104" i="10"/>
  <c r="K2133" i="10"/>
  <c r="L2131" i="10"/>
  <c r="L2048" i="10"/>
  <c r="L2028" i="10" s="1"/>
  <c r="K2130" i="10"/>
  <c r="L2126" i="10"/>
  <c r="K2110" i="10"/>
  <c r="L2108" i="10"/>
  <c r="L2099" i="10"/>
  <c r="E617" i="5"/>
  <c r="E618" i="5"/>
  <c r="Q2203" i="10"/>
  <c r="Q2202" i="10" s="1"/>
  <c r="E625" i="5" s="1"/>
  <c r="N2202" i="10"/>
  <c r="Q2334" i="10"/>
  <c r="Q2324" i="10" s="1"/>
  <c r="E637" i="5" s="1"/>
  <c r="M2324" i="10"/>
  <c r="J2324" i="10"/>
  <c r="Q2286" i="10"/>
  <c r="E636" i="5" s="1"/>
  <c r="K2217" i="10"/>
  <c r="J2217" i="10"/>
  <c r="J2207" i="10" s="1"/>
  <c r="L2218" i="10"/>
  <c r="L2207" i="10" s="1"/>
  <c r="O2150" i="10"/>
  <c r="O2207" i="10"/>
  <c r="J2150" i="10"/>
  <c r="L2150" i="10"/>
  <c r="J2003" i="10"/>
  <c r="Q2001" i="10"/>
  <c r="M2003" i="10"/>
  <c r="Q1973" i="10"/>
  <c r="E610" i="5" s="1"/>
  <c r="Q2028" i="10"/>
  <c r="E615" i="5" s="1"/>
  <c r="J1993" i="10"/>
  <c r="I1993" i="10" s="1"/>
  <c r="O1993" i="10"/>
  <c r="L2003" i="10"/>
  <c r="P2314" i="10"/>
  <c r="J2311" i="10"/>
  <c r="L2315" i="10"/>
  <c r="P2315" i="10"/>
  <c r="Q2315" i="10" s="1"/>
  <c r="M2286" i="10"/>
  <c r="J2286" i="10"/>
  <c r="Q1897" i="10"/>
  <c r="Q1896" i="10" s="1"/>
  <c r="E603" i="5" s="1"/>
  <c r="Q2249" i="10"/>
  <c r="Q2234" i="10" s="1"/>
  <c r="E629" i="5" s="1"/>
  <c r="M2234" i="10"/>
  <c r="J2234" i="10"/>
  <c r="M2217" i="10"/>
  <c r="J2071" i="10"/>
  <c r="Q2071" i="10"/>
  <c r="E616" i="5" s="1"/>
  <c r="M2071" i="10"/>
  <c r="H1719" i="10"/>
  <c r="H1720" i="10"/>
  <c r="O2003" i="10"/>
  <c r="Q2019" i="10"/>
  <c r="Q2003" i="10" s="1"/>
  <c r="E613" i="5" s="1"/>
  <c r="Q1999" i="10"/>
  <c r="Q1890" i="10"/>
  <c r="Q1888" i="10" s="1"/>
  <c r="E602" i="5" s="1"/>
  <c r="L1850" i="10"/>
  <c r="J1932" i="10"/>
  <c r="N1903" i="10"/>
  <c r="Q1904" i="10"/>
  <c r="Q1903" i="10" s="1"/>
  <c r="E605" i="5" s="1"/>
  <c r="Q1901" i="10"/>
  <c r="Q1899" i="10" s="1"/>
  <c r="E604" i="5" s="1"/>
  <c r="M1888" i="10"/>
  <c r="P1868" i="10"/>
  <c r="J1868" i="10"/>
  <c r="K1873" i="10"/>
  <c r="L1868" i="10"/>
  <c r="M1868" i="10"/>
  <c r="Q1872" i="10"/>
  <c r="Q1868" i="10" s="1"/>
  <c r="E601" i="5" s="1"/>
  <c r="O1868" i="10"/>
  <c r="Q1864" i="10"/>
  <c r="K1816" i="10"/>
  <c r="L1813" i="10"/>
  <c r="K1824" i="10"/>
  <c r="L1822" i="10"/>
  <c r="M1863" i="10"/>
  <c r="Q1866" i="10"/>
  <c r="O1863" i="10"/>
  <c r="J1863" i="10"/>
  <c r="K1865" i="10"/>
  <c r="L1863" i="10"/>
  <c r="Q1850" i="10"/>
  <c r="E598" i="5" s="1"/>
  <c r="Q1845" i="10"/>
  <c r="Q1842" i="10" s="1"/>
  <c r="E597" i="5" s="1"/>
  <c r="Q1832" i="10"/>
  <c r="E596" i="5" s="1"/>
  <c r="J1832" i="10"/>
  <c r="N1832" i="10"/>
  <c r="O1824" i="10"/>
  <c r="J1822" i="10"/>
  <c r="M1822" i="10"/>
  <c r="Q1820" i="10"/>
  <c r="M1816" i="10"/>
  <c r="J1813" i="10"/>
  <c r="B454" i="3"/>
  <c r="B455" i="3"/>
  <c r="B456" i="3"/>
  <c r="E456" i="3"/>
  <c r="H1562" i="10"/>
  <c r="B396" i="3"/>
  <c r="E396" i="3"/>
  <c r="H1315" i="10"/>
  <c r="B392" i="3"/>
  <c r="B393" i="3"/>
  <c r="B394" i="3"/>
  <c r="E394" i="3"/>
  <c r="B334" i="3"/>
  <c r="B335" i="3"/>
  <c r="B336" i="3"/>
  <c r="E336" i="3"/>
  <c r="H1087" i="10"/>
  <c r="B258" i="3"/>
  <c r="E258" i="3"/>
  <c r="H826" i="10"/>
  <c r="H638" i="10"/>
  <c r="B201" i="3"/>
  <c r="E201" i="3"/>
  <c r="B35" i="3"/>
  <c r="E35" i="3"/>
  <c r="B36" i="3"/>
  <c r="E36" i="3"/>
  <c r="G120" i="10"/>
  <c r="G119" i="10"/>
  <c r="G118" i="10"/>
  <c r="G117" i="10"/>
  <c r="B3" i="3"/>
  <c r="E3" i="3"/>
  <c r="B4" i="3"/>
  <c r="E4" i="3"/>
  <c r="B5" i="3"/>
  <c r="B6" i="3"/>
  <c r="B7" i="3"/>
  <c r="E7" i="3"/>
  <c r="B8" i="3"/>
  <c r="E8" i="3"/>
  <c r="B9" i="3"/>
  <c r="E9" i="3"/>
  <c r="B10" i="3"/>
  <c r="B11" i="3"/>
  <c r="E11" i="3"/>
  <c r="B12" i="3"/>
  <c r="E12" i="3"/>
  <c r="B13" i="3"/>
  <c r="E13" i="3"/>
  <c r="B14" i="3"/>
  <c r="E14" i="3"/>
  <c r="B15" i="3"/>
  <c r="E15" i="3"/>
  <c r="B16" i="3"/>
  <c r="E16" i="3"/>
  <c r="B17" i="3"/>
  <c r="E17" i="3"/>
  <c r="B18" i="3"/>
  <c r="E18" i="3"/>
  <c r="B19" i="3"/>
  <c r="E19" i="3"/>
  <c r="B20" i="3"/>
  <c r="E20" i="3"/>
  <c r="B21" i="3"/>
  <c r="E21" i="3"/>
  <c r="B22" i="3"/>
  <c r="E22" i="3"/>
  <c r="B23" i="3"/>
  <c r="E23" i="3"/>
  <c r="B24" i="3"/>
  <c r="E24" i="3"/>
  <c r="B25" i="3"/>
  <c r="E25" i="3"/>
  <c r="B26" i="3"/>
  <c r="E26" i="3"/>
  <c r="B27" i="3"/>
  <c r="E27" i="3"/>
  <c r="B28" i="3"/>
  <c r="E28" i="3"/>
  <c r="B29" i="3"/>
  <c r="E29" i="3"/>
  <c r="B30" i="3"/>
  <c r="E30" i="3"/>
  <c r="B31" i="3"/>
  <c r="E31" i="3"/>
  <c r="B32" i="3"/>
  <c r="E32" i="3"/>
  <c r="B33" i="3"/>
  <c r="E33" i="3"/>
  <c r="B34" i="3"/>
  <c r="B37" i="3"/>
  <c r="E37" i="3"/>
  <c r="B38" i="3"/>
  <c r="E38" i="3"/>
  <c r="B39" i="3"/>
  <c r="E39" i="3"/>
  <c r="B40" i="3"/>
  <c r="B41" i="3"/>
  <c r="E41" i="3"/>
  <c r="B42" i="3"/>
  <c r="E42" i="3"/>
  <c r="B43" i="3"/>
  <c r="E43" i="3"/>
  <c r="B44" i="3"/>
  <c r="E44" i="3"/>
  <c r="B45" i="3"/>
  <c r="E45" i="3"/>
  <c r="B46" i="3"/>
  <c r="E46" i="3"/>
  <c r="B47" i="3"/>
  <c r="E47" i="3"/>
  <c r="B48" i="3"/>
  <c r="E48" i="3"/>
  <c r="B49" i="3"/>
  <c r="E49" i="3"/>
  <c r="B50" i="3"/>
  <c r="E50" i="3"/>
  <c r="B51" i="3"/>
  <c r="E51" i="3"/>
  <c r="B52" i="3"/>
  <c r="E52" i="3"/>
  <c r="B53" i="3"/>
  <c r="B54" i="3"/>
  <c r="B55" i="3"/>
  <c r="E55" i="3"/>
  <c r="B56" i="3"/>
  <c r="E56" i="3"/>
  <c r="B57" i="3"/>
  <c r="E57" i="3"/>
  <c r="B58" i="3"/>
  <c r="E58" i="3"/>
  <c r="B59" i="3"/>
  <c r="E59" i="3"/>
  <c r="B60" i="3"/>
  <c r="E60" i="3"/>
  <c r="B61" i="3"/>
  <c r="E61" i="3"/>
  <c r="B62" i="3"/>
  <c r="E62" i="3"/>
  <c r="B63" i="3"/>
  <c r="E63" i="3"/>
  <c r="B64" i="3"/>
  <c r="E64" i="3"/>
  <c r="B65" i="3"/>
  <c r="E65" i="3"/>
  <c r="B66" i="3"/>
  <c r="E66" i="3"/>
  <c r="B67" i="3"/>
  <c r="E67" i="3"/>
  <c r="B68" i="3"/>
  <c r="E68" i="3"/>
  <c r="B69" i="3"/>
  <c r="E69" i="3"/>
  <c r="B70" i="3"/>
  <c r="E70" i="3"/>
  <c r="B71" i="3"/>
  <c r="E71" i="3"/>
  <c r="B72" i="3"/>
  <c r="E72" i="3"/>
  <c r="B73" i="3"/>
  <c r="E73" i="3"/>
  <c r="B74" i="3"/>
  <c r="E74" i="3"/>
  <c r="B75" i="3"/>
  <c r="E75" i="3"/>
  <c r="B76" i="3"/>
  <c r="E76" i="3"/>
  <c r="B77" i="3"/>
  <c r="E77" i="3"/>
  <c r="B78" i="3"/>
  <c r="E78" i="3"/>
  <c r="B79" i="3"/>
  <c r="E79" i="3"/>
  <c r="B80" i="3"/>
  <c r="E80" i="3"/>
  <c r="B81" i="3"/>
  <c r="E81" i="3"/>
  <c r="B82" i="3"/>
  <c r="E82" i="3"/>
  <c r="B83" i="3"/>
  <c r="E83" i="3"/>
  <c r="B84" i="3"/>
  <c r="E84" i="3"/>
  <c r="B85" i="3"/>
  <c r="E85" i="3"/>
  <c r="B86" i="3"/>
  <c r="E86" i="3"/>
  <c r="B87" i="3"/>
  <c r="E87" i="3"/>
  <c r="B88" i="3"/>
  <c r="E88" i="3"/>
  <c r="B89" i="3"/>
  <c r="E89" i="3"/>
  <c r="B90" i="3"/>
  <c r="E90" i="3"/>
  <c r="B91" i="3"/>
  <c r="E91" i="3"/>
  <c r="B92" i="3"/>
  <c r="B93" i="3"/>
  <c r="E93" i="3"/>
  <c r="B94" i="3"/>
  <c r="E94" i="3"/>
  <c r="B95" i="3"/>
  <c r="E95" i="3"/>
  <c r="B96" i="3"/>
  <c r="B97" i="3"/>
  <c r="E97" i="3"/>
  <c r="B98" i="3"/>
  <c r="E98" i="3"/>
  <c r="B99" i="3"/>
  <c r="E99" i="3"/>
  <c r="B100" i="3"/>
  <c r="E100" i="3"/>
  <c r="B101" i="3"/>
  <c r="E101" i="3"/>
  <c r="B102" i="3"/>
  <c r="E102" i="3"/>
  <c r="B103" i="3"/>
  <c r="E103" i="3"/>
  <c r="B104" i="3"/>
  <c r="E104" i="3"/>
  <c r="B105" i="3"/>
  <c r="E105" i="3"/>
  <c r="B106" i="3"/>
  <c r="E106" i="3"/>
  <c r="B107" i="3"/>
  <c r="E107" i="3"/>
  <c r="B108" i="3"/>
  <c r="E108" i="3"/>
  <c r="B109" i="3"/>
  <c r="E109" i="3"/>
  <c r="B110" i="3"/>
  <c r="E110" i="3"/>
  <c r="B111" i="3"/>
  <c r="E111" i="3"/>
  <c r="B112" i="3"/>
  <c r="E112" i="3"/>
  <c r="B113" i="3"/>
  <c r="E113" i="3"/>
  <c r="B114" i="3"/>
  <c r="E114" i="3"/>
  <c r="B115" i="3"/>
  <c r="E115" i="3"/>
  <c r="B116" i="3"/>
  <c r="E116" i="3"/>
  <c r="B117" i="3"/>
  <c r="E117" i="3"/>
  <c r="B118" i="3"/>
  <c r="B119" i="3"/>
  <c r="B120" i="3"/>
  <c r="E120" i="3"/>
  <c r="B121" i="3"/>
  <c r="E121" i="3"/>
  <c r="B122" i="3"/>
  <c r="B123" i="3"/>
  <c r="E123" i="3"/>
  <c r="B124" i="3"/>
  <c r="E124" i="3"/>
  <c r="B125" i="3"/>
  <c r="E125" i="3"/>
  <c r="B126" i="3"/>
  <c r="E126" i="3"/>
  <c r="B127" i="3"/>
  <c r="E127" i="3"/>
  <c r="B128" i="3"/>
  <c r="E128" i="3"/>
  <c r="B129" i="3"/>
  <c r="E129" i="3"/>
  <c r="B130" i="3"/>
  <c r="E130" i="3"/>
  <c r="B131" i="3"/>
  <c r="E131" i="3"/>
  <c r="B132" i="3"/>
  <c r="E132" i="3"/>
  <c r="B133" i="3"/>
  <c r="E133" i="3"/>
  <c r="B134" i="3"/>
  <c r="E134" i="3"/>
  <c r="B135" i="3"/>
  <c r="E135" i="3"/>
  <c r="B136" i="3"/>
  <c r="E136" i="3"/>
  <c r="B137" i="3"/>
  <c r="E137" i="3"/>
  <c r="B138" i="3"/>
  <c r="E138" i="3"/>
  <c r="B139" i="3"/>
  <c r="E139" i="3"/>
  <c r="B140" i="3"/>
  <c r="E140" i="3"/>
  <c r="B141" i="3"/>
  <c r="E141" i="3"/>
  <c r="B142" i="3"/>
  <c r="E142" i="3"/>
  <c r="B143" i="3"/>
  <c r="E143" i="3"/>
  <c r="B144" i="3"/>
  <c r="E144" i="3"/>
  <c r="B145" i="3"/>
  <c r="E145" i="3"/>
  <c r="B146" i="3"/>
  <c r="E146" i="3"/>
  <c r="B147" i="3"/>
  <c r="E147" i="3"/>
  <c r="B148" i="3"/>
  <c r="E148" i="3"/>
  <c r="B149" i="3"/>
  <c r="E149" i="3"/>
  <c r="B150" i="3"/>
  <c r="E150" i="3"/>
  <c r="B151" i="3"/>
  <c r="E151" i="3"/>
  <c r="B152" i="3"/>
  <c r="E152" i="3"/>
  <c r="B153" i="3"/>
  <c r="E153" i="3"/>
  <c r="B154" i="3"/>
  <c r="E154" i="3"/>
  <c r="B155" i="3"/>
  <c r="E155" i="3"/>
  <c r="B156" i="3"/>
  <c r="E156" i="3"/>
  <c r="B157" i="3"/>
  <c r="B158" i="3"/>
  <c r="E158" i="3"/>
  <c r="B159" i="3"/>
  <c r="E159" i="3"/>
  <c r="B160" i="3"/>
  <c r="E160" i="3"/>
  <c r="B161" i="3"/>
  <c r="E161" i="3"/>
  <c r="B162" i="3"/>
  <c r="B163" i="3"/>
  <c r="E163" i="3"/>
  <c r="B164" i="3"/>
  <c r="E164" i="3"/>
  <c r="B165" i="3"/>
  <c r="E165" i="3"/>
  <c r="B166" i="3"/>
  <c r="E166" i="3"/>
  <c r="B167" i="3"/>
  <c r="E167" i="3"/>
  <c r="B168" i="3"/>
  <c r="E168" i="3"/>
  <c r="B169" i="3"/>
  <c r="E169" i="3"/>
  <c r="B170" i="3"/>
  <c r="E170" i="3"/>
  <c r="B171" i="3"/>
  <c r="E171" i="3"/>
  <c r="B172" i="3"/>
  <c r="E172" i="3"/>
  <c r="B173" i="3"/>
  <c r="E173" i="3"/>
  <c r="B174" i="3"/>
  <c r="E174" i="3"/>
  <c r="B175" i="3"/>
  <c r="E175" i="3"/>
  <c r="B176" i="3"/>
  <c r="E176" i="3"/>
  <c r="B177" i="3"/>
  <c r="E177" i="3"/>
  <c r="B178" i="3"/>
  <c r="E178" i="3"/>
  <c r="B179" i="3"/>
  <c r="E179" i="3"/>
  <c r="B180" i="3"/>
  <c r="E180" i="3"/>
  <c r="B181" i="3"/>
  <c r="E181" i="3"/>
  <c r="B182" i="3"/>
  <c r="E182" i="3"/>
  <c r="B183" i="3"/>
  <c r="E183" i="3"/>
  <c r="B184" i="3"/>
  <c r="E184" i="3"/>
  <c r="B185" i="3"/>
  <c r="E185" i="3"/>
  <c r="B186" i="3"/>
  <c r="E186" i="3"/>
  <c r="B187" i="3"/>
  <c r="E187" i="3"/>
  <c r="B189" i="3"/>
  <c r="E189" i="3"/>
  <c r="B190" i="3"/>
  <c r="E190" i="3"/>
  <c r="B191" i="3"/>
  <c r="E191" i="3"/>
  <c r="B192" i="3"/>
  <c r="E192" i="3"/>
  <c r="B193" i="3"/>
  <c r="E193" i="3"/>
  <c r="B194" i="3"/>
  <c r="E194" i="3"/>
  <c r="B195" i="3"/>
  <c r="E195" i="3"/>
  <c r="B196" i="3"/>
  <c r="E196" i="3"/>
  <c r="B197" i="3"/>
  <c r="E197" i="3"/>
  <c r="B198" i="3"/>
  <c r="E198" i="3"/>
  <c r="B199" i="3"/>
  <c r="B200" i="3"/>
  <c r="B202" i="3"/>
  <c r="E202" i="3"/>
  <c r="B203" i="3"/>
  <c r="B204" i="3"/>
  <c r="E204" i="3"/>
  <c r="B205" i="3"/>
  <c r="E205" i="3"/>
  <c r="B206" i="3"/>
  <c r="E206" i="3"/>
  <c r="B207" i="3"/>
  <c r="E207" i="3"/>
  <c r="B208" i="3"/>
  <c r="E208" i="3"/>
  <c r="B209" i="3"/>
  <c r="E209" i="3"/>
  <c r="B210" i="3"/>
  <c r="E210" i="3"/>
  <c r="B211" i="3"/>
  <c r="E211" i="3"/>
  <c r="B212" i="3"/>
  <c r="E212" i="3"/>
  <c r="B213" i="3"/>
  <c r="E213" i="3"/>
  <c r="B214" i="3"/>
  <c r="E214" i="3"/>
  <c r="B215" i="3"/>
  <c r="E215" i="3"/>
  <c r="B216" i="3"/>
  <c r="E216" i="3"/>
  <c r="B217" i="3"/>
  <c r="E217" i="3"/>
  <c r="B218" i="3"/>
  <c r="E218" i="3"/>
  <c r="B219" i="3"/>
  <c r="E219" i="3"/>
  <c r="B220" i="3"/>
  <c r="E220" i="3"/>
  <c r="B221" i="3"/>
  <c r="B222" i="3"/>
  <c r="E222" i="3"/>
  <c r="B223" i="3"/>
  <c r="E223" i="3"/>
  <c r="B224" i="3"/>
  <c r="E224" i="3"/>
  <c r="B225" i="3"/>
  <c r="E225" i="3"/>
  <c r="B226" i="3"/>
  <c r="E226" i="3"/>
  <c r="B227" i="3"/>
  <c r="E227" i="3"/>
  <c r="B228" i="3"/>
  <c r="E228" i="3"/>
  <c r="B229" i="3"/>
  <c r="E229" i="3"/>
  <c r="B230" i="3"/>
  <c r="E230" i="3"/>
  <c r="B231" i="3"/>
  <c r="E231" i="3"/>
  <c r="B232" i="3"/>
  <c r="E232" i="3"/>
  <c r="B233" i="3"/>
  <c r="E233" i="3"/>
  <c r="B234" i="3"/>
  <c r="E234" i="3"/>
  <c r="B235" i="3"/>
  <c r="E235" i="3"/>
  <c r="B236" i="3"/>
  <c r="B237" i="3"/>
  <c r="E237" i="3"/>
  <c r="B238" i="3"/>
  <c r="E238" i="3"/>
  <c r="B239" i="3"/>
  <c r="E239" i="3"/>
  <c r="B240" i="3"/>
  <c r="B241" i="3"/>
  <c r="E241" i="3"/>
  <c r="B242" i="3"/>
  <c r="E242" i="3"/>
  <c r="B243" i="3"/>
  <c r="E243" i="3"/>
  <c r="B244" i="3"/>
  <c r="E244" i="3"/>
  <c r="B245" i="3"/>
  <c r="E245" i="3"/>
  <c r="B246" i="3"/>
  <c r="E246" i="3"/>
  <c r="B247" i="3"/>
  <c r="E247" i="3"/>
  <c r="B248" i="3"/>
  <c r="E248" i="3"/>
  <c r="B249" i="3"/>
  <c r="E249" i="3"/>
  <c r="B250" i="3"/>
  <c r="E250" i="3"/>
  <c r="B251" i="3"/>
  <c r="E251" i="3"/>
  <c r="B252" i="3"/>
  <c r="E252" i="3"/>
  <c r="B253" i="3"/>
  <c r="E253" i="3"/>
  <c r="B254" i="3"/>
  <c r="E254" i="3"/>
  <c r="B255" i="3"/>
  <c r="E255" i="3"/>
  <c r="B256" i="3"/>
  <c r="B257" i="3"/>
  <c r="B259" i="3"/>
  <c r="E259" i="3"/>
  <c r="B260" i="3"/>
  <c r="B261" i="3"/>
  <c r="E261" i="3"/>
  <c r="B262" i="3"/>
  <c r="E262" i="3"/>
  <c r="B263" i="3"/>
  <c r="E263" i="3"/>
  <c r="B264" i="3"/>
  <c r="E264" i="3"/>
  <c r="B265" i="3"/>
  <c r="E265" i="3"/>
  <c r="B266" i="3"/>
  <c r="E266" i="3"/>
  <c r="B267" i="3"/>
  <c r="E267" i="3"/>
  <c r="B268" i="3"/>
  <c r="E268" i="3"/>
  <c r="B269" i="3"/>
  <c r="E269" i="3"/>
  <c r="B270" i="3"/>
  <c r="E270" i="3"/>
  <c r="B271" i="3"/>
  <c r="E271" i="3"/>
  <c r="B272" i="3"/>
  <c r="E272" i="3"/>
  <c r="B273" i="3"/>
  <c r="E273" i="3"/>
  <c r="B274" i="3"/>
  <c r="E274" i="3"/>
  <c r="B275" i="3"/>
  <c r="E275" i="3"/>
  <c r="B276" i="3"/>
  <c r="E276" i="3"/>
  <c r="B277" i="3"/>
  <c r="E277" i="3"/>
  <c r="B278" i="3"/>
  <c r="E278" i="3"/>
  <c r="B279" i="3"/>
  <c r="E279" i="3"/>
  <c r="B280" i="3"/>
  <c r="E280" i="3"/>
  <c r="B281" i="3"/>
  <c r="E281" i="3"/>
  <c r="B282" i="3"/>
  <c r="E282" i="3"/>
  <c r="B283" i="3"/>
  <c r="E283" i="3"/>
  <c r="B284" i="3"/>
  <c r="E284" i="3"/>
  <c r="B285" i="3"/>
  <c r="E285" i="3"/>
  <c r="B286" i="3"/>
  <c r="E286" i="3"/>
  <c r="B287" i="3"/>
  <c r="E287" i="3"/>
  <c r="B288" i="3"/>
  <c r="E288" i="3"/>
  <c r="B289" i="3"/>
  <c r="E289" i="3"/>
  <c r="B290" i="3"/>
  <c r="E290" i="3"/>
  <c r="B291" i="3"/>
  <c r="E291" i="3"/>
  <c r="B292" i="3"/>
  <c r="E292" i="3"/>
  <c r="B293" i="3"/>
  <c r="E293" i="3"/>
  <c r="B294" i="3"/>
  <c r="E294" i="3"/>
  <c r="B295" i="3"/>
  <c r="E295" i="3"/>
  <c r="B296" i="3"/>
  <c r="E296" i="3"/>
  <c r="B297" i="3"/>
  <c r="E297" i="3"/>
  <c r="B298" i="3"/>
  <c r="E298" i="3"/>
  <c r="B299" i="3"/>
  <c r="E299" i="3"/>
  <c r="B300" i="3"/>
  <c r="E300" i="3"/>
  <c r="B301" i="3"/>
  <c r="E301" i="3"/>
  <c r="B302" i="3"/>
  <c r="E302" i="3"/>
  <c r="B303" i="3"/>
  <c r="E303" i="3"/>
  <c r="B304" i="3"/>
  <c r="E304" i="3"/>
  <c r="B305" i="3"/>
  <c r="E305" i="3"/>
  <c r="B306" i="3"/>
  <c r="E306" i="3"/>
  <c r="B307" i="3"/>
  <c r="E307" i="3"/>
  <c r="B308" i="3"/>
  <c r="E308" i="3"/>
  <c r="B309" i="3"/>
  <c r="E309" i="3"/>
  <c r="B310" i="3"/>
  <c r="E310" i="3"/>
  <c r="B311" i="3"/>
  <c r="B312" i="3"/>
  <c r="E312" i="3"/>
  <c r="B313" i="3"/>
  <c r="E313" i="3"/>
  <c r="B314" i="3"/>
  <c r="E314" i="3"/>
  <c r="B315" i="3"/>
  <c r="E315" i="3"/>
  <c r="B316" i="3"/>
  <c r="B317" i="3"/>
  <c r="E317" i="3"/>
  <c r="B318" i="3"/>
  <c r="E318" i="3"/>
  <c r="B319" i="3"/>
  <c r="E319" i="3"/>
  <c r="B320" i="3"/>
  <c r="E320" i="3"/>
  <c r="B321" i="3"/>
  <c r="E321" i="3"/>
  <c r="B322" i="3"/>
  <c r="E322" i="3"/>
  <c r="B323" i="3"/>
  <c r="E323" i="3"/>
  <c r="B324" i="3"/>
  <c r="E324" i="3"/>
  <c r="B325" i="3"/>
  <c r="E325" i="3"/>
  <c r="B326" i="3"/>
  <c r="E326" i="3"/>
  <c r="B327" i="3"/>
  <c r="E327" i="3"/>
  <c r="B328" i="3"/>
  <c r="E328" i="3"/>
  <c r="B329" i="3"/>
  <c r="E329" i="3"/>
  <c r="B330" i="3"/>
  <c r="E330" i="3"/>
  <c r="B331" i="3"/>
  <c r="E331" i="3"/>
  <c r="B332" i="3"/>
  <c r="E332" i="3"/>
  <c r="B333" i="3"/>
  <c r="E333" i="3"/>
  <c r="B337" i="3"/>
  <c r="E337" i="3"/>
  <c r="B338" i="3"/>
  <c r="E338" i="3"/>
  <c r="B339" i="3"/>
  <c r="E339" i="3"/>
  <c r="B340" i="3"/>
  <c r="E340" i="3"/>
  <c r="B341" i="3"/>
  <c r="E341" i="3"/>
  <c r="B342" i="3"/>
  <c r="E342" i="3"/>
  <c r="B343" i="3"/>
  <c r="E343" i="3"/>
  <c r="B344" i="3"/>
  <c r="E344" i="3"/>
  <c r="B345" i="3"/>
  <c r="E345" i="3"/>
  <c r="B346" i="3"/>
  <c r="E346" i="3"/>
  <c r="B347" i="3"/>
  <c r="E347" i="3"/>
  <c r="B348" i="3"/>
  <c r="E348" i="3"/>
  <c r="B349" i="3"/>
  <c r="E349" i="3"/>
  <c r="B350" i="3"/>
  <c r="E350" i="3"/>
  <c r="B351" i="3"/>
  <c r="E351" i="3"/>
  <c r="B352" i="3"/>
  <c r="E352" i="3"/>
  <c r="B353" i="3"/>
  <c r="E353" i="3"/>
  <c r="B354" i="3"/>
  <c r="E354" i="3"/>
  <c r="B355" i="3"/>
  <c r="E355" i="3"/>
  <c r="B356" i="3"/>
  <c r="E356" i="3"/>
  <c r="B357" i="3"/>
  <c r="E357" i="3"/>
  <c r="B358" i="3"/>
  <c r="E358" i="3"/>
  <c r="B359" i="3"/>
  <c r="E359" i="3"/>
  <c r="B360" i="3"/>
  <c r="E360" i="3"/>
  <c r="B361" i="3"/>
  <c r="E361" i="3"/>
  <c r="B362" i="3"/>
  <c r="E362" i="3"/>
  <c r="B363" i="3"/>
  <c r="E363" i="3"/>
  <c r="B364" i="3"/>
  <c r="E364" i="3"/>
  <c r="B365" i="3"/>
  <c r="B366" i="3"/>
  <c r="E366" i="3"/>
  <c r="B367" i="3"/>
  <c r="E367" i="3"/>
  <c r="B368" i="3"/>
  <c r="E368" i="3"/>
  <c r="B369" i="3"/>
  <c r="B370" i="3"/>
  <c r="E370" i="3"/>
  <c r="B371" i="3"/>
  <c r="E371" i="3"/>
  <c r="B372" i="3"/>
  <c r="E372" i="3"/>
  <c r="B373" i="3"/>
  <c r="E373" i="3"/>
  <c r="B374" i="3"/>
  <c r="E374" i="3"/>
  <c r="B375" i="3"/>
  <c r="E375" i="3"/>
  <c r="B376" i="3"/>
  <c r="E376" i="3"/>
  <c r="B377" i="3"/>
  <c r="E377" i="3"/>
  <c r="B378" i="3"/>
  <c r="E378" i="3"/>
  <c r="B379" i="3"/>
  <c r="E379" i="3"/>
  <c r="B380" i="3"/>
  <c r="E380" i="3"/>
  <c r="B381" i="3"/>
  <c r="E381" i="3"/>
  <c r="B382" i="3"/>
  <c r="E382" i="3"/>
  <c r="B383" i="3"/>
  <c r="E383" i="3"/>
  <c r="B384" i="3"/>
  <c r="E384" i="3"/>
  <c r="B385" i="3"/>
  <c r="E385" i="3"/>
  <c r="B386" i="3"/>
  <c r="E386" i="3"/>
  <c r="B387" i="3"/>
  <c r="E387" i="3"/>
  <c r="B388" i="3"/>
  <c r="E388" i="3"/>
  <c r="B389" i="3"/>
  <c r="E389" i="3"/>
  <c r="B390" i="3"/>
  <c r="E390" i="3"/>
  <c r="B391" i="3"/>
  <c r="E391" i="3"/>
  <c r="B395" i="3"/>
  <c r="E395" i="3"/>
  <c r="B397" i="3"/>
  <c r="E397" i="3"/>
  <c r="B398" i="3"/>
  <c r="E398" i="3"/>
  <c r="B399" i="3"/>
  <c r="E399" i="3"/>
  <c r="B400" i="3"/>
  <c r="E400" i="3"/>
  <c r="B401" i="3"/>
  <c r="E401" i="3"/>
  <c r="B402" i="3"/>
  <c r="E402" i="3"/>
  <c r="B403" i="3"/>
  <c r="E403" i="3"/>
  <c r="B404" i="3"/>
  <c r="E404" i="3"/>
  <c r="B405" i="3"/>
  <c r="E405" i="3"/>
  <c r="B406" i="3"/>
  <c r="E406" i="3"/>
  <c r="B407" i="3"/>
  <c r="E407" i="3"/>
  <c r="B408" i="3"/>
  <c r="E408" i="3"/>
  <c r="B409" i="3"/>
  <c r="E409" i="3"/>
  <c r="B410" i="3"/>
  <c r="E410" i="3"/>
  <c r="B411" i="3"/>
  <c r="E411" i="3"/>
  <c r="B412" i="3"/>
  <c r="E412" i="3"/>
  <c r="B413" i="3"/>
  <c r="E413" i="3"/>
  <c r="B414" i="3"/>
  <c r="E414" i="3"/>
  <c r="B415" i="3"/>
  <c r="E415" i="3"/>
  <c r="B416" i="3"/>
  <c r="E416" i="3"/>
  <c r="B417" i="3"/>
  <c r="E417" i="3"/>
  <c r="B418" i="3"/>
  <c r="E418" i="3"/>
  <c r="B419" i="3"/>
  <c r="E419" i="3"/>
  <c r="B420" i="3"/>
  <c r="E420" i="3"/>
  <c r="B421" i="3"/>
  <c r="E421" i="3"/>
  <c r="B422" i="3"/>
  <c r="E422" i="3"/>
  <c r="B423" i="3"/>
  <c r="E423" i="3"/>
  <c r="B424" i="3"/>
  <c r="E424" i="3"/>
  <c r="B425" i="3"/>
  <c r="E425" i="3"/>
  <c r="B426" i="3"/>
  <c r="E426" i="3"/>
  <c r="B427" i="3"/>
  <c r="E427" i="3"/>
  <c r="B428" i="3"/>
  <c r="E428" i="3"/>
  <c r="B429" i="3"/>
  <c r="E429" i="3"/>
  <c r="B430" i="3"/>
  <c r="E430" i="3"/>
  <c r="B431" i="3"/>
  <c r="E431" i="3"/>
  <c r="B432" i="3"/>
  <c r="E432" i="3"/>
  <c r="B433" i="3"/>
  <c r="B434" i="3"/>
  <c r="E434" i="3"/>
  <c r="B435" i="3"/>
  <c r="E435" i="3"/>
  <c r="B436" i="3"/>
  <c r="E436" i="3"/>
  <c r="B437" i="3"/>
  <c r="B438" i="3"/>
  <c r="E438" i="3"/>
  <c r="B439" i="3"/>
  <c r="E439" i="3"/>
  <c r="B440" i="3"/>
  <c r="E440" i="3"/>
  <c r="B441" i="3"/>
  <c r="E441" i="3"/>
  <c r="B442" i="3"/>
  <c r="E442" i="3"/>
  <c r="B443" i="3"/>
  <c r="E443" i="3"/>
  <c r="B444" i="3"/>
  <c r="E444" i="3"/>
  <c r="B445" i="3"/>
  <c r="E445" i="3"/>
  <c r="B446" i="3"/>
  <c r="E446" i="3"/>
  <c r="B447" i="3"/>
  <c r="E447" i="3"/>
  <c r="B448" i="3"/>
  <c r="E448" i="3"/>
  <c r="B449" i="3"/>
  <c r="E449" i="3"/>
  <c r="B450" i="3"/>
  <c r="E450" i="3"/>
  <c r="B451" i="3"/>
  <c r="E451" i="3"/>
  <c r="B452" i="3"/>
  <c r="E452" i="3"/>
  <c r="B453" i="3"/>
  <c r="E453" i="3"/>
  <c r="B457" i="3"/>
  <c r="E457" i="3"/>
  <c r="B458" i="3"/>
  <c r="E458" i="3"/>
  <c r="B459" i="3"/>
  <c r="E459" i="3"/>
  <c r="B460" i="3"/>
  <c r="E460" i="3"/>
  <c r="B461" i="3"/>
  <c r="E461" i="3"/>
  <c r="B462" i="3"/>
  <c r="E462" i="3"/>
  <c r="B463" i="3"/>
  <c r="E463" i="3"/>
  <c r="B464" i="3"/>
  <c r="E464" i="3"/>
  <c r="B465" i="3"/>
  <c r="E465" i="3"/>
  <c r="B466" i="3"/>
  <c r="E466" i="3"/>
  <c r="B467" i="3"/>
  <c r="E467" i="3"/>
  <c r="B468" i="3"/>
  <c r="E468" i="3"/>
  <c r="B469" i="3"/>
  <c r="E469" i="3"/>
  <c r="B470" i="3"/>
  <c r="E470" i="3"/>
  <c r="B471" i="3"/>
  <c r="E471" i="3"/>
  <c r="B472" i="3"/>
  <c r="E472" i="3"/>
  <c r="B473" i="3"/>
  <c r="E473" i="3"/>
  <c r="B474" i="3"/>
  <c r="E474" i="3"/>
  <c r="B475" i="3"/>
  <c r="E475" i="3"/>
  <c r="B476" i="3"/>
  <c r="E476" i="3"/>
  <c r="B477" i="3"/>
  <c r="E477" i="3"/>
  <c r="B478" i="3"/>
  <c r="E478" i="3"/>
  <c r="B479" i="3"/>
  <c r="E479" i="3"/>
  <c r="B480" i="3"/>
  <c r="E480" i="3"/>
  <c r="B481" i="3"/>
  <c r="E481" i="3"/>
  <c r="B482" i="3"/>
  <c r="E482" i="3"/>
  <c r="B483" i="3"/>
  <c r="E483" i="3"/>
  <c r="B484" i="3"/>
  <c r="B485" i="3"/>
  <c r="E485" i="3"/>
  <c r="B486" i="3"/>
  <c r="E486" i="3"/>
  <c r="B487" i="3"/>
  <c r="E487" i="3"/>
  <c r="B488" i="3"/>
  <c r="B489" i="3"/>
  <c r="E489" i="3"/>
  <c r="B490" i="3"/>
  <c r="E490" i="3"/>
  <c r="B491" i="3"/>
  <c r="E491" i="3"/>
  <c r="B492" i="3"/>
  <c r="B493" i="3"/>
  <c r="E493" i="3"/>
  <c r="B494" i="3"/>
  <c r="E494" i="3"/>
  <c r="B495" i="3"/>
  <c r="E495" i="3"/>
  <c r="B496" i="3"/>
  <c r="E496" i="3"/>
  <c r="B497" i="3"/>
  <c r="E497" i="3"/>
  <c r="B498" i="3"/>
  <c r="E498" i="3"/>
  <c r="B499" i="3"/>
  <c r="E499" i="3"/>
  <c r="B500" i="3"/>
  <c r="E500" i="3"/>
  <c r="B501" i="3"/>
  <c r="E501" i="3"/>
  <c r="B502" i="3"/>
  <c r="E502" i="3"/>
  <c r="B503" i="3"/>
  <c r="E503" i="3"/>
  <c r="B504" i="3"/>
  <c r="E504" i="3"/>
  <c r="B505" i="3"/>
  <c r="E505" i="3"/>
  <c r="B506" i="3"/>
  <c r="E506" i="3"/>
  <c r="B507" i="3"/>
  <c r="E507" i="3"/>
  <c r="B508" i="3"/>
  <c r="E508" i="3"/>
  <c r="B509" i="3"/>
  <c r="E509" i="3"/>
  <c r="B510" i="3"/>
  <c r="E510" i="3"/>
  <c r="B511" i="3"/>
  <c r="E511" i="3"/>
  <c r="B512" i="3"/>
  <c r="E512" i="3"/>
  <c r="B513" i="3"/>
  <c r="E513" i="3"/>
  <c r="B514" i="3"/>
  <c r="B515" i="3"/>
  <c r="B516" i="3"/>
  <c r="B517" i="3"/>
  <c r="B518" i="3"/>
  <c r="E2" i="3"/>
  <c r="B2" i="3"/>
  <c r="G553" i="10"/>
  <c r="G552" i="10"/>
  <c r="L2088" i="10" l="1"/>
  <c r="L2120" i="10"/>
  <c r="Q1819" i="10"/>
  <c r="E594" i="5" s="1"/>
  <c r="Q1993" i="10"/>
  <c r="E612" i="5" s="1"/>
  <c r="Q2314" i="10"/>
  <c r="Q2311" i="10" s="1"/>
  <c r="E640" i="5" s="1"/>
  <c r="P2311" i="10"/>
  <c r="Q2217" i="10"/>
  <c r="Q2207" i="10" s="1"/>
  <c r="E626" i="5" s="1"/>
  <c r="M2207" i="10"/>
  <c r="J1720" i="10"/>
  <c r="P1720" i="10" s="1"/>
  <c r="Q1720" i="10" s="1"/>
  <c r="L1719" i="10"/>
  <c r="J1719" i="10"/>
  <c r="P1719" i="10" s="1"/>
  <c r="Q1719" i="10" s="1"/>
  <c r="P1932" i="10"/>
  <c r="O1932" i="10"/>
  <c r="O1912" i="10" s="1"/>
  <c r="J1934" i="10"/>
  <c r="J1933" i="10"/>
  <c r="N1933" i="10" s="1"/>
  <c r="Q1863" i="10"/>
  <c r="E600" i="5" s="1"/>
  <c r="Q1824" i="10"/>
  <c r="Q1822" i="10" s="1"/>
  <c r="E595" i="5" s="1"/>
  <c r="O1822" i="10"/>
  <c r="Q1816" i="10"/>
  <c r="Q1813" i="10" s="1"/>
  <c r="E593" i="5" s="1"/>
  <c r="M1813" i="10"/>
  <c r="H1809" i="10"/>
  <c r="H1806" i="10"/>
  <c r="H1803" i="10"/>
  <c r="H1802" i="10"/>
  <c r="H1799" i="10"/>
  <c r="H1796" i="10"/>
  <c r="H1791" i="10"/>
  <c r="L1791" i="10" s="1"/>
  <c r="L1790" i="10" s="1"/>
  <c r="C242" i="7" s="1"/>
  <c r="H1787" i="10"/>
  <c r="L1787" i="10" s="1"/>
  <c r="L1786" i="10" s="1"/>
  <c r="C241" i="7" s="1"/>
  <c r="H1784" i="10"/>
  <c r="L1784" i="10" s="1"/>
  <c r="L1783" i="10" s="1"/>
  <c r="C240" i="7" s="1"/>
  <c r="H1779" i="10"/>
  <c r="L1779" i="10" s="1"/>
  <c r="L1778" i="10" s="1"/>
  <c r="C239" i="7" s="1"/>
  <c r="L1774" i="10"/>
  <c r="L1762" i="10" s="1"/>
  <c r="C238" i="7" s="1"/>
  <c r="H1774" i="10"/>
  <c r="H1773" i="10"/>
  <c r="G1771" i="10"/>
  <c r="G1770" i="10"/>
  <c r="H1769" i="10"/>
  <c r="H1771" i="10" s="1"/>
  <c r="H1767" i="10"/>
  <c r="H1766" i="10"/>
  <c r="H1765" i="10"/>
  <c r="H1764" i="10"/>
  <c r="G1757" i="10"/>
  <c r="G1756" i="10"/>
  <c r="L1760" i="10"/>
  <c r="L1748" i="10" s="1"/>
  <c r="C237" i="7" s="1"/>
  <c r="H1760" i="10"/>
  <c r="H1759" i="10"/>
  <c r="H1755" i="10"/>
  <c r="H1757" i="10" s="1"/>
  <c r="H1753" i="10"/>
  <c r="H1752" i="10"/>
  <c r="H1751" i="10"/>
  <c r="H1750" i="10"/>
  <c r="H1746" i="10"/>
  <c r="H1745" i="10"/>
  <c r="H1736" i="10"/>
  <c r="H1738" i="10" s="1"/>
  <c r="H1732" i="10"/>
  <c r="H1728" i="10"/>
  <c r="L1728" i="10" s="1"/>
  <c r="L1727" i="10" s="1"/>
  <c r="C233" i="7" s="1"/>
  <c r="L1725" i="10"/>
  <c r="L1724" i="10" s="1"/>
  <c r="C232" i="7" s="1"/>
  <c r="H1725" i="10"/>
  <c r="G1714" i="10"/>
  <c r="H1712" i="10"/>
  <c r="G1709" i="10"/>
  <c r="H1707" i="10"/>
  <c r="H1709" i="10" s="1"/>
  <c r="G1704" i="10"/>
  <c r="G1703" i="10"/>
  <c r="G1702" i="10"/>
  <c r="G1699" i="10"/>
  <c r="G1698" i="10"/>
  <c r="G1697" i="10"/>
  <c r="G1696" i="10"/>
  <c r="H1701" i="10"/>
  <c r="H1704" i="10" s="1"/>
  <c r="H1692" i="10"/>
  <c r="H1697" i="10" s="1"/>
  <c r="G1679" i="10"/>
  <c r="G1678" i="10"/>
  <c r="G1677" i="10"/>
  <c r="G1676" i="10"/>
  <c r="G1689" i="10"/>
  <c r="G1688" i="10"/>
  <c r="G1687" i="10"/>
  <c r="G1686" i="10"/>
  <c r="H1682" i="10"/>
  <c r="H1689" i="10" s="1"/>
  <c r="H1672" i="10"/>
  <c r="H1678" i="10" s="1"/>
  <c r="H1667" i="10"/>
  <c r="G1664" i="10"/>
  <c r="G1663" i="10"/>
  <c r="G1662" i="10"/>
  <c r="H1664" i="10"/>
  <c r="H1663" i="10"/>
  <c r="H1662" i="10"/>
  <c r="H1661" i="10"/>
  <c r="H1660" i="10"/>
  <c r="H1659" i="10"/>
  <c r="H1658" i="10"/>
  <c r="H1652" i="10"/>
  <c r="L1652" i="10" s="1"/>
  <c r="L1647" i="10" s="1"/>
  <c r="C223" i="7" s="1"/>
  <c r="H1650" i="10"/>
  <c r="H1651" i="10" s="1"/>
  <c r="H1649" i="10"/>
  <c r="H1644" i="10"/>
  <c r="H1643" i="10"/>
  <c r="H1642" i="10"/>
  <c r="G1638" i="10"/>
  <c r="G1637" i="10"/>
  <c r="G1636" i="10"/>
  <c r="G1633" i="10"/>
  <c r="H1630" i="10"/>
  <c r="H1637" i="10" s="1"/>
  <c r="H1629" i="10"/>
  <c r="H1633" i="10" s="1"/>
  <c r="H1625" i="10"/>
  <c r="H1621" i="10"/>
  <c r="H1623" i="10" s="1"/>
  <c r="H1614" i="10"/>
  <c r="H1615" i="10" s="1"/>
  <c r="H1608" i="10"/>
  <c r="H1609" i="10" s="1"/>
  <c r="G1604" i="10"/>
  <c r="G1603" i="10"/>
  <c r="G1602" i="10"/>
  <c r="H1604" i="10"/>
  <c r="H1603" i="10"/>
  <c r="H1602" i="10"/>
  <c r="H1601" i="10"/>
  <c r="G1596" i="10"/>
  <c r="G1595" i="10"/>
  <c r="G1594" i="10"/>
  <c r="G1591" i="10"/>
  <c r="G1590" i="10"/>
  <c r="G1589" i="10"/>
  <c r="H1593" i="10"/>
  <c r="H1596" i="10" s="1"/>
  <c r="H1591" i="10"/>
  <c r="H1590" i="10"/>
  <c r="H1589" i="10"/>
  <c r="H1588" i="10"/>
  <c r="G1584" i="10"/>
  <c r="G1583" i="10"/>
  <c r="G1582" i="10"/>
  <c r="H1584" i="10"/>
  <c r="H1583" i="10"/>
  <c r="H1582" i="10"/>
  <c r="H1581" i="10"/>
  <c r="H1576" i="10"/>
  <c r="H1571" i="10"/>
  <c r="L1572" i="10" s="1"/>
  <c r="L1570" i="10" s="1"/>
  <c r="C213" i="7" s="1"/>
  <c r="H1558" i="10"/>
  <c r="H1561" i="10" s="1"/>
  <c r="H1557" i="10"/>
  <c r="H1559" i="10" s="1"/>
  <c r="H1556" i="10"/>
  <c r="H1550" i="10"/>
  <c r="L1550" i="10" s="1"/>
  <c r="L1549" i="10" s="1"/>
  <c r="C210" i="7" s="1"/>
  <c r="L1546" i="10"/>
  <c r="L1545" i="10" s="1"/>
  <c r="C209" i="7" s="1"/>
  <c r="H1546" i="10"/>
  <c r="H1541" i="10"/>
  <c r="L1541" i="10" s="1"/>
  <c r="L1540" i="10" s="1"/>
  <c r="C208" i="7" s="1"/>
  <c r="L1536" i="10"/>
  <c r="L1524" i="10" s="1"/>
  <c r="C207" i="7" s="1"/>
  <c r="G1533" i="10"/>
  <c r="G1532" i="10"/>
  <c r="H1536" i="10"/>
  <c r="H1535" i="10"/>
  <c r="H1531" i="10"/>
  <c r="H1533" i="10" s="1"/>
  <c r="H1529" i="10"/>
  <c r="H1528" i="10"/>
  <c r="H1527" i="10"/>
  <c r="H1526" i="10"/>
  <c r="G1519" i="10"/>
  <c r="G1518" i="10"/>
  <c r="L1522" i="10"/>
  <c r="L1510" i="10" s="1"/>
  <c r="H1522" i="10"/>
  <c r="H1521" i="10"/>
  <c r="H1517" i="10"/>
  <c r="H1519" i="10" s="1"/>
  <c r="H1515" i="10"/>
  <c r="H1514" i="10"/>
  <c r="H1513" i="10"/>
  <c r="H1512" i="10"/>
  <c r="H1505" i="10"/>
  <c r="L1505" i="10" s="1"/>
  <c r="L1504" i="10" s="1"/>
  <c r="C205" i="7" s="1"/>
  <c r="H1500" i="10"/>
  <c r="L1500" i="10" s="1"/>
  <c r="L1499" i="10" s="1"/>
  <c r="C204" i="7" s="1"/>
  <c r="G1495" i="10"/>
  <c r="H1493" i="10"/>
  <c r="H1494" i="10" s="1"/>
  <c r="G1490" i="10"/>
  <c r="H1488" i="10"/>
  <c r="H1490" i="10" s="1"/>
  <c r="G1485" i="10"/>
  <c r="G1484" i="10"/>
  <c r="G1483" i="10"/>
  <c r="G1480" i="10"/>
  <c r="G1479" i="10"/>
  <c r="G1478" i="10"/>
  <c r="G1477" i="10"/>
  <c r="H1482" i="10"/>
  <c r="H1484" i="10" s="1"/>
  <c r="H1473" i="10"/>
  <c r="H1479" i="10" s="1"/>
  <c r="G1470" i="10"/>
  <c r="G1469" i="10"/>
  <c r="G1468" i="10"/>
  <c r="G1467" i="10"/>
  <c r="H1463" i="10"/>
  <c r="H1468" i="10" s="1"/>
  <c r="H1458" i="10"/>
  <c r="G1455" i="10"/>
  <c r="G1454" i="10"/>
  <c r="G1453" i="10"/>
  <c r="H1455" i="10"/>
  <c r="H1454" i="10"/>
  <c r="H1453" i="10"/>
  <c r="H1452" i="10"/>
  <c r="H1451" i="10"/>
  <c r="H1450" i="10"/>
  <c r="H1449" i="10"/>
  <c r="G1445" i="10"/>
  <c r="G1444" i="10"/>
  <c r="G1443" i="10"/>
  <c r="H1445" i="10"/>
  <c r="H1444" i="10"/>
  <c r="H1443" i="10"/>
  <c r="H1442" i="10"/>
  <c r="H1441" i="10"/>
  <c r="H1440" i="10"/>
  <c r="H1439" i="10"/>
  <c r="H1433" i="10"/>
  <c r="L1433" i="10" s="1"/>
  <c r="L1428" i="10" s="1"/>
  <c r="C196" i="7" s="1"/>
  <c r="H1431" i="10"/>
  <c r="H1430" i="10"/>
  <c r="H1426" i="10"/>
  <c r="L1426" i="10" s="1"/>
  <c r="L1421" i="10" s="1"/>
  <c r="C195" i="7" s="1"/>
  <c r="H1424" i="10"/>
  <c r="H1425" i="10" s="1"/>
  <c r="H1423" i="10"/>
  <c r="L1416" i="10"/>
  <c r="L1415" i="10" s="1"/>
  <c r="C194" i="7" s="1"/>
  <c r="H1418" i="10"/>
  <c r="H1417" i="10"/>
  <c r="H1416" i="10"/>
  <c r="G1412" i="10"/>
  <c r="G1411" i="10"/>
  <c r="G1410" i="10"/>
  <c r="G1407" i="10"/>
  <c r="H1403" i="10"/>
  <c r="H1407" i="10" s="1"/>
  <c r="H1399" i="10"/>
  <c r="H1395" i="10"/>
  <c r="H1400" i="10" s="1"/>
  <c r="H1387" i="10"/>
  <c r="H1389" i="10" s="1"/>
  <c r="G1383" i="10"/>
  <c r="G1382" i="10"/>
  <c r="G1381" i="10"/>
  <c r="H1383" i="10"/>
  <c r="H1382" i="10"/>
  <c r="H1381" i="10"/>
  <c r="H1380" i="10"/>
  <c r="G1375" i="10"/>
  <c r="G1374" i="10"/>
  <c r="G1373" i="10"/>
  <c r="G1370" i="10"/>
  <c r="G1369" i="10"/>
  <c r="G1368" i="10"/>
  <c r="H1375" i="10"/>
  <c r="H1374" i="10"/>
  <c r="H1373" i="10"/>
  <c r="H1372" i="10"/>
  <c r="H1370" i="10"/>
  <c r="H1369" i="10"/>
  <c r="H1368" i="10"/>
  <c r="H1367" i="10"/>
  <c r="G1364" i="10"/>
  <c r="G1363" i="10"/>
  <c r="G1362" i="10"/>
  <c r="G1361" i="10"/>
  <c r="H1364" i="10"/>
  <c r="H1363" i="10"/>
  <c r="H1362" i="10"/>
  <c r="H1361" i="10"/>
  <c r="H1360" i="10"/>
  <c r="G1357" i="10"/>
  <c r="G1356" i="10"/>
  <c r="G1355" i="10"/>
  <c r="G1352" i="10"/>
  <c r="G1351" i="10"/>
  <c r="G1350" i="10"/>
  <c r="H1354" i="10"/>
  <c r="H1355" i="10" s="1"/>
  <c r="H1352" i="10"/>
  <c r="H1351" i="10"/>
  <c r="H1350" i="10"/>
  <c r="H1349" i="10"/>
  <c r="G1346" i="10"/>
  <c r="G1345" i="10"/>
  <c r="G1344" i="10"/>
  <c r="H1346" i="10"/>
  <c r="H1345" i="10"/>
  <c r="H1344" i="10"/>
  <c r="H1343" i="10"/>
  <c r="G1339" i="10"/>
  <c r="G1338" i="10"/>
  <c r="G1337" i="10"/>
  <c r="H1339" i="10"/>
  <c r="H1338" i="10"/>
  <c r="H1337" i="10"/>
  <c r="H1336" i="10"/>
  <c r="H1331" i="10"/>
  <c r="H1324" i="10"/>
  <c r="L1325" i="10" s="1"/>
  <c r="L1323" i="10" s="1"/>
  <c r="C183" i="7" s="1"/>
  <c r="H1314" i="10"/>
  <c r="H1312" i="10"/>
  <c r="H1309" i="10"/>
  <c r="H1303" i="10"/>
  <c r="L1303" i="10" s="1"/>
  <c r="L1302" i="10" s="1"/>
  <c r="C180" i="7" s="1"/>
  <c r="L1299" i="10"/>
  <c r="L1298" i="10" s="1"/>
  <c r="C179" i="7" s="1"/>
  <c r="H1299" i="10"/>
  <c r="H1295" i="10"/>
  <c r="L1295" i="10" s="1"/>
  <c r="G1289" i="10"/>
  <c r="H1289" i="10"/>
  <c r="H1288" i="10"/>
  <c r="H1287" i="10"/>
  <c r="H1284" i="10"/>
  <c r="L1284" i="10" s="1"/>
  <c r="H1280" i="10"/>
  <c r="L1280" i="10" s="1"/>
  <c r="L1279" i="10" s="1"/>
  <c r="C175" i="7" s="1"/>
  <c r="H1277" i="10"/>
  <c r="L1277" i="10" s="1"/>
  <c r="L1276" i="10" s="1"/>
  <c r="C174" i="7" s="1"/>
  <c r="L1272" i="10"/>
  <c r="L1260" i="10" s="1"/>
  <c r="C173" i="7" s="1"/>
  <c r="G1269" i="10"/>
  <c r="G1268" i="10"/>
  <c r="H1272" i="10"/>
  <c r="H1271" i="10"/>
  <c r="H1267" i="10"/>
  <c r="H1268" i="10" s="1"/>
  <c r="H1265" i="10"/>
  <c r="H1264" i="10"/>
  <c r="H1263" i="10"/>
  <c r="H1262" i="10"/>
  <c r="H1254" i="10"/>
  <c r="H1255" i="10" s="1"/>
  <c r="L1250" i="10"/>
  <c r="L1249" i="10" s="1"/>
  <c r="C171" i="7" s="1"/>
  <c r="H1250" i="10"/>
  <c r="L1245" i="10"/>
  <c r="L1244" i="10" s="1"/>
  <c r="C170" i="7" s="1"/>
  <c r="H1245" i="10"/>
  <c r="L1240" i="10"/>
  <c r="L1239" i="10" s="1"/>
  <c r="C169" i="7" s="1"/>
  <c r="H1240" i="10"/>
  <c r="G1235" i="10"/>
  <c r="H1233" i="10"/>
  <c r="H1234" i="10" s="1"/>
  <c r="G1230" i="10"/>
  <c r="H1228" i="10"/>
  <c r="H1230" i="10" s="1"/>
  <c r="G1224" i="10"/>
  <c r="G1220" i="10"/>
  <c r="G1219" i="10"/>
  <c r="G1218" i="10"/>
  <c r="G1217" i="10"/>
  <c r="G1225" i="10"/>
  <c r="G1223" i="10"/>
  <c r="H1213" i="10"/>
  <c r="H1222" i="10" s="1"/>
  <c r="G1210" i="10"/>
  <c r="G1209" i="10"/>
  <c r="G1208" i="10"/>
  <c r="G1207" i="10"/>
  <c r="H1203" i="10"/>
  <c r="H1209" i="10" s="1"/>
  <c r="G1198" i="10"/>
  <c r="G1197" i="10"/>
  <c r="G1196" i="10"/>
  <c r="H1198" i="10"/>
  <c r="H1197" i="10"/>
  <c r="H1196" i="10"/>
  <c r="H1195" i="10"/>
  <c r="H1194" i="10"/>
  <c r="H1193" i="10"/>
  <c r="H1192" i="10"/>
  <c r="L1186" i="10"/>
  <c r="K1186" i="10" s="1"/>
  <c r="H1186" i="10"/>
  <c r="H1184" i="10"/>
  <c r="H1185" i="10" s="1"/>
  <c r="H1183" i="10"/>
  <c r="H1177" i="10"/>
  <c r="H1176" i="10"/>
  <c r="H1175" i="10"/>
  <c r="G1170" i="10"/>
  <c r="G1169" i="10"/>
  <c r="G1168" i="10"/>
  <c r="G1165" i="10"/>
  <c r="H1161" i="10"/>
  <c r="H1164" i="10" s="1"/>
  <c r="H1157" i="10"/>
  <c r="H1153" i="10"/>
  <c r="H1155" i="10" s="1"/>
  <c r="H1145" i="10"/>
  <c r="H1146" i="10" s="1"/>
  <c r="H1140" i="10"/>
  <c r="H1139" i="10"/>
  <c r="H1138" i="10"/>
  <c r="H1137" i="10"/>
  <c r="G1132" i="10"/>
  <c r="G1131" i="10"/>
  <c r="G1130" i="10"/>
  <c r="G1127" i="10"/>
  <c r="G1126" i="10"/>
  <c r="G1125" i="10"/>
  <c r="H1132" i="10"/>
  <c r="H1131" i="10"/>
  <c r="H1130" i="10"/>
  <c r="H1129" i="10"/>
  <c r="H1127" i="10"/>
  <c r="H1126" i="10"/>
  <c r="H1125" i="10"/>
  <c r="H1124" i="10"/>
  <c r="H1118" i="10"/>
  <c r="H1119" i="10" s="1"/>
  <c r="G1116" i="10"/>
  <c r="G1115" i="10"/>
  <c r="G1114" i="10"/>
  <c r="H1116" i="10"/>
  <c r="H1115" i="10"/>
  <c r="H1114" i="10"/>
  <c r="H1113" i="10"/>
  <c r="G1109" i="10"/>
  <c r="G1108" i="10"/>
  <c r="G1107" i="10"/>
  <c r="H1109" i="10"/>
  <c r="H1108" i="10"/>
  <c r="H1107" i="10"/>
  <c r="H1106" i="10"/>
  <c r="H1101" i="10"/>
  <c r="H1096" i="10"/>
  <c r="H1097" i="10" s="1"/>
  <c r="H1086" i="10"/>
  <c r="H1084" i="10"/>
  <c r="H1081" i="10"/>
  <c r="H1075" i="10"/>
  <c r="L1075" i="10" s="1"/>
  <c r="L1074" i="10" s="1"/>
  <c r="C150" i="7" s="1"/>
  <c r="L1071" i="10"/>
  <c r="L1070" i="10" s="1"/>
  <c r="C149" i="7" s="1"/>
  <c r="H1071" i="10"/>
  <c r="L1068" i="10"/>
  <c r="L1067" i="10" s="1"/>
  <c r="C148" i="7" s="1"/>
  <c r="H1068" i="10"/>
  <c r="L1065" i="10"/>
  <c r="L1064" i="10" s="1"/>
  <c r="C147" i="7" s="1"/>
  <c r="H1065" i="10"/>
  <c r="L1048" i="10"/>
  <c r="C146" i="7" s="1"/>
  <c r="H1051" i="10"/>
  <c r="G1057" i="10"/>
  <c r="G1056" i="10"/>
  <c r="H1060" i="10"/>
  <c r="H1059" i="10"/>
  <c r="H1055" i="10"/>
  <c r="H1056" i="10" s="1"/>
  <c r="H1053" i="10"/>
  <c r="H1052" i="10"/>
  <c r="H1050" i="10"/>
  <c r="L1042" i="10"/>
  <c r="C145" i="7" s="1"/>
  <c r="H1043" i="10"/>
  <c r="L1043" i="10" s="1"/>
  <c r="H1038" i="10"/>
  <c r="H1037" i="10"/>
  <c r="H1032" i="10"/>
  <c r="H1027" i="10"/>
  <c r="G1022" i="10"/>
  <c r="H1020" i="10"/>
  <c r="H1022" i="10" s="1"/>
  <c r="G1016" i="10"/>
  <c r="G1017" i="10"/>
  <c r="G1015" i="10"/>
  <c r="G1012" i="10"/>
  <c r="G1011" i="10"/>
  <c r="G1010" i="10"/>
  <c r="G1009" i="10"/>
  <c r="H1014" i="10"/>
  <c r="H1015" i="10" s="1"/>
  <c r="H1005" i="10"/>
  <c r="H1010" i="10" s="1"/>
  <c r="G1002" i="10"/>
  <c r="G1001" i="10"/>
  <c r="G1000" i="10"/>
  <c r="G999" i="10"/>
  <c r="H995" i="10"/>
  <c r="H1000" i="10" s="1"/>
  <c r="H990" i="10"/>
  <c r="G987" i="10"/>
  <c r="G986" i="10"/>
  <c r="G985" i="10"/>
  <c r="H987" i="10"/>
  <c r="H986" i="10"/>
  <c r="H985" i="10"/>
  <c r="H984" i="10"/>
  <c r="H983" i="10"/>
  <c r="H982" i="10"/>
  <c r="H981" i="10"/>
  <c r="H974" i="10"/>
  <c r="H972" i="10"/>
  <c r="H973" i="10" s="1"/>
  <c r="H971" i="10"/>
  <c r="H967" i="10"/>
  <c r="H965" i="10"/>
  <c r="H966" i="10" s="1"/>
  <c r="H964" i="10"/>
  <c r="H958" i="10"/>
  <c r="H955" i="10"/>
  <c r="H954" i="10"/>
  <c r="H953" i="10"/>
  <c r="H948" i="10"/>
  <c r="H944" i="10"/>
  <c r="H946" i="10" s="1"/>
  <c r="H931" i="10"/>
  <c r="H939" i="10" s="1"/>
  <c r="H930" i="10"/>
  <c r="H932" i="10" s="1"/>
  <c r="H918" i="10"/>
  <c r="H919" i="10" s="1"/>
  <c r="H908" i="10"/>
  <c r="G915" i="10"/>
  <c r="G914" i="10"/>
  <c r="G913" i="10"/>
  <c r="G910" i="10"/>
  <c r="H906" i="10"/>
  <c r="H911" i="10" s="1"/>
  <c r="G902" i="10"/>
  <c r="H902" i="10"/>
  <c r="H901" i="10"/>
  <c r="H900" i="10"/>
  <c r="H899" i="10"/>
  <c r="G894" i="10"/>
  <c r="H894" i="10"/>
  <c r="H893" i="10"/>
  <c r="H892" i="10"/>
  <c r="H891" i="10"/>
  <c r="G888" i="10"/>
  <c r="H888" i="10"/>
  <c r="H887" i="10"/>
  <c r="H886" i="10"/>
  <c r="H885" i="10"/>
  <c r="H880" i="10"/>
  <c r="H879" i="10"/>
  <c r="H878" i="10"/>
  <c r="H877" i="10"/>
  <c r="G874" i="10"/>
  <c r="G873" i="10"/>
  <c r="G872" i="10"/>
  <c r="H874" i="10"/>
  <c r="H873" i="10"/>
  <c r="H872" i="10"/>
  <c r="H871" i="10"/>
  <c r="G866" i="10"/>
  <c r="G865" i="10"/>
  <c r="G864" i="10"/>
  <c r="G863" i="10"/>
  <c r="G861" i="10"/>
  <c r="G860" i="10"/>
  <c r="G859" i="10"/>
  <c r="H866" i="10"/>
  <c r="H865" i="10"/>
  <c r="H864" i="10"/>
  <c r="H863" i="10"/>
  <c r="H861" i="10"/>
  <c r="H860" i="10"/>
  <c r="H859" i="10"/>
  <c r="H858" i="10"/>
  <c r="G855" i="10"/>
  <c r="G854" i="10"/>
  <c r="G853" i="10"/>
  <c r="G852" i="10"/>
  <c r="H855" i="10"/>
  <c r="H854" i="10"/>
  <c r="H853" i="10"/>
  <c r="H852" i="10"/>
  <c r="H851" i="10"/>
  <c r="G848" i="10"/>
  <c r="G847" i="10"/>
  <c r="G846" i="10"/>
  <c r="H845" i="10"/>
  <c r="H848" i="10" s="1"/>
  <c r="H843" i="10"/>
  <c r="H842" i="10"/>
  <c r="H841" i="10"/>
  <c r="H840" i="10"/>
  <c r="L836" i="10"/>
  <c r="L834" i="10" s="1"/>
  <c r="C120" i="7" s="1"/>
  <c r="H836" i="10"/>
  <c r="L824" i="10"/>
  <c r="L826" i="10"/>
  <c r="H825" i="10"/>
  <c r="L825" i="10" s="1"/>
  <c r="H823" i="10"/>
  <c r="L823" i="10" s="1"/>
  <c r="H820" i="10"/>
  <c r="Q1933" i="10" l="1"/>
  <c r="N1912" i="10"/>
  <c r="J1912" i="10"/>
  <c r="Q1932" i="10"/>
  <c r="P1934" i="10"/>
  <c r="P1912" i="10" s="1"/>
  <c r="M1934" i="10"/>
  <c r="M1912" i="10" s="1"/>
  <c r="C23" i="7"/>
  <c r="C206" i="7"/>
  <c r="C51" i="7"/>
  <c r="H1770" i="10"/>
  <c r="H1756" i="10"/>
  <c r="H1737" i="10"/>
  <c r="H1739" i="10"/>
  <c r="H1733" i="10"/>
  <c r="L1732" i="10"/>
  <c r="L1731" i="10" s="1"/>
  <c r="C234" i="7" s="1"/>
  <c r="H1708" i="10"/>
  <c r="H1713" i="10"/>
  <c r="H1714" i="10"/>
  <c r="H1693" i="10"/>
  <c r="H1679" i="10"/>
  <c r="H1698" i="10"/>
  <c r="H1695" i="10"/>
  <c r="H1699" i="10"/>
  <c r="H1686" i="10"/>
  <c r="H1696" i="10"/>
  <c r="H1702" i="10"/>
  <c r="H1703" i="10"/>
  <c r="H1675" i="10"/>
  <c r="H1683" i="10"/>
  <c r="H1688" i="10"/>
  <c r="H1687" i="10"/>
  <c r="H1676" i="10"/>
  <c r="H1685" i="10"/>
  <c r="H1677" i="10"/>
  <c r="H1673" i="10"/>
  <c r="L1608" i="10"/>
  <c r="L1606" i="10" s="1"/>
  <c r="C218" i="7" s="1"/>
  <c r="H1634" i="10"/>
  <c r="H1617" i="10"/>
  <c r="H1610" i="10"/>
  <c r="H1631" i="10"/>
  <c r="H1638" i="10"/>
  <c r="H1624" i="10"/>
  <c r="H1635" i="10"/>
  <c r="H1632" i="10"/>
  <c r="H1636" i="10"/>
  <c r="H1622" i="10"/>
  <c r="H1626" i="10"/>
  <c r="H1616" i="10"/>
  <c r="H1594" i="10"/>
  <c r="H1595" i="10"/>
  <c r="H1577" i="10"/>
  <c r="H1532" i="10"/>
  <c r="H1518" i="10"/>
  <c r="H1485" i="10"/>
  <c r="H1495" i="10"/>
  <c r="H1476" i="10"/>
  <c r="H1489" i="10"/>
  <c r="H1477" i="10"/>
  <c r="H1480" i="10"/>
  <c r="H1478" i="10"/>
  <c r="H1483" i="10"/>
  <c r="H1474" i="10"/>
  <c r="H1464" i="10"/>
  <c r="H1466" i="10"/>
  <c r="H1470" i="10"/>
  <c r="H1469" i="10"/>
  <c r="H1467" i="10"/>
  <c r="H1398" i="10"/>
  <c r="H1432" i="10"/>
  <c r="H1408" i="10"/>
  <c r="H1405" i="10"/>
  <c r="H1397" i="10"/>
  <c r="H1404" i="10"/>
  <c r="H1411" i="10" s="1"/>
  <c r="H1406" i="10"/>
  <c r="L1400" i="10"/>
  <c r="L1393" i="10" s="1"/>
  <c r="C192" i="7" s="1"/>
  <c r="H1390" i="10"/>
  <c r="H1396" i="10"/>
  <c r="H1388" i="10"/>
  <c r="H1357" i="10"/>
  <c r="H1356" i="10"/>
  <c r="H1332" i="10"/>
  <c r="L1294" i="10"/>
  <c r="C178" i="7" s="1"/>
  <c r="L1283" i="10"/>
  <c r="C176" i="7" s="1"/>
  <c r="H1269" i="10"/>
  <c r="L1254" i="10"/>
  <c r="L1253" i="10" s="1"/>
  <c r="C172" i="7" s="1"/>
  <c r="H1235" i="10"/>
  <c r="H1229" i="10"/>
  <c r="H1225" i="10"/>
  <c r="H1224" i="10"/>
  <c r="H1223" i="10"/>
  <c r="H1218" i="10"/>
  <c r="H1206" i="10"/>
  <c r="H1214" i="10"/>
  <c r="H1219" i="10"/>
  <c r="H1207" i="10"/>
  <c r="H1216" i="10"/>
  <c r="H1220" i="10"/>
  <c r="H1210" i="10"/>
  <c r="H1217" i="10"/>
  <c r="H1208" i="10"/>
  <c r="H1204" i="10"/>
  <c r="L1181" i="10"/>
  <c r="C163" i="7" s="1"/>
  <c r="H1147" i="10"/>
  <c r="H1162" i="10"/>
  <c r="H1156" i="10"/>
  <c r="H1163" i="10"/>
  <c r="H1165" i="10"/>
  <c r="H1166" i="10"/>
  <c r="H1154" i="10"/>
  <c r="H1158" i="10"/>
  <c r="H1148" i="10"/>
  <c r="H1120" i="10"/>
  <c r="H1121" i="10"/>
  <c r="L1097" i="10"/>
  <c r="L1095" i="10" s="1"/>
  <c r="C153" i="7" s="1"/>
  <c r="H1102" i="10"/>
  <c r="H1057" i="10"/>
  <c r="L1037" i="10"/>
  <c r="L1036" i="10" s="1"/>
  <c r="C144" i="7" s="1"/>
  <c r="H1012" i="10"/>
  <c r="H1006" i="10"/>
  <c r="H1021" i="10"/>
  <c r="H1008" i="10"/>
  <c r="H1001" i="10"/>
  <c r="H1009" i="10"/>
  <c r="H1016" i="10"/>
  <c r="H998" i="10"/>
  <c r="H1011" i="10"/>
  <c r="H1017" i="10"/>
  <c r="H1002" i="10"/>
  <c r="H996" i="10"/>
  <c r="H999" i="10"/>
  <c r="H947" i="10"/>
  <c r="H933" i="10"/>
  <c r="H938" i="10"/>
  <c r="H909" i="10"/>
  <c r="H921" i="10"/>
  <c r="H936" i="10"/>
  <c r="H945" i="10"/>
  <c r="H949" i="10"/>
  <c r="H907" i="10"/>
  <c r="H915" i="10" s="1"/>
  <c r="H910" i="10"/>
  <c r="H937" i="10"/>
  <c r="H934" i="10"/>
  <c r="H935" i="10"/>
  <c r="H924" i="10"/>
  <c r="H927" i="10"/>
  <c r="H926" i="10"/>
  <c r="H925" i="10"/>
  <c r="H922" i="10"/>
  <c r="H920" i="10"/>
  <c r="H923" i="10"/>
  <c r="H847" i="10"/>
  <c r="H846" i="10"/>
  <c r="H814" i="10"/>
  <c r="L814" i="10" s="1"/>
  <c r="L813" i="10" s="1"/>
  <c r="C117" i="7" s="1"/>
  <c r="L806" i="10"/>
  <c r="L794" i="10" s="1"/>
  <c r="C116" i="7" s="1"/>
  <c r="H806" i="10"/>
  <c r="H805" i="10"/>
  <c r="H803" i="10"/>
  <c r="H802" i="10"/>
  <c r="H801" i="10"/>
  <c r="G803" i="10"/>
  <c r="G802" i="10"/>
  <c r="H799" i="10"/>
  <c r="H798" i="10"/>
  <c r="H797" i="10"/>
  <c r="H796" i="10"/>
  <c r="Q1934" i="10" l="1"/>
  <c r="Q1912" i="10" s="1"/>
  <c r="E606" i="5" s="1"/>
  <c r="C231" i="7"/>
  <c r="L1626" i="10"/>
  <c r="L1620" i="10" s="1"/>
  <c r="C220" i="7" s="1"/>
  <c r="H1412" i="10"/>
  <c r="H1409" i="10"/>
  <c r="H1410" i="10"/>
  <c r="H912" i="10"/>
  <c r="H1168" i="10"/>
  <c r="H1167" i="10"/>
  <c r="H1170" i="10"/>
  <c r="H1169" i="10"/>
  <c r="H914" i="10"/>
  <c r="H913" i="10"/>
  <c r="H789" i="10"/>
  <c r="H788" i="10"/>
  <c r="L788" i="10" s="1"/>
  <c r="L787" i="10" s="1"/>
  <c r="C115" i="7" s="1"/>
  <c r="L784" i="10"/>
  <c r="C114" i="7" s="1"/>
  <c r="H785" i="10"/>
  <c r="L780" i="10"/>
  <c r="L779" i="10" s="1"/>
  <c r="C113" i="7" s="1"/>
  <c r="H775" i="10"/>
  <c r="L775" i="10" s="1"/>
  <c r="L774" i="10" s="1"/>
  <c r="C112" i="7" s="1"/>
  <c r="H768" i="10"/>
  <c r="H769" i="10" s="1"/>
  <c r="G765" i="10"/>
  <c r="G764" i="10"/>
  <c r="G763" i="10"/>
  <c r="G760" i="10"/>
  <c r="G759" i="10"/>
  <c r="G758" i="10"/>
  <c r="G757" i="10"/>
  <c r="H762" i="10"/>
  <c r="H765" i="10" s="1"/>
  <c r="H753" i="10"/>
  <c r="H760" i="10" s="1"/>
  <c r="G750" i="10"/>
  <c r="G749" i="10"/>
  <c r="G748" i="10"/>
  <c r="G747" i="10"/>
  <c r="H743" i="10"/>
  <c r="H747" i="10" s="1"/>
  <c r="H738" i="10"/>
  <c r="G735" i="10"/>
  <c r="G734" i="10"/>
  <c r="G733" i="10"/>
  <c r="H735" i="10"/>
  <c r="H734" i="10"/>
  <c r="H733" i="10"/>
  <c r="H732" i="10"/>
  <c r="H731" i="10"/>
  <c r="H730" i="10"/>
  <c r="H729" i="10"/>
  <c r="I723" i="10"/>
  <c r="H723" i="10"/>
  <c r="L723" i="10" s="1"/>
  <c r="L718" i="10" s="1"/>
  <c r="C106" i="7" s="1"/>
  <c r="I722" i="10"/>
  <c r="I721" i="10"/>
  <c r="H721" i="10"/>
  <c r="H722" i="10" s="1"/>
  <c r="I720" i="10"/>
  <c r="H720" i="10"/>
  <c r="H716" i="10"/>
  <c r="L716" i="10" s="1"/>
  <c r="L711" i="10" s="1"/>
  <c r="C105" i="7" s="1"/>
  <c r="H714" i="10"/>
  <c r="H715" i="10" s="1"/>
  <c r="H713" i="10"/>
  <c r="H708" i="10"/>
  <c r="H707" i="10"/>
  <c r="H706" i="10"/>
  <c r="L706" i="10" s="1"/>
  <c r="H699" i="10"/>
  <c r="H702" i="10" s="1"/>
  <c r="G696" i="10"/>
  <c r="H696" i="10"/>
  <c r="H695" i="10"/>
  <c r="H694" i="10"/>
  <c r="H693" i="10"/>
  <c r="G690" i="10"/>
  <c r="H690" i="10"/>
  <c r="H689" i="10"/>
  <c r="H688" i="10"/>
  <c r="H687" i="10"/>
  <c r="H683" i="10"/>
  <c r="G680" i="10"/>
  <c r="G679" i="10"/>
  <c r="G678" i="10"/>
  <c r="H680" i="10"/>
  <c r="H679" i="10"/>
  <c r="H678" i="10"/>
  <c r="H677" i="10"/>
  <c r="G672" i="10"/>
  <c r="G671" i="10"/>
  <c r="G670" i="10"/>
  <c r="H669" i="10"/>
  <c r="H672" i="10" s="1"/>
  <c r="G667" i="10"/>
  <c r="G666" i="10"/>
  <c r="G665" i="10"/>
  <c r="H667" i="10"/>
  <c r="H666" i="10"/>
  <c r="H665" i="10"/>
  <c r="H664" i="10"/>
  <c r="G660" i="10"/>
  <c r="G659" i="10"/>
  <c r="G658" i="10"/>
  <c r="H660" i="10"/>
  <c r="H659" i="10"/>
  <c r="H658" i="10"/>
  <c r="H657" i="10"/>
  <c r="H652" i="10"/>
  <c r="H647" i="10"/>
  <c r="H648" i="10" s="1"/>
  <c r="L638" i="10"/>
  <c r="H637" i="10"/>
  <c r="H635" i="10"/>
  <c r="H632" i="10"/>
  <c r="H626" i="10"/>
  <c r="L626" i="10" s="1"/>
  <c r="L625" i="10" s="1"/>
  <c r="C92" i="7" s="1"/>
  <c r="L623" i="10"/>
  <c r="L622" i="10" s="1"/>
  <c r="C91" i="7" s="1"/>
  <c r="H623" i="10"/>
  <c r="L620" i="10"/>
  <c r="L619" i="10" s="1"/>
  <c r="C90" i="7" s="1"/>
  <c r="H620" i="10"/>
  <c r="L617" i="10"/>
  <c r="L616" i="10" s="1"/>
  <c r="C89" i="7" s="1"/>
  <c r="H617" i="10"/>
  <c r="L614" i="10"/>
  <c r="L613" i="10" s="1"/>
  <c r="C88" i="7" s="1"/>
  <c r="H614" i="10"/>
  <c r="L610" i="10"/>
  <c r="L609" i="10" s="1"/>
  <c r="C87" i="7" s="1"/>
  <c r="H610" i="10"/>
  <c r="L606" i="10"/>
  <c r="L605" i="10" s="1"/>
  <c r="C86" i="7" s="1"/>
  <c r="H606" i="10"/>
  <c r="L602" i="10"/>
  <c r="L601" i="10" s="1"/>
  <c r="C85" i="7" s="1"/>
  <c r="H602" i="10"/>
  <c r="L598" i="10"/>
  <c r="L597" i="10" s="1"/>
  <c r="C84" i="7" s="1"/>
  <c r="H598" i="10"/>
  <c r="L593" i="10"/>
  <c r="L592" i="10" s="1"/>
  <c r="H593" i="10"/>
  <c r="L589" i="10"/>
  <c r="L588" i="10" s="1"/>
  <c r="C83" i="7" s="1"/>
  <c r="H589" i="10"/>
  <c r="L585" i="10"/>
  <c r="L584" i="10" s="1"/>
  <c r="C82" i="7" s="1"/>
  <c r="H585" i="10"/>
  <c r="L581" i="10"/>
  <c r="L580" i="10" s="1"/>
  <c r="C81" i="7" s="1"/>
  <c r="H581" i="10"/>
  <c r="H577" i="10"/>
  <c r="L577" i="10" s="1"/>
  <c r="L576" i="10" s="1"/>
  <c r="C79" i="7" s="1"/>
  <c r="H570" i="10"/>
  <c r="L570" i="10" s="1"/>
  <c r="H569" i="10"/>
  <c r="G567" i="10"/>
  <c r="G566" i="10"/>
  <c r="H565" i="10"/>
  <c r="H567" i="10" s="1"/>
  <c r="H563" i="10"/>
  <c r="H562" i="10"/>
  <c r="H561" i="10"/>
  <c r="H560" i="10"/>
  <c r="H556" i="10"/>
  <c r="L556" i="10" s="1"/>
  <c r="H555" i="10"/>
  <c r="H551" i="10"/>
  <c r="H549" i="10"/>
  <c r="H548" i="10"/>
  <c r="H547" i="10"/>
  <c r="H546" i="10"/>
  <c r="H542" i="10"/>
  <c r="L542" i="10" s="1"/>
  <c r="L540" i="10" s="1"/>
  <c r="C75" i="7" s="1"/>
  <c r="H541" i="10"/>
  <c r="G535" i="10"/>
  <c r="G534" i="10"/>
  <c r="H538" i="10"/>
  <c r="L538" i="10" s="1"/>
  <c r="H537" i="10"/>
  <c r="H533" i="10"/>
  <c r="H535" i="10" s="1"/>
  <c r="H531" i="10"/>
  <c r="H530" i="10"/>
  <c r="H529" i="10"/>
  <c r="H528" i="10"/>
  <c r="H524" i="10"/>
  <c r="H521" i="10"/>
  <c r="I517" i="10"/>
  <c r="H517" i="10"/>
  <c r="L517" i="10" s="1"/>
  <c r="L516" i="10" s="1"/>
  <c r="C71" i="7" s="1"/>
  <c r="H514" i="10"/>
  <c r="L514" i="10" s="1"/>
  <c r="L513" i="10" s="1"/>
  <c r="C70" i="7" s="1"/>
  <c r="I511" i="10"/>
  <c r="I510" i="10"/>
  <c r="I509" i="10"/>
  <c r="H509" i="10"/>
  <c r="H511" i="10" s="1"/>
  <c r="G506" i="10"/>
  <c r="H504" i="10"/>
  <c r="H506" i="10" s="1"/>
  <c r="G501" i="10"/>
  <c r="G500" i="10"/>
  <c r="G499" i="10"/>
  <c r="G498" i="10"/>
  <c r="H494" i="10"/>
  <c r="H500" i="10" s="1"/>
  <c r="G491" i="10"/>
  <c r="G490" i="10"/>
  <c r="G489" i="10"/>
  <c r="G486" i="10"/>
  <c r="G485" i="10"/>
  <c r="G484" i="10"/>
  <c r="G483" i="10"/>
  <c r="H488" i="10"/>
  <c r="H491" i="10" s="1"/>
  <c r="H479" i="10"/>
  <c r="H484" i="10" s="1"/>
  <c r="H475" i="10"/>
  <c r="G472" i="10"/>
  <c r="G471" i="10"/>
  <c r="G470" i="10"/>
  <c r="H472" i="10"/>
  <c r="H471" i="10"/>
  <c r="H470" i="10"/>
  <c r="H469" i="10"/>
  <c r="H468" i="10"/>
  <c r="H467" i="10"/>
  <c r="H466" i="10"/>
  <c r="I461" i="10"/>
  <c r="H461" i="10"/>
  <c r="L461" i="10" s="1"/>
  <c r="L456" i="10" s="1"/>
  <c r="C63" i="7" s="1"/>
  <c r="I460" i="10"/>
  <c r="I459" i="10"/>
  <c r="H459" i="10"/>
  <c r="H460" i="10" s="1"/>
  <c r="I458" i="10"/>
  <c r="H458" i="10"/>
  <c r="H454" i="10"/>
  <c r="L454" i="10" s="1"/>
  <c r="L449" i="10" s="1"/>
  <c r="C62" i="7" s="1"/>
  <c r="H447" i="10"/>
  <c r="L447" i="10" s="1"/>
  <c r="L442" i="10" s="1"/>
  <c r="C61" i="7" s="1"/>
  <c r="H452" i="10"/>
  <c r="H453" i="10" s="1"/>
  <c r="H451" i="10"/>
  <c r="H445" i="10"/>
  <c r="H446" i="10" s="1"/>
  <c r="H444" i="10"/>
  <c r="H440" i="10"/>
  <c r="H434" i="10"/>
  <c r="H437" i="10" s="1"/>
  <c r="G431" i="10"/>
  <c r="H431" i="10"/>
  <c r="H430" i="10"/>
  <c r="H429" i="10"/>
  <c r="H428" i="10"/>
  <c r="H425" i="10"/>
  <c r="G422" i="10"/>
  <c r="G421" i="10"/>
  <c r="G420" i="10"/>
  <c r="G417" i="10"/>
  <c r="G416" i="10"/>
  <c r="G415" i="10"/>
  <c r="H422" i="10"/>
  <c r="H421" i="10"/>
  <c r="H420" i="10"/>
  <c r="H419" i="10"/>
  <c r="H417" i="10"/>
  <c r="H416" i="10"/>
  <c r="H415" i="10"/>
  <c r="H414" i="10"/>
  <c r="G411" i="10"/>
  <c r="G410" i="10"/>
  <c r="G409" i="10"/>
  <c r="G408" i="10"/>
  <c r="H411" i="10"/>
  <c r="H410" i="10"/>
  <c r="H409" i="10"/>
  <c r="H408" i="10"/>
  <c r="H407" i="10"/>
  <c r="G404" i="10"/>
  <c r="G403" i="10"/>
  <c r="G402" i="10"/>
  <c r="G399" i="10"/>
  <c r="G398" i="10"/>
  <c r="G397" i="10"/>
  <c r="H401" i="10"/>
  <c r="H404" i="10" s="1"/>
  <c r="H399" i="10"/>
  <c r="H398" i="10"/>
  <c r="H397" i="10"/>
  <c r="H396" i="10"/>
  <c r="H390" i="10"/>
  <c r="L391" i="10" s="1"/>
  <c r="L389" i="10" s="1"/>
  <c r="C53" i="7" s="1"/>
  <c r="L386" i="10"/>
  <c r="H385" i="10"/>
  <c r="H383" i="10"/>
  <c r="H380" i="10"/>
  <c r="E380" i="10"/>
  <c r="O380" i="10" s="1"/>
  <c r="I380" i="10"/>
  <c r="H373" i="10"/>
  <c r="L373" i="10" s="1"/>
  <c r="L372" i="10" s="1"/>
  <c r="C50" i="7" s="1"/>
  <c r="G369" i="10"/>
  <c r="H369" i="10"/>
  <c r="H368" i="10"/>
  <c r="H367" i="10"/>
  <c r="H364" i="10"/>
  <c r="L364" i="10" s="1"/>
  <c r="L363" i="10" s="1"/>
  <c r="C48" i="7" s="1"/>
  <c r="G357" i="10"/>
  <c r="G356" i="10"/>
  <c r="H360" i="10"/>
  <c r="L360" i="10" s="1"/>
  <c r="H359" i="10"/>
  <c r="H355" i="10"/>
  <c r="H357" i="10" s="1"/>
  <c r="H353" i="10"/>
  <c r="H352" i="10"/>
  <c r="H351" i="10"/>
  <c r="H350" i="10"/>
  <c r="H345" i="10"/>
  <c r="L345" i="10" s="1"/>
  <c r="L343" i="10" s="1"/>
  <c r="C46" i="7" s="1"/>
  <c r="H344" i="10"/>
  <c r="G338" i="10"/>
  <c r="G337" i="10"/>
  <c r="H341" i="10"/>
  <c r="L341" i="10" s="1"/>
  <c r="H340" i="10"/>
  <c r="H336" i="10"/>
  <c r="H338" i="10" s="1"/>
  <c r="H334" i="10"/>
  <c r="H333" i="10"/>
  <c r="H332" i="10"/>
  <c r="H331" i="10"/>
  <c r="I325" i="10"/>
  <c r="H325" i="10"/>
  <c r="L325" i="10" s="1"/>
  <c r="L324" i="10" s="1"/>
  <c r="C44" i="7" s="1"/>
  <c r="H321" i="10"/>
  <c r="L321" i="10" s="1"/>
  <c r="L320" i="10" s="1"/>
  <c r="C43" i="7" s="1"/>
  <c r="H316" i="10"/>
  <c r="H318" i="10" s="1"/>
  <c r="G313" i="10"/>
  <c r="H311" i="10"/>
  <c r="H312" i="10" s="1"/>
  <c r="G308" i="10"/>
  <c r="G307" i="10"/>
  <c r="G306" i="10"/>
  <c r="H305" i="10"/>
  <c r="H308" i="10" s="1"/>
  <c r="H296" i="10"/>
  <c r="H302" i="10" s="1"/>
  <c r="G293" i="10"/>
  <c r="G292" i="10"/>
  <c r="G291" i="10"/>
  <c r="G290" i="10"/>
  <c r="H286" i="10"/>
  <c r="H291" i="10" s="1"/>
  <c r="H281" i="10"/>
  <c r="G278" i="10"/>
  <c r="G277" i="10"/>
  <c r="G276" i="10"/>
  <c r="H274" i="10"/>
  <c r="H273" i="10"/>
  <c r="H272" i="10"/>
  <c r="I259" i="10"/>
  <c r="J259" i="10" s="1"/>
  <c r="I258" i="10"/>
  <c r="J258" i="10" s="1"/>
  <c r="I257" i="10"/>
  <c r="J257" i="10" s="1"/>
  <c r="I256" i="10"/>
  <c r="J256" i="10" s="1"/>
  <c r="H252" i="10"/>
  <c r="H250" i="10"/>
  <c r="H251" i="10" s="1"/>
  <c r="H249" i="10"/>
  <c r="G242" i="10"/>
  <c r="G241" i="10"/>
  <c r="H245" i="10"/>
  <c r="L245" i="10" s="1"/>
  <c r="H244" i="10"/>
  <c r="H240" i="10"/>
  <c r="H242" i="10" s="1"/>
  <c r="H238" i="10"/>
  <c r="H237" i="10"/>
  <c r="H236" i="10"/>
  <c r="H235" i="10"/>
  <c r="H230" i="10"/>
  <c r="L230" i="10" s="1"/>
  <c r="L229" i="10" s="1"/>
  <c r="C32" i="7" s="1"/>
  <c r="G227" i="10"/>
  <c r="H227" i="10"/>
  <c r="H226" i="10"/>
  <c r="H225" i="10"/>
  <c r="H224" i="10"/>
  <c r="H220" i="10"/>
  <c r="G217" i="10"/>
  <c r="G216" i="10"/>
  <c r="G215" i="10"/>
  <c r="H217" i="10"/>
  <c r="H216" i="10"/>
  <c r="H215" i="10"/>
  <c r="H214" i="10"/>
  <c r="G209" i="10"/>
  <c r="G208" i="10"/>
  <c r="G207" i="10"/>
  <c r="G204" i="10"/>
  <c r="G203" i="10"/>
  <c r="G202" i="10"/>
  <c r="H209" i="10"/>
  <c r="H208" i="10"/>
  <c r="H207" i="10"/>
  <c r="H206" i="10"/>
  <c r="H204" i="10"/>
  <c r="H203" i="10"/>
  <c r="H202" i="10"/>
  <c r="H201" i="10"/>
  <c r="G198" i="10"/>
  <c r="G197" i="10"/>
  <c r="G196" i="10"/>
  <c r="H195" i="10"/>
  <c r="H198" i="10" s="1"/>
  <c r="H193" i="10"/>
  <c r="H192" i="10"/>
  <c r="H191" i="10"/>
  <c r="H190" i="10"/>
  <c r="H185" i="10"/>
  <c r="G181" i="10"/>
  <c r="H180" i="10"/>
  <c r="H181" i="10" s="1"/>
  <c r="H170" i="10"/>
  <c r="H168" i="10"/>
  <c r="H165" i="10"/>
  <c r="H13" i="10"/>
  <c r="L171" i="10"/>
  <c r="I163" i="10"/>
  <c r="I165" i="10"/>
  <c r="I166" i="10"/>
  <c r="I167" i="10"/>
  <c r="I168" i="10"/>
  <c r="I169" i="10"/>
  <c r="J169" i="10" s="1"/>
  <c r="I170" i="10"/>
  <c r="I171" i="10"/>
  <c r="J171" i="10" s="1"/>
  <c r="H158" i="10"/>
  <c r="L158" i="10" s="1"/>
  <c r="L157" i="10" s="1"/>
  <c r="C22" i="7" s="1"/>
  <c r="H154" i="10"/>
  <c r="H148" i="10"/>
  <c r="I143" i="10"/>
  <c r="H143" i="10"/>
  <c r="I142" i="10"/>
  <c r="H140" i="10"/>
  <c r="G135" i="10"/>
  <c r="G134" i="10"/>
  <c r="G133" i="10"/>
  <c r="G132" i="10"/>
  <c r="H128" i="10"/>
  <c r="H132" i="10" s="1"/>
  <c r="G125" i="10"/>
  <c r="G124" i="10"/>
  <c r="G123" i="10"/>
  <c r="H122" i="10"/>
  <c r="H123" i="10" s="1"/>
  <c r="H113" i="10"/>
  <c r="H118" i="10" s="1"/>
  <c r="E104" i="10"/>
  <c r="E105" i="10"/>
  <c r="P105" i="10" s="1"/>
  <c r="E106" i="10"/>
  <c r="N106" i="10" s="1"/>
  <c r="E107" i="10"/>
  <c r="M107" i="10" s="1"/>
  <c r="E108" i="10"/>
  <c r="E103" i="10"/>
  <c r="M103" i="10" s="1"/>
  <c r="H108" i="10"/>
  <c r="H107" i="10"/>
  <c r="H106" i="10"/>
  <c r="H105" i="10"/>
  <c r="H104" i="10"/>
  <c r="H103" i="10"/>
  <c r="G107" i="10"/>
  <c r="I103" i="10"/>
  <c r="I104" i="10"/>
  <c r="I105" i="10"/>
  <c r="I106" i="10"/>
  <c r="I107" i="10"/>
  <c r="I108" i="10"/>
  <c r="H109" i="10"/>
  <c r="G85" i="10"/>
  <c r="G84" i="10"/>
  <c r="G83" i="10"/>
  <c r="G97" i="10"/>
  <c r="G96" i="10"/>
  <c r="G95" i="10"/>
  <c r="H97" i="10"/>
  <c r="H96" i="10"/>
  <c r="H95" i="10"/>
  <c r="H94" i="10"/>
  <c r="H90" i="10"/>
  <c r="H89" i="10"/>
  <c r="H78" i="10"/>
  <c r="H77" i="10"/>
  <c r="H85" i="10" s="1"/>
  <c r="H76" i="10"/>
  <c r="H81" i="10" s="1"/>
  <c r="H72" i="10"/>
  <c r="H68" i="10"/>
  <c r="H71" i="10" s="1"/>
  <c r="G60" i="10"/>
  <c r="G59" i="10"/>
  <c r="G58" i="10"/>
  <c r="G55" i="10"/>
  <c r="G54" i="10"/>
  <c r="G53" i="10"/>
  <c r="H60" i="10"/>
  <c r="H59" i="10"/>
  <c r="H58" i="10"/>
  <c r="H57" i="10"/>
  <c r="H55" i="10"/>
  <c r="H54" i="10"/>
  <c r="H53" i="10"/>
  <c r="H52" i="10"/>
  <c r="H31" i="10"/>
  <c r="H30" i="10"/>
  <c r="H29" i="10"/>
  <c r="H28" i="10"/>
  <c r="H27" i="10"/>
  <c r="H26" i="10"/>
  <c r="H25" i="10"/>
  <c r="H24" i="10"/>
  <c r="G49" i="10"/>
  <c r="G48" i="10"/>
  <c r="G47" i="10"/>
  <c r="H49" i="10"/>
  <c r="H48" i="10"/>
  <c r="H47" i="10"/>
  <c r="H46" i="10"/>
  <c r="H40" i="10"/>
  <c r="L40" i="10" s="1"/>
  <c r="L38" i="10" s="1"/>
  <c r="C8" i="7" s="1"/>
  <c r="G40" i="10"/>
  <c r="E1" i="10"/>
  <c r="I1" i="10"/>
  <c r="E3" i="10"/>
  <c r="I3" i="10"/>
  <c r="E4" i="10"/>
  <c r="I4" i="10"/>
  <c r="E5" i="10"/>
  <c r="I5" i="10"/>
  <c r="E7" i="10"/>
  <c r="O7" i="10" s="1"/>
  <c r="I7" i="10"/>
  <c r="J7" i="10" s="1"/>
  <c r="E8" i="10"/>
  <c r="O8" i="10" s="1"/>
  <c r="H8" i="10"/>
  <c r="I8" i="10"/>
  <c r="E9" i="10"/>
  <c r="I9" i="10"/>
  <c r="E10" i="10"/>
  <c r="I10" i="10"/>
  <c r="E11" i="10"/>
  <c r="I11" i="10"/>
  <c r="E13" i="10"/>
  <c r="O13" i="10" s="1"/>
  <c r="I13" i="10"/>
  <c r="E14" i="10"/>
  <c r="I14" i="10"/>
  <c r="E15" i="10"/>
  <c r="I15" i="10"/>
  <c r="E16" i="10"/>
  <c r="O16" i="10" s="1"/>
  <c r="H16" i="10"/>
  <c r="I16" i="10"/>
  <c r="E17" i="10"/>
  <c r="N17" i="10" s="1"/>
  <c r="I17" i="10"/>
  <c r="J17" i="10" s="1"/>
  <c r="E18" i="10"/>
  <c r="M18" i="10" s="1"/>
  <c r="H18" i="10"/>
  <c r="I18" i="10"/>
  <c r="E19" i="10"/>
  <c r="N19" i="10" s="1"/>
  <c r="I19" i="10"/>
  <c r="J19" i="10" s="1"/>
  <c r="E20" i="10"/>
  <c r="I20" i="10"/>
  <c r="E21" i="10"/>
  <c r="I21" i="10"/>
  <c r="E22" i="10"/>
  <c r="I22" i="10"/>
  <c r="E24" i="10"/>
  <c r="N24" i="10" s="1"/>
  <c r="I24" i="10"/>
  <c r="E25" i="10"/>
  <c r="P25" i="10" s="1"/>
  <c r="I25" i="10"/>
  <c r="E26" i="10"/>
  <c r="N26" i="10" s="1"/>
  <c r="I26" i="10"/>
  <c r="E27" i="10"/>
  <c r="M27" i="10" s="1"/>
  <c r="I27" i="10"/>
  <c r="E28" i="10"/>
  <c r="P28" i="10" s="1"/>
  <c r="I28" i="10"/>
  <c r="E29" i="10"/>
  <c r="P29" i="10" s="1"/>
  <c r="I29" i="10"/>
  <c r="E30" i="10"/>
  <c r="P30" i="10" s="1"/>
  <c r="I30" i="10"/>
  <c r="E31" i="10"/>
  <c r="P31" i="10" s="1"/>
  <c r="I31" i="10"/>
  <c r="E32" i="10"/>
  <c r="N32" i="10" s="1"/>
  <c r="I32" i="10"/>
  <c r="J32" i="10" s="1"/>
  <c r="E33" i="10"/>
  <c r="N33" i="10" s="1"/>
  <c r="I33" i="10"/>
  <c r="J33" i="10" s="1"/>
  <c r="E34" i="10"/>
  <c r="N34" i="10" s="1"/>
  <c r="I34" i="10"/>
  <c r="J34" i="10" s="1"/>
  <c r="E35" i="10"/>
  <c r="I35" i="10"/>
  <c r="E36" i="10"/>
  <c r="I36" i="10"/>
  <c r="E37" i="10"/>
  <c r="I37" i="10"/>
  <c r="E38" i="10"/>
  <c r="I38" i="10"/>
  <c r="E39" i="10"/>
  <c r="I39" i="10"/>
  <c r="E40" i="10"/>
  <c r="O40" i="10" s="1"/>
  <c r="O38" i="10" s="1"/>
  <c r="I40" i="10"/>
  <c r="E41" i="10"/>
  <c r="I41" i="10"/>
  <c r="E42" i="10"/>
  <c r="I42" i="10"/>
  <c r="E43" i="10"/>
  <c r="I43" i="10"/>
  <c r="E44" i="10"/>
  <c r="I44" i="10"/>
  <c r="E45" i="10"/>
  <c r="I45" i="10"/>
  <c r="E46" i="10"/>
  <c r="I46" i="10"/>
  <c r="E47" i="10"/>
  <c r="N47" i="10" s="1"/>
  <c r="I47" i="10"/>
  <c r="E48" i="10"/>
  <c r="P48" i="10" s="1"/>
  <c r="I48" i="10"/>
  <c r="E49" i="10"/>
  <c r="N49" i="10" s="1"/>
  <c r="I49" i="10"/>
  <c r="E50" i="10"/>
  <c r="I50" i="10"/>
  <c r="E51" i="10"/>
  <c r="I51" i="10"/>
  <c r="E52" i="10"/>
  <c r="P52" i="10" s="1"/>
  <c r="I52" i="10"/>
  <c r="E53" i="10"/>
  <c r="I53" i="10"/>
  <c r="E54" i="10"/>
  <c r="I54" i="10"/>
  <c r="E55" i="10"/>
  <c r="I55" i="10"/>
  <c r="E56" i="10"/>
  <c r="I56" i="10"/>
  <c r="E57" i="10"/>
  <c r="M57" i="10" s="1"/>
  <c r="I57" i="10"/>
  <c r="E58" i="10"/>
  <c r="N58" i="10" s="1"/>
  <c r="I58" i="10"/>
  <c r="E59" i="10"/>
  <c r="I59" i="10"/>
  <c r="E60" i="10"/>
  <c r="I60" i="10"/>
  <c r="E61" i="10"/>
  <c r="I61" i="10"/>
  <c r="E62" i="10"/>
  <c r="I62" i="10"/>
  <c r="E63" i="10"/>
  <c r="I63" i="10"/>
  <c r="E64" i="10"/>
  <c r="I64" i="10"/>
  <c r="E65" i="10"/>
  <c r="I65" i="10"/>
  <c r="E66" i="10"/>
  <c r="I66" i="10"/>
  <c r="E67" i="10"/>
  <c r="I67" i="10"/>
  <c r="E68" i="10"/>
  <c r="I68" i="10"/>
  <c r="E69" i="10"/>
  <c r="M69" i="10" s="1"/>
  <c r="I69" i="10"/>
  <c r="E70" i="10"/>
  <c r="M70" i="10" s="1"/>
  <c r="I70" i="10"/>
  <c r="E71" i="10"/>
  <c r="O71" i="10" s="1"/>
  <c r="I71" i="10"/>
  <c r="E72" i="10"/>
  <c r="M72" i="10" s="1"/>
  <c r="I72" i="10"/>
  <c r="E73" i="10"/>
  <c r="O73" i="10" s="1"/>
  <c r="I73" i="10"/>
  <c r="E74" i="10"/>
  <c r="I74" i="10"/>
  <c r="E75" i="10"/>
  <c r="I75" i="10"/>
  <c r="E76" i="10"/>
  <c r="I76" i="10"/>
  <c r="E77" i="10"/>
  <c r="I77" i="10"/>
  <c r="E78" i="10"/>
  <c r="I78" i="10"/>
  <c r="E79" i="10"/>
  <c r="I79" i="10"/>
  <c r="E80" i="10"/>
  <c r="I80" i="10"/>
  <c r="E81" i="10"/>
  <c r="I81" i="10"/>
  <c r="E82" i="10"/>
  <c r="P82" i="10" s="1"/>
  <c r="I82" i="10"/>
  <c r="E83" i="10"/>
  <c r="N83" i="10" s="1"/>
  <c r="I83" i="10"/>
  <c r="E84" i="10"/>
  <c r="P84" i="10" s="1"/>
  <c r="I84" i="10"/>
  <c r="E85" i="10"/>
  <c r="N85" i="10" s="1"/>
  <c r="I85" i="10"/>
  <c r="E86" i="10"/>
  <c r="I86" i="10"/>
  <c r="E87" i="10"/>
  <c r="I87" i="10"/>
  <c r="E88" i="10"/>
  <c r="I88" i="10"/>
  <c r="E89" i="10"/>
  <c r="M89" i="10" s="1"/>
  <c r="I89" i="10"/>
  <c r="E90" i="10"/>
  <c r="I90" i="10"/>
  <c r="E91" i="10"/>
  <c r="I91" i="10"/>
  <c r="E92" i="10"/>
  <c r="I92" i="10"/>
  <c r="E93" i="10"/>
  <c r="I93" i="10"/>
  <c r="E94" i="10"/>
  <c r="N94" i="10" s="1"/>
  <c r="I94" i="10"/>
  <c r="E95" i="10"/>
  <c r="I95" i="10"/>
  <c r="E96" i="10"/>
  <c r="M96" i="10" s="1"/>
  <c r="I96" i="10"/>
  <c r="E97" i="10"/>
  <c r="N97" i="10" s="1"/>
  <c r="I97" i="10"/>
  <c r="E98" i="10"/>
  <c r="I98" i="10"/>
  <c r="E99" i="10"/>
  <c r="I99" i="10"/>
  <c r="E100" i="10"/>
  <c r="I100" i="10"/>
  <c r="E101" i="10"/>
  <c r="I101" i="10"/>
  <c r="E102" i="10"/>
  <c r="E109" i="10"/>
  <c r="M109" i="10" s="1"/>
  <c r="I109" i="10"/>
  <c r="E110" i="10"/>
  <c r="I110" i="10"/>
  <c r="E111" i="10"/>
  <c r="I111" i="10"/>
  <c r="E112" i="10"/>
  <c r="I112" i="10"/>
  <c r="E113" i="10"/>
  <c r="I113" i="10"/>
  <c r="E114" i="10"/>
  <c r="I114" i="10"/>
  <c r="E115" i="10"/>
  <c r="I115" i="10"/>
  <c r="E116" i="10"/>
  <c r="N116" i="10" s="1"/>
  <c r="I116" i="10"/>
  <c r="E117" i="10"/>
  <c r="N117" i="10" s="1"/>
  <c r="I117" i="10"/>
  <c r="E118" i="10"/>
  <c r="I118" i="10"/>
  <c r="E119" i="10"/>
  <c r="O119" i="10" s="1"/>
  <c r="I119" i="10"/>
  <c r="E120" i="10"/>
  <c r="M120" i="10" s="1"/>
  <c r="I120" i="10"/>
  <c r="E121" i="10"/>
  <c r="I121" i="10"/>
  <c r="E122" i="10"/>
  <c r="I122" i="10"/>
  <c r="E123" i="10"/>
  <c r="I123" i="10"/>
  <c r="E124" i="10"/>
  <c r="N124" i="10" s="1"/>
  <c r="I124" i="10"/>
  <c r="E125" i="10"/>
  <c r="I125" i="10"/>
  <c r="E126" i="10"/>
  <c r="I126" i="10"/>
  <c r="E127" i="10"/>
  <c r="I127" i="10"/>
  <c r="E128" i="10"/>
  <c r="I128" i="10"/>
  <c r="E129" i="10"/>
  <c r="N129" i="10" s="1"/>
  <c r="I129" i="10"/>
  <c r="E130" i="10"/>
  <c r="I130" i="10"/>
  <c r="E131" i="10"/>
  <c r="I131" i="10"/>
  <c r="E132" i="10"/>
  <c r="I132" i="10"/>
  <c r="E133" i="10"/>
  <c r="N133" i="10" s="1"/>
  <c r="I133" i="10"/>
  <c r="E134" i="10"/>
  <c r="I134" i="10"/>
  <c r="E135" i="10"/>
  <c r="N135" i="10" s="1"/>
  <c r="I135" i="10"/>
  <c r="E136" i="10"/>
  <c r="I136" i="10"/>
  <c r="E137" i="10"/>
  <c r="I137" i="10"/>
  <c r="E138" i="10"/>
  <c r="I138" i="10"/>
  <c r="E139" i="10"/>
  <c r="I139" i="10"/>
  <c r="E140" i="10"/>
  <c r="N140" i="10" s="1"/>
  <c r="N139" i="10" s="1"/>
  <c r="I140" i="10"/>
  <c r="J140" i="10" s="1"/>
  <c r="E141" i="10"/>
  <c r="I141" i="10"/>
  <c r="E142" i="10"/>
  <c r="E143" i="10"/>
  <c r="O143" i="10" s="1"/>
  <c r="O142" i="10" s="1"/>
  <c r="E144" i="10"/>
  <c r="I144" i="10"/>
  <c r="E145" i="10"/>
  <c r="I145" i="10"/>
  <c r="E146" i="10"/>
  <c r="I146" i="10"/>
  <c r="E147" i="10"/>
  <c r="I147" i="10"/>
  <c r="E148" i="10"/>
  <c r="I148" i="10"/>
  <c r="E149" i="10"/>
  <c r="I149" i="10"/>
  <c r="E150" i="10"/>
  <c r="I150" i="10"/>
  <c r="E151" i="10"/>
  <c r="I151" i="10"/>
  <c r="E152" i="10"/>
  <c r="I152" i="10"/>
  <c r="E153" i="10"/>
  <c r="I153" i="10"/>
  <c r="E154" i="10"/>
  <c r="N154" i="10" s="1"/>
  <c r="N153" i="10" s="1"/>
  <c r="I154" i="10"/>
  <c r="E155" i="10"/>
  <c r="I155" i="10"/>
  <c r="E156" i="10"/>
  <c r="I156" i="10"/>
  <c r="E157" i="10"/>
  <c r="I157" i="10"/>
  <c r="E158" i="10"/>
  <c r="M158" i="10" s="1"/>
  <c r="M157" i="10" s="1"/>
  <c r="I158" i="10"/>
  <c r="E159" i="10"/>
  <c r="I159" i="10"/>
  <c r="E160" i="10"/>
  <c r="I160" i="10"/>
  <c r="E161" i="10"/>
  <c r="I161" i="10"/>
  <c r="E162" i="10"/>
  <c r="I162" i="10"/>
  <c r="E163" i="10"/>
  <c r="E165" i="10"/>
  <c r="O165" i="10" s="1"/>
  <c r="E166" i="10"/>
  <c r="E167" i="10"/>
  <c r="E168" i="10"/>
  <c r="M168" i="10" s="1"/>
  <c r="E169" i="10"/>
  <c r="O169" i="10" s="1"/>
  <c r="E170" i="10"/>
  <c r="N170" i="10" s="1"/>
  <c r="E171" i="10"/>
  <c r="N171" i="10" s="1"/>
  <c r="E172" i="10"/>
  <c r="I172" i="10"/>
  <c r="E173" i="10"/>
  <c r="I173" i="10"/>
  <c r="E174" i="10"/>
  <c r="I174" i="10"/>
  <c r="E175" i="10"/>
  <c r="I175" i="10"/>
  <c r="E176" i="10"/>
  <c r="I176" i="10"/>
  <c r="E177" i="10"/>
  <c r="I177" i="10"/>
  <c r="E178" i="10"/>
  <c r="I178" i="10"/>
  <c r="E179" i="10"/>
  <c r="I179" i="10"/>
  <c r="E180" i="10"/>
  <c r="I180" i="10"/>
  <c r="E181" i="10"/>
  <c r="N181" i="10" s="1"/>
  <c r="N179" i="10" s="1"/>
  <c r="I181" i="10"/>
  <c r="E182" i="10"/>
  <c r="I182" i="10"/>
  <c r="E183" i="10"/>
  <c r="I183" i="10"/>
  <c r="E184" i="10"/>
  <c r="I184" i="10"/>
  <c r="E185" i="10"/>
  <c r="P185" i="10" s="1"/>
  <c r="I185" i="10"/>
  <c r="E186" i="10"/>
  <c r="M186" i="10" s="1"/>
  <c r="I186" i="10"/>
  <c r="E187" i="10"/>
  <c r="I187" i="10"/>
  <c r="E188" i="10"/>
  <c r="I188" i="10"/>
  <c r="E189" i="10"/>
  <c r="I189" i="10"/>
  <c r="E190" i="10"/>
  <c r="N190" i="10" s="1"/>
  <c r="I190" i="10"/>
  <c r="E191" i="10"/>
  <c r="N191" i="10" s="1"/>
  <c r="I191" i="10"/>
  <c r="E192" i="10"/>
  <c r="I192" i="10"/>
  <c r="E193" i="10"/>
  <c r="I193" i="10"/>
  <c r="J193" i="10" s="1"/>
  <c r="E194" i="10"/>
  <c r="I194" i="10"/>
  <c r="E195" i="10"/>
  <c r="L195" i="10" s="1"/>
  <c r="K195" i="10" s="1"/>
  <c r="I195" i="10"/>
  <c r="E196" i="10"/>
  <c r="P196" i="10" s="1"/>
  <c r="I196" i="10"/>
  <c r="E197" i="10"/>
  <c r="N197" i="10" s="1"/>
  <c r="I197" i="10"/>
  <c r="E198" i="10"/>
  <c r="I198" i="10"/>
  <c r="E199" i="10"/>
  <c r="I199" i="10"/>
  <c r="E200" i="10"/>
  <c r="I200" i="10"/>
  <c r="E201" i="10"/>
  <c r="N201" i="10" s="1"/>
  <c r="I201" i="10"/>
  <c r="E202" i="10"/>
  <c r="M202" i="10" s="1"/>
  <c r="I202" i="10"/>
  <c r="E203" i="10"/>
  <c r="N203" i="10" s="1"/>
  <c r="I203" i="10"/>
  <c r="E204" i="10"/>
  <c r="O204" i="10" s="1"/>
  <c r="I204" i="10"/>
  <c r="E205" i="10"/>
  <c r="I205" i="10"/>
  <c r="E206" i="10"/>
  <c r="M206" i="10" s="1"/>
  <c r="I206" i="10"/>
  <c r="E207" i="10"/>
  <c r="I207" i="10"/>
  <c r="E208" i="10"/>
  <c r="M208" i="10" s="1"/>
  <c r="I208" i="10"/>
  <c r="E209" i="10"/>
  <c r="I209" i="10"/>
  <c r="E210" i="10"/>
  <c r="I210" i="10"/>
  <c r="E211" i="10"/>
  <c r="I211" i="10"/>
  <c r="E212" i="10"/>
  <c r="I212" i="10"/>
  <c r="E213" i="10"/>
  <c r="I213" i="10"/>
  <c r="E214" i="10"/>
  <c r="I214" i="10"/>
  <c r="E215" i="10"/>
  <c r="P215" i="10" s="1"/>
  <c r="I215" i="10"/>
  <c r="E216" i="10"/>
  <c r="P216" i="10" s="1"/>
  <c r="I216" i="10"/>
  <c r="E217" i="10"/>
  <c r="P217" i="10" s="1"/>
  <c r="I217" i="10"/>
  <c r="E218" i="10"/>
  <c r="I218" i="10"/>
  <c r="E219" i="10"/>
  <c r="I219" i="10"/>
  <c r="E220" i="10"/>
  <c r="N220" i="10" s="1"/>
  <c r="N219" i="10" s="1"/>
  <c r="I220" i="10"/>
  <c r="E221" i="10"/>
  <c r="I221" i="10"/>
  <c r="E222" i="10"/>
  <c r="I222" i="10"/>
  <c r="E223" i="10"/>
  <c r="I223" i="10"/>
  <c r="E224" i="10"/>
  <c r="N224" i="10" s="1"/>
  <c r="I224" i="10"/>
  <c r="E225" i="10"/>
  <c r="M225" i="10" s="1"/>
  <c r="I225" i="10"/>
  <c r="E226" i="10"/>
  <c r="P226" i="10" s="1"/>
  <c r="I226" i="10"/>
  <c r="E227" i="10"/>
  <c r="O227" i="10" s="1"/>
  <c r="I227" i="10"/>
  <c r="E228" i="10"/>
  <c r="I228" i="10"/>
  <c r="E229" i="10"/>
  <c r="I229" i="10"/>
  <c r="E230" i="10"/>
  <c r="O230" i="10" s="1"/>
  <c r="O229" i="10" s="1"/>
  <c r="I230" i="10"/>
  <c r="E231" i="10"/>
  <c r="I231" i="10"/>
  <c r="E232" i="10"/>
  <c r="I232" i="10"/>
  <c r="E233" i="10"/>
  <c r="I233" i="10"/>
  <c r="E234" i="10"/>
  <c r="I234" i="10"/>
  <c r="E235" i="10"/>
  <c r="I235" i="10"/>
  <c r="E236" i="10"/>
  <c r="M236" i="10" s="1"/>
  <c r="I236" i="10"/>
  <c r="E237" i="10"/>
  <c r="P237" i="10" s="1"/>
  <c r="I237" i="10"/>
  <c r="E238" i="10"/>
  <c r="I238" i="10"/>
  <c r="E239" i="10"/>
  <c r="I239" i="10"/>
  <c r="E240" i="10"/>
  <c r="I240" i="10"/>
  <c r="E241" i="10"/>
  <c r="I241" i="10"/>
  <c r="E242" i="10"/>
  <c r="P242" i="10" s="1"/>
  <c r="I242" i="10"/>
  <c r="E243" i="10"/>
  <c r="I243" i="10"/>
  <c r="E244" i="10"/>
  <c r="O244" i="10" s="1"/>
  <c r="I244" i="10"/>
  <c r="E245" i="10"/>
  <c r="O245" i="10" s="1"/>
  <c r="I245" i="10"/>
  <c r="E246" i="10"/>
  <c r="I246" i="10"/>
  <c r="E247" i="10"/>
  <c r="I247" i="10"/>
  <c r="E248" i="10"/>
  <c r="I248" i="10"/>
  <c r="E249" i="10"/>
  <c r="L249" i="10" s="1"/>
  <c r="I249" i="10"/>
  <c r="E250" i="10"/>
  <c r="P250" i="10" s="1"/>
  <c r="I250" i="10"/>
  <c r="E251" i="10"/>
  <c r="P251" i="10" s="1"/>
  <c r="I251" i="10"/>
  <c r="E252" i="10"/>
  <c r="N252" i="10" s="1"/>
  <c r="I252" i="10"/>
  <c r="E253" i="10"/>
  <c r="I253" i="10"/>
  <c r="E254" i="10"/>
  <c r="I254" i="10"/>
  <c r="E255" i="10"/>
  <c r="I255" i="10"/>
  <c r="E256" i="10"/>
  <c r="M256" i="10" s="1"/>
  <c r="E257" i="10"/>
  <c r="L257" i="10" s="1"/>
  <c r="E258" i="10"/>
  <c r="P258" i="10" s="1"/>
  <c r="E259" i="10"/>
  <c r="N259" i="10" s="1"/>
  <c r="E260" i="10"/>
  <c r="I260" i="10"/>
  <c r="E261" i="10"/>
  <c r="I261" i="10"/>
  <c r="E262" i="10"/>
  <c r="I262" i="10"/>
  <c r="E263" i="10"/>
  <c r="O263" i="10" s="1"/>
  <c r="I263" i="10"/>
  <c r="J263" i="10" s="1"/>
  <c r="E264" i="10"/>
  <c r="M264" i="10" s="1"/>
  <c r="I264" i="10"/>
  <c r="J264" i="10" s="1"/>
  <c r="E265" i="10"/>
  <c r="L265" i="10" s="1"/>
  <c r="I265" i="10"/>
  <c r="J265" i="10" s="1"/>
  <c r="E266" i="10"/>
  <c r="O266" i="10" s="1"/>
  <c r="I266" i="10"/>
  <c r="J266" i="10" s="1"/>
  <c r="E267" i="10"/>
  <c r="I267" i="10"/>
  <c r="E268" i="10"/>
  <c r="I268" i="10"/>
  <c r="E269" i="10"/>
  <c r="I269" i="10"/>
  <c r="E270" i="10"/>
  <c r="I270" i="10"/>
  <c r="E271" i="10"/>
  <c r="I271" i="10"/>
  <c r="E272" i="10"/>
  <c r="I272" i="10"/>
  <c r="E273" i="10"/>
  <c r="M273" i="10" s="1"/>
  <c r="I273" i="10"/>
  <c r="E274" i="10"/>
  <c r="P274" i="10" s="1"/>
  <c r="I274" i="10"/>
  <c r="E275" i="10"/>
  <c r="N275" i="10" s="1"/>
  <c r="I275" i="10"/>
  <c r="J275" i="10" s="1"/>
  <c r="E276" i="10"/>
  <c r="N276" i="10" s="1"/>
  <c r="I276" i="10"/>
  <c r="E277" i="10"/>
  <c r="M277" i="10" s="1"/>
  <c r="I277" i="10"/>
  <c r="E278" i="10"/>
  <c r="M278" i="10" s="1"/>
  <c r="I278" i="10"/>
  <c r="E279" i="10"/>
  <c r="I279" i="10"/>
  <c r="E280" i="10"/>
  <c r="I280" i="10"/>
  <c r="E281" i="10"/>
  <c r="N281" i="10" s="1"/>
  <c r="N280" i="10" s="1"/>
  <c r="I281" i="10"/>
  <c r="E282" i="10"/>
  <c r="I282" i="10"/>
  <c r="E283" i="10"/>
  <c r="I283" i="10"/>
  <c r="E284" i="10"/>
  <c r="I284" i="10"/>
  <c r="E285" i="10"/>
  <c r="I285" i="10"/>
  <c r="E286" i="10"/>
  <c r="I286" i="10"/>
  <c r="E287" i="10"/>
  <c r="P287" i="10" s="1"/>
  <c r="I287" i="10"/>
  <c r="E288" i="10"/>
  <c r="I288" i="10"/>
  <c r="E289" i="10"/>
  <c r="N289" i="10" s="1"/>
  <c r="I289" i="10"/>
  <c r="E290" i="10"/>
  <c r="M290" i="10" s="1"/>
  <c r="I290" i="10"/>
  <c r="E291" i="10"/>
  <c r="I291" i="10"/>
  <c r="E292" i="10"/>
  <c r="P292" i="10" s="1"/>
  <c r="I292" i="10"/>
  <c r="E293" i="10"/>
  <c r="N293" i="10" s="1"/>
  <c r="I293" i="10"/>
  <c r="E294" i="10"/>
  <c r="I294" i="10"/>
  <c r="E295" i="10"/>
  <c r="I295" i="10"/>
  <c r="E296" i="10"/>
  <c r="I296" i="10"/>
  <c r="E297" i="10"/>
  <c r="P297" i="10" s="1"/>
  <c r="I297" i="10"/>
  <c r="E298" i="10"/>
  <c r="I298" i="10"/>
  <c r="E299" i="10"/>
  <c r="N299" i="10" s="1"/>
  <c r="I299" i="10"/>
  <c r="E300" i="10"/>
  <c r="M300" i="10" s="1"/>
  <c r="I300" i="10"/>
  <c r="E301" i="10"/>
  <c r="I301" i="10"/>
  <c r="E302" i="10"/>
  <c r="P302" i="10" s="1"/>
  <c r="I302" i="10"/>
  <c r="E303" i="10"/>
  <c r="N303" i="10" s="1"/>
  <c r="I303" i="10"/>
  <c r="E304" i="10"/>
  <c r="I304" i="10"/>
  <c r="E305" i="10"/>
  <c r="M305" i="10" s="1"/>
  <c r="I305" i="10"/>
  <c r="E306" i="10"/>
  <c r="I306" i="10"/>
  <c r="E307" i="10"/>
  <c r="P307" i="10" s="1"/>
  <c r="I307" i="10"/>
  <c r="E308" i="10"/>
  <c r="O308" i="10" s="1"/>
  <c r="I308" i="10"/>
  <c r="E309" i="10"/>
  <c r="I309" i="10"/>
  <c r="E310" i="10"/>
  <c r="I310" i="10"/>
  <c r="E311" i="10"/>
  <c r="P311" i="10" s="1"/>
  <c r="I311" i="10"/>
  <c r="E312" i="10"/>
  <c r="I312" i="10"/>
  <c r="E313" i="10"/>
  <c r="P313" i="10" s="1"/>
  <c r="I313" i="10"/>
  <c r="E314" i="10"/>
  <c r="I314" i="10"/>
  <c r="E315" i="10"/>
  <c r="I315" i="10"/>
  <c r="E316" i="10"/>
  <c r="I316" i="10"/>
  <c r="E317" i="10"/>
  <c r="I317" i="10"/>
  <c r="E318" i="10"/>
  <c r="P318" i="10" s="1"/>
  <c r="I318" i="10"/>
  <c r="E319" i="10"/>
  <c r="I319" i="10"/>
  <c r="E320" i="10"/>
  <c r="I320" i="10"/>
  <c r="E321" i="10"/>
  <c r="N321" i="10" s="1"/>
  <c r="N320" i="10" s="1"/>
  <c r="I321" i="10"/>
  <c r="E322" i="10"/>
  <c r="I322" i="10"/>
  <c r="E323" i="10"/>
  <c r="I323" i="10"/>
  <c r="E324" i="10"/>
  <c r="I324" i="10"/>
  <c r="E325" i="10"/>
  <c r="O325" i="10" s="1"/>
  <c r="O324" i="10" s="1"/>
  <c r="E326" i="10"/>
  <c r="I326" i="10"/>
  <c r="E327" i="10"/>
  <c r="I327" i="10"/>
  <c r="E328" i="10"/>
  <c r="I328" i="10"/>
  <c r="E329" i="10"/>
  <c r="I329" i="10"/>
  <c r="E330" i="10"/>
  <c r="I330" i="10"/>
  <c r="E331" i="10"/>
  <c r="O331" i="10" s="1"/>
  <c r="I331" i="10"/>
  <c r="E332" i="10"/>
  <c r="M332" i="10" s="1"/>
  <c r="I332" i="10"/>
  <c r="E333" i="10"/>
  <c r="P333" i="10" s="1"/>
  <c r="I333" i="10"/>
  <c r="E334" i="10"/>
  <c r="I334" i="10"/>
  <c r="E335" i="10"/>
  <c r="I335" i="10"/>
  <c r="E336" i="10"/>
  <c r="L336" i="10" s="1"/>
  <c r="I336" i="10"/>
  <c r="E337" i="10"/>
  <c r="N337" i="10" s="1"/>
  <c r="I337" i="10"/>
  <c r="E338" i="10"/>
  <c r="N338" i="10" s="1"/>
  <c r="I338" i="10"/>
  <c r="E339" i="10"/>
  <c r="I339" i="10"/>
  <c r="E340" i="10"/>
  <c r="P340" i="10" s="1"/>
  <c r="I340" i="10"/>
  <c r="E341" i="10"/>
  <c r="O341" i="10" s="1"/>
  <c r="I341" i="10"/>
  <c r="E342" i="10"/>
  <c r="I342" i="10"/>
  <c r="E343" i="10"/>
  <c r="I343" i="10"/>
  <c r="E344" i="10"/>
  <c r="P344" i="10" s="1"/>
  <c r="I344" i="10"/>
  <c r="E345" i="10"/>
  <c r="O345" i="10" s="1"/>
  <c r="I345" i="10"/>
  <c r="E346" i="10"/>
  <c r="I346" i="10"/>
  <c r="E347" i="10"/>
  <c r="I347" i="10"/>
  <c r="E348" i="10"/>
  <c r="I348" i="10"/>
  <c r="E350" i="10"/>
  <c r="L350" i="10" s="1"/>
  <c r="I350" i="10"/>
  <c r="E351" i="10"/>
  <c r="P351" i="10" s="1"/>
  <c r="I351" i="10"/>
  <c r="E352" i="10"/>
  <c r="I352" i="10"/>
  <c r="J352" i="10" s="1"/>
  <c r="E353" i="10"/>
  <c r="P353" i="10" s="1"/>
  <c r="I353" i="10"/>
  <c r="E354" i="10"/>
  <c r="I354" i="10"/>
  <c r="E355" i="10"/>
  <c r="N355" i="10" s="1"/>
  <c r="I355" i="10"/>
  <c r="J355" i="10" s="1"/>
  <c r="E356" i="10"/>
  <c r="M356" i="10" s="1"/>
  <c r="I356" i="10"/>
  <c r="E357" i="10"/>
  <c r="I357" i="10"/>
  <c r="E358" i="10"/>
  <c r="I358" i="10"/>
  <c r="E359" i="10"/>
  <c r="P359" i="10" s="1"/>
  <c r="I359" i="10"/>
  <c r="E360" i="10"/>
  <c r="O360" i="10" s="1"/>
  <c r="I360" i="10"/>
  <c r="J360" i="10" s="1"/>
  <c r="E361" i="10"/>
  <c r="I361" i="10"/>
  <c r="E362" i="10"/>
  <c r="I362" i="10"/>
  <c r="E363" i="10"/>
  <c r="I363" i="10"/>
  <c r="E364" i="10"/>
  <c r="O364" i="10" s="1"/>
  <c r="O363" i="10" s="1"/>
  <c r="I364" i="10"/>
  <c r="E365" i="10"/>
  <c r="I365" i="10"/>
  <c r="E366" i="10"/>
  <c r="I366" i="10"/>
  <c r="E367" i="10"/>
  <c r="M367" i="10" s="1"/>
  <c r="I367" i="10"/>
  <c r="E368" i="10"/>
  <c r="P368" i="10" s="1"/>
  <c r="I368" i="10"/>
  <c r="E369" i="10"/>
  <c r="O369" i="10" s="1"/>
  <c r="I369" i="10"/>
  <c r="E370" i="10"/>
  <c r="I370" i="10"/>
  <c r="E371" i="10"/>
  <c r="I371" i="10"/>
  <c r="E372" i="10"/>
  <c r="I372" i="10"/>
  <c r="E373" i="10"/>
  <c r="O373" i="10" s="1"/>
  <c r="O372" i="10" s="1"/>
  <c r="I373" i="10"/>
  <c r="E374" i="10"/>
  <c r="I374" i="10"/>
  <c r="E375" i="10"/>
  <c r="I375" i="10"/>
  <c r="E376" i="10"/>
  <c r="I376" i="10"/>
  <c r="E377" i="10"/>
  <c r="I377" i="10"/>
  <c r="E378" i="10"/>
  <c r="I378" i="10"/>
  <c r="E381" i="10"/>
  <c r="I381" i="10"/>
  <c r="E382" i="10"/>
  <c r="I382" i="10"/>
  <c r="E383" i="10"/>
  <c r="N383" i="10" s="1"/>
  <c r="I383" i="10"/>
  <c r="E384" i="10"/>
  <c r="N384" i="10" s="1"/>
  <c r="I384" i="10"/>
  <c r="J384" i="10" s="1"/>
  <c r="E385" i="10"/>
  <c r="N385" i="10" s="1"/>
  <c r="I385" i="10"/>
  <c r="E386" i="10"/>
  <c r="N386" i="10" s="1"/>
  <c r="I386" i="10"/>
  <c r="J386" i="10" s="1"/>
  <c r="E387" i="10"/>
  <c r="I387" i="10"/>
  <c r="E388" i="10"/>
  <c r="I388" i="10"/>
  <c r="E389" i="10"/>
  <c r="I389" i="10"/>
  <c r="E390" i="10"/>
  <c r="I390" i="10"/>
  <c r="E391" i="10"/>
  <c r="I391" i="10"/>
  <c r="E392" i="10"/>
  <c r="I392" i="10"/>
  <c r="E393" i="10"/>
  <c r="I393" i="10"/>
  <c r="E394" i="10"/>
  <c r="I394" i="10"/>
  <c r="E395" i="10"/>
  <c r="I395" i="10"/>
  <c r="E396" i="10"/>
  <c r="I396" i="10"/>
  <c r="J396" i="10" s="1"/>
  <c r="E397" i="10"/>
  <c r="N397" i="10" s="1"/>
  <c r="I397" i="10"/>
  <c r="E398" i="10"/>
  <c r="I398" i="10"/>
  <c r="E399" i="10"/>
  <c r="O399" i="10" s="1"/>
  <c r="I399" i="10"/>
  <c r="E400" i="10"/>
  <c r="I400" i="10"/>
  <c r="E401" i="10"/>
  <c r="I401" i="10"/>
  <c r="E402" i="10"/>
  <c r="N402" i="10" s="1"/>
  <c r="I402" i="10"/>
  <c r="E403" i="10"/>
  <c r="I403" i="10"/>
  <c r="E404" i="10"/>
  <c r="O404" i="10" s="1"/>
  <c r="I404" i="10"/>
  <c r="E405" i="10"/>
  <c r="I405" i="10"/>
  <c r="E406" i="10"/>
  <c r="I406" i="10"/>
  <c r="E407" i="10"/>
  <c r="N407" i="10" s="1"/>
  <c r="I407" i="10"/>
  <c r="E408" i="10"/>
  <c r="M408" i="10" s="1"/>
  <c r="I408" i="10"/>
  <c r="E409" i="10"/>
  <c r="I409" i="10"/>
  <c r="E410" i="10"/>
  <c r="P410" i="10" s="1"/>
  <c r="I410" i="10"/>
  <c r="E411" i="10"/>
  <c r="O411" i="10" s="1"/>
  <c r="I411" i="10"/>
  <c r="E412" i="10"/>
  <c r="I412" i="10"/>
  <c r="E413" i="10"/>
  <c r="I413" i="10"/>
  <c r="E414" i="10"/>
  <c r="I414" i="10"/>
  <c r="E415" i="10"/>
  <c r="N415" i="10" s="1"/>
  <c r="I415" i="10"/>
  <c r="E416" i="10"/>
  <c r="I416" i="10"/>
  <c r="E417" i="10"/>
  <c r="O417" i="10" s="1"/>
  <c r="I417" i="10"/>
  <c r="E418" i="10"/>
  <c r="I418" i="10"/>
  <c r="E419" i="10"/>
  <c r="M419" i="10" s="1"/>
  <c r="I419" i="10"/>
  <c r="E420" i="10"/>
  <c r="I420" i="10"/>
  <c r="E421" i="10"/>
  <c r="P421" i="10" s="1"/>
  <c r="I421" i="10"/>
  <c r="E422" i="10"/>
  <c r="O422" i="10" s="1"/>
  <c r="I422" i="10"/>
  <c r="E423" i="10"/>
  <c r="I423" i="10"/>
  <c r="E424" i="10"/>
  <c r="I424" i="10"/>
  <c r="E425" i="10"/>
  <c r="O425" i="10" s="1"/>
  <c r="O424" i="10" s="1"/>
  <c r="I425" i="10"/>
  <c r="E426" i="10"/>
  <c r="I426" i="10"/>
  <c r="E427" i="10"/>
  <c r="I427" i="10"/>
  <c r="E428" i="10"/>
  <c r="M428" i="10" s="1"/>
  <c r="I428" i="10"/>
  <c r="E429" i="10"/>
  <c r="L429" i="10" s="1"/>
  <c r="I429" i="10"/>
  <c r="E430" i="10"/>
  <c r="P430" i="10" s="1"/>
  <c r="I430" i="10"/>
  <c r="E431" i="10"/>
  <c r="O431" i="10" s="1"/>
  <c r="I431" i="10"/>
  <c r="E432" i="10"/>
  <c r="I432" i="10"/>
  <c r="E433" i="10"/>
  <c r="I433" i="10"/>
  <c r="E434" i="10"/>
  <c r="I434" i="10"/>
  <c r="E435" i="10"/>
  <c r="I435" i="10"/>
  <c r="E436" i="10"/>
  <c r="P436" i="10" s="1"/>
  <c r="I436" i="10"/>
  <c r="E437" i="10"/>
  <c r="N437" i="10" s="1"/>
  <c r="I437" i="10"/>
  <c r="E438" i="10"/>
  <c r="I438" i="10"/>
  <c r="E439" i="10"/>
  <c r="I439" i="10"/>
  <c r="E440" i="10"/>
  <c r="O440" i="10" s="1"/>
  <c r="O439" i="10" s="1"/>
  <c r="I440" i="10"/>
  <c r="E441" i="10"/>
  <c r="I441" i="10"/>
  <c r="E442" i="10"/>
  <c r="I442" i="10"/>
  <c r="E443" i="10"/>
  <c r="I443" i="10"/>
  <c r="E444" i="10"/>
  <c r="O444" i="10" s="1"/>
  <c r="I444" i="10"/>
  <c r="E445" i="10"/>
  <c r="O445" i="10" s="1"/>
  <c r="I445" i="10"/>
  <c r="E446" i="10"/>
  <c r="O446" i="10" s="1"/>
  <c r="I446" i="10"/>
  <c r="E447" i="10"/>
  <c r="N447" i="10" s="1"/>
  <c r="I447" i="10"/>
  <c r="E448" i="10"/>
  <c r="I448" i="10"/>
  <c r="E449" i="10"/>
  <c r="I449" i="10"/>
  <c r="E450" i="10"/>
  <c r="I450" i="10"/>
  <c r="E451" i="10"/>
  <c r="P451" i="10" s="1"/>
  <c r="I451" i="10"/>
  <c r="E452" i="10"/>
  <c r="P452" i="10" s="1"/>
  <c r="I452" i="10"/>
  <c r="E453" i="10"/>
  <c r="P453" i="10" s="1"/>
  <c r="I453" i="10"/>
  <c r="E454" i="10"/>
  <c r="O454" i="10" s="1"/>
  <c r="I454" i="10"/>
  <c r="E455" i="10"/>
  <c r="I455" i="10"/>
  <c r="E456" i="10"/>
  <c r="I456" i="10"/>
  <c r="E457" i="10"/>
  <c r="I457" i="10"/>
  <c r="E458" i="10"/>
  <c r="P458" i="10" s="1"/>
  <c r="E459" i="10"/>
  <c r="M459" i="10" s="1"/>
  <c r="E460" i="10"/>
  <c r="L460" i="10" s="1"/>
  <c r="E461" i="10"/>
  <c r="N461" i="10" s="1"/>
  <c r="E462" i="10"/>
  <c r="I462" i="10"/>
  <c r="E463" i="10"/>
  <c r="I463" i="10"/>
  <c r="E464" i="10"/>
  <c r="I464" i="10"/>
  <c r="E465" i="10"/>
  <c r="I465" i="10"/>
  <c r="E466" i="10"/>
  <c r="P466" i="10" s="1"/>
  <c r="I466" i="10"/>
  <c r="E467" i="10"/>
  <c r="O467" i="10" s="1"/>
  <c r="I467" i="10"/>
  <c r="E468" i="10"/>
  <c r="O468" i="10" s="1"/>
  <c r="I468" i="10"/>
  <c r="E469" i="10"/>
  <c r="I469" i="10"/>
  <c r="E470" i="10"/>
  <c r="O470" i="10" s="1"/>
  <c r="I470" i="10"/>
  <c r="E471" i="10"/>
  <c r="I471" i="10"/>
  <c r="E472" i="10"/>
  <c r="N472" i="10" s="1"/>
  <c r="I472" i="10"/>
  <c r="E473" i="10"/>
  <c r="I473" i="10"/>
  <c r="E474" i="10"/>
  <c r="I474" i="10"/>
  <c r="E475" i="10"/>
  <c r="N475" i="10" s="1"/>
  <c r="N474" i="10" s="1"/>
  <c r="I475" i="10"/>
  <c r="E476" i="10"/>
  <c r="I476" i="10"/>
  <c r="E477" i="10"/>
  <c r="I477" i="10"/>
  <c r="E478" i="10"/>
  <c r="I478" i="10"/>
  <c r="E479" i="10"/>
  <c r="I479" i="10"/>
  <c r="E480" i="10"/>
  <c r="M480" i="10" s="1"/>
  <c r="I480" i="10"/>
  <c r="E481" i="10"/>
  <c r="I481" i="10"/>
  <c r="E482" i="10"/>
  <c r="I482" i="10"/>
  <c r="E483" i="10"/>
  <c r="P483" i="10" s="1"/>
  <c r="I483" i="10"/>
  <c r="E484" i="10"/>
  <c r="N484" i="10" s="1"/>
  <c r="I484" i="10"/>
  <c r="E485" i="10"/>
  <c r="N485" i="10" s="1"/>
  <c r="I485" i="10"/>
  <c r="E486" i="10"/>
  <c r="I486" i="10"/>
  <c r="E487" i="10"/>
  <c r="I487" i="10"/>
  <c r="E488" i="10"/>
  <c r="N488" i="10" s="1"/>
  <c r="I488" i="10"/>
  <c r="E489" i="10"/>
  <c r="I489" i="10"/>
  <c r="E490" i="10"/>
  <c r="N490" i="10" s="1"/>
  <c r="I490" i="10"/>
  <c r="E491" i="10"/>
  <c r="I491" i="10"/>
  <c r="E492" i="10"/>
  <c r="I492" i="10"/>
  <c r="E493" i="10"/>
  <c r="I493" i="10"/>
  <c r="E494" i="10"/>
  <c r="I494" i="10"/>
  <c r="E495" i="10"/>
  <c r="N495" i="10" s="1"/>
  <c r="I495" i="10"/>
  <c r="E496" i="10"/>
  <c r="I496" i="10"/>
  <c r="E497" i="10"/>
  <c r="M497" i="10" s="1"/>
  <c r="I497" i="10"/>
  <c r="E498" i="10"/>
  <c r="M498" i="10" s="1"/>
  <c r="I498" i="10"/>
  <c r="E499" i="10"/>
  <c r="P499" i="10" s="1"/>
  <c r="I499" i="10"/>
  <c r="E500" i="10"/>
  <c r="O500" i="10" s="1"/>
  <c r="I500" i="10"/>
  <c r="E501" i="10"/>
  <c r="M501" i="10" s="1"/>
  <c r="I501" i="10"/>
  <c r="E502" i="10"/>
  <c r="I502" i="10"/>
  <c r="E503" i="10"/>
  <c r="I503" i="10"/>
  <c r="E504" i="10"/>
  <c r="M504" i="10" s="1"/>
  <c r="I504" i="10"/>
  <c r="J504" i="10" s="1"/>
  <c r="E505" i="10"/>
  <c r="I505" i="10"/>
  <c r="E506" i="10"/>
  <c r="P506" i="10" s="1"/>
  <c r="I506" i="10"/>
  <c r="E507" i="10"/>
  <c r="I507" i="10"/>
  <c r="E508" i="10"/>
  <c r="I508" i="10"/>
  <c r="E509" i="10"/>
  <c r="P509" i="10" s="1"/>
  <c r="E510" i="10"/>
  <c r="O510" i="10" s="1"/>
  <c r="E511" i="10"/>
  <c r="N511" i="10" s="1"/>
  <c r="E512" i="10"/>
  <c r="I512" i="10"/>
  <c r="E513" i="10"/>
  <c r="I513" i="10"/>
  <c r="E514" i="10"/>
  <c r="O514" i="10" s="1"/>
  <c r="O513" i="10" s="1"/>
  <c r="I514" i="10"/>
  <c r="E515" i="10"/>
  <c r="I515" i="10"/>
  <c r="E516" i="10"/>
  <c r="I516" i="10"/>
  <c r="E517" i="10"/>
  <c r="N517" i="10" s="1"/>
  <c r="N516" i="10" s="1"/>
  <c r="E518" i="10"/>
  <c r="I518" i="10"/>
  <c r="E519" i="10"/>
  <c r="I519" i="10"/>
  <c r="E520" i="10"/>
  <c r="I520" i="10"/>
  <c r="E521" i="10"/>
  <c r="M521" i="10" s="1"/>
  <c r="M520" i="10" s="1"/>
  <c r="I521" i="10"/>
  <c r="E522" i="10"/>
  <c r="I522" i="10"/>
  <c r="E523" i="10"/>
  <c r="I523" i="10"/>
  <c r="E524" i="10"/>
  <c r="O524" i="10" s="1"/>
  <c r="O523" i="10" s="1"/>
  <c r="I524" i="10"/>
  <c r="E525" i="10"/>
  <c r="I525" i="10"/>
  <c r="E526" i="10"/>
  <c r="I526" i="10"/>
  <c r="E527" i="10"/>
  <c r="I527" i="10"/>
  <c r="E528" i="10"/>
  <c r="P528" i="10" s="1"/>
  <c r="I528" i="10"/>
  <c r="E529" i="10"/>
  <c r="O529" i="10" s="1"/>
  <c r="I529" i="10"/>
  <c r="E530" i="10"/>
  <c r="M530" i="10" s="1"/>
  <c r="I530" i="10"/>
  <c r="E531" i="10"/>
  <c r="P531" i="10" s="1"/>
  <c r="I531" i="10"/>
  <c r="J531" i="10" s="1"/>
  <c r="E532" i="10"/>
  <c r="I532" i="10"/>
  <c r="E533" i="10"/>
  <c r="M533" i="10" s="1"/>
  <c r="I533" i="10"/>
  <c r="E534" i="10"/>
  <c r="P534" i="10" s="1"/>
  <c r="I534" i="10"/>
  <c r="E535" i="10"/>
  <c r="N535" i="10" s="1"/>
  <c r="I535" i="10"/>
  <c r="E536" i="10"/>
  <c r="I536" i="10"/>
  <c r="E537" i="10"/>
  <c r="P537" i="10" s="1"/>
  <c r="I537" i="10"/>
  <c r="E538" i="10"/>
  <c r="O538" i="10" s="1"/>
  <c r="I538" i="10"/>
  <c r="E539" i="10"/>
  <c r="I539" i="10"/>
  <c r="E540" i="10"/>
  <c r="I540" i="10"/>
  <c r="E541" i="10"/>
  <c r="M541" i="10" s="1"/>
  <c r="I541" i="10"/>
  <c r="E542" i="10"/>
  <c r="O542" i="10" s="1"/>
  <c r="I542" i="10"/>
  <c r="E543" i="10"/>
  <c r="I543" i="10"/>
  <c r="E544" i="10"/>
  <c r="I544" i="10"/>
  <c r="E545" i="10"/>
  <c r="I545" i="10"/>
  <c r="E546" i="10"/>
  <c r="P546" i="10" s="1"/>
  <c r="I546" i="10"/>
  <c r="E547" i="10"/>
  <c r="O547" i="10" s="1"/>
  <c r="I547" i="10"/>
  <c r="E548" i="10"/>
  <c r="M548" i="10" s="1"/>
  <c r="I548" i="10"/>
  <c r="E549" i="10"/>
  <c r="L549" i="10" s="1"/>
  <c r="I549" i="10"/>
  <c r="E550" i="10"/>
  <c r="I550" i="10"/>
  <c r="E551" i="10"/>
  <c r="P551" i="10" s="1"/>
  <c r="I551" i="10"/>
  <c r="E552" i="10"/>
  <c r="N552" i="10" s="1"/>
  <c r="I552" i="10"/>
  <c r="E553" i="10"/>
  <c r="N553" i="10" s="1"/>
  <c r="I553" i="10"/>
  <c r="E554" i="10"/>
  <c r="I554" i="10"/>
  <c r="E555" i="10"/>
  <c r="P555" i="10" s="1"/>
  <c r="I555" i="10"/>
  <c r="E556" i="10"/>
  <c r="O556" i="10" s="1"/>
  <c r="I556" i="10"/>
  <c r="J556" i="10" s="1"/>
  <c r="E557" i="10"/>
  <c r="I557" i="10"/>
  <c r="E558" i="10"/>
  <c r="I558" i="10"/>
  <c r="E559" i="10"/>
  <c r="I559" i="10"/>
  <c r="E560" i="10"/>
  <c r="O560" i="10" s="1"/>
  <c r="I560" i="10"/>
  <c r="E561" i="10"/>
  <c r="M561" i="10" s="1"/>
  <c r="I561" i="10"/>
  <c r="E562" i="10"/>
  <c r="P562" i="10" s="1"/>
  <c r="I562" i="10"/>
  <c r="E563" i="10"/>
  <c r="O563" i="10" s="1"/>
  <c r="I563" i="10"/>
  <c r="E564" i="10"/>
  <c r="I564" i="10"/>
  <c r="E565" i="10"/>
  <c r="M565" i="10" s="1"/>
  <c r="I565" i="10"/>
  <c r="E566" i="10"/>
  <c r="I566" i="10"/>
  <c r="E567" i="10"/>
  <c r="O567" i="10" s="1"/>
  <c r="I567" i="10"/>
  <c r="E568" i="10"/>
  <c r="I568" i="10"/>
  <c r="E569" i="10"/>
  <c r="M569" i="10" s="1"/>
  <c r="I569" i="10"/>
  <c r="E570" i="10"/>
  <c r="N570" i="10" s="1"/>
  <c r="I570" i="10"/>
  <c r="E571" i="10"/>
  <c r="I571" i="10"/>
  <c r="E572" i="10"/>
  <c r="I572" i="10"/>
  <c r="E573" i="10"/>
  <c r="M573" i="10" s="1"/>
  <c r="M572" i="10" s="1"/>
  <c r="I573" i="10"/>
  <c r="E574" i="10"/>
  <c r="I574" i="10"/>
  <c r="E575" i="10"/>
  <c r="I575" i="10"/>
  <c r="E576" i="10"/>
  <c r="I576" i="10"/>
  <c r="E577" i="10"/>
  <c r="O577" i="10" s="1"/>
  <c r="O576" i="10" s="1"/>
  <c r="I577" i="10"/>
  <c r="E578" i="10"/>
  <c r="I578" i="10"/>
  <c r="E579" i="10"/>
  <c r="I579" i="10"/>
  <c r="E580" i="10"/>
  <c r="I580" i="10"/>
  <c r="E581" i="10"/>
  <c r="M581" i="10" s="1"/>
  <c r="I581" i="10"/>
  <c r="E582" i="10"/>
  <c r="I582" i="10"/>
  <c r="E583" i="10"/>
  <c r="I583" i="10"/>
  <c r="E584" i="10"/>
  <c r="I584" i="10"/>
  <c r="E585" i="10"/>
  <c r="O585" i="10" s="1"/>
  <c r="O584" i="10" s="1"/>
  <c r="I585" i="10"/>
  <c r="E586" i="10"/>
  <c r="I586" i="10"/>
  <c r="E587" i="10"/>
  <c r="I587" i="10"/>
  <c r="E588" i="10"/>
  <c r="I588" i="10"/>
  <c r="E589" i="10"/>
  <c r="O589" i="10" s="1"/>
  <c r="O588" i="10" s="1"/>
  <c r="I589" i="10"/>
  <c r="E590" i="10"/>
  <c r="I590" i="10"/>
  <c r="E591" i="10"/>
  <c r="I591" i="10"/>
  <c r="E592" i="10"/>
  <c r="I592" i="10"/>
  <c r="E593" i="10"/>
  <c r="I593" i="10"/>
  <c r="E594" i="10"/>
  <c r="I594" i="10"/>
  <c r="E595" i="10"/>
  <c r="I595" i="10"/>
  <c r="E596" i="10"/>
  <c r="I596" i="10"/>
  <c r="E597" i="10"/>
  <c r="I597" i="10"/>
  <c r="E598" i="10"/>
  <c r="O598" i="10" s="1"/>
  <c r="O597" i="10" s="1"/>
  <c r="I598" i="10"/>
  <c r="E599" i="10"/>
  <c r="I599" i="10"/>
  <c r="E600" i="10"/>
  <c r="I600" i="10"/>
  <c r="E601" i="10"/>
  <c r="I601" i="10"/>
  <c r="E602" i="10"/>
  <c r="I602" i="10"/>
  <c r="E603" i="10"/>
  <c r="I603" i="10"/>
  <c r="E604" i="10"/>
  <c r="I604" i="10"/>
  <c r="E605" i="10"/>
  <c r="I605" i="10"/>
  <c r="E606" i="10"/>
  <c r="O606" i="10" s="1"/>
  <c r="O605" i="10" s="1"/>
  <c r="I606" i="10"/>
  <c r="E607" i="10"/>
  <c r="I607" i="10"/>
  <c r="E608" i="10"/>
  <c r="I608" i="10"/>
  <c r="E609" i="10"/>
  <c r="I609" i="10"/>
  <c r="E610" i="10"/>
  <c r="I610" i="10"/>
  <c r="E611" i="10"/>
  <c r="I611" i="10"/>
  <c r="E612" i="10"/>
  <c r="I612" i="10"/>
  <c r="E613" i="10"/>
  <c r="I613" i="10"/>
  <c r="E614" i="10"/>
  <c r="O614" i="10" s="1"/>
  <c r="O613" i="10" s="1"/>
  <c r="I614" i="10"/>
  <c r="E615" i="10"/>
  <c r="I615" i="10"/>
  <c r="E616" i="10"/>
  <c r="I616" i="10"/>
  <c r="E617" i="10"/>
  <c r="I617" i="10"/>
  <c r="E618" i="10"/>
  <c r="I618" i="10"/>
  <c r="E619" i="10"/>
  <c r="I619" i="10"/>
  <c r="E620" i="10"/>
  <c r="O620" i="10" s="1"/>
  <c r="O619" i="10" s="1"/>
  <c r="I620" i="10"/>
  <c r="E621" i="10"/>
  <c r="I621" i="10"/>
  <c r="E622" i="10"/>
  <c r="I622" i="10"/>
  <c r="E623" i="10"/>
  <c r="I623" i="10"/>
  <c r="E624" i="10"/>
  <c r="I624" i="10"/>
  <c r="E625" i="10"/>
  <c r="I625" i="10"/>
  <c r="E626" i="10"/>
  <c r="M626" i="10" s="1"/>
  <c r="M625" i="10" s="1"/>
  <c r="I626" i="10"/>
  <c r="E627" i="10"/>
  <c r="I627" i="10"/>
  <c r="E628" i="10"/>
  <c r="I628" i="10"/>
  <c r="E629" i="10"/>
  <c r="I629" i="10"/>
  <c r="E630" i="10"/>
  <c r="I630" i="10"/>
  <c r="E631" i="10"/>
  <c r="I631" i="10"/>
  <c r="E632" i="10"/>
  <c r="P632" i="10" s="1"/>
  <c r="I632" i="10"/>
  <c r="E633" i="10"/>
  <c r="I633" i="10"/>
  <c r="E634" i="10"/>
  <c r="I634" i="10"/>
  <c r="E635" i="10"/>
  <c r="O635" i="10" s="1"/>
  <c r="I635" i="10"/>
  <c r="E636" i="10"/>
  <c r="O636" i="10" s="1"/>
  <c r="I636" i="10"/>
  <c r="J636" i="10" s="1"/>
  <c r="E637" i="10"/>
  <c r="N637" i="10" s="1"/>
  <c r="I637" i="10"/>
  <c r="E638" i="10"/>
  <c r="M638" i="10" s="1"/>
  <c r="I638" i="10"/>
  <c r="J638" i="10" s="1"/>
  <c r="E639" i="10"/>
  <c r="I639" i="10"/>
  <c r="E640" i="10"/>
  <c r="I640" i="10"/>
  <c r="E641" i="10"/>
  <c r="I641" i="10"/>
  <c r="E642" i="10"/>
  <c r="I642" i="10"/>
  <c r="E643" i="10"/>
  <c r="I643" i="10"/>
  <c r="E644" i="10"/>
  <c r="I644" i="10"/>
  <c r="E645" i="10"/>
  <c r="I645" i="10"/>
  <c r="E646" i="10"/>
  <c r="I646" i="10"/>
  <c r="E647" i="10"/>
  <c r="I647" i="10"/>
  <c r="E648" i="10"/>
  <c r="O648" i="10" s="1"/>
  <c r="O646" i="10" s="1"/>
  <c r="I648" i="10"/>
  <c r="E649" i="10"/>
  <c r="I649" i="10"/>
  <c r="E650" i="10"/>
  <c r="I650" i="10"/>
  <c r="E651" i="10"/>
  <c r="I651" i="10"/>
  <c r="E652" i="10"/>
  <c r="P652" i="10" s="1"/>
  <c r="I652" i="10"/>
  <c r="E653" i="10"/>
  <c r="N653" i="10" s="1"/>
  <c r="I653" i="10"/>
  <c r="E654" i="10"/>
  <c r="I654" i="10"/>
  <c r="E655" i="10"/>
  <c r="I655" i="10"/>
  <c r="E656" i="10"/>
  <c r="I656" i="10"/>
  <c r="E657" i="10"/>
  <c r="M657" i="10" s="1"/>
  <c r="I657" i="10"/>
  <c r="E658" i="10"/>
  <c r="I658" i="10"/>
  <c r="E659" i="10"/>
  <c r="P659" i="10" s="1"/>
  <c r="I659" i="10"/>
  <c r="E660" i="10"/>
  <c r="O660" i="10" s="1"/>
  <c r="I660" i="10"/>
  <c r="E661" i="10"/>
  <c r="I661" i="10"/>
  <c r="E662" i="10"/>
  <c r="I662" i="10"/>
  <c r="E663" i="10"/>
  <c r="I663" i="10"/>
  <c r="E664" i="10"/>
  <c r="P664" i="10" s="1"/>
  <c r="I664" i="10"/>
  <c r="E665" i="10"/>
  <c r="M665" i="10" s="1"/>
  <c r="I665" i="10"/>
  <c r="E666" i="10"/>
  <c r="P666" i="10" s="1"/>
  <c r="I666" i="10"/>
  <c r="E667" i="10"/>
  <c r="O667" i="10" s="1"/>
  <c r="I667" i="10"/>
  <c r="E668" i="10"/>
  <c r="I668" i="10"/>
  <c r="E669" i="10"/>
  <c r="M669" i="10" s="1"/>
  <c r="I669" i="10"/>
  <c r="E670" i="10"/>
  <c r="I670" i="10"/>
  <c r="E671" i="10"/>
  <c r="P671" i="10" s="1"/>
  <c r="I671" i="10"/>
  <c r="E672" i="10"/>
  <c r="O672" i="10" s="1"/>
  <c r="I672" i="10"/>
  <c r="E673" i="10"/>
  <c r="I673" i="10"/>
  <c r="E674" i="10"/>
  <c r="I674" i="10"/>
  <c r="E675" i="10"/>
  <c r="I675" i="10"/>
  <c r="E676" i="10"/>
  <c r="I676" i="10"/>
  <c r="E677" i="10"/>
  <c r="I677" i="10"/>
  <c r="E678" i="10"/>
  <c r="N678" i="10" s="1"/>
  <c r="I678" i="10"/>
  <c r="E679" i="10"/>
  <c r="I679" i="10"/>
  <c r="E680" i="10"/>
  <c r="O680" i="10" s="1"/>
  <c r="I680" i="10"/>
  <c r="E681" i="10"/>
  <c r="I681" i="10"/>
  <c r="E682" i="10"/>
  <c r="I682" i="10"/>
  <c r="E683" i="10"/>
  <c r="O683" i="10" s="1"/>
  <c r="O682" i="10" s="1"/>
  <c r="I683" i="10"/>
  <c r="E684" i="10"/>
  <c r="I684" i="10"/>
  <c r="E685" i="10"/>
  <c r="I685" i="10"/>
  <c r="E686" i="10"/>
  <c r="I686" i="10"/>
  <c r="E687" i="10"/>
  <c r="P687" i="10" s="1"/>
  <c r="I687" i="10"/>
  <c r="E688" i="10"/>
  <c r="O688" i="10" s="1"/>
  <c r="I688" i="10"/>
  <c r="E689" i="10"/>
  <c r="M689" i="10" s="1"/>
  <c r="I689" i="10"/>
  <c r="E690" i="10"/>
  <c r="O690" i="10" s="1"/>
  <c r="I690" i="10"/>
  <c r="E691" i="10"/>
  <c r="I691" i="10"/>
  <c r="E692" i="10"/>
  <c r="I692" i="10"/>
  <c r="E693" i="10"/>
  <c r="P693" i="10" s="1"/>
  <c r="I693" i="10"/>
  <c r="E694" i="10"/>
  <c r="O694" i="10" s="1"/>
  <c r="I694" i="10"/>
  <c r="E695" i="10"/>
  <c r="M695" i="10" s="1"/>
  <c r="I695" i="10"/>
  <c r="E696" i="10"/>
  <c r="P696" i="10" s="1"/>
  <c r="I696" i="10"/>
  <c r="E697" i="10"/>
  <c r="I697" i="10"/>
  <c r="E698" i="10"/>
  <c r="I698" i="10"/>
  <c r="E699" i="10"/>
  <c r="I699" i="10"/>
  <c r="E700" i="10"/>
  <c r="I700" i="10"/>
  <c r="E701" i="10"/>
  <c r="P701" i="10" s="1"/>
  <c r="I701" i="10"/>
  <c r="E702" i="10"/>
  <c r="N702" i="10" s="1"/>
  <c r="I702" i="10"/>
  <c r="E703" i="10"/>
  <c r="I703" i="10"/>
  <c r="E704" i="10"/>
  <c r="I704" i="10"/>
  <c r="E705" i="10"/>
  <c r="I705" i="10"/>
  <c r="E706" i="10"/>
  <c r="M706" i="10" s="1"/>
  <c r="I706" i="10"/>
  <c r="E707" i="10"/>
  <c r="P707" i="10" s="1"/>
  <c r="I707" i="10"/>
  <c r="E708" i="10"/>
  <c r="O708" i="10" s="1"/>
  <c r="I708" i="10"/>
  <c r="E709" i="10"/>
  <c r="I709" i="10"/>
  <c r="E710" i="10"/>
  <c r="I710" i="10"/>
  <c r="E711" i="10"/>
  <c r="I711" i="10"/>
  <c r="E712" i="10"/>
  <c r="I712" i="10"/>
  <c r="E713" i="10"/>
  <c r="L713" i="10" s="1"/>
  <c r="I713" i="10"/>
  <c r="E714" i="10"/>
  <c r="P714" i="10" s="1"/>
  <c r="I714" i="10"/>
  <c r="E715" i="10"/>
  <c r="O715" i="10" s="1"/>
  <c r="I715" i="10"/>
  <c r="E716" i="10"/>
  <c r="N716" i="10" s="1"/>
  <c r="I716" i="10"/>
  <c r="E717" i="10"/>
  <c r="I717" i="10"/>
  <c r="E718" i="10"/>
  <c r="I718" i="10"/>
  <c r="E719" i="10"/>
  <c r="I719" i="10"/>
  <c r="E720" i="10"/>
  <c r="P720" i="10" s="1"/>
  <c r="E721" i="10"/>
  <c r="M721" i="10" s="1"/>
  <c r="E722" i="10"/>
  <c r="L722" i="10" s="1"/>
  <c r="E723" i="10"/>
  <c r="N723" i="10" s="1"/>
  <c r="E724" i="10"/>
  <c r="I724" i="10"/>
  <c r="E725" i="10"/>
  <c r="I725" i="10"/>
  <c r="E726" i="10"/>
  <c r="I726" i="10"/>
  <c r="E727" i="10"/>
  <c r="I727" i="10"/>
  <c r="E728" i="10"/>
  <c r="I728" i="10"/>
  <c r="E729" i="10"/>
  <c r="P729" i="10" s="1"/>
  <c r="I729" i="10"/>
  <c r="E730" i="10"/>
  <c r="O730" i="10" s="1"/>
  <c r="I730" i="10"/>
  <c r="E731" i="10"/>
  <c r="O731" i="10" s="1"/>
  <c r="I731" i="10"/>
  <c r="E732" i="10"/>
  <c r="N732" i="10" s="1"/>
  <c r="I732" i="10"/>
  <c r="E733" i="10"/>
  <c r="N733" i="10" s="1"/>
  <c r="I733" i="10"/>
  <c r="E734" i="10"/>
  <c r="M734" i="10" s="1"/>
  <c r="I734" i="10"/>
  <c r="E735" i="10"/>
  <c r="I735" i="10"/>
  <c r="E736" i="10"/>
  <c r="I736" i="10"/>
  <c r="E737" i="10"/>
  <c r="I737" i="10"/>
  <c r="E738" i="10"/>
  <c r="N738" i="10" s="1"/>
  <c r="N737" i="10" s="1"/>
  <c r="I738" i="10"/>
  <c r="E739" i="10"/>
  <c r="I739" i="10"/>
  <c r="E740" i="10"/>
  <c r="I740" i="10"/>
  <c r="E741" i="10"/>
  <c r="I741" i="10"/>
  <c r="E742" i="10"/>
  <c r="I742" i="10"/>
  <c r="E743" i="10"/>
  <c r="I743" i="10"/>
  <c r="E744" i="10"/>
  <c r="P744" i="10" s="1"/>
  <c r="I744" i="10"/>
  <c r="E745" i="10"/>
  <c r="I745" i="10"/>
  <c r="E746" i="10"/>
  <c r="N746" i="10" s="1"/>
  <c r="I746" i="10"/>
  <c r="E747" i="10"/>
  <c r="M747" i="10" s="1"/>
  <c r="I747" i="10"/>
  <c r="E748" i="10"/>
  <c r="I748" i="10"/>
  <c r="E749" i="10"/>
  <c r="P749" i="10" s="1"/>
  <c r="I749" i="10"/>
  <c r="E750" i="10"/>
  <c r="N750" i="10" s="1"/>
  <c r="I750" i="10"/>
  <c r="E751" i="10"/>
  <c r="I751" i="10"/>
  <c r="E752" i="10"/>
  <c r="I752" i="10"/>
  <c r="E753" i="10"/>
  <c r="I753" i="10"/>
  <c r="E754" i="10"/>
  <c r="P754" i="10" s="1"/>
  <c r="I754" i="10"/>
  <c r="E755" i="10"/>
  <c r="I755" i="10"/>
  <c r="E756" i="10"/>
  <c r="N756" i="10" s="1"/>
  <c r="I756" i="10"/>
  <c r="E757" i="10"/>
  <c r="M757" i="10" s="1"/>
  <c r="I757" i="10"/>
  <c r="E758" i="10"/>
  <c r="I758" i="10"/>
  <c r="E759" i="10"/>
  <c r="P759" i="10" s="1"/>
  <c r="I759" i="10"/>
  <c r="E760" i="10"/>
  <c r="N760" i="10" s="1"/>
  <c r="I760" i="10"/>
  <c r="E761" i="10"/>
  <c r="I761" i="10"/>
  <c r="E762" i="10"/>
  <c r="M762" i="10" s="1"/>
  <c r="I762" i="10"/>
  <c r="E763" i="10"/>
  <c r="I763" i="10"/>
  <c r="E764" i="10"/>
  <c r="P764" i="10" s="1"/>
  <c r="I764" i="10"/>
  <c r="E765" i="10"/>
  <c r="O765" i="10" s="1"/>
  <c r="I765" i="10"/>
  <c r="E766" i="10"/>
  <c r="I766" i="10"/>
  <c r="E767" i="10"/>
  <c r="I767" i="10"/>
  <c r="E768" i="10"/>
  <c r="M768" i="10" s="1"/>
  <c r="I768" i="10"/>
  <c r="E769" i="10"/>
  <c r="I769" i="10"/>
  <c r="E770" i="10"/>
  <c r="P770" i="10" s="1"/>
  <c r="I770" i="10"/>
  <c r="E771" i="10"/>
  <c r="I771" i="10"/>
  <c r="E772" i="10"/>
  <c r="I772" i="10"/>
  <c r="E773" i="10"/>
  <c r="I773" i="10"/>
  <c r="E774" i="10"/>
  <c r="I774" i="10"/>
  <c r="E775" i="10"/>
  <c r="O775" i="10" s="1"/>
  <c r="O774" i="10" s="1"/>
  <c r="I775" i="10"/>
  <c r="E776" i="10"/>
  <c r="I776" i="10"/>
  <c r="E777" i="10"/>
  <c r="I777" i="10"/>
  <c r="E778" i="10"/>
  <c r="I778" i="10"/>
  <c r="E779" i="10"/>
  <c r="I779" i="10"/>
  <c r="E780" i="10"/>
  <c r="O780" i="10" s="1"/>
  <c r="O779" i="10" s="1"/>
  <c r="I780" i="10"/>
  <c r="J780" i="10" s="1"/>
  <c r="E781" i="10"/>
  <c r="I781" i="10"/>
  <c r="E782" i="10"/>
  <c r="I782" i="10"/>
  <c r="E783" i="10"/>
  <c r="I783" i="10"/>
  <c r="E784" i="10"/>
  <c r="I784" i="10"/>
  <c r="E785" i="10"/>
  <c r="O785" i="10" s="1"/>
  <c r="O784" i="10" s="1"/>
  <c r="I785" i="10"/>
  <c r="E786" i="10"/>
  <c r="I786" i="10"/>
  <c r="E787" i="10"/>
  <c r="I787" i="10"/>
  <c r="E788" i="10"/>
  <c r="P788" i="10" s="1"/>
  <c r="I788" i="10"/>
  <c r="E789" i="10"/>
  <c r="P789" i="10" s="1"/>
  <c r="I789" i="10"/>
  <c r="E790" i="10"/>
  <c r="I790" i="10"/>
  <c r="E791" i="10"/>
  <c r="I791" i="10"/>
  <c r="E792" i="10"/>
  <c r="I792" i="10"/>
  <c r="E793" i="10"/>
  <c r="I793" i="10"/>
  <c r="E794" i="10"/>
  <c r="I794" i="10"/>
  <c r="E795" i="10"/>
  <c r="I795" i="10"/>
  <c r="E796" i="10"/>
  <c r="I796" i="10"/>
  <c r="J796" i="10" s="1"/>
  <c r="E797" i="10"/>
  <c r="I797" i="10"/>
  <c r="J797" i="10" s="1"/>
  <c r="E798" i="10"/>
  <c r="I798" i="10"/>
  <c r="J798" i="10" s="1"/>
  <c r="E799" i="10"/>
  <c r="I799" i="10"/>
  <c r="J799" i="10" s="1"/>
  <c r="E800" i="10"/>
  <c r="I800" i="10"/>
  <c r="E801" i="10"/>
  <c r="I801" i="10"/>
  <c r="J801" i="10" s="1"/>
  <c r="E802" i="10"/>
  <c r="I802" i="10"/>
  <c r="J802" i="10" s="1"/>
  <c r="E803" i="10"/>
  <c r="I803" i="10"/>
  <c r="J803" i="10" s="1"/>
  <c r="E804" i="10"/>
  <c r="I804" i="10"/>
  <c r="E805" i="10"/>
  <c r="I805" i="10"/>
  <c r="J805" i="10" s="1"/>
  <c r="E806" i="10"/>
  <c r="I806" i="10"/>
  <c r="J806" i="10" s="1"/>
  <c r="E807" i="10"/>
  <c r="I807" i="10"/>
  <c r="E808" i="10"/>
  <c r="I808" i="10"/>
  <c r="E809" i="10"/>
  <c r="I809" i="10"/>
  <c r="E810" i="10"/>
  <c r="I810" i="10"/>
  <c r="E811" i="10"/>
  <c r="I811" i="10"/>
  <c r="E812" i="10"/>
  <c r="I812" i="10"/>
  <c r="E813" i="10"/>
  <c r="I813" i="10"/>
  <c r="E814" i="10"/>
  <c r="I814" i="10"/>
  <c r="J814" i="10" s="1"/>
  <c r="E815" i="10"/>
  <c r="I815" i="10"/>
  <c r="E816" i="10"/>
  <c r="I816" i="10"/>
  <c r="E817" i="10"/>
  <c r="I817" i="10"/>
  <c r="E818" i="10"/>
  <c r="I818" i="10"/>
  <c r="E819" i="10"/>
  <c r="I819" i="10"/>
  <c r="E820" i="10"/>
  <c r="I820" i="10"/>
  <c r="J820" i="10" s="1"/>
  <c r="E821" i="10"/>
  <c r="I821" i="10"/>
  <c r="E822" i="10"/>
  <c r="I822" i="10"/>
  <c r="E823" i="10"/>
  <c r="I823" i="10"/>
  <c r="J823" i="10" s="1"/>
  <c r="E824" i="10"/>
  <c r="I824" i="10"/>
  <c r="J824" i="10" s="1"/>
  <c r="E825" i="10"/>
  <c r="I825" i="10"/>
  <c r="J825" i="10" s="1"/>
  <c r="E826" i="10"/>
  <c r="I826" i="10"/>
  <c r="J826" i="10" s="1"/>
  <c r="E827" i="10"/>
  <c r="I827" i="10"/>
  <c r="E828" i="10"/>
  <c r="I828" i="10"/>
  <c r="E829" i="10"/>
  <c r="I829" i="10"/>
  <c r="E830" i="10"/>
  <c r="I830" i="10"/>
  <c r="E831" i="10"/>
  <c r="I831" i="10"/>
  <c r="E832" i="10"/>
  <c r="I832" i="10"/>
  <c r="E833" i="10"/>
  <c r="I833" i="10"/>
  <c r="E834" i="10"/>
  <c r="I834" i="10"/>
  <c r="E835" i="10"/>
  <c r="I835" i="10"/>
  <c r="E836" i="10"/>
  <c r="I836" i="10"/>
  <c r="J836" i="10" s="1"/>
  <c r="E837" i="10"/>
  <c r="I837" i="10"/>
  <c r="E838" i="10"/>
  <c r="I838" i="10"/>
  <c r="E839" i="10"/>
  <c r="I839" i="10"/>
  <c r="E840" i="10"/>
  <c r="I840" i="10"/>
  <c r="J840" i="10" s="1"/>
  <c r="E841" i="10"/>
  <c r="I841" i="10"/>
  <c r="J841" i="10" s="1"/>
  <c r="E842" i="10"/>
  <c r="I842" i="10"/>
  <c r="J842" i="10" s="1"/>
  <c r="E843" i="10"/>
  <c r="I843" i="10"/>
  <c r="J843" i="10" s="1"/>
  <c r="E844" i="10"/>
  <c r="I844" i="10"/>
  <c r="E845" i="10"/>
  <c r="I845" i="10"/>
  <c r="J845" i="10" s="1"/>
  <c r="E846" i="10"/>
  <c r="I846" i="10"/>
  <c r="J846" i="10" s="1"/>
  <c r="E847" i="10"/>
  <c r="I847" i="10"/>
  <c r="J847" i="10" s="1"/>
  <c r="E848" i="10"/>
  <c r="I848" i="10"/>
  <c r="J848" i="10" s="1"/>
  <c r="E849" i="10"/>
  <c r="I849" i="10"/>
  <c r="E850" i="10"/>
  <c r="I850" i="10"/>
  <c r="E851" i="10"/>
  <c r="I851" i="10"/>
  <c r="J851" i="10" s="1"/>
  <c r="E852" i="10"/>
  <c r="I852" i="10"/>
  <c r="J852" i="10" s="1"/>
  <c r="E853" i="10"/>
  <c r="I853" i="10"/>
  <c r="J853" i="10" s="1"/>
  <c r="E854" i="10"/>
  <c r="I854" i="10"/>
  <c r="J854" i="10" s="1"/>
  <c r="E855" i="10"/>
  <c r="I855" i="10"/>
  <c r="J855" i="10" s="1"/>
  <c r="E856" i="10"/>
  <c r="I856" i="10"/>
  <c r="E857" i="10"/>
  <c r="I857" i="10"/>
  <c r="E858" i="10"/>
  <c r="I858" i="10"/>
  <c r="J858" i="10" s="1"/>
  <c r="E859" i="10"/>
  <c r="I859" i="10"/>
  <c r="J859" i="10" s="1"/>
  <c r="E860" i="10"/>
  <c r="I860" i="10"/>
  <c r="J860" i="10" s="1"/>
  <c r="E861" i="10"/>
  <c r="I861" i="10"/>
  <c r="J861" i="10" s="1"/>
  <c r="E862" i="10"/>
  <c r="I862" i="10"/>
  <c r="E863" i="10"/>
  <c r="I863" i="10"/>
  <c r="J863" i="10" s="1"/>
  <c r="E864" i="10"/>
  <c r="I864" i="10"/>
  <c r="J864" i="10" s="1"/>
  <c r="E865" i="10"/>
  <c r="I865" i="10"/>
  <c r="J865" i="10" s="1"/>
  <c r="E866" i="10"/>
  <c r="I866" i="10"/>
  <c r="J866" i="10" s="1"/>
  <c r="E867" i="10"/>
  <c r="I867" i="10"/>
  <c r="E868" i="10"/>
  <c r="I868" i="10"/>
  <c r="E869" i="10"/>
  <c r="I869" i="10"/>
  <c r="E870" i="10"/>
  <c r="I870" i="10"/>
  <c r="E871" i="10"/>
  <c r="I871" i="10"/>
  <c r="J871" i="10" s="1"/>
  <c r="E872" i="10"/>
  <c r="I872" i="10"/>
  <c r="J872" i="10" s="1"/>
  <c r="E873" i="10"/>
  <c r="I873" i="10"/>
  <c r="J873" i="10" s="1"/>
  <c r="E874" i="10"/>
  <c r="I874" i="10"/>
  <c r="J874" i="10" s="1"/>
  <c r="E875" i="10"/>
  <c r="I875" i="10"/>
  <c r="E876" i="10"/>
  <c r="I876" i="10"/>
  <c r="E877" i="10"/>
  <c r="I877" i="10"/>
  <c r="E878" i="10"/>
  <c r="I878" i="10"/>
  <c r="J878" i="10" s="1"/>
  <c r="E879" i="10"/>
  <c r="I879" i="10"/>
  <c r="J879" i="10" s="1"/>
  <c r="E880" i="10"/>
  <c r="I880" i="10"/>
  <c r="J880" i="10" s="1"/>
  <c r="E881" i="10"/>
  <c r="I881" i="10"/>
  <c r="E882" i="10"/>
  <c r="I882" i="10"/>
  <c r="E883" i="10"/>
  <c r="I883" i="10"/>
  <c r="E884" i="10"/>
  <c r="I884" i="10"/>
  <c r="E885" i="10"/>
  <c r="I885" i="10"/>
  <c r="J885" i="10" s="1"/>
  <c r="E886" i="10"/>
  <c r="I886" i="10"/>
  <c r="J886" i="10" s="1"/>
  <c r="E887" i="10"/>
  <c r="I887" i="10"/>
  <c r="J887" i="10" s="1"/>
  <c r="E888" i="10"/>
  <c r="I888" i="10"/>
  <c r="J888" i="10" s="1"/>
  <c r="E889" i="10"/>
  <c r="I889" i="10"/>
  <c r="E890" i="10"/>
  <c r="I890" i="10"/>
  <c r="E891" i="10"/>
  <c r="I891" i="10"/>
  <c r="J891" i="10" s="1"/>
  <c r="E892" i="10"/>
  <c r="I892" i="10"/>
  <c r="J892" i="10" s="1"/>
  <c r="E893" i="10"/>
  <c r="I893" i="10"/>
  <c r="J893" i="10" s="1"/>
  <c r="E894" i="10"/>
  <c r="I894" i="10"/>
  <c r="J894" i="10" s="1"/>
  <c r="E895" i="10"/>
  <c r="I895" i="10"/>
  <c r="E896" i="10"/>
  <c r="I896" i="10"/>
  <c r="E897" i="10"/>
  <c r="I897" i="10"/>
  <c r="E898" i="10"/>
  <c r="I898" i="10"/>
  <c r="E899" i="10"/>
  <c r="I899" i="10"/>
  <c r="J899" i="10" s="1"/>
  <c r="E900" i="10"/>
  <c r="I900" i="10"/>
  <c r="J900" i="10" s="1"/>
  <c r="E901" i="10"/>
  <c r="I901" i="10"/>
  <c r="J901" i="10" s="1"/>
  <c r="E902" i="10"/>
  <c r="I902" i="10"/>
  <c r="J902" i="10" s="1"/>
  <c r="E903" i="10"/>
  <c r="I903" i="10"/>
  <c r="E904" i="10"/>
  <c r="I904" i="10"/>
  <c r="E905" i="10"/>
  <c r="I905" i="10"/>
  <c r="E906" i="10"/>
  <c r="I906" i="10"/>
  <c r="E907" i="10"/>
  <c r="I907" i="10"/>
  <c r="E908" i="10"/>
  <c r="I908" i="10"/>
  <c r="J908" i="10" s="1"/>
  <c r="E909" i="10"/>
  <c r="I909" i="10"/>
  <c r="J909" i="10" s="1"/>
  <c r="E910" i="10"/>
  <c r="I910" i="10"/>
  <c r="J910" i="10" s="1"/>
  <c r="E911" i="10"/>
  <c r="I911" i="10"/>
  <c r="J911" i="10" s="1"/>
  <c r="E912" i="10"/>
  <c r="I912" i="10"/>
  <c r="E913" i="10"/>
  <c r="I913" i="10"/>
  <c r="E914" i="10"/>
  <c r="I914" i="10"/>
  <c r="E915" i="10"/>
  <c r="I915" i="10"/>
  <c r="J915" i="10" s="1"/>
  <c r="E916" i="10"/>
  <c r="I916" i="10"/>
  <c r="E917" i="10"/>
  <c r="I917" i="10"/>
  <c r="E918" i="10"/>
  <c r="I918" i="10"/>
  <c r="E919" i="10"/>
  <c r="I919" i="10"/>
  <c r="E920" i="10"/>
  <c r="I920" i="10"/>
  <c r="J920" i="10" s="1"/>
  <c r="E921" i="10"/>
  <c r="I921" i="10"/>
  <c r="J921" i="10" s="1"/>
  <c r="E922" i="10"/>
  <c r="I922" i="10"/>
  <c r="J922" i="10" s="1"/>
  <c r="E923" i="10"/>
  <c r="I923" i="10"/>
  <c r="J923" i="10" s="1"/>
  <c r="E924" i="10"/>
  <c r="I924" i="10"/>
  <c r="J924" i="10" s="1"/>
  <c r="E925" i="10"/>
  <c r="I925" i="10"/>
  <c r="J925" i="10" s="1"/>
  <c r="E926" i="10"/>
  <c r="I926" i="10"/>
  <c r="J926" i="10" s="1"/>
  <c r="E927" i="10"/>
  <c r="I927" i="10"/>
  <c r="J927" i="10" s="1"/>
  <c r="E928" i="10"/>
  <c r="I928" i="10"/>
  <c r="E929" i="10"/>
  <c r="I929" i="10"/>
  <c r="E930" i="10"/>
  <c r="I930" i="10"/>
  <c r="E931" i="10"/>
  <c r="I931" i="10"/>
  <c r="E932" i="10"/>
  <c r="I932" i="10"/>
  <c r="J932" i="10" s="1"/>
  <c r="E933" i="10"/>
  <c r="I933" i="10"/>
  <c r="J933" i="10" s="1"/>
  <c r="E934" i="10"/>
  <c r="I934" i="10"/>
  <c r="J934" i="10" s="1"/>
  <c r="E935" i="10"/>
  <c r="I935" i="10"/>
  <c r="J935" i="10" s="1"/>
  <c r="E936" i="10"/>
  <c r="I936" i="10"/>
  <c r="J936" i="10" s="1"/>
  <c r="E937" i="10"/>
  <c r="I937" i="10"/>
  <c r="J937" i="10" s="1"/>
  <c r="E938" i="10"/>
  <c r="I938" i="10"/>
  <c r="J938" i="10" s="1"/>
  <c r="E939" i="10"/>
  <c r="I939" i="10"/>
  <c r="J939" i="10" s="1"/>
  <c r="E940" i="10"/>
  <c r="I940" i="10"/>
  <c r="E941" i="10"/>
  <c r="I941" i="10"/>
  <c r="E942" i="10"/>
  <c r="I942" i="10"/>
  <c r="E943" i="10"/>
  <c r="I943" i="10"/>
  <c r="E944" i="10"/>
  <c r="I944" i="10"/>
  <c r="E945" i="10"/>
  <c r="I945" i="10"/>
  <c r="J945" i="10" s="1"/>
  <c r="E946" i="10"/>
  <c r="I946" i="10"/>
  <c r="J946" i="10" s="1"/>
  <c r="E947" i="10"/>
  <c r="I947" i="10"/>
  <c r="J947" i="10" s="1"/>
  <c r="E948" i="10"/>
  <c r="I948" i="10"/>
  <c r="J948" i="10" s="1"/>
  <c r="E949" i="10"/>
  <c r="I949" i="10"/>
  <c r="J949" i="10" s="1"/>
  <c r="E950" i="10"/>
  <c r="I950" i="10"/>
  <c r="E951" i="10"/>
  <c r="I951" i="10"/>
  <c r="E952" i="10"/>
  <c r="I952" i="10"/>
  <c r="E953" i="10"/>
  <c r="I953" i="10"/>
  <c r="J953" i="10" s="1"/>
  <c r="E954" i="10"/>
  <c r="I954" i="10"/>
  <c r="J954" i="10" s="1"/>
  <c r="E955" i="10"/>
  <c r="I955" i="10"/>
  <c r="J955" i="10" s="1"/>
  <c r="E956" i="10"/>
  <c r="I956" i="10"/>
  <c r="E957" i="10"/>
  <c r="I957" i="10"/>
  <c r="E958" i="10"/>
  <c r="I958" i="10"/>
  <c r="J958" i="10" s="1"/>
  <c r="E959" i="10"/>
  <c r="I959" i="10"/>
  <c r="E960" i="10"/>
  <c r="I960" i="10"/>
  <c r="E961" i="10"/>
  <c r="I961" i="10"/>
  <c r="E962" i="10"/>
  <c r="I962" i="10"/>
  <c r="E963" i="10"/>
  <c r="I963" i="10"/>
  <c r="E964" i="10"/>
  <c r="I964" i="10"/>
  <c r="J964" i="10" s="1"/>
  <c r="E965" i="10"/>
  <c r="I965" i="10"/>
  <c r="J965" i="10" s="1"/>
  <c r="E966" i="10"/>
  <c r="I966" i="10"/>
  <c r="J966" i="10" s="1"/>
  <c r="E967" i="10"/>
  <c r="I967" i="10"/>
  <c r="J967" i="10" s="1"/>
  <c r="E968" i="10"/>
  <c r="I968" i="10"/>
  <c r="E969" i="10"/>
  <c r="I969" i="10"/>
  <c r="E970" i="10"/>
  <c r="I970" i="10"/>
  <c r="E971" i="10"/>
  <c r="I971" i="10"/>
  <c r="J971" i="10" s="1"/>
  <c r="E972" i="10"/>
  <c r="I972" i="10"/>
  <c r="J972" i="10" s="1"/>
  <c r="E973" i="10"/>
  <c r="I973" i="10"/>
  <c r="J973" i="10" s="1"/>
  <c r="E974" i="10"/>
  <c r="I974" i="10"/>
  <c r="J974" i="10" s="1"/>
  <c r="E975" i="10"/>
  <c r="I975" i="10"/>
  <c r="E976" i="10"/>
  <c r="I976" i="10"/>
  <c r="E977" i="10"/>
  <c r="I977" i="10"/>
  <c r="E978" i="10"/>
  <c r="I978" i="10"/>
  <c r="E979" i="10"/>
  <c r="I979" i="10"/>
  <c r="E980" i="10"/>
  <c r="I980" i="10"/>
  <c r="E981" i="10"/>
  <c r="I981" i="10"/>
  <c r="J981" i="10" s="1"/>
  <c r="E982" i="10"/>
  <c r="I982" i="10"/>
  <c r="J982" i="10" s="1"/>
  <c r="E983" i="10"/>
  <c r="I983" i="10"/>
  <c r="J983" i="10" s="1"/>
  <c r="E984" i="10"/>
  <c r="I984" i="10"/>
  <c r="J984" i="10" s="1"/>
  <c r="E985" i="10"/>
  <c r="I985" i="10"/>
  <c r="J985" i="10" s="1"/>
  <c r="E986" i="10"/>
  <c r="I986" i="10"/>
  <c r="J986" i="10" s="1"/>
  <c r="E987" i="10"/>
  <c r="I987" i="10"/>
  <c r="J987" i="10" s="1"/>
  <c r="E988" i="10"/>
  <c r="I988" i="10"/>
  <c r="E989" i="10"/>
  <c r="I989" i="10"/>
  <c r="E990" i="10"/>
  <c r="I990" i="10"/>
  <c r="J990" i="10" s="1"/>
  <c r="E991" i="10"/>
  <c r="I991" i="10"/>
  <c r="E992" i="10"/>
  <c r="I992" i="10"/>
  <c r="E993" i="10"/>
  <c r="I993" i="10"/>
  <c r="E994" i="10"/>
  <c r="I994" i="10"/>
  <c r="E995" i="10"/>
  <c r="I995" i="10"/>
  <c r="E996" i="10"/>
  <c r="I996" i="10"/>
  <c r="J996" i="10" s="1"/>
  <c r="E997" i="10"/>
  <c r="I997" i="10"/>
  <c r="E998" i="10"/>
  <c r="I998" i="10"/>
  <c r="J998" i="10" s="1"/>
  <c r="E999" i="10"/>
  <c r="I999" i="10"/>
  <c r="J999" i="10" s="1"/>
  <c r="E1000" i="10"/>
  <c r="I1000" i="10"/>
  <c r="J1000" i="10" s="1"/>
  <c r="E1001" i="10"/>
  <c r="I1001" i="10"/>
  <c r="J1001" i="10" s="1"/>
  <c r="E1002" i="10"/>
  <c r="I1002" i="10"/>
  <c r="J1002" i="10" s="1"/>
  <c r="E1003" i="10"/>
  <c r="I1003" i="10"/>
  <c r="E1004" i="10"/>
  <c r="I1004" i="10"/>
  <c r="E1005" i="10"/>
  <c r="I1005" i="10"/>
  <c r="E1006" i="10"/>
  <c r="I1006" i="10"/>
  <c r="J1006" i="10" s="1"/>
  <c r="E1007" i="10"/>
  <c r="I1007" i="10"/>
  <c r="E1008" i="10"/>
  <c r="I1008" i="10"/>
  <c r="J1008" i="10" s="1"/>
  <c r="E1009" i="10"/>
  <c r="I1009" i="10"/>
  <c r="J1009" i="10" s="1"/>
  <c r="E1010" i="10"/>
  <c r="I1010" i="10"/>
  <c r="J1010" i="10" s="1"/>
  <c r="E1011" i="10"/>
  <c r="I1011" i="10"/>
  <c r="J1011" i="10" s="1"/>
  <c r="E1012" i="10"/>
  <c r="I1012" i="10"/>
  <c r="J1012" i="10" s="1"/>
  <c r="E1013" i="10"/>
  <c r="I1013" i="10"/>
  <c r="E1014" i="10"/>
  <c r="I1014" i="10"/>
  <c r="J1014" i="10" s="1"/>
  <c r="E1015" i="10"/>
  <c r="I1015" i="10"/>
  <c r="J1015" i="10" s="1"/>
  <c r="E1016" i="10"/>
  <c r="I1016" i="10"/>
  <c r="J1016" i="10" s="1"/>
  <c r="E1017" i="10"/>
  <c r="I1017" i="10"/>
  <c r="J1017" i="10" s="1"/>
  <c r="E1018" i="10"/>
  <c r="I1018" i="10"/>
  <c r="E1019" i="10"/>
  <c r="I1019" i="10"/>
  <c r="E1020" i="10"/>
  <c r="I1020" i="10"/>
  <c r="J1020" i="10" s="1"/>
  <c r="E1021" i="10"/>
  <c r="I1021" i="10"/>
  <c r="J1021" i="10" s="1"/>
  <c r="E1022" i="10"/>
  <c r="I1022" i="10"/>
  <c r="J1022" i="10" s="1"/>
  <c r="E1023" i="10"/>
  <c r="I1023" i="10"/>
  <c r="E1024" i="10"/>
  <c r="I1024" i="10"/>
  <c r="E1025" i="10"/>
  <c r="I1025" i="10"/>
  <c r="E1026" i="10"/>
  <c r="I1026" i="10"/>
  <c r="E1027" i="10"/>
  <c r="I1027" i="10"/>
  <c r="J1027" i="10" s="1"/>
  <c r="E1028" i="10"/>
  <c r="I1028" i="10"/>
  <c r="E1029" i="10"/>
  <c r="I1029" i="10"/>
  <c r="E1030" i="10"/>
  <c r="I1030" i="10"/>
  <c r="E1031" i="10"/>
  <c r="I1031" i="10"/>
  <c r="E1032" i="10"/>
  <c r="I1032" i="10"/>
  <c r="J1032" i="10" s="1"/>
  <c r="J1031" i="10" s="1"/>
  <c r="E1033" i="10"/>
  <c r="I1033" i="10"/>
  <c r="E1034" i="10"/>
  <c r="I1034" i="10"/>
  <c r="E1035" i="10"/>
  <c r="I1035" i="10"/>
  <c r="E1036" i="10"/>
  <c r="I1036" i="10"/>
  <c r="E1037" i="10"/>
  <c r="I1037" i="10"/>
  <c r="J1037" i="10" s="1"/>
  <c r="E1038" i="10"/>
  <c r="I1038" i="10"/>
  <c r="J1038" i="10" s="1"/>
  <c r="E1039" i="10"/>
  <c r="I1039" i="10"/>
  <c r="E1040" i="10"/>
  <c r="I1040" i="10"/>
  <c r="E1041" i="10"/>
  <c r="I1041" i="10"/>
  <c r="E1042" i="10"/>
  <c r="I1042" i="10"/>
  <c r="E1043" i="10"/>
  <c r="I1043" i="10"/>
  <c r="J1043" i="10" s="1"/>
  <c r="J1042" i="10" s="1"/>
  <c r="E1044" i="10"/>
  <c r="I1044" i="10"/>
  <c r="E1045" i="10"/>
  <c r="I1045" i="10"/>
  <c r="E1046" i="10"/>
  <c r="I1046" i="10"/>
  <c r="E1047" i="10"/>
  <c r="I1047" i="10"/>
  <c r="E1048" i="10"/>
  <c r="I1048" i="10"/>
  <c r="E1049" i="10"/>
  <c r="I1049" i="10"/>
  <c r="E1050" i="10"/>
  <c r="I1050" i="10"/>
  <c r="J1050" i="10" s="1"/>
  <c r="E1051" i="10"/>
  <c r="I1051" i="10"/>
  <c r="J1051" i="10" s="1"/>
  <c r="E1052" i="10"/>
  <c r="I1052" i="10"/>
  <c r="J1052" i="10" s="1"/>
  <c r="E1053" i="10"/>
  <c r="I1053" i="10"/>
  <c r="J1053" i="10" s="1"/>
  <c r="E1054" i="10"/>
  <c r="I1054" i="10"/>
  <c r="E1055" i="10"/>
  <c r="I1055" i="10"/>
  <c r="J1055" i="10" s="1"/>
  <c r="E1056" i="10"/>
  <c r="I1056" i="10"/>
  <c r="J1056" i="10" s="1"/>
  <c r="E1057" i="10"/>
  <c r="I1057" i="10"/>
  <c r="J1057" i="10" s="1"/>
  <c r="E1058" i="10"/>
  <c r="I1058" i="10"/>
  <c r="E1059" i="10"/>
  <c r="I1059" i="10"/>
  <c r="J1059" i="10" s="1"/>
  <c r="E1060" i="10"/>
  <c r="I1060" i="10"/>
  <c r="J1060" i="10" s="1"/>
  <c r="E1061" i="10"/>
  <c r="I1061" i="10"/>
  <c r="E1062" i="10"/>
  <c r="I1062" i="10"/>
  <c r="E1063" i="10"/>
  <c r="I1063" i="10"/>
  <c r="E1064" i="10"/>
  <c r="I1064" i="10"/>
  <c r="E1065" i="10"/>
  <c r="I1065" i="10"/>
  <c r="J1065" i="10" s="1"/>
  <c r="E1066" i="10"/>
  <c r="I1066" i="10"/>
  <c r="E1067" i="10"/>
  <c r="I1067" i="10"/>
  <c r="E1068" i="10"/>
  <c r="I1068" i="10"/>
  <c r="J1068" i="10" s="1"/>
  <c r="E1069" i="10"/>
  <c r="I1069" i="10"/>
  <c r="E1070" i="10"/>
  <c r="I1070" i="10"/>
  <c r="E1071" i="10"/>
  <c r="I1071" i="10"/>
  <c r="J1071" i="10" s="1"/>
  <c r="J1070" i="10" s="1"/>
  <c r="E1072" i="10"/>
  <c r="I1072" i="10"/>
  <c r="E1073" i="10"/>
  <c r="I1073" i="10"/>
  <c r="E1074" i="10"/>
  <c r="I1074" i="10"/>
  <c r="E1075" i="10"/>
  <c r="I1075" i="10"/>
  <c r="J1075" i="10" s="1"/>
  <c r="J1074" i="10" s="1"/>
  <c r="E1076" i="10"/>
  <c r="I1076" i="10"/>
  <c r="E1077" i="10"/>
  <c r="I1077" i="10"/>
  <c r="E1078" i="10"/>
  <c r="I1078" i="10"/>
  <c r="E1079" i="10"/>
  <c r="I1079" i="10"/>
  <c r="E1080" i="10"/>
  <c r="I1080" i="10"/>
  <c r="E1081" i="10"/>
  <c r="I1081" i="10"/>
  <c r="J1081" i="10" s="1"/>
  <c r="E1082" i="10"/>
  <c r="I1082" i="10"/>
  <c r="E1083" i="10"/>
  <c r="I1083" i="10"/>
  <c r="E1084" i="10"/>
  <c r="I1084" i="10"/>
  <c r="J1084" i="10" s="1"/>
  <c r="E1085" i="10"/>
  <c r="I1085" i="10"/>
  <c r="J1085" i="10" s="1"/>
  <c r="E1086" i="10"/>
  <c r="I1086" i="10"/>
  <c r="J1086" i="10" s="1"/>
  <c r="E1087" i="10"/>
  <c r="I1087" i="10"/>
  <c r="J1087" i="10" s="1"/>
  <c r="E1088" i="10"/>
  <c r="I1088" i="10"/>
  <c r="E1089" i="10"/>
  <c r="I1089" i="10"/>
  <c r="E1090" i="10"/>
  <c r="I1090" i="10"/>
  <c r="E1091" i="10"/>
  <c r="I1091" i="10"/>
  <c r="E1092" i="10"/>
  <c r="I1092" i="10"/>
  <c r="E1093" i="10"/>
  <c r="I1093" i="10"/>
  <c r="E1094" i="10"/>
  <c r="I1094" i="10"/>
  <c r="E1095" i="10"/>
  <c r="I1095" i="10"/>
  <c r="E1096" i="10"/>
  <c r="I1096" i="10"/>
  <c r="E1097" i="10"/>
  <c r="I1097" i="10"/>
  <c r="J1097" i="10" s="1"/>
  <c r="J1095" i="10" s="1"/>
  <c r="E1098" i="10"/>
  <c r="I1098" i="10"/>
  <c r="E1099" i="10"/>
  <c r="I1099" i="10"/>
  <c r="E1100" i="10"/>
  <c r="I1100" i="10"/>
  <c r="E1101" i="10"/>
  <c r="I1101" i="10"/>
  <c r="J1101" i="10" s="1"/>
  <c r="E1102" i="10"/>
  <c r="I1102" i="10"/>
  <c r="J1102" i="10" s="1"/>
  <c r="E1103" i="10"/>
  <c r="I1103" i="10"/>
  <c r="E1104" i="10"/>
  <c r="I1104" i="10"/>
  <c r="E1105" i="10"/>
  <c r="I1105" i="10"/>
  <c r="E1106" i="10"/>
  <c r="I1106" i="10"/>
  <c r="J1106" i="10" s="1"/>
  <c r="E1107" i="10"/>
  <c r="I1107" i="10"/>
  <c r="J1107" i="10" s="1"/>
  <c r="E1108" i="10"/>
  <c r="I1108" i="10"/>
  <c r="J1108" i="10" s="1"/>
  <c r="E1109" i="10"/>
  <c r="I1109" i="10"/>
  <c r="J1109" i="10" s="1"/>
  <c r="E1110" i="10"/>
  <c r="I1110" i="10"/>
  <c r="E1111" i="10"/>
  <c r="I1111" i="10"/>
  <c r="E1112" i="10"/>
  <c r="I1112" i="10"/>
  <c r="E1113" i="10"/>
  <c r="I1113" i="10"/>
  <c r="J1113" i="10" s="1"/>
  <c r="E1114" i="10"/>
  <c r="I1114" i="10"/>
  <c r="J1114" i="10" s="1"/>
  <c r="E1115" i="10"/>
  <c r="I1115" i="10"/>
  <c r="J1115" i="10" s="1"/>
  <c r="E1116" i="10"/>
  <c r="I1116" i="10"/>
  <c r="J1116" i="10" s="1"/>
  <c r="E1117" i="10"/>
  <c r="I1117" i="10"/>
  <c r="E1118" i="10"/>
  <c r="I1118" i="10"/>
  <c r="J1118" i="10" s="1"/>
  <c r="E1119" i="10"/>
  <c r="I1119" i="10"/>
  <c r="J1119" i="10" s="1"/>
  <c r="E1120" i="10"/>
  <c r="I1120" i="10"/>
  <c r="J1120" i="10" s="1"/>
  <c r="E1121" i="10"/>
  <c r="I1121" i="10"/>
  <c r="J1121" i="10" s="1"/>
  <c r="E1122" i="10"/>
  <c r="I1122" i="10"/>
  <c r="E1123" i="10"/>
  <c r="I1123" i="10"/>
  <c r="E1124" i="10"/>
  <c r="I1124" i="10"/>
  <c r="J1124" i="10" s="1"/>
  <c r="E1125" i="10"/>
  <c r="I1125" i="10"/>
  <c r="J1125" i="10" s="1"/>
  <c r="E1126" i="10"/>
  <c r="I1126" i="10"/>
  <c r="J1126" i="10" s="1"/>
  <c r="E1127" i="10"/>
  <c r="I1127" i="10"/>
  <c r="J1127" i="10" s="1"/>
  <c r="E1128" i="10"/>
  <c r="I1128" i="10"/>
  <c r="E1129" i="10"/>
  <c r="I1129" i="10"/>
  <c r="J1129" i="10" s="1"/>
  <c r="E1130" i="10"/>
  <c r="I1130" i="10"/>
  <c r="J1130" i="10" s="1"/>
  <c r="E1131" i="10"/>
  <c r="I1131" i="10"/>
  <c r="J1131" i="10" s="1"/>
  <c r="E1132" i="10"/>
  <c r="I1132" i="10"/>
  <c r="J1132" i="10" s="1"/>
  <c r="E1133" i="10"/>
  <c r="I1133" i="10"/>
  <c r="E1134" i="10"/>
  <c r="I1134" i="10"/>
  <c r="E1135" i="10"/>
  <c r="I1135" i="10"/>
  <c r="E1136" i="10"/>
  <c r="I1136" i="10"/>
  <c r="E1137" i="10"/>
  <c r="I1137" i="10"/>
  <c r="J1137" i="10" s="1"/>
  <c r="E1138" i="10"/>
  <c r="I1138" i="10"/>
  <c r="J1138" i="10" s="1"/>
  <c r="E1139" i="10"/>
  <c r="I1139" i="10"/>
  <c r="J1139" i="10" s="1"/>
  <c r="E1140" i="10"/>
  <c r="I1140" i="10"/>
  <c r="J1140" i="10" s="1"/>
  <c r="E1141" i="10"/>
  <c r="I1141" i="10"/>
  <c r="E1142" i="10"/>
  <c r="I1142" i="10"/>
  <c r="E1143" i="10"/>
  <c r="I1143" i="10"/>
  <c r="E1144" i="10"/>
  <c r="I1144" i="10"/>
  <c r="E1145" i="10"/>
  <c r="I1145" i="10"/>
  <c r="E1146" i="10"/>
  <c r="I1146" i="10"/>
  <c r="J1146" i="10" s="1"/>
  <c r="E1147" i="10"/>
  <c r="I1147" i="10"/>
  <c r="J1147" i="10" s="1"/>
  <c r="E1148" i="10"/>
  <c r="I1148" i="10"/>
  <c r="J1148" i="10" s="1"/>
  <c r="E1149" i="10"/>
  <c r="I1149" i="10"/>
  <c r="E1150" i="10"/>
  <c r="I1150" i="10"/>
  <c r="E1151" i="10"/>
  <c r="I1151" i="10"/>
  <c r="E1152" i="10"/>
  <c r="I1152" i="10"/>
  <c r="E1153" i="10"/>
  <c r="I1153" i="10"/>
  <c r="E1154" i="10"/>
  <c r="I1154" i="10"/>
  <c r="J1154" i="10" s="1"/>
  <c r="E1155" i="10"/>
  <c r="I1155" i="10"/>
  <c r="J1155" i="10" s="1"/>
  <c r="E1156" i="10"/>
  <c r="I1156" i="10"/>
  <c r="J1156" i="10" s="1"/>
  <c r="E1157" i="10"/>
  <c r="I1157" i="10"/>
  <c r="J1157" i="10" s="1"/>
  <c r="E1158" i="10"/>
  <c r="I1158" i="10"/>
  <c r="J1158" i="10" s="1"/>
  <c r="E1159" i="10"/>
  <c r="I1159" i="10"/>
  <c r="E1160" i="10"/>
  <c r="I1160" i="10"/>
  <c r="E1161" i="10"/>
  <c r="I1161" i="10"/>
  <c r="E1162" i="10"/>
  <c r="I1162" i="10"/>
  <c r="E1163" i="10"/>
  <c r="I1163" i="10"/>
  <c r="J1163" i="10" s="1"/>
  <c r="E1164" i="10"/>
  <c r="I1164" i="10"/>
  <c r="J1164" i="10" s="1"/>
  <c r="E1165" i="10"/>
  <c r="I1165" i="10"/>
  <c r="J1165" i="10" s="1"/>
  <c r="E1166" i="10"/>
  <c r="I1166" i="10"/>
  <c r="J1166" i="10" s="1"/>
  <c r="E1167" i="10"/>
  <c r="I1167" i="10"/>
  <c r="E1168" i="10"/>
  <c r="I1168" i="10"/>
  <c r="E1169" i="10"/>
  <c r="I1169" i="10"/>
  <c r="E1170" i="10"/>
  <c r="I1170" i="10"/>
  <c r="E1171" i="10"/>
  <c r="I1171" i="10"/>
  <c r="E1172" i="10"/>
  <c r="I1172" i="10"/>
  <c r="E1173" i="10"/>
  <c r="I1173" i="10"/>
  <c r="E1174" i="10"/>
  <c r="I1174" i="10"/>
  <c r="E1175" i="10"/>
  <c r="I1175" i="10"/>
  <c r="J1175" i="10" s="1"/>
  <c r="E1176" i="10"/>
  <c r="I1176" i="10"/>
  <c r="J1176" i="10" s="1"/>
  <c r="E1177" i="10"/>
  <c r="I1177" i="10"/>
  <c r="J1177" i="10" s="1"/>
  <c r="E1178" i="10"/>
  <c r="I1178" i="10"/>
  <c r="E1179" i="10"/>
  <c r="I1179" i="10"/>
  <c r="E1180" i="10"/>
  <c r="I1180" i="10"/>
  <c r="E1181" i="10"/>
  <c r="I1181" i="10"/>
  <c r="E1182" i="10"/>
  <c r="I1182" i="10"/>
  <c r="E1183" i="10"/>
  <c r="I1183" i="10"/>
  <c r="J1183" i="10" s="1"/>
  <c r="E1184" i="10"/>
  <c r="I1184" i="10"/>
  <c r="J1184" i="10" s="1"/>
  <c r="E1185" i="10"/>
  <c r="I1185" i="10"/>
  <c r="J1185" i="10" s="1"/>
  <c r="E1186" i="10"/>
  <c r="I1186" i="10"/>
  <c r="J1186" i="10" s="1"/>
  <c r="E1187" i="10"/>
  <c r="I1187" i="10"/>
  <c r="E1188" i="10"/>
  <c r="I1188" i="10"/>
  <c r="E1189" i="10"/>
  <c r="I1189" i="10"/>
  <c r="E1190" i="10"/>
  <c r="I1190" i="10"/>
  <c r="E1191" i="10"/>
  <c r="I1191" i="10"/>
  <c r="E1192" i="10"/>
  <c r="I1192" i="10"/>
  <c r="J1192" i="10" s="1"/>
  <c r="E1193" i="10"/>
  <c r="I1193" i="10"/>
  <c r="J1193" i="10" s="1"/>
  <c r="E1194" i="10"/>
  <c r="I1194" i="10"/>
  <c r="J1194" i="10" s="1"/>
  <c r="E1195" i="10"/>
  <c r="I1195" i="10"/>
  <c r="J1195" i="10" s="1"/>
  <c r="E1196" i="10"/>
  <c r="I1196" i="10"/>
  <c r="J1196" i="10" s="1"/>
  <c r="E1197" i="10"/>
  <c r="I1197" i="10"/>
  <c r="J1197" i="10" s="1"/>
  <c r="E1198" i="10"/>
  <c r="I1198" i="10"/>
  <c r="J1198" i="10" s="1"/>
  <c r="E1199" i="10"/>
  <c r="I1199" i="10"/>
  <c r="E1200" i="10"/>
  <c r="I1200" i="10"/>
  <c r="E1201" i="10"/>
  <c r="I1201" i="10"/>
  <c r="E1202" i="10"/>
  <c r="I1202" i="10"/>
  <c r="E1203" i="10"/>
  <c r="I1203" i="10"/>
  <c r="E1204" i="10"/>
  <c r="I1204" i="10"/>
  <c r="J1204" i="10" s="1"/>
  <c r="E1205" i="10"/>
  <c r="I1205" i="10"/>
  <c r="E1206" i="10"/>
  <c r="I1206" i="10"/>
  <c r="J1206" i="10" s="1"/>
  <c r="E1207" i="10"/>
  <c r="I1207" i="10"/>
  <c r="J1207" i="10" s="1"/>
  <c r="E1208" i="10"/>
  <c r="I1208" i="10"/>
  <c r="J1208" i="10" s="1"/>
  <c r="E1209" i="10"/>
  <c r="I1209" i="10"/>
  <c r="J1209" i="10" s="1"/>
  <c r="E1210" i="10"/>
  <c r="I1210" i="10"/>
  <c r="J1210" i="10" s="1"/>
  <c r="E1211" i="10"/>
  <c r="I1211" i="10"/>
  <c r="E1212" i="10"/>
  <c r="I1212" i="10"/>
  <c r="E1213" i="10"/>
  <c r="I1213" i="10"/>
  <c r="E1214" i="10"/>
  <c r="I1214" i="10"/>
  <c r="J1214" i="10" s="1"/>
  <c r="E1215" i="10"/>
  <c r="I1215" i="10"/>
  <c r="E1216" i="10"/>
  <c r="I1216" i="10"/>
  <c r="J1216" i="10" s="1"/>
  <c r="E1217" i="10"/>
  <c r="I1217" i="10"/>
  <c r="J1217" i="10" s="1"/>
  <c r="E1218" i="10"/>
  <c r="I1218" i="10"/>
  <c r="J1218" i="10" s="1"/>
  <c r="E1219" i="10"/>
  <c r="I1219" i="10"/>
  <c r="J1219" i="10" s="1"/>
  <c r="E1220" i="10"/>
  <c r="I1220" i="10"/>
  <c r="J1220" i="10" s="1"/>
  <c r="E1221" i="10"/>
  <c r="I1221" i="10"/>
  <c r="E1222" i="10"/>
  <c r="I1222" i="10"/>
  <c r="J1222" i="10" s="1"/>
  <c r="E1223" i="10"/>
  <c r="I1223" i="10"/>
  <c r="J1223" i="10" s="1"/>
  <c r="E1224" i="10"/>
  <c r="I1224" i="10"/>
  <c r="J1224" i="10" s="1"/>
  <c r="E1225" i="10"/>
  <c r="I1225" i="10"/>
  <c r="J1225" i="10" s="1"/>
  <c r="E1226" i="10"/>
  <c r="I1226" i="10"/>
  <c r="E1227" i="10"/>
  <c r="I1227" i="10"/>
  <c r="E1228" i="10"/>
  <c r="I1228" i="10"/>
  <c r="J1228" i="10" s="1"/>
  <c r="E1229" i="10"/>
  <c r="I1229" i="10"/>
  <c r="J1229" i="10" s="1"/>
  <c r="E1230" i="10"/>
  <c r="I1230" i="10"/>
  <c r="J1230" i="10" s="1"/>
  <c r="E1231" i="10"/>
  <c r="I1231" i="10"/>
  <c r="E1232" i="10"/>
  <c r="I1232" i="10"/>
  <c r="E1233" i="10"/>
  <c r="I1233" i="10"/>
  <c r="J1233" i="10" s="1"/>
  <c r="E1234" i="10"/>
  <c r="I1234" i="10"/>
  <c r="J1234" i="10" s="1"/>
  <c r="E1235" i="10"/>
  <c r="I1235" i="10"/>
  <c r="J1235" i="10" s="1"/>
  <c r="E1236" i="10"/>
  <c r="I1236" i="10"/>
  <c r="E1237" i="10"/>
  <c r="I1237" i="10"/>
  <c r="E1238" i="10"/>
  <c r="I1238" i="10"/>
  <c r="E1239" i="10"/>
  <c r="I1239" i="10"/>
  <c r="E1240" i="10"/>
  <c r="I1240" i="10"/>
  <c r="J1240" i="10" s="1"/>
  <c r="E1241" i="10"/>
  <c r="I1241" i="10"/>
  <c r="E1242" i="10"/>
  <c r="I1242" i="10"/>
  <c r="E1243" i="10"/>
  <c r="I1243" i="10"/>
  <c r="E1244" i="10"/>
  <c r="I1244" i="10"/>
  <c r="E1245" i="10"/>
  <c r="I1245" i="10"/>
  <c r="J1245" i="10" s="1"/>
  <c r="J1244" i="10" s="1"/>
  <c r="E1246" i="10"/>
  <c r="I1246" i="10"/>
  <c r="E1247" i="10"/>
  <c r="I1247" i="10"/>
  <c r="E1248" i="10"/>
  <c r="I1248" i="10"/>
  <c r="E1249" i="10"/>
  <c r="I1249" i="10"/>
  <c r="E1250" i="10"/>
  <c r="I1250" i="10"/>
  <c r="J1250" i="10" s="1"/>
  <c r="E1251" i="10"/>
  <c r="I1251" i="10"/>
  <c r="E1252" i="10"/>
  <c r="I1252" i="10"/>
  <c r="E1253" i="10"/>
  <c r="I1253" i="10"/>
  <c r="E1254" i="10"/>
  <c r="I1254" i="10"/>
  <c r="J1254" i="10" s="1"/>
  <c r="E1255" i="10"/>
  <c r="I1255" i="10"/>
  <c r="J1255" i="10" s="1"/>
  <c r="E1256" i="10"/>
  <c r="I1256" i="10"/>
  <c r="E1257" i="10"/>
  <c r="I1257" i="10"/>
  <c r="E1258" i="10"/>
  <c r="I1258" i="10"/>
  <c r="E1259" i="10"/>
  <c r="I1259" i="10"/>
  <c r="E1260" i="10"/>
  <c r="I1260" i="10"/>
  <c r="E1261" i="10"/>
  <c r="I1261" i="10"/>
  <c r="E1262" i="10"/>
  <c r="I1262" i="10"/>
  <c r="J1262" i="10" s="1"/>
  <c r="E1263" i="10"/>
  <c r="I1263" i="10"/>
  <c r="J1263" i="10" s="1"/>
  <c r="E1264" i="10"/>
  <c r="I1264" i="10"/>
  <c r="J1264" i="10" s="1"/>
  <c r="E1265" i="10"/>
  <c r="I1265" i="10"/>
  <c r="J1265" i="10" s="1"/>
  <c r="E1266" i="10"/>
  <c r="I1266" i="10"/>
  <c r="E1267" i="10"/>
  <c r="I1267" i="10"/>
  <c r="J1267" i="10" s="1"/>
  <c r="E1268" i="10"/>
  <c r="I1268" i="10"/>
  <c r="J1268" i="10" s="1"/>
  <c r="E1269" i="10"/>
  <c r="I1269" i="10"/>
  <c r="J1269" i="10" s="1"/>
  <c r="E1270" i="10"/>
  <c r="I1270" i="10"/>
  <c r="E1271" i="10"/>
  <c r="I1271" i="10"/>
  <c r="J1271" i="10" s="1"/>
  <c r="E1272" i="10"/>
  <c r="I1272" i="10"/>
  <c r="J1272" i="10" s="1"/>
  <c r="E1273" i="10"/>
  <c r="I1273" i="10"/>
  <c r="E1274" i="10"/>
  <c r="I1274" i="10"/>
  <c r="E1275" i="10"/>
  <c r="I1275" i="10"/>
  <c r="E1276" i="10"/>
  <c r="I1276" i="10"/>
  <c r="E1277" i="10"/>
  <c r="I1277" i="10"/>
  <c r="J1277" i="10" s="1"/>
  <c r="J1276" i="10" s="1"/>
  <c r="E1278" i="10"/>
  <c r="I1278" i="10"/>
  <c r="E1279" i="10"/>
  <c r="I1279" i="10"/>
  <c r="E1280" i="10"/>
  <c r="I1280" i="10"/>
  <c r="J1280" i="10" s="1"/>
  <c r="E1281" i="10"/>
  <c r="I1281" i="10"/>
  <c r="E1282" i="10"/>
  <c r="I1282" i="10"/>
  <c r="E1283" i="10"/>
  <c r="I1283" i="10"/>
  <c r="E1284" i="10"/>
  <c r="I1284" i="10"/>
  <c r="J1284" i="10" s="1"/>
  <c r="J1283" i="10" s="1"/>
  <c r="E1285" i="10"/>
  <c r="I1285" i="10"/>
  <c r="E1286" i="10"/>
  <c r="I1286" i="10"/>
  <c r="E1287" i="10"/>
  <c r="I1287" i="10"/>
  <c r="J1287" i="10" s="1"/>
  <c r="E1288" i="10"/>
  <c r="I1288" i="10"/>
  <c r="J1288" i="10" s="1"/>
  <c r="E1289" i="10"/>
  <c r="I1289" i="10"/>
  <c r="J1289" i="10" s="1"/>
  <c r="E1290" i="10"/>
  <c r="I1290" i="10"/>
  <c r="E1291" i="10"/>
  <c r="I1291" i="10"/>
  <c r="E1292" i="10"/>
  <c r="I1292" i="10"/>
  <c r="E1293" i="10"/>
  <c r="I1293" i="10"/>
  <c r="E1294" i="10"/>
  <c r="I1294" i="10"/>
  <c r="E1295" i="10"/>
  <c r="I1295" i="10"/>
  <c r="J1295" i="10" s="1"/>
  <c r="J1294" i="10" s="1"/>
  <c r="E1296" i="10"/>
  <c r="I1296" i="10"/>
  <c r="E1297" i="10"/>
  <c r="I1297" i="10"/>
  <c r="E1298" i="10"/>
  <c r="I1298" i="10"/>
  <c r="E1299" i="10"/>
  <c r="I1299" i="10"/>
  <c r="J1299" i="10" s="1"/>
  <c r="E1300" i="10"/>
  <c r="I1300" i="10"/>
  <c r="E1301" i="10"/>
  <c r="I1301" i="10"/>
  <c r="E1302" i="10"/>
  <c r="I1302" i="10"/>
  <c r="E1303" i="10"/>
  <c r="I1303" i="10"/>
  <c r="J1303" i="10" s="1"/>
  <c r="J1302" i="10" s="1"/>
  <c r="E1304" i="10"/>
  <c r="I1304" i="10"/>
  <c r="E1305" i="10"/>
  <c r="I1305" i="10"/>
  <c r="E1306" i="10"/>
  <c r="I1306" i="10"/>
  <c r="E1307" i="10"/>
  <c r="I1307" i="10"/>
  <c r="E1308" i="10"/>
  <c r="I1308" i="10"/>
  <c r="E1309" i="10"/>
  <c r="I1309" i="10"/>
  <c r="J1309" i="10" s="1"/>
  <c r="E1310" i="10"/>
  <c r="I1310" i="10"/>
  <c r="E1311" i="10"/>
  <c r="I1311" i="10"/>
  <c r="E1312" i="10"/>
  <c r="I1312" i="10"/>
  <c r="J1312" i="10" s="1"/>
  <c r="E1313" i="10"/>
  <c r="I1313" i="10"/>
  <c r="J1313" i="10" s="1"/>
  <c r="E1314" i="10"/>
  <c r="I1314" i="10"/>
  <c r="J1314" i="10" s="1"/>
  <c r="E1315" i="10"/>
  <c r="I1315" i="10"/>
  <c r="J1315" i="10" s="1"/>
  <c r="E1316" i="10"/>
  <c r="I1316" i="10"/>
  <c r="E1317" i="10"/>
  <c r="I1317" i="10"/>
  <c r="E1318" i="10"/>
  <c r="I1318" i="10"/>
  <c r="E1319" i="10"/>
  <c r="I1319" i="10"/>
  <c r="E1320" i="10"/>
  <c r="I1320" i="10"/>
  <c r="E1321" i="10"/>
  <c r="I1321" i="10"/>
  <c r="E1322" i="10"/>
  <c r="I1322" i="10"/>
  <c r="E1323" i="10"/>
  <c r="I1323" i="10"/>
  <c r="E1324" i="10"/>
  <c r="I1324" i="10"/>
  <c r="E1325" i="10"/>
  <c r="I1325" i="10"/>
  <c r="J1325" i="10" s="1"/>
  <c r="J1323" i="10" s="1"/>
  <c r="E1326" i="10"/>
  <c r="I1326" i="10"/>
  <c r="E1327" i="10"/>
  <c r="I1327" i="10"/>
  <c r="E1328" i="10"/>
  <c r="I1328" i="10"/>
  <c r="E1329" i="10"/>
  <c r="I1329" i="10"/>
  <c r="E1330" i="10"/>
  <c r="I1330" i="10"/>
  <c r="E1331" i="10"/>
  <c r="I1331" i="10"/>
  <c r="J1331" i="10" s="1"/>
  <c r="E1332" i="10"/>
  <c r="I1332" i="10"/>
  <c r="J1332" i="10" s="1"/>
  <c r="E1333" i="10"/>
  <c r="I1333" i="10"/>
  <c r="E1334" i="10"/>
  <c r="I1334" i="10"/>
  <c r="E1335" i="10"/>
  <c r="I1335" i="10"/>
  <c r="E1336" i="10"/>
  <c r="I1336" i="10"/>
  <c r="J1336" i="10" s="1"/>
  <c r="E1337" i="10"/>
  <c r="I1337" i="10"/>
  <c r="J1337" i="10" s="1"/>
  <c r="E1338" i="10"/>
  <c r="I1338" i="10"/>
  <c r="J1338" i="10" s="1"/>
  <c r="E1339" i="10"/>
  <c r="I1339" i="10"/>
  <c r="J1339" i="10" s="1"/>
  <c r="E1340" i="10"/>
  <c r="I1340" i="10"/>
  <c r="E1341" i="10"/>
  <c r="I1341" i="10"/>
  <c r="E1342" i="10"/>
  <c r="I1342" i="10"/>
  <c r="E1343" i="10"/>
  <c r="I1343" i="10"/>
  <c r="J1343" i="10" s="1"/>
  <c r="E1344" i="10"/>
  <c r="I1344" i="10"/>
  <c r="J1344" i="10" s="1"/>
  <c r="E1345" i="10"/>
  <c r="I1345" i="10"/>
  <c r="J1345" i="10" s="1"/>
  <c r="E1346" i="10"/>
  <c r="I1346" i="10"/>
  <c r="J1346" i="10" s="1"/>
  <c r="E1347" i="10"/>
  <c r="I1347" i="10"/>
  <c r="E1348" i="10"/>
  <c r="I1348" i="10"/>
  <c r="E1349" i="10"/>
  <c r="I1349" i="10"/>
  <c r="J1349" i="10" s="1"/>
  <c r="E1350" i="10"/>
  <c r="I1350" i="10"/>
  <c r="J1350" i="10" s="1"/>
  <c r="E1351" i="10"/>
  <c r="I1351" i="10"/>
  <c r="J1351" i="10" s="1"/>
  <c r="E1352" i="10"/>
  <c r="I1352" i="10"/>
  <c r="J1352" i="10" s="1"/>
  <c r="E1353" i="10"/>
  <c r="I1353" i="10"/>
  <c r="E1354" i="10"/>
  <c r="I1354" i="10"/>
  <c r="J1354" i="10" s="1"/>
  <c r="E1355" i="10"/>
  <c r="I1355" i="10"/>
  <c r="J1355" i="10" s="1"/>
  <c r="E1356" i="10"/>
  <c r="I1356" i="10"/>
  <c r="J1356" i="10" s="1"/>
  <c r="E1357" i="10"/>
  <c r="I1357" i="10"/>
  <c r="J1357" i="10" s="1"/>
  <c r="E1358" i="10"/>
  <c r="I1358" i="10"/>
  <c r="E1359" i="10"/>
  <c r="I1359" i="10"/>
  <c r="E1360" i="10"/>
  <c r="I1360" i="10"/>
  <c r="J1360" i="10" s="1"/>
  <c r="E1361" i="10"/>
  <c r="I1361" i="10"/>
  <c r="J1361" i="10" s="1"/>
  <c r="E1362" i="10"/>
  <c r="I1362" i="10"/>
  <c r="J1362" i="10" s="1"/>
  <c r="E1363" i="10"/>
  <c r="I1363" i="10"/>
  <c r="J1363" i="10" s="1"/>
  <c r="E1364" i="10"/>
  <c r="I1364" i="10"/>
  <c r="J1364" i="10" s="1"/>
  <c r="E1365" i="10"/>
  <c r="I1365" i="10"/>
  <c r="E1366" i="10"/>
  <c r="I1366" i="10"/>
  <c r="E1367" i="10"/>
  <c r="I1367" i="10"/>
  <c r="J1367" i="10" s="1"/>
  <c r="E1368" i="10"/>
  <c r="I1368" i="10"/>
  <c r="J1368" i="10" s="1"/>
  <c r="E1369" i="10"/>
  <c r="I1369" i="10"/>
  <c r="J1369" i="10" s="1"/>
  <c r="E1370" i="10"/>
  <c r="I1370" i="10"/>
  <c r="J1370" i="10" s="1"/>
  <c r="E1371" i="10"/>
  <c r="I1371" i="10"/>
  <c r="E1372" i="10"/>
  <c r="I1372" i="10"/>
  <c r="J1372" i="10" s="1"/>
  <c r="E1373" i="10"/>
  <c r="I1373" i="10"/>
  <c r="J1373" i="10" s="1"/>
  <c r="E1374" i="10"/>
  <c r="I1374" i="10"/>
  <c r="J1374" i="10" s="1"/>
  <c r="E1375" i="10"/>
  <c r="I1375" i="10"/>
  <c r="J1375" i="10" s="1"/>
  <c r="E1376" i="10"/>
  <c r="I1376" i="10"/>
  <c r="E1377" i="10"/>
  <c r="I1377" i="10"/>
  <c r="E1378" i="10"/>
  <c r="I1378" i="10"/>
  <c r="E1379" i="10"/>
  <c r="I1379" i="10"/>
  <c r="E1380" i="10"/>
  <c r="I1380" i="10"/>
  <c r="J1380" i="10" s="1"/>
  <c r="E1381" i="10"/>
  <c r="I1381" i="10"/>
  <c r="J1381" i="10" s="1"/>
  <c r="E1382" i="10"/>
  <c r="I1382" i="10"/>
  <c r="J1382" i="10" s="1"/>
  <c r="E1383" i="10"/>
  <c r="I1383" i="10"/>
  <c r="J1383" i="10" s="1"/>
  <c r="E1384" i="10"/>
  <c r="I1384" i="10"/>
  <c r="E1385" i="10"/>
  <c r="I1385" i="10"/>
  <c r="E1386" i="10"/>
  <c r="I1386" i="10"/>
  <c r="E1387" i="10"/>
  <c r="I1387" i="10"/>
  <c r="E1388" i="10"/>
  <c r="I1388" i="10"/>
  <c r="J1388" i="10" s="1"/>
  <c r="E1389" i="10"/>
  <c r="I1389" i="10"/>
  <c r="J1389" i="10" s="1"/>
  <c r="E1390" i="10"/>
  <c r="I1390" i="10"/>
  <c r="J1390" i="10" s="1"/>
  <c r="E1391" i="10"/>
  <c r="I1391" i="10"/>
  <c r="E1392" i="10"/>
  <c r="I1392" i="10"/>
  <c r="E1393" i="10"/>
  <c r="I1393" i="10"/>
  <c r="E1394" i="10"/>
  <c r="I1394" i="10"/>
  <c r="E1395" i="10"/>
  <c r="I1395" i="10"/>
  <c r="E1396" i="10"/>
  <c r="I1396" i="10"/>
  <c r="J1396" i="10" s="1"/>
  <c r="E1397" i="10"/>
  <c r="I1397" i="10"/>
  <c r="J1397" i="10" s="1"/>
  <c r="E1398" i="10"/>
  <c r="I1398" i="10"/>
  <c r="J1398" i="10" s="1"/>
  <c r="E1399" i="10"/>
  <c r="I1399" i="10"/>
  <c r="J1399" i="10" s="1"/>
  <c r="E1400" i="10"/>
  <c r="I1400" i="10"/>
  <c r="J1400" i="10" s="1"/>
  <c r="E1401" i="10"/>
  <c r="I1401" i="10"/>
  <c r="E1402" i="10"/>
  <c r="I1402" i="10"/>
  <c r="E1403" i="10"/>
  <c r="I1403" i="10"/>
  <c r="E1404" i="10"/>
  <c r="I1404" i="10"/>
  <c r="E1405" i="10"/>
  <c r="I1405" i="10"/>
  <c r="J1405" i="10" s="1"/>
  <c r="E1406" i="10"/>
  <c r="I1406" i="10"/>
  <c r="J1406" i="10" s="1"/>
  <c r="E1407" i="10"/>
  <c r="I1407" i="10"/>
  <c r="J1407" i="10" s="1"/>
  <c r="E1408" i="10"/>
  <c r="I1408" i="10"/>
  <c r="J1408" i="10" s="1"/>
  <c r="E1409" i="10"/>
  <c r="I1409" i="10"/>
  <c r="E1410" i="10"/>
  <c r="I1410" i="10"/>
  <c r="E1411" i="10"/>
  <c r="I1411" i="10"/>
  <c r="J1411" i="10" s="1"/>
  <c r="E1412" i="10"/>
  <c r="I1412" i="10"/>
  <c r="E1413" i="10"/>
  <c r="I1413" i="10"/>
  <c r="E1414" i="10"/>
  <c r="I1414" i="10"/>
  <c r="E1415" i="10"/>
  <c r="I1415" i="10"/>
  <c r="E1416" i="10"/>
  <c r="I1416" i="10"/>
  <c r="J1416" i="10" s="1"/>
  <c r="E1417" i="10"/>
  <c r="I1417" i="10"/>
  <c r="J1417" i="10" s="1"/>
  <c r="E1418" i="10"/>
  <c r="I1418" i="10"/>
  <c r="J1418" i="10" s="1"/>
  <c r="E1419" i="10"/>
  <c r="I1419" i="10"/>
  <c r="E1420" i="10"/>
  <c r="I1420" i="10"/>
  <c r="E1421" i="10"/>
  <c r="I1421" i="10"/>
  <c r="E1422" i="10"/>
  <c r="I1422" i="10"/>
  <c r="E1423" i="10"/>
  <c r="I1423" i="10"/>
  <c r="J1423" i="10" s="1"/>
  <c r="E1424" i="10"/>
  <c r="I1424" i="10"/>
  <c r="J1424" i="10" s="1"/>
  <c r="E1425" i="10"/>
  <c r="I1425" i="10"/>
  <c r="J1425" i="10" s="1"/>
  <c r="E1426" i="10"/>
  <c r="I1426" i="10"/>
  <c r="J1426" i="10" s="1"/>
  <c r="E1427" i="10"/>
  <c r="I1427" i="10"/>
  <c r="E1428" i="10"/>
  <c r="I1428" i="10"/>
  <c r="E1429" i="10"/>
  <c r="I1429" i="10"/>
  <c r="E1430" i="10"/>
  <c r="I1430" i="10"/>
  <c r="J1430" i="10" s="1"/>
  <c r="E1431" i="10"/>
  <c r="I1431" i="10"/>
  <c r="J1431" i="10" s="1"/>
  <c r="E1432" i="10"/>
  <c r="I1432" i="10"/>
  <c r="J1432" i="10" s="1"/>
  <c r="E1433" i="10"/>
  <c r="I1433" i="10"/>
  <c r="J1433" i="10" s="1"/>
  <c r="E1434" i="10"/>
  <c r="I1434" i="10"/>
  <c r="E1435" i="10"/>
  <c r="I1435" i="10"/>
  <c r="E1436" i="10"/>
  <c r="I1436" i="10"/>
  <c r="E1437" i="10"/>
  <c r="I1437" i="10"/>
  <c r="E1438" i="10"/>
  <c r="I1438" i="10"/>
  <c r="E1439" i="10"/>
  <c r="I1439" i="10"/>
  <c r="J1439" i="10" s="1"/>
  <c r="E1440" i="10"/>
  <c r="I1440" i="10"/>
  <c r="J1440" i="10" s="1"/>
  <c r="E1441" i="10"/>
  <c r="I1441" i="10"/>
  <c r="J1441" i="10" s="1"/>
  <c r="E1442" i="10"/>
  <c r="I1442" i="10"/>
  <c r="J1442" i="10" s="1"/>
  <c r="E1443" i="10"/>
  <c r="I1443" i="10"/>
  <c r="J1443" i="10" s="1"/>
  <c r="E1444" i="10"/>
  <c r="I1444" i="10"/>
  <c r="J1444" i="10" s="1"/>
  <c r="E1445" i="10"/>
  <c r="I1445" i="10"/>
  <c r="J1445" i="10" s="1"/>
  <c r="E1446" i="10"/>
  <c r="I1446" i="10"/>
  <c r="E1447" i="10"/>
  <c r="I1447" i="10"/>
  <c r="E1448" i="10"/>
  <c r="I1448" i="10"/>
  <c r="E1449" i="10"/>
  <c r="I1449" i="10"/>
  <c r="J1449" i="10" s="1"/>
  <c r="E1450" i="10"/>
  <c r="I1450" i="10"/>
  <c r="J1450" i="10" s="1"/>
  <c r="E1451" i="10"/>
  <c r="I1451" i="10"/>
  <c r="J1451" i="10" s="1"/>
  <c r="E1452" i="10"/>
  <c r="I1452" i="10"/>
  <c r="J1452" i="10" s="1"/>
  <c r="E1453" i="10"/>
  <c r="I1453" i="10"/>
  <c r="J1453" i="10" s="1"/>
  <c r="E1454" i="10"/>
  <c r="I1454" i="10"/>
  <c r="J1454" i="10" s="1"/>
  <c r="E1455" i="10"/>
  <c r="I1455" i="10"/>
  <c r="J1455" i="10" s="1"/>
  <c r="E1456" i="10"/>
  <c r="I1456" i="10"/>
  <c r="E1457" i="10"/>
  <c r="I1457" i="10"/>
  <c r="E1458" i="10"/>
  <c r="I1458" i="10"/>
  <c r="J1458" i="10" s="1"/>
  <c r="E1459" i="10"/>
  <c r="I1459" i="10"/>
  <c r="E1460" i="10"/>
  <c r="I1460" i="10"/>
  <c r="E1461" i="10"/>
  <c r="I1461" i="10"/>
  <c r="E1462" i="10"/>
  <c r="I1462" i="10"/>
  <c r="E1463" i="10"/>
  <c r="I1463" i="10"/>
  <c r="E1464" i="10"/>
  <c r="I1464" i="10"/>
  <c r="J1464" i="10" s="1"/>
  <c r="E1465" i="10"/>
  <c r="I1465" i="10"/>
  <c r="E1466" i="10"/>
  <c r="I1466" i="10"/>
  <c r="J1466" i="10" s="1"/>
  <c r="E1467" i="10"/>
  <c r="I1467" i="10"/>
  <c r="J1467" i="10" s="1"/>
  <c r="E1468" i="10"/>
  <c r="I1468" i="10"/>
  <c r="J1468" i="10" s="1"/>
  <c r="E1469" i="10"/>
  <c r="I1469" i="10"/>
  <c r="J1469" i="10" s="1"/>
  <c r="E1470" i="10"/>
  <c r="I1470" i="10"/>
  <c r="J1470" i="10" s="1"/>
  <c r="E1471" i="10"/>
  <c r="I1471" i="10"/>
  <c r="E1472" i="10"/>
  <c r="I1472" i="10"/>
  <c r="E1473" i="10"/>
  <c r="I1473" i="10"/>
  <c r="E1474" i="10"/>
  <c r="I1474" i="10"/>
  <c r="J1474" i="10" s="1"/>
  <c r="E1475" i="10"/>
  <c r="I1475" i="10"/>
  <c r="E1476" i="10"/>
  <c r="I1476" i="10"/>
  <c r="J1476" i="10" s="1"/>
  <c r="E1477" i="10"/>
  <c r="I1477" i="10"/>
  <c r="J1477" i="10" s="1"/>
  <c r="E1478" i="10"/>
  <c r="I1478" i="10"/>
  <c r="J1478" i="10" s="1"/>
  <c r="E1479" i="10"/>
  <c r="I1479" i="10"/>
  <c r="J1479" i="10" s="1"/>
  <c r="E1480" i="10"/>
  <c r="I1480" i="10"/>
  <c r="J1480" i="10" s="1"/>
  <c r="E1481" i="10"/>
  <c r="I1481" i="10"/>
  <c r="E1482" i="10"/>
  <c r="I1482" i="10"/>
  <c r="J1482" i="10" s="1"/>
  <c r="E1483" i="10"/>
  <c r="I1483" i="10"/>
  <c r="J1483" i="10" s="1"/>
  <c r="E1484" i="10"/>
  <c r="I1484" i="10"/>
  <c r="J1484" i="10" s="1"/>
  <c r="E1485" i="10"/>
  <c r="I1485" i="10"/>
  <c r="J1485" i="10" s="1"/>
  <c r="E1486" i="10"/>
  <c r="I1486" i="10"/>
  <c r="E1487" i="10"/>
  <c r="I1487" i="10"/>
  <c r="E1488" i="10"/>
  <c r="I1488" i="10"/>
  <c r="J1488" i="10" s="1"/>
  <c r="E1489" i="10"/>
  <c r="I1489" i="10"/>
  <c r="J1489" i="10" s="1"/>
  <c r="E1490" i="10"/>
  <c r="I1490" i="10"/>
  <c r="J1490" i="10" s="1"/>
  <c r="E1491" i="10"/>
  <c r="I1491" i="10"/>
  <c r="E1492" i="10"/>
  <c r="I1492" i="10"/>
  <c r="E1493" i="10"/>
  <c r="I1493" i="10"/>
  <c r="J1493" i="10" s="1"/>
  <c r="E1494" i="10"/>
  <c r="I1494" i="10"/>
  <c r="J1494" i="10" s="1"/>
  <c r="E1495" i="10"/>
  <c r="I1495" i="10"/>
  <c r="J1495" i="10" s="1"/>
  <c r="E1496" i="10"/>
  <c r="I1496" i="10"/>
  <c r="E1497" i="10"/>
  <c r="I1497" i="10"/>
  <c r="E1498" i="10"/>
  <c r="I1498" i="10"/>
  <c r="E1499" i="10"/>
  <c r="I1499" i="10"/>
  <c r="E1500" i="10"/>
  <c r="I1500" i="10"/>
  <c r="J1500" i="10" s="1"/>
  <c r="E1501" i="10"/>
  <c r="I1501" i="10"/>
  <c r="E1502" i="10"/>
  <c r="I1502" i="10"/>
  <c r="E1503" i="10"/>
  <c r="I1503" i="10"/>
  <c r="E1504" i="10"/>
  <c r="I1504" i="10"/>
  <c r="E1505" i="10"/>
  <c r="I1505" i="10"/>
  <c r="J1505" i="10" s="1"/>
  <c r="J1504" i="10" s="1"/>
  <c r="E1506" i="10"/>
  <c r="I1506" i="10"/>
  <c r="E1507" i="10"/>
  <c r="I1507" i="10"/>
  <c r="E1508" i="10"/>
  <c r="I1508" i="10"/>
  <c r="E1509" i="10"/>
  <c r="I1509" i="10"/>
  <c r="E1510" i="10"/>
  <c r="I1510" i="10"/>
  <c r="E1511" i="10"/>
  <c r="I1511" i="10"/>
  <c r="E1512" i="10"/>
  <c r="I1512" i="10"/>
  <c r="J1512" i="10" s="1"/>
  <c r="E1513" i="10"/>
  <c r="I1513" i="10"/>
  <c r="J1513" i="10" s="1"/>
  <c r="E1514" i="10"/>
  <c r="I1514" i="10"/>
  <c r="J1514" i="10" s="1"/>
  <c r="E1515" i="10"/>
  <c r="I1515" i="10"/>
  <c r="J1515" i="10" s="1"/>
  <c r="E1516" i="10"/>
  <c r="I1516" i="10"/>
  <c r="E1517" i="10"/>
  <c r="I1517" i="10"/>
  <c r="J1517" i="10" s="1"/>
  <c r="E1518" i="10"/>
  <c r="I1518" i="10"/>
  <c r="J1518" i="10" s="1"/>
  <c r="E1519" i="10"/>
  <c r="I1519" i="10"/>
  <c r="J1519" i="10" s="1"/>
  <c r="E1520" i="10"/>
  <c r="I1520" i="10"/>
  <c r="E1521" i="10"/>
  <c r="I1521" i="10"/>
  <c r="J1521" i="10" s="1"/>
  <c r="E1522" i="10"/>
  <c r="I1522" i="10"/>
  <c r="J1522" i="10" s="1"/>
  <c r="E1523" i="10"/>
  <c r="I1523" i="10"/>
  <c r="E1524" i="10"/>
  <c r="I1524" i="10"/>
  <c r="E1525" i="10"/>
  <c r="I1525" i="10"/>
  <c r="E1526" i="10"/>
  <c r="I1526" i="10"/>
  <c r="J1526" i="10" s="1"/>
  <c r="E1527" i="10"/>
  <c r="I1527" i="10"/>
  <c r="J1527" i="10" s="1"/>
  <c r="E1528" i="10"/>
  <c r="I1528" i="10"/>
  <c r="J1528" i="10" s="1"/>
  <c r="E1529" i="10"/>
  <c r="I1529" i="10"/>
  <c r="J1529" i="10" s="1"/>
  <c r="E1530" i="10"/>
  <c r="I1530" i="10"/>
  <c r="E1531" i="10"/>
  <c r="I1531" i="10"/>
  <c r="J1531" i="10" s="1"/>
  <c r="E1532" i="10"/>
  <c r="I1532" i="10"/>
  <c r="J1532" i="10" s="1"/>
  <c r="E1533" i="10"/>
  <c r="I1533" i="10"/>
  <c r="J1533" i="10" s="1"/>
  <c r="E1534" i="10"/>
  <c r="I1534" i="10"/>
  <c r="E1535" i="10"/>
  <c r="I1535" i="10"/>
  <c r="J1535" i="10" s="1"/>
  <c r="E1536" i="10"/>
  <c r="I1536" i="10"/>
  <c r="J1536" i="10" s="1"/>
  <c r="E1537" i="10"/>
  <c r="I1537" i="10"/>
  <c r="E1538" i="10"/>
  <c r="I1538" i="10"/>
  <c r="E1539" i="10"/>
  <c r="I1539" i="10"/>
  <c r="E1540" i="10"/>
  <c r="I1540" i="10"/>
  <c r="E1541" i="10"/>
  <c r="I1541" i="10"/>
  <c r="J1541" i="10" s="1"/>
  <c r="E1542" i="10"/>
  <c r="I1542" i="10"/>
  <c r="E1543" i="10"/>
  <c r="I1543" i="10"/>
  <c r="E1544" i="10"/>
  <c r="I1544" i="10"/>
  <c r="E1545" i="10"/>
  <c r="I1545" i="10"/>
  <c r="E1546" i="10"/>
  <c r="I1546" i="10"/>
  <c r="J1546" i="10" s="1"/>
  <c r="E1547" i="10"/>
  <c r="I1547" i="10"/>
  <c r="E1548" i="10"/>
  <c r="I1548" i="10"/>
  <c r="E1549" i="10"/>
  <c r="I1549" i="10"/>
  <c r="E1550" i="10"/>
  <c r="I1550" i="10"/>
  <c r="J1550" i="10" s="1"/>
  <c r="E1551" i="10"/>
  <c r="I1551" i="10"/>
  <c r="E1552" i="10"/>
  <c r="I1552" i="10"/>
  <c r="E1553" i="10"/>
  <c r="I1553" i="10"/>
  <c r="E1554" i="10"/>
  <c r="I1554" i="10"/>
  <c r="E1555" i="10"/>
  <c r="I1555" i="10"/>
  <c r="E1556" i="10"/>
  <c r="I1556" i="10"/>
  <c r="J1556" i="10" s="1"/>
  <c r="E1557" i="10"/>
  <c r="I1557" i="10"/>
  <c r="E1558" i="10"/>
  <c r="I1558" i="10"/>
  <c r="E1559" i="10"/>
  <c r="I1559" i="10"/>
  <c r="J1559" i="10" s="1"/>
  <c r="E1560" i="10"/>
  <c r="I1560" i="10"/>
  <c r="J1560" i="10" s="1"/>
  <c r="E1561" i="10"/>
  <c r="I1561" i="10"/>
  <c r="J1561" i="10" s="1"/>
  <c r="E1562" i="10"/>
  <c r="I1562" i="10"/>
  <c r="J1562" i="10" s="1"/>
  <c r="E1563" i="10"/>
  <c r="I1563" i="10"/>
  <c r="E1564" i="10"/>
  <c r="I1564" i="10"/>
  <c r="E1565" i="10"/>
  <c r="I1565" i="10"/>
  <c r="E1566" i="10"/>
  <c r="I1566" i="10"/>
  <c r="E1567" i="10"/>
  <c r="I1567" i="10"/>
  <c r="E1568" i="10"/>
  <c r="I1568" i="10"/>
  <c r="E1569" i="10"/>
  <c r="I1569" i="10"/>
  <c r="E1570" i="10"/>
  <c r="I1570" i="10"/>
  <c r="E1571" i="10"/>
  <c r="I1571" i="10"/>
  <c r="E1572" i="10"/>
  <c r="I1572" i="10"/>
  <c r="J1572" i="10" s="1"/>
  <c r="J1570" i="10" s="1"/>
  <c r="E1573" i="10"/>
  <c r="I1573" i="10"/>
  <c r="E1574" i="10"/>
  <c r="I1574" i="10"/>
  <c r="E1575" i="10"/>
  <c r="I1575" i="10"/>
  <c r="E1576" i="10"/>
  <c r="I1576" i="10"/>
  <c r="J1576" i="10" s="1"/>
  <c r="E1577" i="10"/>
  <c r="I1577" i="10"/>
  <c r="J1577" i="10" s="1"/>
  <c r="E1578" i="10"/>
  <c r="I1578" i="10"/>
  <c r="E1579" i="10"/>
  <c r="I1579" i="10"/>
  <c r="E1580" i="10"/>
  <c r="I1580" i="10"/>
  <c r="E1581" i="10"/>
  <c r="I1581" i="10"/>
  <c r="J1581" i="10" s="1"/>
  <c r="E1582" i="10"/>
  <c r="I1582" i="10"/>
  <c r="J1582" i="10" s="1"/>
  <c r="E1583" i="10"/>
  <c r="I1583" i="10"/>
  <c r="J1583" i="10" s="1"/>
  <c r="E1584" i="10"/>
  <c r="I1584" i="10"/>
  <c r="J1584" i="10" s="1"/>
  <c r="E1585" i="10"/>
  <c r="I1585" i="10"/>
  <c r="E1586" i="10"/>
  <c r="I1586" i="10"/>
  <c r="E1587" i="10"/>
  <c r="I1587" i="10"/>
  <c r="E1588" i="10"/>
  <c r="I1588" i="10"/>
  <c r="J1588" i="10" s="1"/>
  <c r="E1589" i="10"/>
  <c r="I1589" i="10"/>
  <c r="J1589" i="10" s="1"/>
  <c r="E1590" i="10"/>
  <c r="I1590" i="10"/>
  <c r="J1590" i="10" s="1"/>
  <c r="E1591" i="10"/>
  <c r="I1591" i="10"/>
  <c r="J1591" i="10" s="1"/>
  <c r="E1592" i="10"/>
  <c r="I1592" i="10"/>
  <c r="E1593" i="10"/>
  <c r="I1593" i="10"/>
  <c r="J1593" i="10" s="1"/>
  <c r="E1594" i="10"/>
  <c r="I1594" i="10"/>
  <c r="J1594" i="10" s="1"/>
  <c r="E1595" i="10"/>
  <c r="I1595" i="10"/>
  <c r="J1595" i="10" s="1"/>
  <c r="E1596" i="10"/>
  <c r="I1596" i="10"/>
  <c r="J1596" i="10" s="1"/>
  <c r="E1597" i="10"/>
  <c r="I1597" i="10"/>
  <c r="E1598" i="10"/>
  <c r="I1598" i="10"/>
  <c r="E1599" i="10"/>
  <c r="I1599" i="10"/>
  <c r="E1600" i="10"/>
  <c r="I1600" i="10"/>
  <c r="E1601" i="10"/>
  <c r="I1601" i="10"/>
  <c r="J1601" i="10" s="1"/>
  <c r="E1602" i="10"/>
  <c r="I1602" i="10"/>
  <c r="J1602" i="10" s="1"/>
  <c r="E1603" i="10"/>
  <c r="I1603" i="10"/>
  <c r="J1603" i="10" s="1"/>
  <c r="E1604" i="10"/>
  <c r="I1604" i="10"/>
  <c r="J1604" i="10" s="1"/>
  <c r="E1605" i="10"/>
  <c r="I1605" i="10"/>
  <c r="E1606" i="10"/>
  <c r="I1606" i="10"/>
  <c r="E1607" i="10"/>
  <c r="I1607" i="10"/>
  <c r="E1608" i="10"/>
  <c r="I1608" i="10"/>
  <c r="J1608" i="10" s="1"/>
  <c r="E1609" i="10"/>
  <c r="I1609" i="10"/>
  <c r="J1609" i="10" s="1"/>
  <c r="E1610" i="10"/>
  <c r="I1610" i="10"/>
  <c r="J1610" i="10" s="1"/>
  <c r="E1611" i="10"/>
  <c r="I1611" i="10"/>
  <c r="E1612" i="10"/>
  <c r="I1612" i="10"/>
  <c r="E1613" i="10"/>
  <c r="I1613" i="10"/>
  <c r="E1614" i="10"/>
  <c r="I1614" i="10"/>
  <c r="E1615" i="10"/>
  <c r="I1615" i="10"/>
  <c r="J1615" i="10" s="1"/>
  <c r="E1616" i="10"/>
  <c r="I1616" i="10"/>
  <c r="J1616" i="10" s="1"/>
  <c r="E1617" i="10"/>
  <c r="I1617" i="10"/>
  <c r="J1617" i="10" s="1"/>
  <c r="E1618" i="10"/>
  <c r="I1618" i="10"/>
  <c r="E1619" i="10"/>
  <c r="I1619" i="10"/>
  <c r="E1620" i="10"/>
  <c r="I1620" i="10"/>
  <c r="E1621" i="10"/>
  <c r="I1621" i="10"/>
  <c r="E1622" i="10"/>
  <c r="I1622" i="10"/>
  <c r="J1622" i="10" s="1"/>
  <c r="E1623" i="10"/>
  <c r="I1623" i="10"/>
  <c r="J1623" i="10" s="1"/>
  <c r="E1624" i="10"/>
  <c r="I1624" i="10"/>
  <c r="J1624" i="10" s="1"/>
  <c r="E1625" i="10"/>
  <c r="I1625" i="10"/>
  <c r="J1625" i="10" s="1"/>
  <c r="E1626" i="10"/>
  <c r="I1626" i="10"/>
  <c r="J1626" i="10" s="1"/>
  <c r="E1627" i="10"/>
  <c r="I1627" i="10"/>
  <c r="E1628" i="10"/>
  <c r="I1628" i="10"/>
  <c r="E1629" i="10"/>
  <c r="I1629" i="10"/>
  <c r="E1630" i="10"/>
  <c r="I1630" i="10"/>
  <c r="E1631" i="10"/>
  <c r="I1631" i="10"/>
  <c r="J1631" i="10" s="1"/>
  <c r="E1632" i="10"/>
  <c r="I1632" i="10"/>
  <c r="J1632" i="10" s="1"/>
  <c r="E1633" i="10"/>
  <c r="I1633" i="10"/>
  <c r="J1633" i="10" s="1"/>
  <c r="E1634" i="10"/>
  <c r="I1634" i="10"/>
  <c r="J1634" i="10" s="1"/>
  <c r="E1635" i="10"/>
  <c r="I1635" i="10"/>
  <c r="J1635" i="10" s="1"/>
  <c r="E1636" i="10"/>
  <c r="I1636" i="10"/>
  <c r="J1636" i="10" s="1"/>
  <c r="E1637" i="10"/>
  <c r="I1637" i="10"/>
  <c r="J1637" i="10" s="1"/>
  <c r="E1638" i="10"/>
  <c r="I1638" i="10"/>
  <c r="J1638" i="10" s="1"/>
  <c r="E1639" i="10"/>
  <c r="I1639" i="10"/>
  <c r="E1640" i="10"/>
  <c r="I1640" i="10"/>
  <c r="E1641" i="10"/>
  <c r="I1641" i="10"/>
  <c r="E1642" i="10"/>
  <c r="I1642" i="10"/>
  <c r="J1642" i="10" s="1"/>
  <c r="E1643" i="10"/>
  <c r="I1643" i="10"/>
  <c r="J1643" i="10" s="1"/>
  <c r="E1644" i="10"/>
  <c r="I1644" i="10"/>
  <c r="J1644" i="10" s="1"/>
  <c r="E1645" i="10"/>
  <c r="I1645" i="10"/>
  <c r="E1646" i="10"/>
  <c r="I1646" i="10"/>
  <c r="E1647" i="10"/>
  <c r="I1647" i="10"/>
  <c r="E1648" i="10"/>
  <c r="I1648" i="10"/>
  <c r="E1649" i="10"/>
  <c r="I1649" i="10"/>
  <c r="J1649" i="10" s="1"/>
  <c r="E1650" i="10"/>
  <c r="I1650" i="10"/>
  <c r="J1650" i="10" s="1"/>
  <c r="E1651" i="10"/>
  <c r="I1651" i="10"/>
  <c r="J1651" i="10" s="1"/>
  <c r="E1652" i="10"/>
  <c r="I1652" i="10"/>
  <c r="J1652" i="10" s="1"/>
  <c r="E1653" i="10"/>
  <c r="I1653" i="10"/>
  <c r="E1654" i="10"/>
  <c r="I1654" i="10"/>
  <c r="E1655" i="10"/>
  <c r="I1655" i="10"/>
  <c r="E1656" i="10"/>
  <c r="I1656" i="10"/>
  <c r="E1657" i="10"/>
  <c r="I1657" i="10"/>
  <c r="E1658" i="10"/>
  <c r="I1658" i="10"/>
  <c r="J1658" i="10" s="1"/>
  <c r="E1659" i="10"/>
  <c r="I1659" i="10"/>
  <c r="J1659" i="10" s="1"/>
  <c r="E1660" i="10"/>
  <c r="I1660" i="10"/>
  <c r="J1660" i="10" s="1"/>
  <c r="E1661" i="10"/>
  <c r="I1661" i="10"/>
  <c r="J1661" i="10" s="1"/>
  <c r="E1662" i="10"/>
  <c r="I1662" i="10"/>
  <c r="J1662" i="10" s="1"/>
  <c r="E1663" i="10"/>
  <c r="I1663" i="10"/>
  <c r="J1663" i="10" s="1"/>
  <c r="E1664" i="10"/>
  <c r="I1664" i="10"/>
  <c r="J1664" i="10" s="1"/>
  <c r="E1665" i="10"/>
  <c r="I1665" i="10"/>
  <c r="E1666" i="10"/>
  <c r="I1666" i="10"/>
  <c r="E1667" i="10"/>
  <c r="I1667" i="10"/>
  <c r="J1667" i="10" s="1"/>
  <c r="E1668" i="10"/>
  <c r="I1668" i="10"/>
  <c r="E1669" i="10"/>
  <c r="I1669" i="10"/>
  <c r="E1670" i="10"/>
  <c r="I1670" i="10"/>
  <c r="E1671" i="10"/>
  <c r="I1671" i="10"/>
  <c r="E1672" i="10"/>
  <c r="I1672" i="10"/>
  <c r="E1673" i="10"/>
  <c r="I1673" i="10"/>
  <c r="J1673" i="10" s="1"/>
  <c r="E1674" i="10"/>
  <c r="I1674" i="10"/>
  <c r="E1675" i="10"/>
  <c r="I1675" i="10"/>
  <c r="J1675" i="10" s="1"/>
  <c r="E1676" i="10"/>
  <c r="I1676" i="10"/>
  <c r="J1676" i="10" s="1"/>
  <c r="E1677" i="10"/>
  <c r="I1677" i="10"/>
  <c r="J1677" i="10" s="1"/>
  <c r="E1678" i="10"/>
  <c r="I1678" i="10"/>
  <c r="J1678" i="10" s="1"/>
  <c r="E1679" i="10"/>
  <c r="I1679" i="10"/>
  <c r="J1679" i="10" s="1"/>
  <c r="E1680" i="10"/>
  <c r="I1680" i="10"/>
  <c r="E1681" i="10"/>
  <c r="I1681" i="10"/>
  <c r="E1682" i="10"/>
  <c r="I1682" i="10"/>
  <c r="E1683" i="10"/>
  <c r="I1683" i="10"/>
  <c r="J1683" i="10" s="1"/>
  <c r="E1684" i="10"/>
  <c r="I1684" i="10"/>
  <c r="E1685" i="10"/>
  <c r="I1685" i="10"/>
  <c r="J1685" i="10" s="1"/>
  <c r="E1686" i="10"/>
  <c r="I1686" i="10"/>
  <c r="J1686" i="10" s="1"/>
  <c r="E1687" i="10"/>
  <c r="I1687" i="10"/>
  <c r="J1687" i="10" s="1"/>
  <c r="E1688" i="10"/>
  <c r="I1688" i="10"/>
  <c r="J1688" i="10" s="1"/>
  <c r="E1689" i="10"/>
  <c r="I1689" i="10"/>
  <c r="J1689" i="10" s="1"/>
  <c r="E1690" i="10"/>
  <c r="I1690" i="10"/>
  <c r="E1691" i="10"/>
  <c r="I1691" i="10"/>
  <c r="E1692" i="10"/>
  <c r="I1692" i="10"/>
  <c r="E1693" i="10"/>
  <c r="I1693" i="10"/>
  <c r="J1693" i="10" s="1"/>
  <c r="E1694" i="10"/>
  <c r="I1694" i="10"/>
  <c r="E1695" i="10"/>
  <c r="I1695" i="10"/>
  <c r="J1695" i="10" s="1"/>
  <c r="E1696" i="10"/>
  <c r="I1696" i="10"/>
  <c r="J1696" i="10" s="1"/>
  <c r="E1697" i="10"/>
  <c r="I1697" i="10"/>
  <c r="J1697" i="10" s="1"/>
  <c r="E1698" i="10"/>
  <c r="I1698" i="10"/>
  <c r="J1698" i="10" s="1"/>
  <c r="E1699" i="10"/>
  <c r="I1699" i="10"/>
  <c r="J1699" i="10" s="1"/>
  <c r="E1700" i="10"/>
  <c r="I1700" i="10"/>
  <c r="E1701" i="10"/>
  <c r="I1701" i="10"/>
  <c r="J1701" i="10" s="1"/>
  <c r="E1702" i="10"/>
  <c r="I1702" i="10"/>
  <c r="J1702" i="10" s="1"/>
  <c r="E1703" i="10"/>
  <c r="I1703" i="10"/>
  <c r="J1703" i="10" s="1"/>
  <c r="E1704" i="10"/>
  <c r="I1704" i="10"/>
  <c r="J1704" i="10" s="1"/>
  <c r="E1705" i="10"/>
  <c r="I1705" i="10"/>
  <c r="E1706" i="10"/>
  <c r="I1706" i="10"/>
  <c r="E1707" i="10"/>
  <c r="I1707" i="10"/>
  <c r="J1707" i="10" s="1"/>
  <c r="E1708" i="10"/>
  <c r="I1708" i="10"/>
  <c r="J1708" i="10" s="1"/>
  <c r="E1709" i="10"/>
  <c r="I1709" i="10"/>
  <c r="J1709" i="10" s="1"/>
  <c r="E1710" i="10"/>
  <c r="I1710" i="10"/>
  <c r="E1711" i="10"/>
  <c r="I1711" i="10"/>
  <c r="E1712" i="10"/>
  <c r="I1712" i="10"/>
  <c r="J1712" i="10" s="1"/>
  <c r="E1713" i="10"/>
  <c r="I1713" i="10"/>
  <c r="J1713" i="10" s="1"/>
  <c r="E1714" i="10"/>
  <c r="I1714" i="10"/>
  <c r="J1714" i="10" s="1"/>
  <c r="E1715" i="10"/>
  <c r="I1715" i="10"/>
  <c r="E1716" i="10"/>
  <c r="I1716" i="10"/>
  <c r="E1717" i="10"/>
  <c r="I1717" i="10"/>
  <c r="E1718" i="10"/>
  <c r="I1718" i="10"/>
  <c r="E1721" i="10"/>
  <c r="I1721" i="10"/>
  <c r="E1722" i="10"/>
  <c r="I1722" i="10"/>
  <c r="E1723" i="10"/>
  <c r="I1723" i="10"/>
  <c r="E1724" i="10"/>
  <c r="I1724" i="10"/>
  <c r="E1725" i="10"/>
  <c r="I1725" i="10"/>
  <c r="J1725" i="10" s="1"/>
  <c r="E1726" i="10"/>
  <c r="I1726" i="10"/>
  <c r="E1727" i="10"/>
  <c r="I1727" i="10"/>
  <c r="E1728" i="10"/>
  <c r="I1728" i="10"/>
  <c r="J1728" i="10" s="1"/>
  <c r="E1729" i="10"/>
  <c r="I1729" i="10"/>
  <c r="E1730" i="10"/>
  <c r="I1730" i="10"/>
  <c r="E1731" i="10"/>
  <c r="I1731" i="10"/>
  <c r="E1732" i="10"/>
  <c r="I1732" i="10"/>
  <c r="J1732" i="10" s="1"/>
  <c r="E1733" i="10"/>
  <c r="I1733" i="10"/>
  <c r="J1733" i="10" s="1"/>
  <c r="E1734" i="10"/>
  <c r="I1734" i="10"/>
  <c r="E1735" i="10"/>
  <c r="I1735" i="10"/>
  <c r="E1736" i="10"/>
  <c r="I1736" i="10"/>
  <c r="J1736" i="10" s="1"/>
  <c r="E1737" i="10"/>
  <c r="I1737" i="10"/>
  <c r="J1737" i="10" s="1"/>
  <c r="E1738" i="10"/>
  <c r="I1738" i="10"/>
  <c r="J1738" i="10" s="1"/>
  <c r="E1739" i="10"/>
  <c r="I1739" i="10"/>
  <c r="J1739" i="10" s="1"/>
  <c r="E1740" i="10"/>
  <c r="I1740" i="10"/>
  <c r="E1741" i="10"/>
  <c r="I1741" i="10"/>
  <c r="E1742" i="10"/>
  <c r="I1742" i="10"/>
  <c r="E1743" i="10"/>
  <c r="I1743" i="10"/>
  <c r="E1744" i="10"/>
  <c r="I1744" i="10"/>
  <c r="E1745" i="10"/>
  <c r="I1745" i="10"/>
  <c r="J1745" i="10" s="1"/>
  <c r="E1746" i="10"/>
  <c r="I1746" i="10"/>
  <c r="J1746" i="10" s="1"/>
  <c r="E1747" i="10"/>
  <c r="I1747" i="10"/>
  <c r="E1748" i="10"/>
  <c r="I1748" i="10"/>
  <c r="E1749" i="10"/>
  <c r="I1749" i="10"/>
  <c r="E1750" i="10"/>
  <c r="I1750" i="10"/>
  <c r="J1750" i="10" s="1"/>
  <c r="E1751" i="10"/>
  <c r="I1751" i="10"/>
  <c r="J1751" i="10" s="1"/>
  <c r="E1752" i="10"/>
  <c r="I1752" i="10"/>
  <c r="J1752" i="10" s="1"/>
  <c r="E1753" i="10"/>
  <c r="I1753" i="10"/>
  <c r="J1753" i="10" s="1"/>
  <c r="E1754" i="10"/>
  <c r="I1754" i="10"/>
  <c r="E1755" i="10"/>
  <c r="I1755" i="10"/>
  <c r="J1755" i="10" s="1"/>
  <c r="E1756" i="10"/>
  <c r="I1756" i="10"/>
  <c r="J1756" i="10" s="1"/>
  <c r="E1757" i="10"/>
  <c r="I1757" i="10"/>
  <c r="J1757" i="10" s="1"/>
  <c r="E1758" i="10"/>
  <c r="I1758" i="10"/>
  <c r="E1759" i="10"/>
  <c r="I1759" i="10"/>
  <c r="J1759" i="10" s="1"/>
  <c r="E1760" i="10"/>
  <c r="I1760" i="10"/>
  <c r="J1760" i="10" s="1"/>
  <c r="E1761" i="10"/>
  <c r="I1761" i="10"/>
  <c r="E1762" i="10"/>
  <c r="E1763" i="10"/>
  <c r="I1763" i="10"/>
  <c r="E1764" i="10"/>
  <c r="I1764" i="10"/>
  <c r="J1764" i="10" s="1"/>
  <c r="E1765" i="10"/>
  <c r="I1765" i="10"/>
  <c r="J1765" i="10" s="1"/>
  <c r="E1766" i="10"/>
  <c r="I1766" i="10"/>
  <c r="J1766" i="10" s="1"/>
  <c r="E1767" i="10"/>
  <c r="I1767" i="10"/>
  <c r="J1767" i="10" s="1"/>
  <c r="E1768" i="10"/>
  <c r="I1768" i="10"/>
  <c r="E1769" i="10"/>
  <c r="I1769" i="10"/>
  <c r="J1769" i="10" s="1"/>
  <c r="E1770" i="10"/>
  <c r="I1770" i="10"/>
  <c r="J1770" i="10" s="1"/>
  <c r="E1771" i="10"/>
  <c r="I1771" i="10"/>
  <c r="J1771" i="10" s="1"/>
  <c r="E1772" i="10"/>
  <c r="I1772" i="10"/>
  <c r="E1773" i="10"/>
  <c r="I1773" i="10"/>
  <c r="J1773" i="10" s="1"/>
  <c r="E1774" i="10"/>
  <c r="I1774" i="10"/>
  <c r="J1774" i="10" s="1"/>
  <c r="E1775" i="10"/>
  <c r="I1775" i="10"/>
  <c r="E1776" i="10"/>
  <c r="I1776" i="10"/>
  <c r="E1777" i="10"/>
  <c r="I1777" i="10"/>
  <c r="E1778" i="10"/>
  <c r="I1778" i="10"/>
  <c r="E1779" i="10"/>
  <c r="I1779" i="10"/>
  <c r="J1779" i="10" s="1"/>
  <c r="E1780" i="10"/>
  <c r="I1780" i="10"/>
  <c r="E1781" i="10"/>
  <c r="I1781" i="10"/>
  <c r="E1782" i="10"/>
  <c r="I1782" i="10"/>
  <c r="E1783" i="10"/>
  <c r="I1783" i="10"/>
  <c r="E1784" i="10"/>
  <c r="I1784" i="10"/>
  <c r="J1784" i="10" s="1"/>
  <c r="E1785" i="10"/>
  <c r="I1785" i="10"/>
  <c r="E1786" i="10"/>
  <c r="I1786" i="10"/>
  <c r="E1787" i="10"/>
  <c r="I1787" i="10"/>
  <c r="J1787" i="10" s="1"/>
  <c r="J1786" i="10" s="1"/>
  <c r="E1788" i="10"/>
  <c r="I1788" i="10"/>
  <c r="E1789" i="10"/>
  <c r="I1789" i="10"/>
  <c r="E1790" i="10"/>
  <c r="I1790" i="10"/>
  <c r="E1791" i="10"/>
  <c r="I1791" i="10"/>
  <c r="J1791" i="10" s="1"/>
  <c r="E1792" i="10"/>
  <c r="I1792" i="10"/>
  <c r="E1793" i="10"/>
  <c r="I1793" i="10"/>
  <c r="E1794" i="10"/>
  <c r="I1794" i="10"/>
  <c r="E1795" i="10"/>
  <c r="I1795" i="10"/>
  <c r="E1796" i="10"/>
  <c r="I1796" i="10"/>
  <c r="J1796" i="10" s="1"/>
  <c r="E1797" i="10"/>
  <c r="I1797" i="10"/>
  <c r="E1798" i="10"/>
  <c r="I1798" i="10"/>
  <c r="E1799" i="10"/>
  <c r="I1799" i="10"/>
  <c r="J1799" i="10" s="1"/>
  <c r="E1800" i="10"/>
  <c r="I1800" i="10"/>
  <c r="E1801" i="10"/>
  <c r="I1801" i="10"/>
  <c r="E1802" i="10"/>
  <c r="I1802" i="10"/>
  <c r="J1802" i="10" s="1"/>
  <c r="E1803" i="10"/>
  <c r="I1803" i="10"/>
  <c r="J1803" i="10" s="1"/>
  <c r="E1804" i="10"/>
  <c r="I1804" i="10"/>
  <c r="E1805" i="10"/>
  <c r="I1805" i="10"/>
  <c r="E1806" i="10"/>
  <c r="I1806" i="10"/>
  <c r="J1806" i="10" s="1"/>
  <c r="J1805" i="10" s="1"/>
  <c r="E1807" i="10"/>
  <c r="I1807" i="10"/>
  <c r="E1808" i="10"/>
  <c r="I1808" i="10"/>
  <c r="E1809" i="10"/>
  <c r="I1809" i="10"/>
  <c r="J1809" i="10" s="1"/>
  <c r="K5" i="4"/>
  <c r="J5" i="4"/>
  <c r="J6" i="4" s="1"/>
  <c r="H5" i="4"/>
  <c r="H6" i="4" s="1"/>
  <c r="G5" i="4"/>
  <c r="F5" i="4"/>
  <c r="F6" i="4" s="1"/>
  <c r="D5" i="4"/>
  <c r="D6" i="4" s="1"/>
  <c r="E6" i="4" s="1"/>
  <c r="E3" i="4" s="1"/>
  <c r="C5" i="4"/>
  <c r="C3" i="4" s="1"/>
  <c r="B5" i="4"/>
  <c r="B6" i="4" s="1"/>
  <c r="K4" i="4"/>
  <c r="I4" i="4"/>
  <c r="G4" i="4"/>
  <c r="C4" i="4"/>
  <c r="B3" i="4"/>
  <c r="J1410" i="10" l="1"/>
  <c r="J714" i="10"/>
  <c r="J706" i="10"/>
  <c r="J635" i="10"/>
  <c r="J593" i="10"/>
  <c r="J592" i="10" s="1"/>
  <c r="J850" i="10"/>
  <c r="J1412" i="10"/>
  <c r="J1409" i="10"/>
  <c r="O1409" i="10" s="1"/>
  <c r="J316" i="10"/>
  <c r="J276" i="10"/>
  <c r="M276" i="10" s="1"/>
  <c r="J912" i="10"/>
  <c r="O912" i="10" s="1"/>
  <c r="J788" i="10"/>
  <c r="N788" i="10" s="1"/>
  <c r="J447" i="10"/>
  <c r="P447" i="10" s="1"/>
  <c r="J914" i="10"/>
  <c r="O914" i="10" s="1"/>
  <c r="L769" i="10"/>
  <c r="K769" i="10" s="1"/>
  <c r="J768" i="10"/>
  <c r="N768" i="10" s="1"/>
  <c r="L735" i="10"/>
  <c r="K735" i="10" s="1"/>
  <c r="J730" i="10"/>
  <c r="P730" i="10" s="1"/>
  <c r="J708" i="10"/>
  <c r="M708" i="10" s="1"/>
  <c r="J688" i="10"/>
  <c r="N688" i="10" s="1"/>
  <c r="J694" i="10"/>
  <c r="N694" i="10" s="1"/>
  <c r="J454" i="10"/>
  <c r="P454" i="10" s="1"/>
  <c r="P449" i="10" s="1"/>
  <c r="L679" i="10"/>
  <c r="K679" i="10" s="1"/>
  <c r="L420" i="10"/>
  <c r="K420" i="10" s="1"/>
  <c r="L214" i="10"/>
  <c r="K214" i="10" s="1"/>
  <c r="J514" i="10"/>
  <c r="J513" i="10" s="1"/>
  <c r="L469" i="10"/>
  <c r="K469" i="10" s="1"/>
  <c r="J364" i="10"/>
  <c r="P364" i="10" s="1"/>
  <c r="P363" i="10" s="1"/>
  <c r="J252" i="10"/>
  <c r="P252" i="10" s="1"/>
  <c r="J57" i="10"/>
  <c r="O57" i="10" s="1"/>
  <c r="J331" i="10"/>
  <c r="N331" i="10" s="1"/>
  <c r="L193" i="10"/>
  <c r="K193" i="10" s="1"/>
  <c r="J158" i="10"/>
  <c r="J157" i="10" s="1"/>
  <c r="L118" i="10"/>
  <c r="K118" i="10" s="1"/>
  <c r="M1809" i="10"/>
  <c r="P1809" i="10"/>
  <c r="P1808" i="10" s="1"/>
  <c r="N1809" i="10"/>
  <c r="N1808" i="10" s="1"/>
  <c r="O1809" i="10"/>
  <c r="O1808" i="10" s="1"/>
  <c r="J1808" i="10"/>
  <c r="P1803" i="10"/>
  <c r="N1806" i="10"/>
  <c r="N1805" i="10" s="1"/>
  <c r="M1806" i="10"/>
  <c r="P1806" i="10"/>
  <c r="P1805" i="10" s="1"/>
  <c r="O1806" i="10"/>
  <c r="O1805" i="10" s="1"/>
  <c r="M1802" i="10"/>
  <c r="O1802" i="10"/>
  <c r="N1802" i="10"/>
  <c r="M1803" i="10"/>
  <c r="N1803" i="10"/>
  <c r="O1803" i="10"/>
  <c r="P1802" i="10"/>
  <c r="J1801" i="10"/>
  <c r="M1799" i="10"/>
  <c r="J1798" i="10"/>
  <c r="P1799" i="10"/>
  <c r="P1798" i="10" s="1"/>
  <c r="O1799" i="10"/>
  <c r="O1798" i="10" s="1"/>
  <c r="N1799" i="10"/>
  <c r="N1798" i="10" s="1"/>
  <c r="L1799" i="10"/>
  <c r="K1799" i="10" s="1"/>
  <c r="N1796" i="10"/>
  <c r="N1795" i="10" s="1"/>
  <c r="O1796" i="10"/>
  <c r="O1795" i="10" s="1"/>
  <c r="L1796" i="10"/>
  <c r="K1796" i="10" s="1"/>
  <c r="P1796" i="10"/>
  <c r="P1795" i="10" s="1"/>
  <c r="M1796" i="10"/>
  <c r="J1795" i="10"/>
  <c r="P1791" i="10"/>
  <c r="P1790" i="10" s="1"/>
  <c r="J1790" i="10"/>
  <c r="M1791" i="10"/>
  <c r="O1791" i="10"/>
  <c r="O1790" i="10" s="1"/>
  <c r="N1791" i="10"/>
  <c r="N1790" i="10" s="1"/>
  <c r="O1784" i="10"/>
  <c r="O1783" i="10" s="1"/>
  <c r="N1784" i="10"/>
  <c r="N1783" i="10" s="1"/>
  <c r="M1784" i="10"/>
  <c r="P1787" i="10"/>
  <c r="P1786" i="10" s="1"/>
  <c r="O1787" i="10"/>
  <c r="O1786" i="10" s="1"/>
  <c r="N1787" i="10"/>
  <c r="N1786" i="10" s="1"/>
  <c r="M1787" i="10"/>
  <c r="P1784" i="10"/>
  <c r="P1783" i="10" s="1"/>
  <c r="J1783" i="10"/>
  <c r="N1773" i="10"/>
  <c r="N1767" i="10"/>
  <c r="N1765" i="10"/>
  <c r="M1757" i="10"/>
  <c r="O1755" i="10"/>
  <c r="N1753" i="10"/>
  <c r="P1779" i="10"/>
  <c r="P1778" i="10" s="1"/>
  <c r="J1778" i="10"/>
  <c r="O1779" i="10"/>
  <c r="O1778" i="10" s="1"/>
  <c r="N1779" i="10"/>
  <c r="N1778" i="10" s="1"/>
  <c r="M1779" i="10"/>
  <c r="P1774" i="10"/>
  <c r="P1760" i="10"/>
  <c r="O1756" i="10"/>
  <c r="P1746" i="10"/>
  <c r="N1771" i="10"/>
  <c r="M1771" i="10"/>
  <c r="P1771" i="10"/>
  <c r="L1771" i="10"/>
  <c r="K1771" i="10" s="1"/>
  <c r="O1771" i="10"/>
  <c r="M1765" i="10"/>
  <c r="L1765" i="10"/>
  <c r="P1765" i="10"/>
  <c r="O1765" i="10"/>
  <c r="L1773" i="10"/>
  <c r="P1773" i="10"/>
  <c r="M1773" i="10"/>
  <c r="O1773" i="10"/>
  <c r="P1769" i="10"/>
  <c r="L1769" i="10"/>
  <c r="K1769" i="10" s="1"/>
  <c r="O1769" i="10"/>
  <c r="N1769" i="10"/>
  <c r="M1769" i="10"/>
  <c r="J1762" i="10"/>
  <c r="I1762" i="10" s="1"/>
  <c r="O1767" i="10"/>
  <c r="M1767" i="10"/>
  <c r="L1767" i="10"/>
  <c r="P1767" i="10"/>
  <c r="M1774" i="10"/>
  <c r="O1774" i="10"/>
  <c r="N1774" i="10"/>
  <c r="M1770" i="10"/>
  <c r="P1770" i="10"/>
  <c r="L1770" i="10"/>
  <c r="K1770" i="10" s="1"/>
  <c r="O1770" i="10"/>
  <c r="N1770" i="10"/>
  <c r="P1766" i="10"/>
  <c r="L1766" i="10"/>
  <c r="O1766" i="10"/>
  <c r="N1766" i="10"/>
  <c r="M1766" i="10"/>
  <c r="O1764" i="10"/>
  <c r="N1764" i="10"/>
  <c r="M1764" i="10"/>
  <c r="P1764" i="10"/>
  <c r="L1764" i="10"/>
  <c r="P1759" i="10"/>
  <c r="L1759" i="10"/>
  <c r="O1759" i="10"/>
  <c r="N1759" i="10"/>
  <c r="M1759" i="10"/>
  <c r="N1757" i="10"/>
  <c r="L1757" i="10"/>
  <c r="K1757" i="10" s="1"/>
  <c r="O1757" i="10"/>
  <c r="P1757" i="10"/>
  <c r="M1755" i="10"/>
  <c r="L1755" i="10"/>
  <c r="K1755" i="10" s="1"/>
  <c r="P1755" i="10"/>
  <c r="N1755" i="10"/>
  <c r="P1753" i="10"/>
  <c r="O1753" i="10"/>
  <c r="M1753" i="10"/>
  <c r="L1753" i="10"/>
  <c r="O1751" i="10"/>
  <c r="N1751" i="10"/>
  <c r="M1751" i="10"/>
  <c r="P1751" i="10"/>
  <c r="L1751" i="10"/>
  <c r="N1750" i="10"/>
  <c r="J1748" i="10"/>
  <c r="O1760" i="10"/>
  <c r="N1760" i="10"/>
  <c r="M1760" i="10"/>
  <c r="P1756" i="10"/>
  <c r="N1756" i="10"/>
  <c r="L1756" i="10"/>
  <c r="K1756" i="10" s="1"/>
  <c r="M1756" i="10"/>
  <c r="M1752" i="10"/>
  <c r="P1752" i="10"/>
  <c r="L1752" i="10"/>
  <c r="N1752" i="10"/>
  <c r="O1752" i="10"/>
  <c r="L1750" i="10"/>
  <c r="P1750" i="10"/>
  <c r="M1750" i="10"/>
  <c r="O1750" i="10"/>
  <c r="N1746" i="10"/>
  <c r="O1746" i="10"/>
  <c r="M1746" i="10"/>
  <c r="L1746" i="10"/>
  <c r="N1745" i="10"/>
  <c r="N1744" i="10" s="1"/>
  <c r="J1744" i="10"/>
  <c r="P1745" i="10"/>
  <c r="P1744" i="10" s="1"/>
  <c r="L1745" i="10"/>
  <c r="O1745" i="10"/>
  <c r="M1745" i="10"/>
  <c r="O1739" i="10"/>
  <c r="N1737" i="10"/>
  <c r="N1733" i="10"/>
  <c r="M1713" i="10"/>
  <c r="P1738" i="10"/>
  <c r="O1738" i="10"/>
  <c r="N1738" i="10"/>
  <c r="L1738" i="10"/>
  <c r="M1736" i="10"/>
  <c r="L1736" i="10"/>
  <c r="P1736" i="10"/>
  <c r="O1736" i="10"/>
  <c r="N1739" i="10"/>
  <c r="M1739" i="10"/>
  <c r="L1739" i="10"/>
  <c r="K1739" i="10" s="1"/>
  <c r="P1739" i="10"/>
  <c r="L1737" i="10"/>
  <c r="P1737" i="10"/>
  <c r="O1737" i="10"/>
  <c r="M1737" i="10"/>
  <c r="M1738" i="10"/>
  <c r="N1736" i="10"/>
  <c r="J1735" i="10"/>
  <c r="P1733" i="10"/>
  <c r="L1733" i="10"/>
  <c r="O1733" i="10"/>
  <c r="M1733" i="10"/>
  <c r="N1732" i="10"/>
  <c r="J1731" i="10"/>
  <c r="O1732" i="10"/>
  <c r="P1732" i="10"/>
  <c r="M1732" i="10"/>
  <c r="O1728" i="10"/>
  <c r="O1727" i="10" s="1"/>
  <c r="N1728" i="10"/>
  <c r="N1727" i="10" s="1"/>
  <c r="M1728" i="10"/>
  <c r="P1728" i="10"/>
  <c r="P1727" i="10" s="1"/>
  <c r="J1727" i="10"/>
  <c r="P1725" i="10"/>
  <c r="P1724" i="10" s="1"/>
  <c r="J1724" i="10"/>
  <c r="O1725" i="10"/>
  <c r="O1724" i="10" s="1"/>
  <c r="N1725" i="10"/>
  <c r="N1724" i="10" s="1"/>
  <c r="M1725" i="10"/>
  <c r="J1718" i="10"/>
  <c r="O1714" i="10"/>
  <c r="M1708" i="10"/>
  <c r="O1702" i="10"/>
  <c r="O1696" i="10"/>
  <c r="J1711" i="10"/>
  <c r="N1713" i="10"/>
  <c r="O1713" i="10"/>
  <c r="L1713" i="10"/>
  <c r="P1713" i="10"/>
  <c r="P1714" i="10"/>
  <c r="M1714" i="10"/>
  <c r="N1714" i="10"/>
  <c r="L1714" i="10"/>
  <c r="K1714" i="10" s="1"/>
  <c r="P1712" i="10"/>
  <c r="L1712" i="10"/>
  <c r="O1712" i="10"/>
  <c r="N1712" i="10"/>
  <c r="M1712" i="10"/>
  <c r="P1708" i="10"/>
  <c r="O1708" i="10"/>
  <c r="N1708" i="10"/>
  <c r="L1708" i="10"/>
  <c r="O1709" i="10"/>
  <c r="N1707" i="10"/>
  <c r="J1706" i="10"/>
  <c r="O1703" i="10"/>
  <c r="O1701" i="10"/>
  <c r="O1699" i="10"/>
  <c r="O1697" i="10"/>
  <c r="O1695" i="10"/>
  <c r="O1689" i="10"/>
  <c r="O1687" i="10"/>
  <c r="O1685" i="10"/>
  <c r="O1679" i="10"/>
  <c r="O1677" i="10"/>
  <c r="O1675" i="10"/>
  <c r="N1709" i="10"/>
  <c r="M1709" i="10"/>
  <c r="P1709" i="10"/>
  <c r="L1709" i="10"/>
  <c r="K1709" i="10" s="1"/>
  <c r="L1707" i="10"/>
  <c r="P1707" i="10"/>
  <c r="O1707" i="10"/>
  <c r="M1707" i="10"/>
  <c r="O1704" i="10"/>
  <c r="N1704" i="10"/>
  <c r="P1704" i="10"/>
  <c r="L1704" i="10"/>
  <c r="K1704" i="10" s="1"/>
  <c r="L1696" i="10"/>
  <c r="K1696" i="10" s="1"/>
  <c r="P1696" i="10"/>
  <c r="N1696" i="10"/>
  <c r="M1696" i="10"/>
  <c r="O1693" i="10"/>
  <c r="J1691" i="10"/>
  <c r="J913" i="10"/>
  <c r="M913" i="10" s="1"/>
  <c r="P1703" i="10"/>
  <c r="N1703" i="10"/>
  <c r="M1703" i="10"/>
  <c r="L1703" i="10"/>
  <c r="K1703" i="10" s="1"/>
  <c r="M1701" i="10"/>
  <c r="L1701" i="10"/>
  <c r="K1701" i="10" s="1"/>
  <c r="P1701" i="10"/>
  <c r="N1701" i="10"/>
  <c r="N1699" i="10"/>
  <c r="M1699" i="10"/>
  <c r="P1699" i="10"/>
  <c r="L1699" i="10"/>
  <c r="K1699" i="10" s="1"/>
  <c r="N1697" i="10"/>
  <c r="M1697" i="10"/>
  <c r="L1697" i="10"/>
  <c r="K1697" i="10" s="1"/>
  <c r="P1697" i="10"/>
  <c r="N1695" i="10"/>
  <c r="M1695" i="10"/>
  <c r="P1695" i="10"/>
  <c r="L1695" i="10"/>
  <c r="K1695" i="10" s="1"/>
  <c r="L1693" i="10"/>
  <c r="P1693" i="10"/>
  <c r="M1693" i="10"/>
  <c r="N1693" i="10"/>
  <c r="L1702" i="10"/>
  <c r="K1702" i="10" s="1"/>
  <c r="P1702" i="10"/>
  <c r="M1702" i="10"/>
  <c r="N1702" i="10"/>
  <c r="L1698" i="10"/>
  <c r="K1698" i="10" s="1"/>
  <c r="P1698" i="10"/>
  <c r="N1698" i="10"/>
  <c r="O1698" i="10"/>
  <c r="M1704" i="10"/>
  <c r="M1698" i="10"/>
  <c r="M1688" i="10"/>
  <c r="O1683" i="10"/>
  <c r="J1681" i="10"/>
  <c r="L1688" i="10"/>
  <c r="K1688" i="10" s="1"/>
  <c r="P1688" i="10"/>
  <c r="O1688" i="10"/>
  <c r="N1688" i="10"/>
  <c r="P1689" i="10"/>
  <c r="N1689" i="10"/>
  <c r="M1689" i="10"/>
  <c r="L1689" i="10"/>
  <c r="K1689" i="10" s="1"/>
  <c r="M1687" i="10"/>
  <c r="L1687" i="10"/>
  <c r="K1687" i="10" s="1"/>
  <c r="P1687" i="10"/>
  <c r="N1687" i="10"/>
  <c r="P1685" i="10"/>
  <c r="N1685" i="10"/>
  <c r="M1685" i="10"/>
  <c r="L1685" i="10"/>
  <c r="K1685" i="10" s="1"/>
  <c r="L1683" i="10"/>
  <c r="P1683" i="10"/>
  <c r="N1683" i="10"/>
  <c r="M1683" i="10"/>
  <c r="N1686" i="10"/>
  <c r="M1686" i="10"/>
  <c r="L1686" i="10"/>
  <c r="K1686" i="10" s="1"/>
  <c r="P1686" i="10"/>
  <c r="O1686" i="10"/>
  <c r="M1678" i="10"/>
  <c r="O1676" i="10"/>
  <c r="O1664" i="10"/>
  <c r="M1662" i="10"/>
  <c r="N1660" i="10"/>
  <c r="P1652" i="10"/>
  <c r="J1671" i="10"/>
  <c r="N1677" i="10"/>
  <c r="M1677" i="10"/>
  <c r="P1677" i="10"/>
  <c r="L1677" i="10"/>
  <c r="K1677" i="10" s="1"/>
  <c r="N1679" i="10"/>
  <c r="M1679" i="10"/>
  <c r="P1679" i="10"/>
  <c r="L1679" i="10"/>
  <c r="K1679" i="10" s="1"/>
  <c r="N1675" i="10"/>
  <c r="M1675" i="10"/>
  <c r="P1675" i="10"/>
  <c r="L1675" i="10"/>
  <c r="K1675" i="10" s="1"/>
  <c r="M1673" i="10"/>
  <c r="P1673" i="10"/>
  <c r="L1673" i="10"/>
  <c r="N1673" i="10"/>
  <c r="O1673" i="10"/>
  <c r="L1678" i="10"/>
  <c r="K1678" i="10" s="1"/>
  <c r="P1678" i="10"/>
  <c r="N1678" i="10"/>
  <c r="O1678" i="10"/>
  <c r="L1676" i="10"/>
  <c r="K1676" i="10" s="1"/>
  <c r="P1676" i="10"/>
  <c r="M1676" i="10"/>
  <c r="N1676" i="10"/>
  <c r="O1663" i="10"/>
  <c r="O1661" i="10"/>
  <c r="P1659" i="10"/>
  <c r="L658" i="10"/>
  <c r="K658" i="10" s="1"/>
  <c r="J789" i="10"/>
  <c r="P1667" i="10"/>
  <c r="P1666" i="10" s="1"/>
  <c r="J1666" i="10"/>
  <c r="N1667" i="10"/>
  <c r="N1666" i="10" s="1"/>
  <c r="M1667" i="10"/>
  <c r="O1667" i="10"/>
  <c r="O1666" i="10" s="1"/>
  <c r="L1667" i="10"/>
  <c r="L1662" i="10"/>
  <c r="K1662" i="10" s="1"/>
  <c r="P1662" i="10"/>
  <c r="N1662" i="10"/>
  <c r="O1662" i="10"/>
  <c r="N1664" i="10"/>
  <c r="M1664" i="10"/>
  <c r="L1664" i="10"/>
  <c r="K1664" i="10" s="1"/>
  <c r="P1664" i="10"/>
  <c r="L1658" i="10"/>
  <c r="P1658" i="10"/>
  <c r="M1658" i="10"/>
  <c r="O1658" i="10"/>
  <c r="N1658" i="10"/>
  <c r="J1656" i="10"/>
  <c r="O1660" i="10"/>
  <c r="M1660" i="10"/>
  <c r="P1660" i="10"/>
  <c r="L1660" i="10"/>
  <c r="P1663" i="10"/>
  <c r="N1663" i="10"/>
  <c r="L1663" i="10"/>
  <c r="K1663" i="10" s="1"/>
  <c r="M1663" i="10"/>
  <c r="M1661" i="10"/>
  <c r="L1661" i="10"/>
  <c r="N1661" i="10"/>
  <c r="P1661" i="10"/>
  <c r="O1659" i="10"/>
  <c r="N1659" i="10"/>
  <c r="L1659" i="10"/>
  <c r="K1659" i="10" s="1"/>
  <c r="M1659" i="10"/>
  <c r="N1651" i="10"/>
  <c r="O1635" i="10"/>
  <c r="O1652" i="10"/>
  <c r="N1652" i="10"/>
  <c r="M1652" i="10"/>
  <c r="M1650" i="10"/>
  <c r="P1650" i="10"/>
  <c r="L1650" i="10"/>
  <c r="O1650" i="10"/>
  <c r="N1650" i="10"/>
  <c r="N1649" i="10"/>
  <c r="J1647" i="10"/>
  <c r="P1651" i="10"/>
  <c r="O1651" i="10"/>
  <c r="M1651" i="10"/>
  <c r="L1651" i="10"/>
  <c r="O1649" i="10"/>
  <c r="M1649" i="10"/>
  <c r="L1649" i="10"/>
  <c r="P1649" i="10"/>
  <c r="M1644" i="10"/>
  <c r="P1642" i="10"/>
  <c r="J1641" i="10"/>
  <c r="O1638" i="10"/>
  <c r="M1636" i="10"/>
  <c r="N1634" i="10"/>
  <c r="O1632" i="10"/>
  <c r="O1644" i="10"/>
  <c r="P1644" i="10"/>
  <c r="N1644" i="10"/>
  <c r="L1644" i="10"/>
  <c r="K1644" i="10" s="1"/>
  <c r="M1642" i="10"/>
  <c r="N1642" i="10"/>
  <c r="L1642" i="10"/>
  <c r="L1641" i="10" s="1"/>
  <c r="C222" i="7" s="1"/>
  <c r="O1642" i="10"/>
  <c r="P1643" i="10"/>
  <c r="L1643" i="10"/>
  <c r="M1643" i="10"/>
  <c r="O1643" i="10"/>
  <c r="N1643" i="10"/>
  <c r="N1638" i="10"/>
  <c r="L1638" i="10"/>
  <c r="K1638" i="10" s="1"/>
  <c r="P1638" i="10"/>
  <c r="M1638" i="10"/>
  <c r="L1636" i="10"/>
  <c r="K1636" i="10" s="1"/>
  <c r="O1636" i="10"/>
  <c r="P1636" i="10"/>
  <c r="N1636" i="10"/>
  <c r="O1634" i="10"/>
  <c r="M1634" i="10"/>
  <c r="L1634" i="10"/>
  <c r="P1634" i="10"/>
  <c r="L1632" i="10"/>
  <c r="M1632" i="10"/>
  <c r="P1632" i="10"/>
  <c r="N1632" i="10"/>
  <c r="P1637" i="10"/>
  <c r="L1637" i="10"/>
  <c r="K1637" i="10" s="1"/>
  <c r="N1637" i="10"/>
  <c r="M1637" i="10"/>
  <c r="M1631" i="10"/>
  <c r="P1631" i="10"/>
  <c r="L1631" i="10"/>
  <c r="O1631" i="10"/>
  <c r="O1637" i="10"/>
  <c r="M1633" i="10"/>
  <c r="N1631" i="10"/>
  <c r="J1628" i="10"/>
  <c r="N1625" i="10"/>
  <c r="N1623" i="10"/>
  <c r="M1635" i="10"/>
  <c r="N1635" i="10"/>
  <c r="L1635" i="10"/>
  <c r="K1635" i="10" s="1"/>
  <c r="P1635" i="10"/>
  <c r="P1633" i="10"/>
  <c r="N1633" i="10"/>
  <c r="O1633" i="10"/>
  <c r="L1633" i="10"/>
  <c r="K1633" i="10" s="1"/>
  <c r="N1622" i="10"/>
  <c r="J1620" i="10"/>
  <c r="L1625" i="10"/>
  <c r="P1625" i="10"/>
  <c r="O1625" i="10"/>
  <c r="M1625" i="10"/>
  <c r="O1623" i="10"/>
  <c r="M1623" i="10"/>
  <c r="L1623" i="10"/>
  <c r="P1623" i="10"/>
  <c r="N1624" i="10"/>
  <c r="N1616" i="10"/>
  <c r="P1626" i="10"/>
  <c r="O1626" i="10"/>
  <c r="N1626" i="10"/>
  <c r="M1626" i="10"/>
  <c r="M1624" i="10"/>
  <c r="L1624" i="10"/>
  <c r="P1624" i="10"/>
  <c r="O1624" i="10"/>
  <c r="P1622" i="10"/>
  <c r="O1622" i="10"/>
  <c r="M1622" i="10"/>
  <c r="L1622" i="10"/>
  <c r="L1615" i="10"/>
  <c r="P1615" i="10"/>
  <c r="O1615" i="10"/>
  <c r="M1615" i="10"/>
  <c r="N1617" i="10"/>
  <c r="M1617" i="10"/>
  <c r="L1617" i="10"/>
  <c r="O1617" i="10"/>
  <c r="P1616" i="10"/>
  <c r="O1616" i="10"/>
  <c r="M1616" i="10"/>
  <c r="L1616" i="10"/>
  <c r="J109" i="10"/>
  <c r="N109" i="10" s="1"/>
  <c r="P1617" i="10"/>
  <c r="N1615" i="10"/>
  <c r="J1613" i="10"/>
  <c r="N1609" i="10"/>
  <c r="J775" i="10"/>
  <c r="J774" i="10" s="1"/>
  <c r="J731" i="10"/>
  <c r="N731" i="10" s="1"/>
  <c r="J713" i="10"/>
  <c r="N713" i="10" s="1"/>
  <c r="J689" i="10"/>
  <c r="N689" i="10" s="1"/>
  <c r="J657" i="10"/>
  <c r="O657" i="10" s="1"/>
  <c r="J577" i="10"/>
  <c r="P577" i="10" s="1"/>
  <c r="P576" i="10" s="1"/>
  <c r="J563" i="10"/>
  <c r="N563" i="10" s="1"/>
  <c r="J547" i="10"/>
  <c r="N547" i="10" s="1"/>
  <c r="J537" i="10"/>
  <c r="N537" i="10" s="1"/>
  <c r="J529" i="10"/>
  <c r="N529" i="10" s="1"/>
  <c r="J445" i="10"/>
  <c r="N445" i="10" s="1"/>
  <c r="J411" i="10"/>
  <c r="M411" i="10" s="1"/>
  <c r="J407" i="10"/>
  <c r="O407" i="10" s="1"/>
  <c r="J72" i="10"/>
  <c r="N72" i="10" s="1"/>
  <c r="J48" i="10"/>
  <c r="O48" i="10" s="1"/>
  <c r="L1609" i="10"/>
  <c r="P1609" i="10"/>
  <c r="M1609" i="10"/>
  <c r="O1609" i="10"/>
  <c r="M1610" i="10"/>
  <c r="J1606" i="10"/>
  <c r="M1604" i="10"/>
  <c r="O1602" i="10"/>
  <c r="O1594" i="10"/>
  <c r="P1610" i="10"/>
  <c r="L1610" i="10"/>
  <c r="K1610" i="10" s="1"/>
  <c r="O1610" i="10"/>
  <c r="N1610" i="10"/>
  <c r="N1608" i="10"/>
  <c r="M1608" i="10"/>
  <c r="O1608" i="10"/>
  <c r="O1606" i="10" s="1"/>
  <c r="P1608" i="10"/>
  <c r="P1603" i="10"/>
  <c r="L1603" i="10"/>
  <c r="K1603" i="10" s="1"/>
  <c r="N1603" i="10"/>
  <c r="M1603" i="10"/>
  <c r="M1601" i="10"/>
  <c r="N1601" i="10"/>
  <c r="L1601" i="10"/>
  <c r="P1601" i="10"/>
  <c r="O1604" i="10"/>
  <c r="N1604" i="10"/>
  <c r="L1604" i="10"/>
  <c r="K1604" i="10" s="1"/>
  <c r="P1604" i="10"/>
  <c r="L1602" i="10"/>
  <c r="K1602" i="10" s="1"/>
  <c r="P1602" i="10"/>
  <c r="N1602" i="10"/>
  <c r="M1602" i="10"/>
  <c r="O1603" i="10"/>
  <c r="O1601" i="10"/>
  <c r="J1600" i="10"/>
  <c r="O1595" i="10"/>
  <c r="O1593" i="10"/>
  <c r="M1591" i="10"/>
  <c r="O1589" i="10"/>
  <c r="O1583" i="10"/>
  <c r="O1577" i="10"/>
  <c r="L1594" i="10"/>
  <c r="K1594" i="10" s="1"/>
  <c r="P1594" i="10"/>
  <c r="N1594" i="10"/>
  <c r="M1594" i="10"/>
  <c r="L1588" i="10"/>
  <c r="N1588" i="10"/>
  <c r="M1588" i="10"/>
  <c r="P1588" i="10"/>
  <c r="P1595" i="10"/>
  <c r="L1595" i="10"/>
  <c r="K1595" i="10" s="1"/>
  <c r="N1595" i="10"/>
  <c r="M1595" i="10"/>
  <c r="M1593" i="10"/>
  <c r="N1593" i="10"/>
  <c r="L1593" i="10"/>
  <c r="K1593" i="10" s="1"/>
  <c r="P1593" i="10"/>
  <c r="O1591" i="10"/>
  <c r="N1591" i="10"/>
  <c r="L1591" i="10"/>
  <c r="K1591" i="10" s="1"/>
  <c r="P1591" i="10"/>
  <c r="N1589" i="10"/>
  <c r="P1589" i="10"/>
  <c r="M1589" i="10"/>
  <c r="L1589" i="10"/>
  <c r="K1589" i="10" s="1"/>
  <c r="O1596" i="10"/>
  <c r="P1596" i="10"/>
  <c r="N1596" i="10"/>
  <c r="L1596" i="10"/>
  <c r="K1596" i="10" s="1"/>
  <c r="L1590" i="10"/>
  <c r="K1590" i="10" s="1"/>
  <c r="P1590" i="10"/>
  <c r="N1590" i="10"/>
  <c r="M1590" i="10"/>
  <c r="M1596" i="10"/>
  <c r="O1590" i="10"/>
  <c r="O1588" i="10"/>
  <c r="J1587" i="10"/>
  <c r="M1584" i="10"/>
  <c r="O1582" i="10"/>
  <c r="O1581" i="10"/>
  <c r="J1580" i="10"/>
  <c r="P1583" i="10"/>
  <c r="L1583" i="10"/>
  <c r="K1583" i="10" s="1"/>
  <c r="N1583" i="10"/>
  <c r="M1583" i="10"/>
  <c r="M1581" i="10"/>
  <c r="N1581" i="10"/>
  <c r="L1581" i="10"/>
  <c r="P1581" i="10"/>
  <c r="O1584" i="10"/>
  <c r="P1584" i="10"/>
  <c r="N1584" i="10"/>
  <c r="L1584" i="10"/>
  <c r="K1584" i="10" s="1"/>
  <c r="L1582" i="10"/>
  <c r="K1582" i="10" s="1"/>
  <c r="P1582" i="10"/>
  <c r="M1582" i="10"/>
  <c r="N1582" i="10"/>
  <c r="N1577" i="10"/>
  <c r="M1577" i="10"/>
  <c r="P1577" i="10"/>
  <c r="L1577" i="10"/>
  <c r="K1577" i="10" s="1"/>
  <c r="M1576" i="10"/>
  <c r="J1575" i="10"/>
  <c r="P1576" i="10"/>
  <c r="P1575" i="10" s="1"/>
  <c r="L1576" i="10"/>
  <c r="O1576" i="10"/>
  <c r="N1576" i="10"/>
  <c r="P1572" i="10"/>
  <c r="P1570" i="10" s="1"/>
  <c r="O1572" i="10"/>
  <c r="O1570" i="10" s="1"/>
  <c r="N1572" i="10"/>
  <c r="N1570" i="10" s="1"/>
  <c r="M1572" i="10"/>
  <c r="N1561" i="10"/>
  <c r="O1561" i="10"/>
  <c r="M1561" i="10"/>
  <c r="O1559" i="10"/>
  <c r="N1559" i="10"/>
  <c r="M1559" i="10"/>
  <c r="M1556" i="10"/>
  <c r="J1555" i="10"/>
  <c r="N1562" i="10"/>
  <c r="M1562" i="10"/>
  <c r="O1562" i="10"/>
  <c r="P1562" i="10"/>
  <c r="O1560" i="10"/>
  <c r="N1560" i="10"/>
  <c r="P1560" i="10"/>
  <c r="M1560" i="10"/>
  <c r="P1556" i="10"/>
  <c r="O1556" i="10"/>
  <c r="N1556" i="10"/>
  <c r="P1561" i="10"/>
  <c r="P1559" i="10"/>
  <c r="P1550" i="10"/>
  <c r="P1549" i="10" s="1"/>
  <c r="J1549" i="10"/>
  <c r="M1550" i="10"/>
  <c r="O1550" i="10"/>
  <c r="O1549" i="10" s="1"/>
  <c r="N1550" i="10"/>
  <c r="N1549" i="10" s="1"/>
  <c r="P1546" i="10"/>
  <c r="P1545" i="10" s="1"/>
  <c r="J1545" i="10"/>
  <c r="M1546" i="10"/>
  <c r="O1546" i="10"/>
  <c r="O1545" i="10" s="1"/>
  <c r="N1546" i="10"/>
  <c r="N1545" i="10" s="1"/>
  <c r="P1536" i="10"/>
  <c r="O1532" i="10"/>
  <c r="N1528" i="10"/>
  <c r="P1522" i="10"/>
  <c r="O1518" i="10"/>
  <c r="N1514" i="10"/>
  <c r="O1541" i="10"/>
  <c r="O1540" i="10" s="1"/>
  <c r="M1541" i="10"/>
  <c r="N1541" i="10"/>
  <c r="N1540" i="10" s="1"/>
  <c r="P1541" i="10"/>
  <c r="P1540" i="10" s="1"/>
  <c r="J1540" i="10"/>
  <c r="L1535" i="10"/>
  <c r="P1535" i="10"/>
  <c r="O1535" i="10"/>
  <c r="M1535" i="10"/>
  <c r="M1529" i="10"/>
  <c r="P1529" i="10"/>
  <c r="L1529" i="10"/>
  <c r="N1529" i="10"/>
  <c r="O1529" i="10"/>
  <c r="P1531" i="10"/>
  <c r="N1531" i="10"/>
  <c r="M1531" i="10"/>
  <c r="L1531" i="10"/>
  <c r="K1531" i="10" s="1"/>
  <c r="N1533" i="10"/>
  <c r="L1533" i="10"/>
  <c r="K1533" i="10" s="1"/>
  <c r="O1533" i="10"/>
  <c r="P1533" i="10"/>
  <c r="P1527" i="10"/>
  <c r="L1527" i="10"/>
  <c r="O1527" i="10"/>
  <c r="N1527" i="10"/>
  <c r="M1527" i="10"/>
  <c r="J1524" i="10"/>
  <c r="O1536" i="10"/>
  <c r="M1536" i="10"/>
  <c r="N1536" i="10"/>
  <c r="N1532" i="10"/>
  <c r="M1532" i="10"/>
  <c r="P1532" i="10"/>
  <c r="L1532" i="10"/>
  <c r="K1532" i="10" s="1"/>
  <c r="O1528" i="10"/>
  <c r="M1528" i="10"/>
  <c r="L1528" i="10"/>
  <c r="P1528" i="10"/>
  <c r="M1526" i="10"/>
  <c r="L1526" i="10"/>
  <c r="O1526" i="10"/>
  <c r="P1526" i="10"/>
  <c r="N1526" i="10"/>
  <c r="N1535" i="10"/>
  <c r="M1533" i="10"/>
  <c r="O1531" i="10"/>
  <c r="N1512" i="10"/>
  <c r="J1510" i="10"/>
  <c r="O1522" i="10"/>
  <c r="N1522" i="10"/>
  <c r="M1522" i="10"/>
  <c r="N1518" i="10"/>
  <c r="M1518" i="10"/>
  <c r="L1518" i="10"/>
  <c r="K1518" i="10" s="1"/>
  <c r="P1518" i="10"/>
  <c r="P1514" i="10"/>
  <c r="O1514" i="10"/>
  <c r="L1514" i="10"/>
  <c r="M1514" i="10"/>
  <c r="M1512" i="10"/>
  <c r="L1512" i="10"/>
  <c r="O1512" i="10"/>
  <c r="P1512" i="10"/>
  <c r="N1521" i="10"/>
  <c r="M1519" i="10"/>
  <c r="O1517" i="10"/>
  <c r="N1515" i="10"/>
  <c r="N1513" i="10"/>
  <c r="P1521" i="10"/>
  <c r="O1521" i="10"/>
  <c r="M1521" i="10"/>
  <c r="L1521" i="10"/>
  <c r="L1519" i="10"/>
  <c r="K1519" i="10" s="1"/>
  <c r="P1519" i="10"/>
  <c r="O1519" i="10"/>
  <c r="N1519" i="10"/>
  <c r="L1517" i="10"/>
  <c r="K1517" i="10" s="1"/>
  <c r="P1517" i="10"/>
  <c r="M1517" i="10"/>
  <c r="N1517" i="10"/>
  <c r="O1515" i="10"/>
  <c r="M1515" i="10"/>
  <c r="L1515" i="10"/>
  <c r="P1515" i="10"/>
  <c r="L1513" i="10"/>
  <c r="P1513" i="10"/>
  <c r="O1513" i="10"/>
  <c r="M1513" i="10"/>
  <c r="M1505" i="10"/>
  <c r="N1505" i="10"/>
  <c r="N1504" i="10" s="1"/>
  <c r="P1505" i="10"/>
  <c r="P1504" i="10" s="1"/>
  <c r="O1505" i="10"/>
  <c r="O1504" i="10" s="1"/>
  <c r="P1500" i="10"/>
  <c r="P1499" i="10" s="1"/>
  <c r="J1499" i="10"/>
  <c r="O1500" i="10"/>
  <c r="O1499" i="10" s="1"/>
  <c r="N1500" i="10"/>
  <c r="N1499" i="10" s="1"/>
  <c r="M1500" i="10"/>
  <c r="N1493" i="10"/>
  <c r="M1493" i="10"/>
  <c r="P1493" i="10"/>
  <c r="L1493" i="10"/>
  <c r="O1493" i="10"/>
  <c r="M1494" i="10"/>
  <c r="O1490" i="10"/>
  <c r="P1495" i="10"/>
  <c r="N1495" i="10"/>
  <c r="M1495" i="10"/>
  <c r="L1495" i="10"/>
  <c r="K1495" i="10" s="1"/>
  <c r="L1494" i="10"/>
  <c r="P1494" i="10"/>
  <c r="N1494" i="10"/>
  <c r="O1494" i="10"/>
  <c r="O1495" i="10"/>
  <c r="J1492" i="10"/>
  <c r="M1489" i="10"/>
  <c r="N1488" i="10"/>
  <c r="J1487" i="10"/>
  <c r="N1490" i="10"/>
  <c r="M1490" i="10"/>
  <c r="L1490" i="10"/>
  <c r="K1490" i="10" s="1"/>
  <c r="P1490" i="10"/>
  <c r="O1488" i="10"/>
  <c r="M1488" i="10"/>
  <c r="L1488" i="10"/>
  <c r="P1488" i="10"/>
  <c r="L1489" i="10"/>
  <c r="P1489" i="10"/>
  <c r="O1489" i="10"/>
  <c r="N1489" i="10"/>
  <c r="M1485" i="10"/>
  <c r="O1483" i="10"/>
  <c r="M1479" i="10"/>
  <c r="O1477" i="10"/>
  <c r="M1469" i="10"/>
  <c r="O1467" i="10"/>
  <c r="O1484" i="10"/>
  <c r="O1482" i="10"/>
  <c r="O1480" i="10"/>
  <c r="O1478" i="10"/>
  <c r="O1476" i="10"/>
  <c r="O1470" i="10"/>
  <c r="O1468" i="10"/>
  <c r="O1466" i="10"/>
  <c r="O1474" i="10"/>
  <c r="J1472" i="10"/>
  <c r="O1485" i="10"/>
  <c r="N1485" i="10"/>
  <c r="L1485" i="10"/>
  <c r="K1485" i="10" s="1"/>
  <c r="P1485" i="10"/>
  <c r="P1483" i="10"/>
  <c r="L1483" i="10"/>
  <c r="K1483" i="10" s="1"/>
  <c r="N1483" i="10"/>
  <c r="M1483" i="10"/>
  <c r="L1479" i="10"/>
  <c r="K1479" i="10" s="1"/>
  <c r="P1479" i="10"/>
  <c r="O1479" i="10"/>
  <c r="N1479" i="10"/>
  <c r="N1477" i="10"/>
  <c r="L1477" i="10"/>
  <c r="K1477" i="10" s="1"/>
  <c r="M1477" i="10"/>
  <c r="P1477" i="10"/>
  <c r="P1484" i="10"/>
  <c r="N1484" i="10"/>
  <c r="M1484" i="10"/>
  <c r="L1484" i="10"/>
  <c r="K1484" i="10" s="1"/>
  <c r="M1482" i="10"/>
  <c r="L1482" i="10"/>
  <c r="K1482" i="10" s="1"/>
  <c r="P1482" i="10"/>
  <c r="N1482" i="10"/>
  <c r="P1480" i="10"/>
  <c r="N1480" i="10"/>
  <c r="M1480" i="10"/>
  <c r="L1480" i="10"/>
  <c r="K1480" i="10" s="1"/>
  <c r="M1478" i="10"/>
  <c r="P1478" i="10"/>
  <c r="N1478" i="10"/>
  <c r="L1478" i="10"/>
  <c r="K1478" i="10" s="1"/>
  <c r="P1476" i="10"/>
  <c r="N1476" i="10"/>
  <c r="M1476" i="10"/>
  <c r="L1476" i="10"/>
  <c r="K1476" i="10" s="1"/>
  <c r="L1474" i="10"/>
  <c r="N1474" i="10"/>
  <c r="P1474" i="10"/>
  <c r="M1474" i="10"/>
  <c r="O1464" i="10"/>
  <c r="J1462" i="10"/>
  <c r="N1470" i="10"/>
  <c r="M1470" i="10"/>
  <c r="L1470" i="10"/>
  <c r="K1470" i="10" s="1"/>
  <c r="P1470" i="10"/>
  <c r="M1466" i="10"/>
  <c r="L1466" i="10"/>
  <c r="K1466" i="10" s="1"/>
  <c r="P1466" i="10"/>
  <c r="N1466" i="10"/>
  <c r="M1468" i="10"/>
  <c r="L1468" i="10"/>
  <c r="K1468" i="10" s="1"/>
  <c r="N1468" i="10"/>
  <c r="P1468" i="10"/>
  <c r="P1464" i="10"/>
  <c r="N1464" i="10"/>
  <c r="L1464" i="10"/>
  <c r="M1464" i="10"/>
  <c r="P1469" i="10"/>
  <c r="O1469" i="10"/>
  <c r="L1469" i="10"/>
  <c r="K1469" i="10" s="1"/>
  <c r="N1469" i="10"/>
  <c r="P1467" i="10"/>
  <c r="N1467" i="10"/>
  <c r="L1467" i="10"/>
  <c r="K1467" i="10" s="1"/>
  <c r="M1467" i="10"/>
  <c r="O1454" i="10"/>
  <c r="O1452" i="10"/>
  <c r="P1450" i="10"/>
  <c r="O1444" i="10"/>
  <c r="O1442" i="10"/>
  <c r="P1440" i="10"/>
  <c r="O1455" i="10"/>
  <c r="M1453" i="10"/>
  <c r="O1445" i="10"/>
  <c r="M1443" i="10"/>
  <c r="N1441" i="10"/>
  <c r="P1458" i="10"/>
  <c r="P1457" i="10" s="1"/>
  <c r="J1457" i="10"/>
  <c r="O1458" i="10"/>
  <c r="O1457" i="10" s="1"/>
  <c r="L1458" i="10"/>
  <c r="N1458" i="10"/>
  <c r="N1457" i="10" s="1"/>
  <c r="M1458" i="10"/>
  <c r="L1454" i="10"/>
  <c r="K1454" i="10" s="1"/>
  <c r="P1454" i="10"/>
  <c r="M1454" i="10"/>
  <c r="N1454" i="10"/>
  <c r="N1452" i="10"/>
  <c r="M1452" i="10"/>
  <c r="L1452" i="10"/>
  <c r="P1452" i="10"/>
  <c r="M1450" i="10"/>
  <c r="L1450" i="10"/>
  <c r="K1450" i="10" s="1"/>
  <c r="O1450" i="10"/>
  <c r="N1450" i="10"/>
  <c r="J1447" i="10"/>
  <c r="P1455" i="10"/>
  <c r="N1455" i="10"/>
  <c r="M1455" i="10"/>
  <c r="L1455" i="10"/>
  <c r="K1455" i="10" s="1"/>
  <c r="N1453" i="10"/>
  <c r="L1453" i="10"/>
  <c r="K1453" i="10" s="1"/>
  <c r="O1453" i="10"/>
  <c r="P1453" i="10"/>
  <c r="P1451" i="10"/>
  <c r="L1451" i="10"/>
  <c r="O1451" i="10"/>
  <c r="N1451" i="10"/>
  <c r="M1451" i="10"/>
  <c r="P1449" i="10"/>
  <c r="O1449" i="10"/>
  <c r="M1449" i="10"/>
  <c r="L1449" i="10"/>
  <c r="N1449" i="10"/>
  <c r="P1445" i="10"/>
  <c r="N1445" i="10"/>
  <c r="M1445" i="10"/>
  <c r="L1445" i="10"/>
  <c r="K1445" i="10" s="1"/>
  <c r="O1443" i="10"/>
  <c r="L1443" i="10"/>
  <c r="K1443" i="10" s="1"/>
  <c r="N1443" i="10"/>
  <c r="P1443" i="10"/>
  <c r="O1441" i="10"/>
  <c r="M1441" i="10"/>
  <c r="L1441" i="10"/>
  <c r="P1441" i="10"/>
  <c r="N1439" i="10"/>
  <c r="L1439" i="10"/>
  <c r="M1439" i="10"/>
  <c r="P1439" i="10"/>
  <c r="O1439" i="10"/>
  <c r="M1444" i="10"/>
  <c r="P1444" i="10"/>
  <c r="L1444" i="10"/>
  <c r="K1444" i="10" s="1"/>
  <c r="N1444" i="10"/>
  <c r="L1442" i="10"/>
  <c r="P1442" i="10"/>
  <c r="N1442" i="10"/>
  <c r="M1442" i="10"/>
  <c r="O1440" i="10"/>
  <c r="M1440" i="10"/>
  <c r="N1440" i="10"/>
  <c r="L1440" i="10"/>
  <c r="K1440" i="10" s="1"/>
  <c r="J1437" i="10"/>
  <c r="P1433" i="10"/>
  <c r="N1431" i="10"/>
  <c r="N1425" i="10"/>
  <c r="N1430" i="10"/>
  <c r="J1428" i="10"/>
  <c r="P1432" i="10"/>
  <c r="L1432" i="10"/>
  <c r="O1432" i="10"/>
  <c r="N1432" i="10"/>
  <c r="M1432" i="10"/>
  <c r="O1430" i="10"/>
  <c r="M1430" i="10"/>
  <c r="L1430" i="10"/>
  <c r="P1430" i="10"/>
  <c r="O1433" i="10"/>
  <c r="N1433" i="10"/>
  <c r="M1433" i="10"/>
  <c r="M1431" i="10"/>
  <c r="L1431" i="10"/>
  <c r="P1431" i="10"/>
  <c r="O1431" i="10"/>
  <c r="L1424" i="10"/>
  <c r="P1424" i="10"/>
  <c r="O1424" i="10"/>
  <c r="M1424" i="10"/>
  <c r="N1423" i="10"/>
  <c r="J1421" i="10"/>
  <c r="P1425" i="10"/>
  <c r="O1425" i="10"/>
  <c r="M1425" i="10"/>
  <c r="L1425" i="10"/>
  <c r="M1423" i="10"/>
  <c r="P1423" i="10"/>
  <c r="L1423" i="10"/>
  <c r="O1423" i="10"/>
  <c r="O1426" i="10"/>
  <c r="M1426" i="10"/>
  <c r="N1426" i="10"/>
  <c r="P1426" i="10"/>
  <c r="N1424" i="10"/>
  <c r="P1418" i="10"/>
  <c r="O1418" i="10"/>
  <c r="N1418" i="10"/>
  <c r="L1418" i="10"/>
  <c r="K1418" i="10" s="1"/>
  <c r="N1416" i="10"/>
  <c r="O1416" i="10"/>
  <c r="M1416" i="10"/>
  <c r="P1416" i="10"/>
  <c r="N1417" i="10"/>
  <c r="O1411" i="10"/>
  <c r="M1407" i="10"/>
  <c r="N1399" i="10"/>
  <c r="N1397" i="10"/>
  <c r="M1383" i="10"/>
  <c r="O1381" i="10"/>
  <c r="M1375" i="10"/>
  <c r="O1373" i="10"/>
  <c r="O1369" i="10"/>
  <c r="L1417" i="10"/>
  <c r="P1417" i="10"/>
  <c r="O1417" i="10"/>
  <c r="M1417" i="10"/>
  <c r="M1418" i="10"/>
  <c r="J1415" i="10"/>
  <c r="O1412" i="10"/>
  <c r="M1410" i="10"/>
  <c r="N1408" i="10"/>
  <c r="O1406" i="10"/>
  <c r="N1412" i="10"/>
  <c r="M1412" i="10"/>
  <c r="L1412" i="10"/>
  <c r="K1412" i="10" s="1"/>
  <c r="P1412" i="10"/>
  <c r="O1410" i="10"/>
  <c r="L1410" i="10"/>
  <c r="K1410" i="10" s="1"/>
  <c r="N1410" i="10"/>
  <c r="P1410" i="10"/>
  <c r="O1408" i="10"/>
  <c r="L1408" i="10"/>
  <c r="P1408" i="10"/>
  <c r="M1408" i="10"/>
  <c r="L1406" i="10"/>
  <c r="N1406" i="10"/>
  <c r="P1406" i="10"/>
  <c r="M1406" i="10"/>
  <c r="N1405" i="10"/>
  <c r="L1411" i="10"/>
  <c r="K1411" i="10" s="1"/>
  <c r="P1411" i="10"/>
  <c r="N1411" i="10"/>
  <c r="M1411" i="10"/>
  <c r="L1409" i="10"/>
  <c r="K1409" i="10" s="1"/>
  <c r="P1409" i="10"/>
  <c r="N1409" i="10"/>
  <c r="M1409" i="10"/>
  <c r="P1407" i="10"/>
  <c r="L1407" i="10"/>
  <c r="K1407" i="10" s="1"/>
  <c r="O1407" i="10"/>
  <c r="N1407" i="10"/>
  <c r="M1405" i="10"/>
  <c r="O1405" i="10"/>
  <c r="L1405" i="10"/>
  <c r="P1405" i="10"/>
  <c r="N1396" i="10"/>
  <c r="J1393" i="10"/>
  <c r="O1400" i="10"/>
  <c r="N1400" i="10"/>
  <c r="M1400" i="10"/>
  <c r="O1396" i="10"/>
  <c r="L1396" i="10"/>
  <c r="P1396" i="10"/>
  <c r="M1396" i="10"/>
  <c r="L1398" i="10"/>
  <c r="M1398" i="10"/>
  <c r="P1398" i="10"/>
  <c r="O1398" i="10"/>
  <c r="P1399" i="10"/>
  <c r="O1399" i="10"/>
  <c r="M1399" i="10"/>
  <c r="L1399" i="10"/>
  <c r="M1397" i="10"/>
  <c r="L1397" i="10"/>
  <c r="P1397" i="10"/>
  <c r="O1397" i="10"/>
  <c r="P1400" i="10"/>
  <c r="N1398" i="10"/>
  <c r="N1388" i="10"/>
  <c r="J1386" i="10"/>
  <c r="N1390" i="10"/>
  <c r="O1390" i="10"/>
  <c r="M1390" i="10"/>
  <c r="L1390" i="10"/>
  <c r="M1388" i="10"/>
  <c r="O1388" i="10"/>
  <c r="L1388" i="10"/>
  <c r="P1388" i="10"/>
  <c r="P1389" i="10"/>
  <c r="L1389" i="10"/>
  <c r="M1389" i="10"/>
  <c r="O1389" i="10"/>
  <c r="N1389" i="10"/>
  <c r="P1390" i="10"/>
  <c r="O1382" i="10"/>
  <c r="P1382" i="10"/>
  <c r="N1382" i="10"/>
  <c r="M1382" i="10"/>
  <c r="L1382" i="10"/>
  <c r="K1382" i="10" s="1"/>
  <c r="M1380" i="10"/>
  <c r="L1380" i="10"/>
  <c r="P1380" i="10"/>
  <c r="N1380" i="10"/>
  <c r="O1380" i="10"/>
  <c r="J1379" i="10"/>
  <c r="O1383" i="10"/>
  <c r="L1383" i="10"/>
  <c r="K1383" i="10" s="1"/>
  <c r="N1383" i="10"/>
  <c r="P1383" i="10"/>
  <c r="L1381" i="10"/>
  <c r="K1381" i="10" s="1"/>
  <c r="N1381" i="10"/>
  <c r="M1381" i="10"/>
  <c r="P1381" i="10"/>
  <c r="O1374" i="10"/>
  <c r="O1372" i="10"/>
  <c r="M1370" i="10"/>
  <c r="O1368" i="10"/>
  <c r="M1364" i="10"/>
  <c r="O1362" i="10"/>
  <c r="O1356" i="10"/>
  <c r="P1374" i="10"/>
  <c r="L1374" i="10"/>
  <c r="K1374" i="10" s="1"/>
  <c r="N1374" i="10"/>
  <c r="M1374" i="10"/>
  <c r="P1372" i="10"/>
  <c r="L1372" i="10"/>
  <c r="K1372" i="10" s="1"/>
  <c r="N1372" i="10"/>
  <c r="M1372" i="10"/>
  <c r="N1370" i="10"/>
  <c r="O1370" i="10"/>
  <c r="L1370" i="10"/>
  <c r="K1370" i="10" s="1"/>
  <c r="P1370" i="10"/>
  <c r="P1368" i="10"/>
  <c r="N1368" i="10"/>
  <c r="L1368" i="10"/>
  <c r="K1368" i="10" s="1"/>
  <c r="M1368" i="10"/>
  <c r="O1367" i="10"/>
  <c r="J1366" i="10"/>
  <c r="O1375" i="10"/>
  <c r="P1375" i="10"/>
  <c r="N1375" i="10"/>
  <c r="L1375" i="10"/>
  <c r="K1375" i="10" s="1"/>
  <c r="M1373" i="10"/>
  <c r="N1373" i="10"/>
  <c r="L1373" i="10"/>
  <c r="K1373" i="10" s="1"/>
  <c r="P1373" i="10"/>
  <c r="N1369" i="10"/>
  <c r="M1369" i="10"/>
  <c r="P1369" i="10"/>
  <c r="L1369" i="10"/>
  <c r="K1369" i="10" s="1"/>
  <c r="L1367" i="10"/>
  <c r="M1367" i="10"/>
  <c r="P1367" i="10"/>
  <c r="N1367" i="10"/>
  <c r="O1360" i="10"/>
  <c r="J1359" i="10"/>
  <c r="O1364" i="10"/>
  <c r="N1364" i="10"/>
  <c r="P1364" i="10"/>
  <c r="L1364" i="10"/>
  <c r="K1364" i="10" s="1"/>
  <c r="N1362" i="10"/>
  <c r="M1362" i="10"/>
  <c r="L1362" i="10"/>
  <c r="K1362" i="10" s="1"/>
  <c r="P1362" i="10"/>
  <c r="N1360" i="10"/>
  <c r="M1360" i="10"/>
  <c r="P1360" i="10"/>
  <c r="L1360" i="10"/>
  <c r="O1363" i="10"/>
  <c r="O1361" i="10"/>
  <c r="M1357" i="10"/>
  <c r="O1355" i="10"/>
  <c r="O1351" i="10"/>
  <c r="L1363" i="10"/>
  <c r="K1363" i="10" s="1"/>
  <c r="P1363" i="10"/>
  <c r="M1363" i="10"/>
  <c r="N1363" i="10"/>
  <c r="L1361" i="10"/>
  <c r="K1361" i="10" s="1"/>
  <c r="P1361" i="10"/>
  <c r="N1361" i="10"/>
  <c r="M1361" i="10"/>
  <c r="L1354" i="10"/>
  <c r="K1354" i="10" s="1"/>
  <c r="M1354" i="10"/>
  <c r="P1354" i="10"/>
  <c r="N1354" i="10"/>
  <c r="O1352" i="10"/>
  <c r="N1352" i="10"/>
  <c r="P1352" i="10"/>
  <c r="L1352" i="10"/>
  <c r="K1352" i="10" s="1"/>
  <c r="O1349" i="10"/>
  <c r="J1348" i="10"/>
  <c r="N1350" i="10"/>
  <c r="P1350" i="10"/>
  <c r="M1350" i="10"/>
  <c r="L1350" i="10"/>
  <c r="K1350" i="10" s="1"/>
  <c r="O1357" i="10"/>
  <c r="P1357" i="10"/>
  <c r="N1357" i="10"/>
  <c r="L1357" i="10"/>
  <c r="K1357" i="10" s="1"/>
  <c r="N1355" i="10"/>
  <c r="P1355" i="10"/>
  <c r="M1355" i="10"/>
  <c r="L1355" i="10"/>
  <c r="K1355" i="10" s="1"/>
  <c r="L1351" i="10"/>
  <c r="K1351" i="10" s="1"/>
  <c r="M1351" i="10"/>
  <c r="P1351" i="10"/>
  <c r="N1351" i="10"/>
  <c r="L1349" i="10"/>
  <c r="P1349" i="10"/>
  <c r="M1349" i="10"/>
  <c r="N1349" i="10"/>
  <c r="L1356" i="10"/>
  <c r="K1356" i="10" s="1"/>
  <c r="M1356" i="10"/>
  <c r="P1356" i="10"/>
  <c r="N1356" i="10"/>
  <c r="O1354" i="10"/>
  <c r="M1352" i="10"/>
  <c r="O1350" i="10"/>
  <c r="M1346" i="10"/>
  <c r="O1344" i="10"/>
  <c r="O1346" i="10"/>
  <c r="L1346" i="10"/>
  <c r="K1346" i="10" s="1"/>
  <c r="P1346" i="10"/>
  <c r="N1346" i="10"/>
  <c r="L1344" i="10"/>
  <c r="K1344" i="10" s="1"/>
  <c r="N1344" i="10"/>
  <c r="M1344" i="10"/>
  <c r="P1344" i="10"/>
  <c r="O1345" i="10"/>
  <c r="O1343" i="10"/>
  <c r="J1342" i="10"/>
  <c r="P1345" i="10"/>
  <c r="N1345" i="10"/>
  <c r="M1345" i="10"/>
  <c r="L1345" i="10"/>
  <c r="K1345" i="10" s="1"/>
  <c r="M1343" i="10"/>
  <c r="L1343" i="10"/>
  <c r="P1343" i="10"/>
  <c r="N1343" i="10"/>
  <c r="O1338" i="10"/>
  <c r="O1332" i="10"/>
  <c r="O1336" i="10"/>
  <c r="J1335" i="10"/>
  <c r="P1338" i="10"/>
  <c r="L1338" i="10"/>
  <c r="K1338" i="10" s="1"/>
  <c r="N1338" i="10"/>
  <c r="M1338" i="10"/>
  <c r="M1336" i="10"/>
  <c r="N1336" i="10"/>
  <c r="L1336" i="10"/>
  <c r="P1336" i="10"/>
  <c r="M1339" i="10"/>
  <c r="O1337" i="10"/>
  <c r="O1339" i="10"/>
  <c r="P1339" i="10"/>
  <c r="N1339" i="10"/>
  <c r="L1339" i="10"/>
  <c r="K1339" i="10" s="1"/>
  <c r="L1337" i="10"/>
  <c r="K1337" i="10" s="1"/>
  <c r="P1337" i="10"/>
  <c r="N1337" i="10"/>
  <c r="M1337" i="10"/>
  <c r="N1332" i="10"/>
  <c r="P1332" i="10"/>
  <c r="M1332" i="10"/>
  <c r="L1332" i="10"/>
  <c r="K1332" i="10" s="1"/>
  <c r="M1331" i="10"/>
  <c r="J1330" i="10"/>
  <c r="P1331" i="10"/>
  <c r="N1331" i="10"/>
  <c r="L1331" i="10"/>
  <c r="O1331" i="10"/>
  <c r="P1325" i="10"/>
  <c r="P1323" i="10" s="1"/>
  <c r="N1325" i="10"/>
  <c r="N1323" i="10" s="1"/>
  <c r="M1325" i="10"/>
  <c r="O1325" i="10"/>
  <c r="O1323" i="10" s="1"/>
  <c r="P1315" i="10"/>
  <c r="P1314" i="10"/>
  <c r="P1312" i="10"/>
  <c r="M1314" i="10"/>
  <c r="N1314" i="10"/>
  <c r="O1314" i="10"/>
  <c r="N1312" i="10"/>
  <c r="M1312" i="10"/>
  <c r="O1312" i="10"/>
  <c r="M1309" i="10"/>
  <c r="J1308" i="10"/>
  <c r="M1315" i="10"/>
  <c r="O1315" i="10"/>
  <c r="N1315" i="10"/>
  <c r="N1313" i="10"/>
  <c r="M1313" i="10"/>
  <c r="O1313" i="10"/>
  <c r="P1313" i="10"/>
  <c r="O1309" i="10"/>
  <c r="N1309" i="10"/>
  <c r="P1309" i="10"/>
  <c r="N1303" i="10"/>
  <c r="N1302" i="10" s="1"/>
  <c r="O1303" i="10"/>
  <c r="O1302" i="10" s="1"/>
  <c r="M1303" i="10"/>
  <c r="P1303" i="10"/>
  <c r="P1302" i="10" s="1"/>
  <c r="O1299" i="10"/>
  <c r="O1298" i="10" s="1"/>
  <c r="N1299" i="10"/>
  <c r="N1298" i="10" s="1"/>
  <c r="M1299" i="10"/>
  <c r="P1299" i="10"/>
  <c r="P1298" i="10" s="1"/>
  <c r="J1298" i="10"/>
  <c r="P1295" i="10"/>
  <c r="P1294" i="10" s="1"/>
  <c r="O1295" i="10"/>
  <c r="O1294" i="10" s="1"/>
  <c r="N1295" i="10"/>
  <c r="N1294" i="10" s="1"/>
  <c r="M1295" i="10"/>
  <c r="O1288" i="10"/>
  <c r="M1287" i="10"/>
  <c r="P1287" i="10"/>
  <c r="L1287" i="10"/>
  <c r="N1287" i="10"/>
  <c r="O1287" i="10"/>
  <c r="O1289" i="10"/>
  <c r="N1289" i="10"/>
  <c r="P1289" i="10"/>
  <c r="L1289" i="10"/>
  <c r="K1289" i="10" s="1"/>
  <c r="P1288" i="10"/>
  <c r="N1288" i="10"/>
  <c r="M1288" i="10"/>
  <c r="L1288" i="10"/>
  <c r="M1289" i="10"/>
  <c r="J1286" i="10"/>
  <c r="P1284" i="10"/>
  <c r="P1283" i="10" s="1"/>
  <c r="O1284" i="10"/>
  <c r="O1283" i="10" s="1"/>
  <c r="N1284" i="10"/>
  <c r="N1283" i="10" s="1"/>
  <c r="M1284" i="10"/>
  <c r="P1280" i="10"/>
  <c r="P1279" i="10" s="1"/>
  <c r="J1279" i="10"/>
  <c r="M1280" i="10"/>
  <c r="O1280" i="10"/>
  <c r="O1279" i="10" s="1"/>
  <c r="N1280" i="10"/>
  <c r="N1279" i="10" s="1"/>
  <c r="P1277" i="10"/>
  <c r="P1276" i="10" s="1"/>
  <c r="M1277" i="10"/>
  <c r="O1277" i="10"/>
  <c r="O1276" i="10" s="1"/>
  <c r="N1277" i="10"/>
  <c r="N1276" i="10" s="1"/>
  <c r="N1271" i="10"/>
  <c r="M1269" i="10"/>
  <c r="O1267" i="10"/>
  <c r="N1263" i="10"/>
  <c r="P1272" i="10"/>
  <c r="O1268" i="10"/>
  <c r="N1264" i="10"/>
  <c r="N1262" i="10"/>
  <c r="J1260" i="10"/>
  <c r="O1272" i="10"/>
  <c r="N1272" i="10"/>
  <c r="M1272" i="10"/>
  <c r="M1268" i="10"/>
  <c r="N1268" i="10"/>
  <c r="L1268" i="10"/>
  <c r="K1268" i="10" s="1"/>
  <c r="P1268" i="10"/>
  <c r="M1264" i="10"/>
  <c r="O1264" i="10"/>
  <c r="L1264" i="10"/>
  <c r="P1264" i="10"/>
  <c r="P1262" i="10"/>
  <c r="M1262" i="10"/>
  <c r="L1262" i="10"/>
  <c r="O1262" i="10"/>
  <c r="P1271" i="10"/>
  <c r="L1271" i="10"/>
  <c r="O1271" i="10"/>
  <c r="M1271" i="10"/>
  <c r="L1269" i="10"/>
  <c r="K1269" i="10" s="1"/>
  <c r="P1269" i="10"/>
  <c r="O1269" i="10"/>
  <c r="N1269" i="10"/>
  <c r="N1267" i="10"/>
  <c r="M1267" i="10"/>
  <c r="L1267" i="10"/>
  <c r="K1267" i="10" s="1"/>
  <c r="P1267" i="10"/>
  <c r="P1265" i="10"/>
  <c r="L1265" i="10"/>
  <c r="N1265" i="10"/>
  <c r="O1265" i="10"/>
  <c r="M1265" i="10"/>
  <c r="O1263" i="10"/>
  <c r="L1263" i="10"/>
  <c r="P1263" i="10"/>
  <c r="M1263" i="10"/>
  <c r="N1254" i="10"/>
  <c r="J1253" i="10"/>
  <c r="P1255" i="10"/>
  <c r="M1255" i="10"/>
  <c r="O1255" i="10"/>
  <c r="N1255" i="10"/>
  <c r="P1254" i="10"/>
  <c r="O1254" i="10"/>
  <c r="M1254" i="10"/>
  <c r="P1250" i="10"/>
  <c r="P1249" i="10" s="1"/>
  <c r="J1249" i="10"/>
  <c r="M1250" i="10"/>
  <c r="O1250" i="10"/>
  <c r="O1249" i="10" s="1"/>
  <c r="N1250" i="10"/>
  <c r="N1249" i="10" s="1"/>
  <c r="M1245" i="10"/>
  <c r="O1245" i="10"/>
  <c r="O1244" i="10" s="1"/>
  <c r="N1245" i="10"/>
  <c r="N1244" i="10" s="1"/>
  <c r="P1245" i="10"/>
  <c r="P1244" i="10" s="1"/>
  <c r="M1234" i="10"/>
  <c r="O1230" i="10"/>
  <c r="O1224" i="10"/>
  <c r="O1220" i="10"/>
  <c r="O1218" i="10"/>
  <c r="O1216" i="10"/>
  <c r="O1208" i="10"/>
  <c r="P1240" i="10"/>
  <c r="P1239" i="10" s="1"/>
  <c r="J1239" i="10"/>
  <c r="O1240" i="10"/>
  <c r="O1239" i="10" s="1"/>
  <c r="N1240" i="10"/>
  <c r="N1239" i="10" s="1"/>
  <c r="M1240" i="10"/>
  <c r="N1233" i="10"/>
  <c r="M1233" i="10"/>
  <c r="O1233" i="10"/>
  <c r="P1233" i="10"/>
  <c r="L1233" i="10"/>
  <c r="P1235" i="10"/>
  <c r="N1235" i="10"/>
  <c r="M1235" i="10"/>
  <c r="L1235" i="10"/>
  <c r="K1235" i="10" s="1"/>
  <c r="L1234" i="10"/>
  <c r="P1234" i="10"/>
  <c r="N1234" i="10"/>
  <c r="O1234" i="10"/>
  <c r="O1235" i="10"/>
  <c r="J1232" i="10"/>
  <c r="M1229" i="10"/>
  <c r="N1228" i="10"/>
  <c r="J1227" i="10"/>
  <c r="O1228" i="10"/>
  <c r="P1228" i="10"/>
  <c r="M1228" i="10"/>
  <c r="L1228" i="10"/>
  <c r="M1225" i="10"/>
  <c r="M1219" i="10"/>
  <c r="O1217" i="10"/>
  <c r="N1230" i="10"/>
  <c r="L1230" i="10"/>
  <c r="K1230" i="10" s="1"/>
  <c r="P1230" i="10"/>
  <c r="M1230" i="10"/>
  <c r="L1229" i="10"/>
  <c r="P1229" i="10"/>
  <c r="O1229" i="10"/>
  <c r="N1229" i="10"/>
  <c r="O1214" i="10"/>
  <c r="J1212" i="10"/>
  <c r="P1224" i="10"/>
  <c r="N1224" i="10"/>
  <c r="M1224" i="10"/>
  <c r="L1224" i="10"/>
  <c r="K1224" i="10" s="1"/>
  <c r="N1222" i="10"/>
  <c r="M1222" i="10"/>
  <c r="O1222" i="10"/>
  <c r="P1222" i="10"/>
  <c r="L1222" i="10"/>
  <c r="K1222" i="10" s="1"/>
  <c r="P1220" i="10"/>
  <c r="N1220" i="10"/>
  <c r="L1220" i="10"/>
  <c r="K1220" i="10" s="1"/>
  <c r="M1220" i="10"/>
  <c r="P1218" i="10"/>
  <c r="N1218" i="10"/>
  <c r="L1218" i="10"/>
  <c r="K1218" i="10" s="1"/>
  <c r="M1218" i="10"/>
  <c r="P1216" i="10"/>
  <c r="N1216" i="10"/>
  <c r="L1216" i="10"/>
  <c r="K1216" i="10" s="1"/>
  <c r="M1216" i="10"/>
  <c r="M1214" i="10"/>
  <c r="L1214" i="10"/>
  <c r="P1214" i="10"/>
  <c r="N1214" i="10"/>
  <c r="O1225" i="10"/>
  <c r="N1225" i="10"/>
  <c r="P1225" i="10"/>
  <c r="L1225" i="10"/>
  <c r="K1225" i="10" s="1"/>
  <c r="P1223" i="10"/>
  <c r="L1223" i="10"/>
  <c r="K1223" i="10" s="1"/>
  <c r="O1223" i="10"/>
  <c r="N1223" i="10"/>
  <c r="M1223" i="10"/>
  <c r="N1219" i="10"/>
  <c r="L1219" i="10"/>
  <c r="K1219" i="10" s="1"/>
  <c r="P1219" i="10"/>
  <c r="O1219" i="10"/>
  <c r="M1217" i="10"/>
  <c r="N1217" i="10"/>
  <c r="L1217" i="10"/>
  <c r="K1217" i="10" s="1"/>
  <c r="P1217" i="10"/>
  <c r="O1204" i="10"/>
  <c r="J1202" i="10"/>
  <c r="L1210" i="10"/>
  <c r="K1210" i="10" s="1"/>
  <c r="M1210" i="10"/>
  <c r="P1210" i="10"/>
  <c r="N1210" i="10"/>
  <c r="P1208" i="10"/>
  <c r="L1208" i="10"/>
  <c r="K1208" i="10" s="1"/>
  <c r="N1208" i="10"/>
  <c r="M1208" i="10"/>
  <c r="P1206" i="10"/>
  <c r="N1206" i="10"/>
  <c r="M1206" i="10"/>
  <c r="L1206" i="10"/>
  <c r="K1206" i="10" s="1"/>
  <c r="M1204" i="10"/>
  <c r="L1204" i="10"/>
  <c r="P1204" i="10"/>
  <c r="N1204" i="10"/>
  <c r="M1209" i="10"/>
  <c r="O1207" i="10"/>
  <c r="N1209" i="10"/>
  <c r="L1209" i="10"/>
  <c r="K1209" i="10" s="1"/>
  <c r="P1209" i="10"/>
  <c r="O1209" i="10"/>
  <c r="M1207" i="10"/>
  <c r="L1207" i="10"/>
  <c r="K1207" i="10" s="1"/>
  <c r="P1207" i="10"/>
  <c r="N1207" i="10"/>
  <c r="O1210" i="10"/>
  <c r="O1206" i="10"/>
  <c r="M1193" i="10"/>
  <c r="L1193" i="10"/>
  <c r="K1193" i="10" s="1"/>
  <c r="O1193" i="10"/>
  <c r="N1193" i="10"/>
  <c r="M1197" i="10"/>
  <c r="L1197" i="10"/>
  <c r="K1197" i="10" s="1"/>
  <c r="P1197" i="10"/>
  <c r="N1197" i="10"/>
  <c r="O1198" i="10"/>
  <c r="M1196" i="10"/>
  <c r="N1194" i="10"/>
  <c r="N1192" i="10"/>
  <c r="P1195" i="10"/>
  <c r="L1195" i="10"/>
  <c r="N1195" i="10"/>
  <c r="M1195" i="10"/>
  <c r="L1198" i="10"/>
  <c r="K1198" i="10" s="1"/>
  <c r="P1198" i="10"/>
  <c r="N1198" i="10"/>
  <c r="M1198" i="10"/>
  <c r="O1196" i="10"/>
  <c r="L1196" i="10"/>
  <c r="K1196" i="10" s="1"/>
  <c r="N1196" i="10"/>
  <c r="P1196" i="10"/>
  <c r="L1194" i="10"/>
  <c r="P1194" i="10"/>
  <c r="O1194" i="10"/>
  <c r="M1194" i="10"/>
  <c r="O1192" i="10"/>
  <c r="M1192" i="10"/>
  <c r="L1192" i="10"/>
  <c r="P1192" i="10"/>
  <c r="O1197" i="10"/>
  <c r="O1195" i="10"/>
  <c r="P1193" i="10"/>
  <c r="J1190" i="10"/>
  <c r="P1186" i="10"/>
  <c r="N1184" i="10"/>
  <c r="P1185" i="10"/>
  <c r="L1185" i="10"/>
  <c r="O1185" i="10"/>
  <c r="M1185" i="10"/>
  <c r="M1183" i="10"/>
  <c r="O1183" i="10"/>
  <c r="L1183" i="10"/>
  <c r="P1183" i="10"/>
  <c r="O1186" i="10"/>
  <c r="N1186" i="10"/>
  <c r="M1186" i="10"/>
  <c r="L1184" i="10"/>
  <c r="P1184" i="10"/>
  <c r="M1184" i="10"/>
  <c r="O1184" i="10"/>
  <c r="N1185" i="10"/>
  <c r="N1183" i="10"/>
  <c r="J1181" i="10"/>
  <c r="O1177" i="10"/>
  <c r="N1177" i="10"/>
  <c r="L1177" i="10"/>
  <c r="K1177" i="10" s="1"/>
  <c r="P1177" i="10"/>
  <c r="L1175" i="10"/>
  <c r="O1175" i="10"/>
  <c r="M1175" i="10"/>
  <c r="N1175" i="10"/>
  <c r="N1176" i="10"/>
  <c r="P1158" i="10"/>
  <c r="P1176" i="10"/>
  <c r="O1176" i="10"/>
  <c r="M1176" i="10"/>
  <c r="L1176" i="10"/>
  <c r="M1177" i="10"/>
  <c r="P1175" i="10"/>
  <c r="J1174" i="10"/>
  <c r="N1163" i="10"/>
  <c r="N1157" i="10"/>
  <c r="J1167" i="10"/>
  <c r="O1167" i="10" s="1"/>
  <c r="M1169" i="10"/>
  <c r="P1169" i="10"/>
  <c r="N1169" i="10"/>
  <c r="L1169" i="10"/>
  <c r="K1169" i="10" s="1"/>
  <c r="M1167" i="10"/>
  <c r="P1167" i="10"/>
  <c r="N1167" i="10"/>
  <c r="L1167" i="10"/>
  <c r="K1167" i="10" s="1"/>
  <c r="M1165" i="10"/>
  <c r="P1165" i="10"/>
  <c r="L1165" i="10"/>
  <c r="K1165" i="10" s="1"/>
  <c r="O1165" i="10"/>
  <c r="N1165" i="10"/>
  <c r="O1163" i="10"/>
  <c r="P1163" i="10"/>
  <c r="M1163" i="10"/>
  <c r="L1163" i="10"/>
  <c r="J1168" i="10"/>
  <c r="M1168" i="10" s="1"/>
  <c r="J1169" i="10"/>
  <c r="O1169" i="10" s="1"/>
  <c r="P1170" i="10"/>
  <c r="N1170" i="10"/>
  <c r="M1170" i="10"/>
  <c r="L1170" i="10"/>
  <c r="K1170" i="10" s="1"/>
  <c r="P1168" i="10"/>
  <c r="O1168" i="10"/>
  <c r="N1168" i="10"/>
  <c r="L1168" i="10"/>
  <c r="K1168" i="10" s="1"/>
  <c r="O1166" i="10"/>
  <c r="M1166" i="10"/>
  <c r="L1166" i="10"/>
  <c r="N1166" i="10"/>
  <c r="P1166" i="10"/>
  <c r="P1164" i="10"/>
  <c r="L1164" i="10"/>
  <c r="O1164" i="10"/>
  <c r="N1164" i="10"/>
  <c r="M1164" i="10"/>
  <c r="J1170" i="10"/>
  <c r="O1170" i="10" s="1"/>
  <c r="N1154" i="10"/>
  <c r="J1151" i="10"/>
  <c r="N1158" i="10"/>
  <c r="M1158" i="10"/>
  <c r="L1158" i="10"/>
  <c r="O1158" i="10"/>
  <c r="L1156" i="10"/>
  <c r="P1156" i="10"/>
  <c r="M1156" i="10"/>
  <c r="O1156" i="10"/>
  <c r="P1154" i="10"/>
  <c r="O1154" i="10"/>
  <c r="M1154" i="10"/>
  <c r="L1154" i="10"/>
  <c r="P1157" i="10"/>
  <c r="O1157" i="10"/>
  <c r="M1157" i="10"/>
  <c r="L1157" i="10"/>
  <c r="N1155" i="10"/>
  <c r="M1155" i="10"/>
  <c r="P1155" i="10"/>
  <c r="L1155" i="10"/>
  <c r="O1155" i="10"/>
  <c r="N1156" i="10"/>
  <c r="P1148" i="10"/>
  <c r="N1146" i="10"/>
  <c r="J1144" i="10"/>
  <c r="N1148" i="10"/>
  <c r="M1148" i="10"/>
  <c r="L1148" i="10"/>
  <c r="O1148" i="10"/>
  <c r="L1146" i="10"/>
  <c r="M1146" i="10"/>
  <c r="P1146" i="10"/>
  <c r="O1146" i="10"/>
  <c r="N1147" i="10"/>
  <c r="P1147" i="10"/>
  <c r="O1147" i="10"/>
  <c r="M1147" i="10"/>
  <c r="L1147" i="10"/>
  <c r="L1139" i="10"/>
  <c r="K1139" i="10" s="1"/>
  <c r="M1139" i="10"/>
  <c r="P1139" i="10"/>
  <c r="N1139" i="10"/>
  <c r="L1137" i="10"/>
  <c r="P1137" i="10"/>
  <c r="N1137" i="10"/>
  <c r="M1137" i="10"/>
  <c r="M1140" i="10"/>
  <c r="O1138" i="10"/>
  <c r="O1140" i="10"/>
  <c r="P1140" i="10"/>
  <c r="N1140" i="10"/>
  <c r="L1140" i="10"/>
  <c r="K1140" i="10" s="1"/>
  <c r="N1138" i="10"/>
  <c r="L1138" i="10"/>
  <c r="K1138" i="10" s="1"/>
  <c r="M1138" i="10"/>
  <c r="P1138" i="10"/>
  <c r="O1139" i="10"/>
  <c r="O1137" i="10"/>
  <c r="J1136" i="10"/>
  <c r="M1132" i="10"/>
  <c r="O1130" i="10"/>
  <c r="O1126" i="10"/>
  <c r="O1120" i="10"/>
  <c r="P1129" i="10"/>
  <c r="M1129" i="10"/>
  <c r="L1129" i="10"/>
  <c r="K1129" i="10" s="1"/>
  <c r="N1129" i="10"/>
  <c r="N1127" i="10"/>
  <c r="L1127" i="10"/>
  <c r="K1127" i="10" s="1"/>
  <c r="P1127" i="10"/>
  <c r="O1127" i="10"/>
  <c r="O1124" i="10"/>
  <c r="J1123" i="10"/>
  <c r="P1125" i="10"/>
  <c r="N1125" i="10"/>
  <c r="M1125" i="10"/>
  <c r="L1125" i="10"/>
  <c r="K1125" i="10" s="1"/>
  <c r="O1132" i="10"/>
  <c r="N1132" i="10"/>
  <c r="L1132" i="10"/>
  <c r="K1132" i="10" s="1"/>
  <c r="P1132" i="10"/>
  <c r="M1130" i="10"/>
  <c r="P1130" i="10"/>
  <c r="N1130" i="10"/>
  <c r="L1130" i="10"/>
  <c r="K1130" i="10" s="1"/>
  <c r="N1126" i="10"/>
  <c r="P1126" i="10"/>
  <c r="M1126" i="10"/>
  <c r="L1126" i="10"/>
  <c r="K1126" i="10" s="1"/>
  <c r="L1124" i="10"/>
  <c r="N1124" i="10"/>
  <c r="M1124" i="10"/>
  <c r="P1124" i="10"/>
  <c r="P1131" i="10"/>
  <c r="L1131" i="10"/>
  <c r="K1131" i="10" s="1"/>
  <c r="N1131" i="10"/>
  <c r="M1131" i="10"/>
  <c r="O1131" i="10"/>
  <c r="O1129" i="10"/>
  <c r="M1127" i="10"/>
  <c r="O1125" i="10"/>
  <c r="O1115" i="10"/>
  <c r="N1114" i="10"/>
  <c r="M1114" i="10"/>
  <c r="P1114" i="10"/>
  <c r="L1114" i="10"/>
  <c r="K1114" i="10" s="1"/>
  <c r="L1120" i="10"/>
  <c r="K1120" i="10" s="1"/>
  <c r="P1120" i="10"/>
  <c r="N1120" i="10"/>
  <c r="M1120" i="10"/>
  <c r="O1113" i="10"/>
  <c r="J1112" i="10"/>
  <c r="L1116" i="10"/>
  <c r="K1116" i="10" s="1"/>
  <c r="P1116" i="10"/>
  <c r="N1116" i="10"/>
  <c r="O1116" i="10"/>
  <c r="O1121" i="10"/>
  <c r="N1121" i="10"/>
  <c r="L1121" i="10"/>
  <c r="K1121" i="10" s="1"/>
  <c r="M1121" i="10"/>
  <c r="P1121" i="10"/>
  <c r="O1119" i="10"/>
  <c r="N1119" i="10"/>
  <c r="P1119" i="10"/>
  <c r="M1119" i="10"/>
  <c r="L1119" i="10"/>
  <c r="K1119" i="10" s="1"/>
  <c r="M1115" i="10"/>
  <c r="L1115" i="10"/>
  <c r="K1115" i="10" s="1"/>
  <c r="P1115" i="10"/>
  <c r="N1115" i="10"/>
  <c r="P1113" i="10"/>
  <c r="N1113" i="10"/>
  <c r="L1113" i="10"/>
  <c r="M1113" i="10"/>
  <c r="N1118" i="10"/>
  <c r="M1118" i="10"/>
  <c r="O1118" i="10"/>
  <c r="P1118" i="10"/>
  <c r="L1118" i="10"/>
  <c r="K1118" i="10" s="1"/>
  <c r="M1116" i="10"/>
  <c r="O1114" i="10"/>
  <c r="O1109" i="10"/>
  <c r="P1109" i="10"/>
  <c r="N1109" i="10"/>
  <c r="L1109" i="10"/>
  <c r="K1109" i="10" s="1"/>
  <c r="N1107" i="10"/>
  <c r="M1107" i="10"/>
  <c r="P1107" i="10"/>
  <c r="L1107" i="10"/>
  <c r="K1107" i="10" s="1"/>
  <c r="O1108" i="10"/>
  <c r="O1106" i="10"/>
  <c r="J1105" i="10"/>
  <c r="O1102" i="10"/>
  <c r="L1108" i="10"/>
  <c r="K1108" i="10" s="1"/>
  <c r="P1108" i="10"/>
  <c r="N1108" i="10"/>
  <c r="M1108" i="10"/>
  <c r="L1106" i="10"/>
  <c r="P1106" i="10"/>
  <c r="N1106" i="10"/>
  <c r="M1106" i="10"/>
  <c r="M1109" i="10"/>
  <c r="O1107" i="10"/>
  <c r="N1102" i="10"/>
  <c r="M1102" i="10"/>
  <c r="L1102" i="10"/>
  <c r="K1102" i="10" s="1"/>
  <c r="P1102" i="10"/>
  <c r="M1101" i="10"/>
  <c r="J1100" i="10"/>
  <c r="P1101" i="10"/>
  <c r="L1101" i="10"/>
  <c r="O1101" i="10"/>
  <c r="N1101" i="10"/>
  <c r="P1097" i="10"/>
  <c r="P1095" i="10" s="1"/>
  <c r="N1097" i="10"/>
  <c r="N1095" i="10" s="1"/>
  <c r="O1097" i="10"/>
  <c r="O1095" i="10" s="1"/>
  <c r="M1097" i="10"/>
  <c r="P1086" i="10"/>
  <c r="M1087" i="10"/>
  <c r="O1087" i="10"/>
  <c r="N1087" i="10"/>
  <c r="M1085" i="10"/>
  <c r="O1085" i="10"/>
  <c r="N1085" i="10"/>
  <c r="O1081" i="10"/>
  <c r="P1081" i="10"/>
  <c r="N1081" i="10"/>
  <c r="M1086" i="10"/>
  <c r="N1086" i="10"/>
  <c r="O1086" i="10"/>
  <c r="N1084" i="10"/>
  <c r="P1084" i="10"/>
  <c r="M1084" i="10"/>
  <c r="O1084" i="10"/>
  <c r="P1087" i="10"/>
  <c r="P1085" i="10"/>
  <c r="M1081" i="10"/>
  <c r="J1080" i="10"/>
  <c r="P1075" i="10"/>
  <c r="P1074" i="10" s="1"/>
  <c r="O1075" i="10"/>
  <c r="O1074" i="10" s="1"/>
  <c r="M1075" i="10"/>
  <c r="N1075" i="10"/>
  <c r="N1074" i="10" s="1"/>
  <c r="P1071" i="10"/>
  <c r="P1070" i="10" s="1"/>
  <c r="O1071" i="10"/>
  <c r="O1070" i="10" s="1"/>
  <c r="N1071" i="10"/>
  <c r="N1070" i="10" s="1"/>
  <c r="M1071" i="10"/>
  <c r="P1068" i="10"/>
  <c r="P1067" i="10" s="1"/>
  <c r="J1067" i="10"/>
  <c r="O1068" i="10"/>
  <c r="O1067" i="10" s="1"/>
  <c r="N1068" i="10"/>
  <c r="N1067" i="10" s="1"/>
  <c r="M1068" i="10"/>
  <c r="O1065" i="10"/>
  <c r="O1064" i="10" s="1"/>
  <c r="N1065" i="10"/>
  <c r="N1064" i="10" s="1"/>
  <c r="M1065" i="10"/>
  <c r="P1065" i="10"/>
  <c r="P1064" i="10" s="1"/>
  <c r="J1064" i="10"/>
  <c r="M1057" i="10"/>
  <c r="P1060" i="10"/>
  <c r="O1056" i="10"/>
  <c r="N1052" i="10"/>
  <c r="N1050" i="10"/>
  <c r="J1048" i="10"/>
  <c r="O1060" i="10"/>
  <c r="N1060" i="10"/>
  <c r="M1060" i="10"/>
  <c r="L1060" i="10"/>
  <c r="K1060" i="10" s="1"/>
  <c r="N1056" i="10"/>
  <c r="M1056" i="10"/>
  <c r="L1056" i="10"/>
  <c r="K1056" i="10" s="1"/>
  <c r="P1056" i="10"/>
  <c r="P1052" i="10"/>
  <c r="O1052" i="10"/>
  <c r="L1052" i="10"/>
  <c r="M1052" i="10"/>
  <c r="L1050" i="10"/>
  <c r="P1050" i="10"/>
  <c r="M1050" i="10"/>
  <c r="O1050" i="10"/>
  <c r="N1059" i="10"/>
  <c r="O1055" i="10"/>
  <c r="N1053" i="10"/>
  <c r="N1051" i="10"/>
  <c r="L1059" i="10"/>
  <c r="P1059" i="10"/>
  <c r="O1059" i="10"/>
  <c r="M1059" i="10"/>
  <c r="N1057" i="10"/>
  <c r="L1057" i="10"/>
  <c r="K1057" i="10" s="1"/>
  <c r="P1057" i="10"/>
  <c r="O1057" i="10"/>
  <c r="L1055" i="10"/>
  <c r="K1055" i="10" s="1"/>
  <c r="P1055" i="10"/>
  <c r="M1055" i="10"/>
  <c r="N1055" i="10"/>
  <c r="O1053" i="10"/>
  <c r="M1053" i="10"/>
  <c r="L1053" i="10"/>
  <c r="P1053" i="10"/>
  <c r="L1051" i="10"/>
  <c r="P1051" i="10"/>
  <c r="O1051" i="10"/>
  <c r="M1051" i="10"/>
  <c r="N1038" i="10"/>
  <c r="O1043" i="10"/>
  <c r="O1042" i="10" s="1"/>
  <c r="N1043" i="10"/>
  <c r="N1042" i="10" s="1"/>
  <c r="P1043" i="10"/>
  <c r="P1042" i="10" s="1"/>
  <c r="M1043" i="10"/>
  <c r="P1037" i="10"/>
  <c r="O1037" i="10"/>
  <c r="M1037" i="10"/>
  <c r="P1038" i="10"/>
  <c r="O1038" i="10"/>
  <c r="L1038" i="10"/>
  <c r="M1038" i="10"/>
  <c r="N1037" i="10"/>
  <c r="N1036" i="10" s="1"/>
  <c r="J1036" i="10"/>
  <c r="L1032" i="10"/>
  <c r="M1032" i="10"/>
  <c r="O1032" i="10"/>
  <c r="O1031" i="10" s="1"/>
  <c r="N1032" i="10"/>
  <c r="N1031" i="10" s="1"/>
  <c r="P1032" i="10"/>
  <c r="P1031" i="10" s="1"/>
  <c r="N1027" i="10"/>
  <c r="N1026" i="10" s="1"/>
  <c r="M1027" i="10"/>
  <c r="L1027" i="10"/>
  <c r="O1027" i="10"/>
  <c r="O1026" i="10" s="1"/>
  <c r="P1027" i="10"/>
  <c r="P1026" i="10" s="1"/>
  <c r="J1026" i="10"/>
  <c r="O1021" i="10"/>
  <c r="L1021" i="10"/>
  <c r="P1021" i="10"/>
  <c r="N1021" i="10"/>
  <c r="O1022" i="10"/>
  <c r="N1020" i="10"/>
  <c r="J1019" i="10"/>
  <c r="O1016" i="10"/>
  <c r="O1014" i="10"/>
  <c r="M1022" i="10"/>
  <c r="N1022" i="10"/>
  <c r="L1022" i="10"/>
  <c r="K1022" i="10" s="1"/>
  <c r="P1022" i="10"/>
  <c r="P1020" i="10"/>
  <c r="O1020" i="10"/>
  <c r="M1020" i="10"/>
  <c r="L1020" i="10"/>
  <c r="M1021" i="10"/>
  <c r="M1015" i="10"/>
  <c r="L1015" i="10"/>
  <c r="K1015" i="10" s="1"/>
  <c r="P1015" i="10"/>
  <c r="N1015" i="10"/>
  <c r="O1006" i="10"/>
  <c r="J1004" i="10"/>
  <c r="M1011" i="10"/>
  <c r="O1011" i="10"/>
  <c r="N1011" i="10"/>
  <c r="P1011" i="10"/>
  <c r="L1011" i="10"/>
  <c r="K1011" i="10" s="1"/>
  <c r="P1009" i="10"/>
  <c r="L1009" i="10"/>
  <c r="K1009" i="10" s="1"/>
  <c r="N1009" i="10"/>
  <c r="M1009" i="10"/>
  <c r="O1009" i="10"/>
  <c r="L1016" i="10"/>
  <c r="K1016" i="10" s="1"/>
  <c r="M1016" i="10"/>
  <c r="P1016" i="10"/>
  <c r="N1016" i="10"/>
  <c r="P1014" i="10"/>
  <c r="N1014" i="10"/>
  <c r="M1014" i="10"/>
  <c r="L1014" i="10"/>
  <c r="K1014" i="10" s="1"/>
  <c r="N1012" i="10"/>
  <c r="O1012" i="10"/>
  <c r="M1012" i="10"/>
  <c r="P1012" i="10"/>
  <c r="L1012" i="10"/>
  <c r="K1012" i="10" s="1"/>
  <c r="M1010" i="10"/>
  <c r="O1010" i="10"/>
  <c r="N1010" i="10"/>
  <c r="P1010" i="10"/>
  <c r="L1010" i="10"/>
  <c r="K1010" i="10" s="1"/>
  <c r="P1008" i="10"/>
  <c r="L1008" i="10"/>
  <c r="K1008" i="10" s="1"/>
  <c r="N1008" i="10"/>
  <c r="M1008" i="10"/>
  <c r="O1008" i="10"/>
  <c r="N1006" i="10"/>
  <c r="M1006" i="10"/>
  <c r="L1006" i="10"/>
  <c r="P1006" i="10"/>
  <c r="O1017" i="10"/>
  <c r="P1017" i="10"/>
  <c r="N1017" i="10"/>
  <c r="L1017" i="10"/>
  <c r="K1017" i="10" s="1"/>
  <c r="M1017" i="10"/>
  <c r="O1015" i="10"/>
  <c r="O999" i="10"/>
  <c r="P1001" i="10"/>
  <c r="O1001" i="10"/>
  <c r="N1001" i="10"/>
  <c r="L1001" i="10"/>
  <c r="K1001" i="10" s="1"/>
  <c r="M999" i="10"/>
  <c r="P999" i="10"/>
  <c r="L999" i="10"/>
  <c r="K999" i="10" s="1"/>
  <c r="N999" i="10"/>
  <c r="O1002" i="10"/>
  <c r="O1000" i="10"/>
  <c r="O998" i="10"/>
  <c r="O996" i="10"/>
  <c r="J994" i="10"/>
  <c r="N1002" i="10"/>
  <c r="M1002" i="10"/>
  <c r="L1002" i="10"/>
  <c r="K1002" i="10" s="1"/>
  <c r="P1002" i="10"/>
  <c r="L1000" i="10"/>
  <c r="K1000" i="10" s="1"/>
  <c r="P1000" i="10"/>
  <c r="N1000" i="10"/>
  <c r="M1000" i="10"/>
  <c r="N998" i="10"/>
  <c r="L998" i="10"/>
  <c r="K998" i="10" s="1"/>
  <c r="P998" i="10"/>
  <c r="M998" i="10"/>
  <c r="P996" i="10"/>
  <c r="L996" i="10"/>
  <c r="N996" i="10"/>
  <c r="M996" i="10"/>
  <c r="M1001" i="10"/>
  <c r="O987" i="10"/>
  <c r="M985" i="10"/>
  <c r="N983" i="10"/>
  <c r="P990" i="10"/>
  <c r="P989" i="10" s="1"/>
  <c r="J989" i="10"/>
  <c r="O990" i="10"/>
  <c r="O989" i="10" s="1"/>
  <c r="N990" i="10"/>
  <c r="N989" i="10" s="1"/>
  <c r="M990" i="10"/>
  <c r="L990" i="10"/>
  <c r="N981" i="10"/>
  <c r="J979" i="10"/>
  <c r="N987" i="10"/>
  <c r="P987" i="10"/>
  <c r="M987" i="10"/>
  <c r="L987" i="10"/>
  <c r="K987" i="10" s="1"/>
  <c r="L985" i="10"/>
  <c r="K985" i="10" s="1"/>
  <c r="O985" i="10"/>
  <c r="N985" i="10"/>
  <c r="P985" i="10"/>
  <c r="O983" i="10"/>
  <c r="P983" i="10"/>
  <c r="M983" i="10"/>
  <c r="L983" i="10"/>
  <c r="L981" i="10"/>
  <c r="O981" i="10"/>
  <c r="M981" i="10"/>
  <c r="P981" i="10"/>
  <c r="O986" i="10"/>
  <c r="O984" i="10"/>
  <c r="P982" i="10"/>
  <c r="P986" i="10"/>
  <c r="L986" i="10"/>
  <c r="K986" i="10" s="1"/>
  <c r="N986" i="10"/>
  <c r="M986" i="10"/>
  <c r="M984" i="10"/>
  <c r="L984" i="10"/>
  <c r="P984" i="10"/>
  <c r="N984" i="10"/>
  <c r="O982" i="10"/>
  <c r="L982" i="10"/>
  <c r="K982" i="10" s="1"/>
  <c r="N982" i="10"/>
  <c r="M982" i="10"/>
  <c r="N971" i="10"/>
  <c r="J969" i="10"/>
  <c r="P967" i="10"/>
  <c r="N965" i="10"/>
  <c r="M955" i="10"/>
  <c r="P949" i="10"/>
  <c r="M973" i="10"/>
  <c r="N973" i="10"/>
  <c r="P973" i="10"/>
  <c r="L973" i="10"/>
  <c r="O973" i="10"/>
  <c r="P971" i="10"/>
  <c r="M971" i="10"/>
  <c r="L971" i="10"/>
  <c r="O971" i="10"/>
  <c r="P974" i="10"/>
  <c r="N972" i="10"/>
  <c r="N966" i="10"/>
  <c r="O974" i="10"/>
  <c r="M974" i="10"/>
  <c r="N974" i="10"/>
  <c r="L974" i="10"/>
  <c r="O972" i="10"/>
  <c r="P972" i="10"/>
  <c r="M972" i="10"/>
  <c r="L972" i="10"/>
  <c r="N967" i="10"/>
  <c r="O967" i="10"/>
  <c r="M967" i="10"/>
  <c r="L967" i="10"/>
  <c r="M965" i="10"/>
  <c r="L965" i="10"/>
  <c r="P965" i="10"/>
  <c r="O965" i="10"/>
  <c r="N964" i="10"/>
  <c r="J962" i="10"/>
  <c r="L966" i="10"/>
  <c r="M966" i="10"/>
  <c r="P966" i="10"/>
  <c r="O966" i="10"/>
  <c r="O964" i="10"/>
  <c r="M964" i="10"/>
  <c r="L964" i="10"/>
  <c r="P964" i="10"/>
  <c r="P958" i="10"/>
  <c r="P957" i="10" s="1"/>
  <c r="J957" i="10"/>
  <c r="N958" i="10"/>
  <c r="N957" i="10" s="1"/>
  <c r="M958" i="10"/>
  <c r="L958" i="10"/>
  <c r="O958" i="10"/>
  <c r="O957" i="10" s="1"/>
  <c r="P953" i="10"/>
  <c r="J952" i="10"/>
  <c r="O955" i="10"/>
  <c r="N955" i="10"/>
  <c r="L955" i="10"/>
  <c r="K955" i="10" s="1"/>
  <c r="P955" i="10"/>
  <c r="L953" i="10"/>
  <c r="O953" i="10"/>
  <c r="N953" i="10"/>
  <c r="M953" i="10"/>
  <c r="N954" i="10"/>
  <c r="N948" i="10"/>
  <c r="N946" i="10"/>
  <c r="P954" i="10"/>
  <c r="O954" i="10"/>
  <c r="M954" i="10"/>
  <c r="L954" i="10"/>
  <c r="N945" i="10"/>
  <c r="J942" i="10"/>
  <c r="N949" i="10"/>
  <c r="L949" i="10"/>
  <c r="L942" i="10" s="1"/>
  <c r="C132" i="7" s="1"/>
  <c r="O949" i="10"/>
  <c r="M949" i="10"/>
  <c r="M947" i="10"/>
  <c r="P947" i="10"/>
  <c r="O947" i="10"/>
  <c r="L947" i="10"/>
  <c r="P945" i="10"/>
  <c r="M945" i="10"/>
  <c r="L945" i="10"/>
  <c r="O945" i="10"/>
  <c r="L948" i="10"/>
  <c r="O948" i="10"/>
  <c r="P948" i="10"/>
  <c r="M948" i="10"/>
  <c r="O946" i="10"/>
  <c r="L946" i="10"/>
  <c r="P946" i="10"/>
  <c r="M946" i="10"/>
  <c r="N947" i="10"/>
  <c r="N939" i="10"/>
  <c r="P939" i="10"/>
  <c r="M939" i="10"/>
  <c r="L939" i="10"/>
  <c r="K939" i="10" s="1"/>
  <c r="O937" i="10"/>
  <c r="N937" i="10"/>
  <c r="M937" i="10"/>
  <c r="P937" i="10"/>
  <c r="L937" i="10"/>
  <c r="K937" i="10" s="1"/>
  <c r="P935" i="10"/>
  <c r="L935" i="10"/>
  <c r="M935" i="10"/>
  <c r="O935" i="10"/>
  <c r="N935" i="10"/>
  <c r="P933" i="10"/>
  <c r="L933" i="10"/>
  <c r="N933" i="10"/>
  <c r="M933" i="10"/>
  <c r="O938" i="10"/>
  <c r="O936" i="10"/>
  <c r="J929" i="10"/>
  <c r="O926" i="10"/>
  <c r="O924" i="10"/>
  <c r="L938" i="10"/>
  <c r="K938" i="10" s="1"/>
  <c r="P938" i="10"/>
  <c r="N938" i="10"/>
  <c r="M938" i="10"/>
  <c r="M936" i="10"/>
  <c r="N936" i="10"/>
  <c r="L936" i="10"/>
  <c r="K936" i="10" s="1"/>
  <c r="P936" i="10"/>
  <c r="N934" i="10"/>
  <c r="O934" i="10"/>
  <c r="M934" i="10"/>
  <c r="P934" i="10"/>
  <c r="L934" i="10"/>
  <c r="K934" i="10" s="1"/>
  <c r="M932" i="10"/>
  <c r="P932" i="10"/>
  <c r="L932" i="10"/>
  <c r="O932" i="10"/>
  <c r="N932" i="10"/>
  <c r="O939" i="10"/>
  <c r="O933" i="10"/>
  <c r="O927" i="10"/>
  <c r="M925" i="10"/>
  <c r="O921" i="10"/>
  <c r="J917" i="10"/>
  <c r="L926" i="10"/>
  <c r="K926" i="10" s="1"/>
  <c r="P926" i="10"/>
  <c r="M926" i="10"/>
  <c r="N926" i="10"/>
  <c r="N920" i="10"/>
  <c r="M920" i="10"/>
  <c r="P920" i="10"/>
  <c r="L920" i="10"/>
  <c r="O920" i="10"/>
  <c r="L924" i="10"/>
  <c r="K924" i="10" s="1"/>
  <c r="P924" i="10"/>
  <c r="N924" i="10"/>
  <c r="M924" i="10"/>
  <c r="M922" i="10"/>
  <c r="P922" i="10"/>
  <c r="L922" i="10"/>
  <c r="K922" i="10" s="1"/>
  <c r="N922" i="10"/>
  <c r="O922" i="10"/>
  <c r="N927" i="10"/>
  <c r="M927" i="10"/>
  <c r="L927" i="10"/>
  <c r="K927" i="10" s="1"/>
  <c r="P927" i="10"/>
  <c r="O925" i="10"/>
  <c r="N925" i="10"/>
  <c r="L925" i="10"/>
  <c r="K925" i="10" s="1"/>
  <c r="P925" i="10"/>
  <c r="O923" i="10"/>
  <c r="N923" i="10"/>
  <c r="P923" i="10"/>
  <c r="M923" i="10"/>
  <c r="L923" i="10"/>
  <c r="P921" i="10"/>
  <c r="N921" i="10"/>
  <c r="L921" i="10"/>
  <c r="M921" i="10"/>
  <c r="M910" i="10"/>
  <c r="M902" i="10"/>
  <c r="P914" i="10"/>
  <c r="M914" i="10"/>
  <c r="L914" i="10"/>
  <c r="K914" i="10" s="1"/>
  <c r="N914" i="10"/>
  <c r="M912" i="10"/>
  <c r="L912" i="10"/>
  <c r="K912" i="10" s="1"/>
  <c r="P912" i="10"/>
  <c r="N912" i="10"/>
  <c r="L910" i="10"/>
  <c r="K910" i="10" s="1"/>
  <c r="P910" i="10"/>
  <c r="O910" i="10"/>
  <c r="N910" i="10"/>
  <c r="O908" i="10"/>
  <c r="L908" i="10"/>
  <c r="P908" i="10"/>
  <c r="M908" i="10"/>
  <c r="N908" i="10"/>
  <c r="O915" i="10"/>
  <c r="O909" i="10"/>
  <c r="O891" i="10"/>
  <c r="N887" i="10"/>
  <c r="N915" i="10"/>
  <c r="M915" i="10"/>
  <c r="L915" i="10"/>
  <c r="K915" i="10" s="1"/>
  <c r="P915" i="10"/>
  <c r="L913" i="10"/>
  <c r="K913" i="10" s="1"/>
  <c r="P913" i="10"/>
  <c r="O913" i="10"/>
  <c r="N913" i="10"/>
  <c r="O911" i="10"/>
  <c r="M911" i="10"/>
  <c r="P911" i="10"/>
  <c r="L911" i="10"/>
  <c r="N911" i="10"/>
  <c r="M909" i="10"/>
  <c r="L909" i="10"/>
  <c r="P909" i="10"/>
  <c r="N909" i="10"/>
  <c r="P902" i="10"/>
  <c r="L902" i="10"/>
  <c r="K902" i="10" s="1"/>
  <c r="O902" i="10"/>
  <c r="N902" i="10"/>
  <c r="P900" i="10"/>
  <c r="L900" i="10"/>
  <c r="O900" i="10"/>
  <c r="N900" i="10"/>
  <c r="M900" i="10"/>
  <c r="O899" i="10"/>
  <c r="J898" i="10"/>
  <c r="J890" i="10"/>
  <c r="N901" i="10"/>
  <c r="M901" i="10"/>
  <c r="P901" i="10"/>
  <c r="L901" i="10"/>
  <c r="O901" i="10"/>
  <c r="M899" i="10"/>
  <c r="L899" i="10"/>
  <c r="P899" i="10"/>
  <c r="N899" i="10"/>
  <c r="N893" i="10"/>
  <c r="M893" i="10"/>
  <c r="P893" i="10"/>
  <c r="L893" i="10"/>
  <c r="O893" i="10"/>
  <c r="M891" i="10"/>
  <c r="L891" i="10"/>
  <c r="N891" i="10"/>
  <c r="P891" i="10"/>
  <c r="M894" i="10"/>
  <c r="P894" i="10"/>
  <c r="O894" i="10"/>
  <c r="L894" i="10"/>
  <c r="K894" i="10" s="1"/>
  <c r="N894" i="10"/>
  <c r="P892" i="10"/>
  <c r="L892" i="10"/>
  <c r="O892" i="10"/>
  <c r="N892" i="10"/>
  <c r="M892" i="10"/>
  <c r="O888" i="10"/>
  <c r="P888" i="10"/>
  <c r="N888" i="10"/>
  <c r="L888" i="10"/>
  <c r="K888" i="10" s="1"/>
  <c r="L886" i="10"/>
  <c r="M886" i="10"/>
  <c r="P886" i="10"/>
  <c r="O886" i="10"/>
  <c r="O885" i="10"/>
  <c r="J884" i="10"/>
  <c r="P887" i="10"/>
  <c r="L887" i="10"/>
  <c r="O887" i="10"/>
  <c r="M887" i="10"/>
  <c r="M885" i="10"/>
  <c r="L885" i="10"/>
  <c r="P885" i="10"/>
  <c r="N885" i="10"/>
  <c r="M888" i="10"/>
  <c r="N886" i="10"/>
  <c r="N880" i="10"/>
  <c r="O880" i="10"/>
  <c r="M880" i="10"/>
  <c r="L880" i="10"/>
  <c r="L878" i="10"/>
  <c r="O878" i="10"/>
  <c r="P878" i="10"/>
  <c r="M878" i="10"/>
  <c r="N879" i="10"/>
  <c r="O873" i="10"/>
  <c r="P879" i="10"/>
  <c r="M879" i="10"/>
  <c r="O879" i="10"/>
  <c r="L879" i="10"/>
  <c r="P880" i="10"/>
  <c r="N878" i="10"/>
  <c r="J876" i="10"/>
  <c r="N872" i="10"/>
  <c r="M872" i="10"/>
  <c r="P872" i="10"/>
  <c r="L872" i="10"/>
  <c r="K872" i="10" s="1"/>
  <c r="O872" i="10"/>
  <c r="J870" i="10"/>
  <c r="P873" i="10"/>
  <c r="L873" i="10"/>
  <c r="K873" i="10" s="1"/>
  <c r="N873" i="10"/>
  <c r="M873" i="10"/>
  <c r="M871" i="10"/>
  <c r="O871" i="10"/>
  <c r="N871" i="10"/>
  <c r="P871" i="10"/>
  <c r="L871" i="10"/>
  <c r="O874" i="10"/>
  <c r="N874" i="10"/>
  <c r="L874" i="10"/>
  <c r="K874" i="10" s="1"/>
  <c r="P874" i="10"/>
  <c r="M874" i="10"/>
  <c r="O865" i="10"/>
  <c r="O863" i="10"/>
  <c r="M861" i="10"/>
  <c r="O859" i="10"/>
  <c r="M855" i="10"/>
  <c r="O847" i="10"/>
  <c r="O845" i="10"/>
  <c r="M843" i="10"/>
  <c r="O841" i="10"/>
  <c r="O866" i="10"/>
  <c r="N866" i="10"/>
  <c r="P866" i="10"/>
  <c r="L866" i="10"/>
  <c r="K866" i="10" s="1"/>
  <c r="M858" i="10"/>
  <c r="L858" i="10"/>
  <c r="N858" i="10"/>
  <c r="P858" i="10"/>
  <c r="J785" i="10"/>
  <c r="J784" i="10" s="1"/>
  <c r="J677" i="10"/>
  <c r="O677" i="10" s="1"/>
  <c r="J669" i="10"/>
  <c r="O669" i="10" s="1"/>
  <c r="J667" i="10"/>
  <c r="M667" i="10" s="1"/>
  <c r="J521" i="10"/>
  <c r="P521" i="10" s="1"/>
  <c r="P520" i="10" s="1"/>
  <c r="J475" i="10"/>
  <c r="P475" i="10" s="1"/>
  <c r="P474" i="10" s="1"/>
  <c r="N864" i="10"/>
  <c r="M864" i="10"/>
  <c r="P864" i="10"/>
  <c r="L864" i="10"/>
  <c r="K864" i="10" s="1"/>
  <c r="P860" i="10"/>
  <c r="N860" i="10"/>
  <c r="L860" i="10"/>
  <c r="K860" i="10" s="1"/>
  <c r="M860" i="10"/>
  <c r="L865" i="10"/>
  <c r="K865" i="10" s="1"/>
  <c r="P865" i="10"/>
  <c r="N865" i="10"/>
  <c r="M865" i="10"/>
  <c r="L863" i="10"/>
  <c r="K863" i="10" s="1"/>
  <c r="P863" i="10"/>
  <c r="N863" i="10"/>
  <c r="M863" i="10"/>
  <c r="O861" i="10"/>
  <c r="N861" i="10"/>
  <c r="P861" i="10"/>
  <c r="L861" i="10"/>
  <c r="K861" i="10" s="1"/>
  <c r="L859" i="10"/>
  <c r="K859" i="10" s="1"/>
  <c r="P859" i="10"/>
  <c r="N859" i="10"/>
  <c r="M859" i="10"/>
  <c r="L677" i="10"/>
  <c r="K677" i="10" s="1"/>
  <c r="M866" i="10"/>
  <c r="O864" i="10"/>
  <c r="O860" i="10"/>
  <c r="O858" i="10"/>
  <c r="J857" i="10"/>
  <c r="O854" i="10"/>
  <c r="J648" i="10"/>
  <c r="P648" i="10" s="1"/>
  <c r="P646" i="10" s="1"/>
  <c r="J570" i="10"/>
  <c r="P570" i="10" s="1"/>
  <c r="J542" i="10"/>
  <c r="P542" i="10" s="1"/>
  <c r="J468" i="10"/>
  <c r="N468" i="10" s="1"/>
  <c r="P854" i="10"/>
  <c r="N854" i="10"/>
  <c r="L854" i="10"/>
  <c r="K854" i="10" s="1"/>
  <c r="M854" i="10"/>
  <c r="M852" i="10"/>
  <c r="P852" i="10"/>
  <c r="L852" i="10"/>
  <c r="K852" i="10" s="1"/>
  <c r="N852" i="10"/>
  <c r="O852" i="10"/>
  <c r="O855" i="10"/>
  <c r="N855" i="10"/>
  <c r="P855" i="10"/>
  <c r="L855" i="10"/>
  <c r="K855" i="10" s="1"/>
  <c r="N853" i="10"/>
  <c r="M853" i="10"/>
  <c r="P853" i="10"/>
  <c r="L853" i="10"/>
  <c r="K853" i="10" s="1"/>
  <c r="O853" i="10"/>
  <c r="P851" i="10"/>
  <c r="L851" i="10"/>
  <c r="O851" i="10"/>
  <c r="M851" i="10"/>
  <c r="N851" i="10"/>
  <c r="O848" i="10"/>
  <c r="P848" i="10"/>
  <c r="N848" i="10"/>
  <c r="L848" i="10"/>
  <c r="K848" i="10" s="1"/>
  <c r="L846" i="10"/>
  <c r="K846" i="10" s="1"/>
  <c r="P846" i="10"/>
  <c r="N846" i="10"/>
  <c r="M846" i="10"/>
  <c r="P842" i="10"/>
  <c r="M842" i="10"/>
  <c r="N842" i="10"/>
  <c r="L842" i="10"/>
  <c r="K842" i="10" s="1"/>
  <c r="P840" i="10"/>
  <c r="N840" i="10"/>
  <c r="M840" i="10"/>
  <c r="L840" i="10"/>
  <c r="P847" i="10"/>
  <c r="L847" i="10"/>
  <c r="K847" i="10" s="1"/>
  <c r="N847" i="10"/>
  <c r="M847" i="10"/>
  <c r="M845" i="10"/>
  <c r="P845" i="10"/>
  <c r="N845" i="10"/>
  <c r="L845" i="10"/>
  <c r="K845" i="10" s="1"/>
  <c r="O843" i="10"/>
  <c r="L843" i="10"/>
  <c r="K843" i="10" s="1"/>
  <c r="N843" i="10"/>
  <c r="P843" i="10"/>
  <c r="M841" i="10"/>
  <c r="L841" i="10"/>
  <c r="K841" i="10" s="1"/>
  <c r="P841" i="10"/>
  <c r="N841" i="10"/>
  <c r="M848" i="10"/>
  <c r="O846" i="10"/>
  <c r="O842" i="10"/>
  <c r="O840" i="10"/>
  <c r="J839" i="10"/>
  <c r="O836" i="10"/>
  <c r="O834" i="10" s="1"/>
  <c r="N836" i="10"/>
  <c r="N834" i="10" s="1"/>
  <c r="M836" i="10"/>
  <c r="P836" i="10"/>
  <c r="P834" i="10" s="1"/>
  <c r="J834" i="10"/>
  <c r="O826" i="10"/>
  <c r="N826" i="10"/>
  <c r="M826" i="10"/>
  <c r="O824" i="10"/>
  <c r="N824" i="10"/>
  <c r="M824" i="10"/>
  <c r="P824" i="10"/>
  <c r="N820" i="10"/>
  <c r="M820" i="10"/>
  <c r="P820" i="10"/>
  <c r="O820" i="10"/>
  <c r="P825" i="10"/>
  <c r="P823" i="10"/>
  <c r="M825" i="10"/>
  <c r="O825" i="10"/>
  <c r="N825" i="10"/>
  <c r="O823" i="10"/>
  <c r="N823" i="10"/>
  <c r="M823" i="10"/>
  <c r="P826" i="10"/>
  <c r="J819" i="10"/>
  <c r="P814" i="10"/>
  <c r="P813" i="10" s="1"/>
  <c r="J813" i="10"/>
  <c r="O814" i="10"/>
  <c r="O813" i="10" s="1"/>
  <c r="N814" i="10"/>
  <c r="N813" i="10" s="1"/>
  <c r="M814" i="10"/>
  <c r="P806" i="10"/>
  <c r="O802" i="10"/>
  <c r="N798" i="10"/>
  <c r="N805" i="10"/>
  <c r="M803" i="10"/>
  <c r="O801" i="10"/>
  <c r="N799" i="10"/>
  <c r="N797" i="10"/>
  <c r="N796" i="10"/>
  <c r="J794" i="10"/>
  <c r="N806" i="10"/>
  <c r="M806" i="10"/>
  <c r="O806" i="10"/>
  <c r="N802" i="10"/>
  <c r="P802" i="10"/>
  <c r="M802" i="10"/>
  <c r="L802" i="10"/>
  <c r="K802" i="10" s="1"/>
  <c r="M798" i="10"/>
  <c r="P798" i="10"/>
  <c r="O798" i="10"/>
  <c r="L798" i="10"/>
  <c r="P796" i="10"/>
  <c r="M796" i="10"/>
  <c r="O796" i="10"/>
  <c r="L796" i="10"/>
  <c r="L805" i="10"/>
  <c r="O805" i="10"/>
  <c r="M805" i="10"/>
  <c r="P805" i="10"/>
  <c r="N803" i="10"/>
  <c r="L803" i="10"/>
  <c r="K803" i="10" s="1"/>
  <c r="P803" i="10"/>
  <c r="O803" i="10"/>
  <c r="P801" i="10"/>
  <c r="M801" i="10"/>
  <c r="N801" i="10"/>
  <c r="L801" i="10"/>
  <c r="K801" i="10" s="1"/>
  <c r="L799" i="10"/>
  <c r="M799" i="10"/>
  <c r="P799" i="10"/>
  <c r="O799" i="10"/>
  <c r="O797" i="10"/>
  <c r="L797" i="10"/>
  <c r="M797" i="10"/>
  <c r="P797" i="10"/>
  <c r="P787" i="10"/>
  <c r="M788" i="10"/>
  <c r="M789" i="10"/>
  <c r="O788" i="10"/>
  <c r="O789" i="10"/>
  <c r="M785" i="10"/>
  <c r="N785" i="10"/>
  <c r="N784" i="10" s="1"/>
  <c r="P780" i="10"/>
  <c r="P779" i="10" s="1"/>
  <c r="J779" i="10"/>
  <c r="M780" i="10"/>
  <c r="M779" i="10" s="1"/>
  <c r="N780" i="10"/>
  <c r="N779" i="10" s="1"/>
  <c r="J769" i="10"/>
  <c r="M769" i="10" s="1"/>
  <c r="M775" i="10"/>
  <c r="M774" i="10" s="1"/>
  <c r="H770" i="10"/>
  <c r="J770" i="10" s="1"/>
  <c r="O770" i="10" s="1"/>
  <c r="N775" i="10"/>
  <c r="N774" i="10" s="1"/>
  <c r="J722" i="10"/>
  <c r="N722" i="10" s="1"/>
  <c r="J760" i="10"/>
  <c r="O760" i="10" s="1"/>
  <c r="O768" i="10"/>
  <c r="N769" i="10"/>
  <c r="H757" i="10"/>
  <c r="J757" i="10" s="1"/>
  <c r="O757" i="10" s="1"/>
  <c r="P768" i="10"/>
  <c r="O769" i="10"/>
  <c r="M770" i="10"/>
  <c r="J765" i="10"/>
  <c r="M765" i="10" s="1"/>
  <c r="L768" i="10"/>
  <c r="P769" i="10"/>
  <c r="N770" i="10"/>
  <c r="H758" i="10"/>
  <c r="J758" i="10" s="1"/>
  <c r="O758" i="10" s="1"/>
  <c r="H763" i="10"/>
  <c r="J763" i="10" s="1"/>
  <c r="O763" i="10" s="1"/>
  <c r="P756" i="10"/>
  <c r="N757" i="10"/>
  <c r="M758" i="10"/>
  <c r="P760" i="10"/>
  <c r="N762" i="10"/>
  <c r="M763" i="10"/>
  <c r="P765" i="10"/>
  <c r="H754" i="10"/>
  <c r="J754" i="10" s="1"/>
  <c r="H759" i="10"/>
  <c r="J759" i="10" s="1"/>
  <c r="M759" i="10" s="1"/>
  <c r="H764" i="10"/>
  <c r="J764" i="10" s="1"/>
  <c r="O764" i="10" s="1"/>
  <c r="M754" i="10"/>
  <c r="P757" i="10"/>
  <c r="N758" i="10"/>
  <c r="N759" i="10"/>
  <c r="L760" i="10"/>
  <c r="K760" i="10" s="1"/>
  <c r="J762" i="10"/>
  <c r="O762" i="10" s="1"/>
  <c r="P762" i="10"/>
  <c r="N763" i="10"/>
  <c r="M764" i="10"/>
  <c r="L765" i="10"/>
  <c r="K765" i="10" s="1"/>
  <c r="H756" i="10"/>
  <c r="J756" i="10" s="1"/>
  <c r="O756" i="10" s="1"/>
  <c r="N754" i="10"/>
  <c r="M756" i="10"/>
  <c r="P758" i="10"/>
  <c r="O759" i="10"/>
  <c r="M760" i="10"/>
  <c r="L762" i="10"/>
  <c r="K762" i="10" s="1"/>
  <c r="P763" i="10"/>
  <c r="N764" i="10"/>
  <c r="N765" i="10"/>
  <c r="J747" i="10"/>
  <c r="O747" i="10" s="1"/>
  <c r="H748" i="10"/>
  <c r="J748" i="10" s="1"/>
  <c r="O748" i="10" s="1"/>
  <c r="P746" i="10"/>
  <c r="N747" i="10"/>
  <c r="M748" i="10"/>
  <c r="P750" i="10"/>
  <c r="H744" i="10"/>
  <c r="J744" i="10" s="1"/>
  <c r="H749" i="10"/>
  <c r="J749" i="10" s="1"/>
  <c r="M749" i="10" s="1"/>
  <c r="M744" i="10"/>
  <c r="P747" i="10"/>
  <c r="N748" i="10"/>
  <c r="N749" i="10"/>
  <c r="H746" i="10"/>
  <c r="J746" i="10" s="1"/>
  <c r="O746" i="10" s="1"/>
  <c r="H750" i="10"/>
  <c r="J750" i="10" s="1"/>
  <c r="O750" i="10" s="1"/>
  <c r="N744" i="10"/>
  <c r="M746" i="10"/>
  <c r="L747" i="10"/>
  <c r="K747" i="10" s="1"/>
  <c r="P748" i="10"/>
  <c r="O749" i="10"/>
  <c r="M750" i="10"/>
  <c r="J738" i="10"/>
  <c r="P738" i="10" s="1"/>
  <c r="P737" i="10" s="1"/>
  <c r="J735" i="10"/>
  <c r="O735" i="10" s="1"/>
  <c r="O738" i="10"/>
  <c r="O737" i="10" s="1"/>
  <c r="J732" i="10"/>
  <c r="O732" i="10" s="1"/>
  <c r="J715" i="10"/>
  <c r="N715" i="10" s="1"/>
  <c r="J729" i="10"/>
  <c r="N729" i="10" s="1"/>
  <c r="J733" i="10"/>
  <c r="M733" i="10" s="1"/>
  <c r="M738" i="10"/>
  <c r="J734" i="10"/>
  <c r="O734" i="10" s="1"/>
  <c r="M729" i="10"/>
  <c r="P731" i="10"/>
  <c r="P732" i="10"/>
  <c r="O733" i="10"/>
  <c r="N734" i="10"/>
  <c r="N735" i="10"/>
  <c r="L732" i="10"/>
  <c r="K732" i="10" s="1"/>
  <c r="M730" i="10"/>
  <c r="M731" i="10"/>
  <c r="P733" i="10"/>
  <c r="P734" i="10"/>
  <c r="L733" i="10"/>
  <c r="K733" i="10" s="1"/>
  <c r="O729" i="10"/>
  <c r="N730" i="10"/>
  <c r="M732" i="10"/>
  <c r="P735" i="10"/>
  <c r="L734" i="10"/>
  <c r="K734" i="10" s="1"/>
  <c r="M735" i="10"/>
  <c r="L720" i="10"/>
  <c r="O721" i="10"/>
  <c r="M722" i="10"/>
  <c r="O723" i="10"/>
  <c r="M720" i="10"/>
  <c r="J721" i="10"/>
  <c r="N721" i="10" s="1"/>
  <c r="P721" i="10"/>
  <c r="O722" i="10"/>
  <c r="J720" i="10"/>
  <c r="O720" i="10"/>
  <c r="L721" i="10"/>
  <c r="P722" i="10"/>
  <c r="M723" i="10"/>
  <c r="J723" i="10"/>
  <c r="P723" i="10" s="1"/>
  <c r="J707" i="10"/>
  <c r="M713" i="10"/>
  <c r="L714" i="10"/>
  <c r="L715" i="10"/>
  <c r="P715" i="10"/>
  <c r="O716" i="10"/>
  <c r="O713" i="10"/>
  <c r="M714" i="10"/>
  <c r="M715" i="10"/>
  <c r="J716" i="10"/>
  <c r="P716" i="10" s="1"/>
  <c r="P713" i="10"/>
  <c r="O714" i="10"/>
  <c r="M716" i="10"/>
  <c r="N714" i="10"/>
  <c r="P706" i="10"/>
  <c r="N706" i="10"/>
  <c r="M707" i="10"/>
  <c r="M705" i="10" s="1"/>
  <c r="P708" i="10"/>
  <c r="O706" i="10"/>
  <c r="L708" i="10"/>
  <c r="K708" i="10" s="1"/>
  <c r="J702" i="10"/>
  <c r="P702" i="10" s="1"/>
  <c r="O707" i="10"/>
  <c r="N708" i="10"/>
  <c r="L707" i="10"/>
  <c r="O700" i="10"/>
  <c r="M701" i="10"/>
  <c r="O702" i="10"/>
  <c r="J695" i="10"/>
  <c r="N695" i="10" s="1"/>
  <c r="H700" i="10"/>
  <c r="J700" i="10" s="1"/>
  <c r="L700" i="10"/>
  <c r="P700" i="10"/>
  <c r="L702" i="10"/>
  <c r="J696" i="10"/>
  <c r="M696" i="10" s="1"/>
  <c r="H701" i="10"/>
  <c r="J701" i="10" s="1"/>
  <c r="N701" i="10" s="1"/>
  <c r="M700" i="10"/>
  <c r="O701" i="10"/>
  <c r="M702" i="10"/>
  <c r="J693" i="10"/>
  <c r="O693" i="10" s="1"/>
  <c r="L701" i="10"/>
  <c r="L693" i="10"/>
  <c r="P694" i="10"/>
  <c r="L696" i="10"/>
  <c r="K696" i="10" s="1"/>
  <c r="M693" i="10"/>
  <c r="L694" i="10"/>
  <c r="O695" i="10"/>
  <c r="N696" i="10"/>
  <c r="J524" i="10"/>
  <c r="P524" i="10" s="1"/>
  <c r="P523" i="10" s="1"/>
  <c r="J444" i="10"/>
  <c r="N444" i="10" s="1"/>
  <c r="J690" i="10"/>
  <c r="M690" i="10" s="1"/>
  <c r="N693" i="10"/>
  <c r="M694" i="10"/>
  <c r="L695" i="10"/>
  <c r="P695" i="10"/>
  <c r="O696" i="10"/>
  <c r="J687" i="10"/>
  <c r="J683" i="10"/>
  <c r="J682" i="10" s="1"/>
  <c r="L687" i="10"/>
  <c r="P688" i="10"/>
  <c r="P690" i="10"/>
  <c r="M687" i="10"/>
  <c r="L688" i="10"/>
  <c r="O689" i="10"/>
  <c r="L690" i="10"/>
  <c r="K690" i="10" s="1"/>
  <c r="N687" i="10"/>
  <c r="M688" i="10"/>
  <c r="L689" i="10"/>
  <c r="P689" i="10"/>
  <c r="N690" i="10"/>
  <c r="L683" i="10"/>
  <c r="J678" i="10"/>
  <c r="O678" i="10" s="1"/>
  <c r="M683" i="10"/>
  <c r="M682" i="10" s="1"/>
  <c r="J679" i="10"/>
  <c r="O679" i="10" s="1"/>
  <c r="N683" i="10"/>
  <c r="N682" i="10" s="1"/>
  <c r="J680" i="10"/>
  <c r="M680" i="10" s="1"/>
  <c r="M677" i="10"/>
  <c r="P678" i="10"/>
  <c r="M679" i="10"/>
  <c r="P680" i="10"/>
  <c r="N677" i="10"/>
  <c r="L678" i="10"/>
  <c r="K678" i="10" s="1"/>
  <c r="N679" i="10"/>
  <c r="L680" i="10"/>
  <c r="K680" i="10" s="1"/>
  <c r="H671" i="10"/>
  <c r="J671" i="10" s="1"/>
  <c r="O671" i="10" s="1"/>
  <c r="P677" i="10"/>
  <c r="M678" i="10"/>
  <c r="P679" i="10"/>
  <c r="N680" i="10"/>
  <c r="J666" i="10"/>
  <c r="O666" i="10" s="1"/>
  <c r="J672" i="10"/>
  <c r="M672" i="10" s="1"/>
  <c r="P635" i="10"/>
  <c r="J664" i="10"/>
  <c r="O664" i="10" s="1"/>
  <c r="J665" i="10"/>
  <c r="O665" i="10" s="1"/>
  <c r="H670" i="10"/>
  <c r="J670" i="10" s="1"/>
  <c r="O670" i="10" s="1"/>
  <c r="L664" i="10"/>
  <c r="N665" i="10"/>
  <c r="L666" i="10"/>
  <c r="K666" i="10" s="1"/>
  <c r="P667" i="10"/>
  <c r="N669" i="10"/>
  <c r="M670" i="10"/>
  <c r="P672" i="10"/>
  <c r="M664" i="10"/>
  <c r="P665" i="10"/>
  <c r="M666" i="10"/>
  <c r="L667" i="10"/>
  <c r="K667" i="10" s="1"/>
  <c r="P669" i="10"/>
  <c r="N670" i="10"/>
  <c r="M671" i="10"/>
  <c r="L672" i="10"/>
  <c r="K672" i="10" s="1"/>
  <c r="N664" i="10"/>
  <c r="L665" i="10"/>
  <c r="K665" i="10" s="1"/>
  <c r="N666" i="10"/>
  <c r="N667" i="10"/>
  <c r="L669" i="10"/>
  <c r="K669" i="10" s="1"/>
  <c r="P670" i="10"/>
  <c r="N671" i="10"/>
  <c r="N672" i="10"/>
  <c r="J658" i="10"/>
  <c r="O658" i="10" s="1"/>
  <c r="J659" i="10"/>
  <c r="O659" i="10" s="1"/>
  <c r="J660" i="10"/>
  <c r="M660" i="10" s="1"/>
  <c r="N657" i="10"/>
  <c r="M658" i="10"/>
  <c r="L659" i="10"/>
  <c r="K659" i="10" s="1"/>
  <c r="P660" i="10"/>
  <c r="J652" i="10"/>
  <c r="M652" i="10" s="1"/>
  <c r="P657" i="10"/>
  <c r="N658" i="10"/>
  <c r="M659" i="10"/>
  <c r="L660" i="10"/>
  <c r="K660" i="10" s="1"/>
  <c r="L657" i="10"/>
  <c r="P658" i="10"/>
  <c r="N659" i="10"/>
  <c r="N660" i="10"/>
  <c r="L652" i="10"/>
  <c r="P653" i="10"/>
  <c r="P651" i="10" s="1"/>
  <c r="N652" i="10"/>
  <c r="N651" i="10" s="1"/>
  <c r="H653" i="10"/>
  <c r="J653" i="10" s="1"/>
  <c r="O653" i="10" s="1"/>
  <c r="O652" i="10"/>
  <c r="M653" i="10"/>
  <c r="M648" i="10"/>
  <c r="M646" i="10" s="1"/>
  <c r="N648" i="10"/>
  <c r="N646" i="10" s="1"/>
  <c r="L648" i="10"/>
  <c r="L646" i="10" s="1"/>
  <c r="C95" i="7" s="1"/>
  <c r="J632" i="10"/>
  <c r="M632" i="10" s="1"/>
  <c r="J637" i="10"/>
  <c r="P637" i="10" s="1"/>
  <c r="P636" i="10"/>
  <c r="O637" i="10"/>
  <c r="N638" i="10"/>
  <c r="N632" i="10"/>
  <c r="M635" i="10"/>
  <c r="M636" i="10"/>
  <c r="P638" i="10"/>
  <c r="O638" i="10"/>
  <c r="O632" i="10"/>
  <c r="N635" i="10"/>
  <c r="N636" i="10"/>
  <c r="M637" i="10"/>
  <c r="N626" i="10"/>
  <c r="N625" i="10" s="1"/>
  <c r="O626" i="10"/>
  <c r="O625" i="10" s="1"/>
  <c r="J626" i="10"/>
  <c r="J623" i="10"/>
  <c r="J622" i="10" s="1"/>
  <c r="M623" i="10"/>
  <c r="N623" i="10"/>
  <c r="N622" i="10" s="1"/>
  <c r="J620" i="10"/>
  <c r="J619" i="10" s="1"/>
  <c r="O623" i="10"/>
  <c r="O622" i="10" s="1"/>
  <c r="M620" i="10"/>
  <c r="M619" i="10" s="1"/>
  <c r="J617" i="10"/>
  <c r="J616" i="10" s="1"/>
  <c r="N620" i="10"/>
  <c r="N619" i="10" s="1"/>
  <c r="M617" i="10"/>
  <c r="N617" i="10"/>
  <c r="N616" i="10" s="1"/>
  <c r="J614" i="10"/>
  <c r="P614" i="10" s="1"/>
  <c r="O617" i="10"/>
  <c r="O616" i="10" s="1"/>
  <c r="M614" i="10"/>
  <c r="M613" i="10" s="1"/>
  <c r="J610" i="10"/>
  <c r="J609" i="10" s="1"/>
  <c r="N614" i="10"/>
  <c r="N613" i="10" s="1"/>
  <c r="M610" i="10"/>
  <c r="N610" i="10"/>
  <c r="N609" i="10" s="1"/>
  <c r="J606" i="10"/>
  <c r="P606" i="10" s="1"/>
  <c r="P605" i="10" s="1"/>
  <c r="O610" i="10"/>
  <c r="O609" i="10" s="1"/>
  <c r="J602" i="10"/>
  <c r="J601" i="10" s="1"/>
  <c r="M606" i="10"/>
  <c r="N606" i="10"/>
  <c r="N605" i="10" s="1"/>
  <c r="M602" i="10"/>
  <c r="N602" i="10"/>
  <c r="N601" i="10" s="1"/>
  <c r="J598" i="10"/>
  <c r="P598" i="10" s="1"/>
  <c r="P597" i="10" s="1"/>
  <c r="O602" i="10"/>
  <c r="O601" i="10" s="1"/>
  <c r="M598" i="10"/>
  <c r="M597" i="10" s="1"/>
  <c r="N598" i="10"/>
  <c r="N597" i="10" s="1"/>
  <c r="J589" i="10"/>
  <c r="P589" i="10" s="1"/>
  <c r="P588" i="10" s="1"/>
  <c r="P593" i="10"/>
  <c r="P592" i="10" s="1"/>
  <c r="M593" i="10"/>
  <c r="N593" i="10"/>
  <c r="N592" i="10" s="1"/>
  <c r="O593" i="10"/>
  <c r="O592" i="10" s="1"/>
  <c r="M589" i="10"/>
  <c r="M588" i="10" s="1"/>
  <c r="N589" i="10"/>
  <c r="N588" i="10" s="1"/>
  <c r="J581" i="10"/>
  <c r="P581" i="10" s="1"/>
  <c r="P580" i="10" s="1"/>
  <c r="J585" i="10"/>
  <c r="P585" i="10" s="1"/>
  <c r="P584" i="10" s="1"/>
  <c r="M580" i="10"/>
  <c r="N581" i="10"/>
  <c r="N580" i="10" s="1"/>
  <c r="O581" i="10"/>
  <c r="O580" i="10" s="1"/>
  <c r="M585" i="10"/>
  <c r="M584" i="10" s="1"/>
  <c r="N585" i="10"/>
  <c r="N584" i="10" s="1"/>
  <c r="M577" i="10"/>
  <c r="M576" i="10" s="1"/>
  <c r="N577" i="10"/>
  <c r="N576" i="10" s="1"/>
  <c r="J573" i="10"/>
  <c r="P573" i="10" s="1"/>
  <c r="P572" i="10" s="1"/>
  <c r="J561" i="10"/>
  <c r="N561" i="10" s="1"/>
  <c r="N573" i="10"/>
  <c r="N572" i="10" s="1"/>
  <c r="J562" i="10"/>
  <c r="N562" i="10" s="1"/>
  <c r="O573" i="10"/>
  <c r="O572" i="10" s="1"/>
  <c r="J569" i="10"/>
  <c r="N569" i="10" s="1"/>
  <c r="J560" i="10"/>
  <c r="N560" i="10" s="1"/>
  <c r="J567" i="10"/>
  <c r="M567" i="10" s="1"/>
  <c r="J546" i="10"/>
  <c r="N546" i="10" s="1"/>
  <c r="J551" i="10"/>
  <c r="O551" i="10" s="1"/>
  <c r="L560" i="10"/>
  <c r="P560" i="10"/>
  <c r="L562" i="10"/>
  <c r="P563" i="10"/>
  <c r="N565" i="10"/>
  <c r="M566" i="10"/>
  <c r="L567" i="10"/>
  <c r="K567" i="10" s="1"/>
  <c r="P567" i="10"/>
  <c r="O570" i="10"/>
  <c r="H553" i="10"/>
  <c r="J553" i="10" s="1"/>
  <c r="M553" i="10" s="1"/>
  <c r="H566" i="10"/>
  <c r="J566" i="10" s="1"/>
  <c r="O566" i="10" s="1"/>
  <c r="M560" i="10"/>
  <c r="O561" i="10"/>
  <c r="M562" i="10"/>
  <c r="L563" i="10"/>
  <c r="J565" i="10"/>
  <c r="O565" i="10" s="1"/>
  <c r="P565" i="10"/>
  <c r="N566" i="10"/>
  <c r="O569" i="10"/>
  <c r="P556" i="10"/>
  <c r="J548" i="10"/>
  <c r="N548" i="10" s="1"/>
  <c r="J555" i="10"/>
  <c r="N555" i="10" s="1"/>
  <c r="L561" i="10"/>
  <c r="P561" i="10"/>
  <c r="O562" i="10"/>
  <c r="M563" i="10"/>
  <c r="L565" i="10"/>
  <c r="P566" i="10"/>
  <c r="N567" i="10"/>
  <c r="L569" i="10"/>
  <c r="P569" i="10"/>
  <c r="M570" i="10"/>
  <c r="J549" i="10"/>
  <c r="N549" i="10" s="1"/>
  <c r="L546" i="10"/>
  <c r="P547" i="10"/>
  <c r="O548" i="10"/>
  <c r="M549" i="10"/>
  <c r="L551" i="10"/>
  <c r="P552" i="10"/>
  <c r="O553" i="10"/>
  <c r="M555" i="10"/>
  <c r="M546" i="10"/>
  <c r="L547" i="10"/>
  <c r="P548" i="10"/>
  <c r="O549" i="10"/>
  <c r="M551" i="10"/>
  <c r="P553" i="10"/>
  <c r="M556" i="10"/>
  <c r="O546" i="10"/>
  <c r="M547" i="10"/>
  <c r="L548" i="10"/>
  <c r="P549" i="10"/>
  <c r="N551" i="10"/>
  <c r="M552" i="10"/>
  <c r="O555" i="10"/>
  <c r="N556" i="10"/>
  <c r="J541" i="10"/>
  <c r="H552" i="10"/>
  <c r="J552" i="10" s="1"/>
  <c r="O552" i="10" s="1"/>
  <c r="L555" i="10"/>
  <c r="J530" i="10"/>
  <c r="N530" i="10" s="1"/>
  <c r="O541" i="10"/>
  <c r="O540" i="10" s="1"/>
  <c r="M542" i="10"/>
  <c r="P541" i="10"/>
  <c r="N542" i="10"/>
  <c r="J528" i="10"/>
  <c r="N528" i="10" s="1"/>
  <c r="J535" i="10"/>
  <c r="M535" i="10" s="1"/>
  <c r="L528" i="10"/>
  <c r="P529" i="10"/>
  <c r="O530" i="10"/>
  <c r="M531" i="10"/>
  <c r="J533" i="10"/>
  <c r="O533" i="10" s="1"/>
  <c r="N533" i="10"/>
  <c r="O535" i="10"/>
  <c r="M537" i="10"/>
  <c r="J538" i="10"/>
  <c r="P538" i="10" s="1"/>
  <c r="H534" i="10"/>
  <c r="J534" i="10" s="1"/>
  <c r="O534" i="10" s="1"/>
  <c r="M528" i="10"/>
  <c r="L529" i="10"/>
  <c r="P530" i="10"/>
  <c r="N531" i="10"/>
  <c r="P533" i="10"/>
  <c r="M534" i="10"/>
  <c r="P535" i="10"/>
  <c r="M538" i="10"/>
  <c r="O528" i="10"/>
  <c r="M529" i="10"/>
  <c r="L530" i="10"/>
  <c r="O531" i="10"/>
  <c r="L533" i="10"/>
  <c r="N534" i="10"/>
  <c r="L535" i="10"/>
  <c r="K535" i="10" s="1"/>
  <c r="O537" i="10"/>
  <c r="N538" i="10"/>
  <c r="L531" i="10"/>
  <c r="L537" i="10"/>
  <c r="M524" i="10"/>
  <c r="M523" i="10" s="1"/>
  <c r="N524" i="10"/>
  <c r="N523" i="10" s="1"/>
  <c r="N521" i="10"/>
  <c r="N520" i="10" s="1"/>
  <c r="J49" i="10"/>
  <c r="M49" i="10" s="1"/>
  <c r="O521" i="10"/>
  <c r="O520" i="10" s="1"/>
  <c r="H490" i="10"/>
  <c r="L490" i="10" s="1"/>
  <c r="K490" i="10" s="1"/>
  <c r="O517" i="10"/>
  <c r="O516" i="10" s="1"/>
  <c r="J517" i="10"/>
  <c r="M517" i="10"/>
  <c r="M514" i="10"/>
  <c r="M513" i="10" s="1"/>
  <c r="H505" i="10"/>
  <c r="L505" i="10" s="1"/>
  <c r="K505" i="10" s="1"/>
  <c r="J509" i="10"/>
  <c r="N509" i="10" s="1"/>
  <c r="N514" i="10"/>
  <c r="N513" i="10" s="1"/>
  <c r="H510" i="10"/>
  <c r="J510" i="10" s="1"/>
  <c r="M510" i="10" s="1"/>
  <c r="J506" i="10"/>
  <c r="O506" i="10" s="1"/>
  <c r="L509" i="10"/>
  <c r="P510" i="10"/>
  <c r="P511" i="10"/>
  <c r="H497" i="10"/>
  <c r="J497" i="10" s="1"/>
  <c r="O497" i="10" s="1"/>
  <c r="M509" i="10"/>
  <c r="H480" i="10"/>
  <c r="J480" i="10" s="1"/>
  <c r="O480" i="10" s="1"/>
  <c r="O509" i="10"/>
  <c r="N510" i="10"/>
  <c r="M511" i="10"/>
  <c r="L511" i="10"/>
  <c r="K511" i="10" s="1"/>
  <c r="J511" i="10"/>
  <c r="O511" i="10" s="1"/>
  <c r="N504" i="10"/>
  <c r="N497" i="10"/>
  <c r="O504" i="10"/>
  <c r="N505" i="10"/>
  <c r="L506" i="10"/>
  <c r="K506" i="10" s="1"/>
  <c r="H482" i="10"/>
  <c r="L482" i="10" s="1"/>
  <c r="K482" i="10" s="1"/>
  <c r="H498" i="10"/>
  <c r="J498" i="10" s="1"/>
  <c r="O498" i="10" s="1"/>
  <c r="P504" i="10"/>
  <c r="O505" i="10"/>
  <c r="M506" i="10"/>
  <c r="L498" i="10"/>
  <c r="K498" i="10" s="1"/>
  <c r="J491" i="10"/>
  <c r="M491" i="10" s="1"/>
  <c r="H501" i="10"/>
  <c r="J501" i="10" s="1"/>
  <c r="O501" i="10" s="1"/>
  <c r="P500" i="10"/>
  <c r="L504" i="10"/>
  <c r="P505" i="10"/>
  <c r="N506" i="10"/>
  <c r="J500" i="10"/>
  <c r="M500" i="10" s="1"/>
  <c r="P495" i="10"/>
  <c r="N501" i="10"/>
  <c r="L414" i="10"/>
  <c r="K414" i="10" s="1"/>
  <c r="L396" i="10"/>
  <c r="K396" i="10" s="1"/>
  <c r="H485" i="10"/>
  <c r="J485" i="10" s="1"/>
  <c r="M485" i="10" s="1"/>
  <c r="H499" i="10"/>
  <c r="P497" i="10"/>
  <c r="N498" i="10"/>
  <c r="M499" i="10"/>
  <c r="L500" i="10"/>
  <c r="K500" i="10" s="1"/>
  <c r="P501" i="10"/>
  <c r="J467" i="10"/>
  <c r="P467" i="10" s="1"/>
  <c r="J451" i="10"/>
  <c r="N451" i="10" s="1"/>
  <c r="J401" i="10"/>
  <c r="O401" i="10" s="1"/>
  <c r="J383" i="10"/>
  <c r="P383" i="10" s="1"/>
  <c r="J373" i="10"/>
  <c r="P373" i="10" s="1"/>
  <c r="P372" i="10" s="1"/>
  <c r="J484" i="10"/>
  <c r="O484" i="10" s="1"/>
  <c r="H486" i="10"/>
  <c r="J486" i="10" s="1"/>
  <c r="O486" i="10" s="1"/>
  <c r="H495" i="10"/>
  <c r="J495" i="10" s="1"/>
  <c r="O495" i="10" s="1"/>
  <c r="M495" i="10"/>
  <c r="P498" i="10"/>
  <c r="N499" i="10"/>
  <c r="N500" i="10"/>
  <c r="L491" i="10"/>
  <c r="K491" i="10" s="1"/>
  <c r="L471" i="10"/>
  <c r="K471" i="10" s="1"/>
  <c r="L401" i="10"/>
  <c r="K401" i="10" s="1"/>
  <c r="J488" i="10"/>
  <c r="O488" i="10" s="1"/>
  <c r="N480" i="10"/>
  <c r="M482" i="10"/>
  <c r="P484" i="10"/>
  <c r="O485" i="10"/>
  <c r="M486" i="10"/>
  <c r="P488" i="10"/>
  <c r="M489" i="10"/>
  <c r="P490" i="10"/>
  <c r="N491" i="10"/>
  <c r="P480" i="10"/>
  <c r="N482" i="10"/>
  <c r="M483" i="10"/>
  <c r="L484" i="10"/>
  <c r="K484" i="10" s="1"/>
  <c r="P485" i="10"/>
  <c r="N486" i="10"/>
  <c r="L488" i="10"/>
  <c r="K488" i="10" s="1"/>
  <c r="N489" i="10"/>
  <c r="O491" i="10"/>
  <c r="H483" i="10"/>
  <c r="J483" i="10" s="1"/>
  <c r="O483" i="10" s="1"/>
  <c r="P482" i="10"/>
  <c r="N483" i="10"/>
  <c r="M484" i="10"/>
  <c r="P486" i="10"/>
  <c r="M488" i="10"/>
  <c r="P489" i="10"/>
  <c r="M490" i="10"/>
  <c r="P491" i="10"/>
  <c r="H489" i="10"/>
  <c r="J489" i="10" s="1"/>
  <c r="O489" i="10" s="1"/>
  <c r="O475" i="10"/>
  <c r="O474" i="10" s="1"/>
  <c r="J472" i="10"/>
  <c r="O472" i="10" s="1"/>
  <c r="J460" i="10"/>
  <c r="N460" i="10" s="1"/>
  <c r="J469" i="10"/>
  <c r="O469" i="10" s="1"/>
  <c r="M475" i="10"/>
  <c r="M474" i="10" s="1"/>
  <c r="J466" i="10"/>
  <c r="N466" i="10" s="1"/>
  <c r="J470" i="10"/>
  <c r="M470" i="10" s="1"/>
  <c r="J471" i="10"/>
  <c r="O471" i="10" s="1"/>
  <c r="L466" i="10"/>
  <c r="P468" i="10"/>
  <c r="M469" i="10"/>
  <c r="P470" i="10"/>
  <c r="M471" i="10"/>
  <c r="P472" i="10"/>
  <c r="M466" i="10"/>
  <c r="M467" i="10"/>
  <c r="L468" i="10"/>
  <c r="N469" i="10"/>
  <c r="L470" i="10"/>
  <c r="K470" i="10" s="1"/>
  <c r="N471" i="10"/>
  <c r="L472" i="10"/>
  <c r="K472" i="10" s="1"/>
  <c r="O466" i="10"/>
  <c r="N467" i="10"/>
  <c r="M468" i="10"/>
  <c r="P469" i="10"/>
  <c r="N470" i="10"/>
  <c r="P471" i="10"/>
  <c r="M472" i="10"/>
  <c r="L453" i="10"/>
  <c r="L458" i="10"/>
  <c r="O459" i="10"/>
  <c r="M460" i="10"/>
  <c r="O461" i="10"/>
  <c r="M458" i="10"/>
  <c r="J459" i="10"/>
  <c r="N459" i="10" s="1"/>
  <c r="P459" i="10"/>
  <c r="O460" i="10"/>
  <c r="J458" i="10"/>
  <c r="O458" i="10"/>
  <c r="L459" i="10"/>
  <c r="P460" i="10"/>
  <c r="M461" i="10"/>
  <c r="L451" i="10"/>
  <c r="J461" i="10"/>
  <c r="P461" i="10" s="1"/>
  <c r="L452" i="10"/>
  <c r="J385" i="10"/>
  <c r="P385" i="10" s="1"/>
  <c r="L312" i="10"/>
  <c r="K312" i="10" s="1"/>
  <c r="M451" i="10"/>
  <c r="M452" i="10"/>
  <c r="M453" i="10"/>
  <c r="M454" i="10"/>
  <c r="J453" i="10"/>
  <c r="N453" i="10" s="1"/>
  <c r="L409" i="10"/>
  <c r="K409" i="10" s="1"/>
  <c r="J311" i="10"/>
  <c r="N311" i="10" s="1"/>
  <c r="J273" i="10"/>
  <c r="P273" i="10" s="1"/>
  <c r="J446" i="10"/>
  <c r="N446" i="10" s="1"/>
  <c r="O451" i="10"/>
  <c r="O452" i="10"/>
  <c r="O453" i="10"/>
  <c r="N454" i="10"/>
  <c r="J345" i="10"/>
  <c r="P345" i="10" s="1"/>
  <c r="P343" i="10" s="1"/>
  <c r="J341" i="10"/>
  <c r="P341" i="10" s="1"/>
  <c r="L291" i="10"/>
  <c r="K291" i="10" s="1"/>
  <c r="J452" i="10"/>
  <c r="N452" i="10" s="1"/>
  <c r="P444" i="10"/>
  <c r="P445" i="10"/>
  <c r="P446" i="10"/>
  <c r="O447" i="10"/>
  <c r="O442" i="10" s="1"/>
  <c r="J440" i="10"/>
  <c r="J439" i="10" s="1"/>
  <c r="L444" i="10"/>
  <c r="L445" i="10"/>
  <c r="L446" i="10"/>
  <c r="M444" i="10"/>
  <c r="M445" i="10"/>
  <c r="M446" i="10"/>
  <c r="M447" i="10"/>
  <c r="L440" i="10"/>
  <c r="M440" i="10"/>
  <c r="M439" i="10" s="1"/>
  <c r="J437" i="10"/>
  <c r="P437" i="10" s="1"/>
  <c r="N440" i="10"/>
  <c r="N439" i="10" s="1"/>
  <c r="J429" i="10"/>
  <c r="N429" i="10" s="1"/>
  <c r="O435" i="10"/>
  <c r="M436" i="10"/>
  <c r="O437" i="10"/>
  <c r="J430" i="10"/>
  <c r="N430" i="10" s="1"/>
  <c r="H435" i="10"/>
  <c r="J435" i="10" s="1"/>
  <c r="L435" i="10"/>
  <c r="P435" i="10"/>
  <c r="L437" i="10"/>
  <c r="H436" i="10"/>
  <c r="J436" i="10" s="1"/>
  <c r="N436" i="10" s="1"/>
  <c r="M435" i="10"/>
  <c r="O436" i="10"/>
  <c r="M437" i="10"/>
  <c r="J428" i="10"/>
  <c r="O428" i="10" s="1"/>
  <c r="J431" i="10"/>
  <c r="M431" i="10" s="1"/>
  <c r="L436" i="10"/>
  <c r="N428" i="10"/>
  <c r="M429" i="10"/>
  <c r="L430" i="10"/>
  <c r="P431" i="10"/>
  <c r="P428" i="10"/>
  <c r="O429" i="10"/>
  <c r="M430" i="10"/>
  <c r="L431" i="10"/>
  <c r="K431" i="10" s="1"/>
  <c r="J416" i="10"/>
  <c r="O416" i="10" s="1"/>
  <c r="L425" i="10"/>
  <c r="L424" i="10" s="1"/>
  <c r="C57" i="7" s="1"/>
  <c r="L428" i="10"/>
  <c r="P429" i="10"/>
  <c r="O430" i="10"/>
  <c r="N431" i="10"/>
  <c r="J421" i="10"/>
  <c r="O421" i="10" s="1"/>
  <c r="J425" i="10"/>
  <c r="L357" i="10"/>
  <c r="K357" i="10" s="1"/>
  <c r="J245" i="10"/>
  <c r="P245" i="10" s="1"/>
  <c r="J417" i="10"/>
  <c r="M417" i="10" s="1"/>
  <c r="M425" i="10"/>
  <c r="M424" i="10" s="1"/>
  <c r="J414" i="10"/>
  <c r="O414" i="10" s="1"/>
  <c r="J419" i="10"/>
  <c r="O419" i="10" s="1"/>
  <c r="N425" i="10"/>
  <c r="N424" i="10" s="1"/>
  <c r="L416" i="10"/>
  <c r="K416" i="10" s="1"/>
  <c r="L398" i="10"/>
  <c r="K398" i="10" s="1"/>
  <c r="J274" i="10"/>
  <c r="N274" i="10" s="1"/>
  <c r="J250" i="10"/>
  <c r="N250" i="10" s="1"/>
  <c r="J224" i="10"/>
  <c r="O224" i="10" s="1"/>
  <c r="J415" i="10"/>
  <c r="O415" i="10" s="1"/>
  <c r="J420" i="10"/>
  <c r="O420" i="10" s="1"/>
  <c r="J422" i="10"/>
  <c r="M422" i="10" s="1"/>
  <c r="J409" i="10"/>
  <c r="O409" i="10" s="1"/>
  <c r="M414" i="10"/>
  <c r="P415" i="10"/>
  <c r="M416" i="10"/>
  <c r="P417" i="10"/>
  <c r="N419" i="10"/>
  <c r="M420" i="10"/>
  <c r="L421" i="10"/>
  <c r="K421" i="10" s="1"/>
  <c r="P422" i="10"/>
  <c r="J410" i="10"/>
  <c r="O410" i="10" s="1"/>
  <c r="N414" i="10"/>
  <c r="L415" i="10"/>
  <c r="K415" i="10" s="1"/>
  <c r="N416" i="10"/>
  <c r="L417" i="10"/>
  <c r="K417" i="10" s="1"/>
  <c r="P419" i="10"/>
  <c r="N420" i="10"/>
  <c r="M421" i="10"/>
  <c r="L422" i="10"/>
  <c r="K422" i="10" s="1"/>
  <c r="P414" i="10"/>
  <c r="M415" i="10"/>
  <c r="P416" i="10"/>
  <c r="N417" i="10"/>
  <c r="L419" i="10"/>
  <c r="K419" i="10" s="1"/>
  <c r="P420" i="10"/>
  <c r="N421" i="10"/>
  <c r="N422" i="10"/>
  <c r="H403" i="10"/>
  <c r="L403" i="10" s="1"/>
  <c r="K403" i="10" s="1"/>
  <c r="J408" i="10"/>
  <c r="O408" i="10" s="1"/>
  <c r="J398" i="10"/>
  <c r="O398" i="10" s="1"/>
  <c r="P407" i="10"/>
  <c r="N408" i="10"/>
  <c r="M409" i="10"/>
  <c r="L410" i="10"/>
  <c r="K410" i="10" s="1"/>
  <c r="P411" i="10"/>
  <c r="J399" i="10"/>
  <c r="M399" i="10" s="1"/>
  <c r="L407" i="10"/>
  <c r="P408" i="10"/>
  <c r="N409" i="10"/>
  <c r="M410" i="10"/>
  <c r="L411" i="10"/>
  <c r="K411" i="10" s="1"/>
  <c r="J404" i="10"/>
  <c r="M404" i="10" s="1"/>
  <c r="M407" i="10"/>
  <c r="L408" i="10"/>
  <c r="K408" i="10" s="1"/>
  <c r="P409" i="10"/>
  <c r="N410" i="10"/>
  <c r="N411" i="10"/>
  <c r="J397" i="10"/>
  <c r="O397" i="10" s="1"/>
  <c r="H402" i="10"/>
  <c r="J402" i="10" s="1"/>
  <c r="O402" i="10" s="1"/>
  <c r="O396" i="10"/>
  <c r="M396" i="10"/>
  <c r="P397" i="10"/>
  <c r="M398" i="10"/>
  <c r="P399" i="10"/>
  <c r="M401" i="10"/>
  <c r="P402" i="10"/>
  <c r="M403" i="10"/>
  <c r="P404" i="10"/>
  <c r="N396" i="10"/>
  <c r="L397" i="10"/>
  <c r="K397" i="10" s="1"/>
  <c r="N398" i="10"/>
  <c r="L399" i="10"/>
  <c r="K399" i="10" s="1"/>
  <c r="N401" i="10"/>
  <c r="N403" i="10"/>
  <c r="L404" i="10"/>
  <c r="K404" i="10" s="1"/>
  <c r="P396" i="10"/>
  <c r="M397" i="10"/>
  <c r="P398" i="10"/>
  <c r="N399" i="10"/>
  <c r="P401" i="10"/>
  <c r="M402" i="10"/>
  <c r="P403" i="10"/>
  <c r="N404" i="10"/>
  <c r="M391" i="10"/>
  <c r="M389" i="10" s="1"/>
  <c r="J380" i="10"/>
  <c r="M380" i="10" s="1"/>
  <c r="N391" i="10"/>
  <c r="N389" i="10" s="1"/>
  <c r="H391" i="10"/>
  <c r="J391" i="10" s="1"/>
  <c r="J389" i="10" s="1"/>
  <c r="O391" i="10"/>
  <c r="O389" i="10" s="1"/>
  <c r="P386" i="10"/>
  <c r="P384" i="10"/>
  <c r="P380" i="10"/>
  <c r="O383" i="10"/>
  <c r="O384" i="10"/>
  <c r="O385" i="10"/>
  <c r="O386" i="10"/>
  <c r="L380" i="10"/>
  <c r="K380" i="10" s="1"/>
  <c r="N380" i="10"/>
  <c r="N378" i="10" s="1"/>
  <c r="M383" i="10"/>
  <c r="M384" i="10"/>
  <c r="M385" i="10"/>
  <c r="M386" i="10"/>
  <c r="M373" i="10"/>
  <c r="M372" i="10" s="1"/>
  <c r="N373" i="10"/>
  <c r="N372" i="10" s="1"/>
  <c r="J367" i="10"/>
  <c r="N367" i="10" s="1"/>
  <c r="J368" i="10"/>
  <c r="O368" i="10" s="1"/>
  <c r="J369" i="10"/>
  <c r="M369" i="10" s="1"/>
  <c r="L368" i="10"/>
  <c r="P369" i="10"/>
  <c r="O355" i="10"/>
  <c r="O367" i="10"/>
  <c r="M368" i="10"/>
  <c r="L369" i="10"/>
  <c r="K369" i="10" s="1"/>
  <c r="H356" i="10"/>
  <c r="J356" i="10" s="1"/>
  <c r="O356" i="10" s="1"/>
  <c r="L367" i="10"/>
  <c r="P367" i="10"/>
  <c r="N368" i="10"/>
  <c r="N369" i="10"/>
  <c r="P360" i="10"/>
  <c r="J351" i="10"/>
  <c r="N351" i="10" s="1"/>
  <c r="M353" i="10"/>
  <c r="N357" i="10"/>
  <c r="M364" i="10"/>
  <c r="M363" i="10" s="1"/>
  <c r="J359" i="10"/>
  <c r="N359" i="10" s="1"/>
  <c r="M350" i="10"/>
  <c r="L359" i="10"/>
  <c r="N364" i="10"/>
  <c r="N363" i="10" s="1"/>
  <c r="N352" i="10"/>
  <c r="J353" i="10"/>
  <c r="N353" i="10" s="1"/>
  <c r="L351" i="10"/>
  <c r="P355" i="10"/>
  <c r="J325" i="10"/>
  <c r="P325" i="10" s="1"/>
  <c r="P324" i="10" s="1"/>
  <c r="J350" i="10"/>
  <c r="J357" i="10"/>
  <c r="M357" i="10" s="1"/>
  <c r="O352" i="10"/>
  <c r="N356" i="10"/>
  <c r="J272" i="10"/>
  <c r="N272" i="10" s="1"/>
  <c r="J190" i="10"/>
  <c r="O190" i="10" s="1"/>
  <c r="L53" i="10"/>
  <c r="K53" i="10" s="1"/>
  <c r="O350" i="10"/>
  <c r="M351" i="10"/>
  <c r="L352" i="10"/>
  <c r="P352" i="10"/>
  <c r="L355" i="10"/>
  <c r="P356" i="10"/>
  <c r="O357" i="10"/>
  <c r="M359" i="10"/>
  <c r="M360" i="10"/>
  <c r="J344" i="10"/>
  <c r="N344" i="10" s="1"/>
  <c r="J332" i="10"/>
  <c r="N332" i="10" s="1"/>
  <c r="L240" i="10"/>
  <c r="K240" i="10" s="1"/>
  <c r="P350" i="10"/>
  <c r="O351" i="10"/>
  <c r="M352" i="10"/>
  <c r="O353" i="10"/>
  <c r="M355" i="10"/>
  <c r="P357" i="10"/>
  <c r="O359" i="10"/>
  <c r="N360" i="10"/>
  <c r="J321" i="10"/>
  <c r="P321" i="10" s="1"/>
  <c r="P320" i="10" s="1"/>
  <c r="J235" i="10"/>
  <c r="N235" i="10" s="1"/>
  <c r="L90" i="10"/>
  <c r="K90" i="10" s="1"/>
  <c r="L353" i="10"/>
  <c r="J334" i="10"/>
  <c r="N334" i="10" s="1"/>
  <c r="J338" i="10"/>
  <c r="M338" i="10" s="1"/>
  <c r="M344" i="10"/>
  <c r="M345" i="10"/>
  <c r="J340" i="10"/>
  <c r="N340" i="10" s="1"/>
  <c r="O344" i="10"/>
  <c r="O343" i="10" s="1"/>
  <c r="N345" i="10"/>
  <c r="J333" i="10"/>
  <c r="N333" i="10" s="1"/>
  <c r="K336" i="10"/>
  <c r="P331" i="10"/>
  <c r="O332" i="10"/>
  <c r="M333" i="10"/>
  <c r="O334" i="10"/>
  <c r="M336" i="10"/>
  <c r="P337" i="10"/>
  <c r="O338" i="10"/>
  <c r="M340" i="10"/>
  <c r="L331" i="10"/>
  <c r="P332" i="10"/>
  <c r="L334" i="10"/>
  <c r="P334" i="10"/>
  <c r="N336" i="10"/>
  <c r="P338" i="10"/>
  <c r="M341" i="10"/>
  <c r="H337" i="10"/>
  <c r="J337" i="10" s="1"/>
  <c r="O337" i="10" s="1"/>
  <c r="M331" i="10"/>
  <c r="L332" i="10"/>
  <c r="O333" i="10"/>
  <c r="M334" i="10"/>
  <c r="J336" i="10"/>
  <c r="O336" i="10" s="1"/>
  <c r="P336" i="10"/>
  <c r="M337" i="10"/>
  <c r="L338" i="10"/>
  <c r="K338" i="10" s="1"/>
  <c r="O340" i="10"/>
  <c r="N341" i="10"/>
  <c r="L333" i="10"/>
  <c r="L340" i="10"/>
  <c r="N316" i="10"/>
  <c r="M325" i="10"/>
  <c r="M324" i="10" s="1"/>
  <c r="N325" i="10"/>
  <c r="N324" i="10" s="1"/>
  <c r="O321" i="10"/>
  <c r="O320" i="10" s="1"/>
  <c r="J318" i="10"/>
  <c r="O318" i="10" s="1"/>
  <c r="M321" i="10"/>
  <c r="H317" i="10"/>
  <c r="J317" i="10" s="1"/>
  <c r="M317" i="10" s="1"/>
  <c r="J312" i="10"/>
  <c r="M312" i="10" s="1"/>
  <c r="O316" i="10"/>
  <c r="N317" i="10"/>
  <c r="L318" i="10"/>
  <c r="K318" i="10" s="1"/>
  <c r="H313" i="10"/>
  <c r="J313" i="10" s="1"/>
  <c r="O313" i="10" s="1"/>
  <c r="L316" i="10"/>
  <c r="P316" i="10"/>
  <c r="O317" i="10"/>
  <c r="M318" i="10"/>
  <c r="M316" i="10"/>
  <c r="P317" i="10"/>
  <c r="N318" i="10"/>
  <c r="H300" i="10"/>
  <c r="J300" i="10" s="1"/>
  <c r="O300" i="10" s="1"/>
  <c r="N312" i="10"/>
  <c r="L311" i="10"/>
  <c r="H303" i="10"/>
  <c r="J303" i="10" s="1"/>
  <c r="O303" i="10" s="1"/>
  <c r="J308" i="10"/>
  <c r="M308" i="10" s="1"/>
  <c r="O312" i="10"/>
  <c r="M313" i="10"/>
  <c r="M311" i="10"/>
  <c r="J302" i="10"/>
  <c r="M302" i="10" s="1"/>
  <c r="P312" i="10"/>
  <c r="P310" i="10" s="1"/>
  <c r="N313" i="10"/>
  <c r="O311" i="10"/>
  <c r="H299" i="10"/>
  <c r="J299" i="10" s="1"/>
  <c r="O299" i="10" s="1"/>
  <c r="J291" i="10"/>
  <c r="O291" i="10" s="1"/>
  <c r="H292" i="10"/>
  <c r="J292" i="10" s="1"/>
  <c r="M292" i="10" s="1"/>
  <c r="M297" i="10"/>
  <c r="P299" i="10"/>
  <c r="N300" i="10"/>
  <c r="M301" i="10"/>
  <c r="L302" i="10"/>
  <c r="K302" i="10" s="1"/>
  <c r="P303" i="10"/>
  <c r="N305" i="10"/>
  <c r="M306" i="10"/>
  <c r="P308" i="10"/>
  <c r="H287" i="10"/>
  <c r="J287" i="10" s="1"/>
  <c r="O287" i="10" s="1"/>
  <c r="H293" i="10"/>
  <c r="J293" i="10" s="1"/>
  <c r="O293" i="10" s="1"/>
  <c r="N297" i="10"/>
  <c r="P300" i="10"/>
  <c r="N301" i="10"/>
  <c r="N302" i="10"/>
  <c r="J305" i="10"/>
  <c r="O305" i="10" s="1"/>
  <c r="P305" i="10"/>
  <c r="N306" i="10"/>
  <c r="M307" i="10"/>
  <c r="L308" i="10"/>
  <c r="K308" i="10" s="1"/>
  <c r="H289" i="10"/>
  <c r="J289" i="10" s="1"/>
  <c r="H301" i="10"/>
  <c r="J301" i="10" s="1"/>
  <c r="O301" i="10" s="1"/>
  <c r="M299" i="10"/>
  <c r="P301" i="10"/>
  <c r="O302" i="10"/>
  <c r="M303" i="10"/>
  <c r="L305" i="10"/>
  <c r="K305" i="10" s="1"/>
  <c r="P306" i="10"/>
  <c r="N307" i="10"/>
  <c r="N308" i="10"/>
  <c r="H290" i="10"/>
  <c r="J290" i="10" s="1"/>
  <c r="O290" i="10" s="1"/>
  <c r="H297" i="10"/>
  <c r="J297" i="10" s="1"/>
  <c r="H306" i="10"/>
  <c r="J306" i="10" s="1"/>
  <c r="O306" i="10" s="1"/>
  <c r="H307" i="10"/>
  <c r="J307" i="10" s="1"/>
  <c r="O307" i="10" s="1"/>
  <c r="P289" i="10"/>
  <c r="N290" i="10"/>
  <c r="M291" i="10"/>
  <c r="P293" i="10"/>
  <c r="M287" i="10"/>
  <c r="P290" i="10"/>
  <c r="N291" i="10"/>
  <c r="N292" i="10"/>
  <c r="N287" i="10"/>
  <c r="M289" i="10"/>
  <c r="P291" i="10"/>
  <c r="O292" i="10"/>
  <c r="M293" i="10"/>
  <c r="J281" i="10"/>
  <c r="J280" i="10" s="1"/>
  <c r="O281" i="10"/>
  <c r="O280" i="10" s="1"/>
  <c r="O275" i="10"/>
  <c r="M281" i="10"/>
  <c r="O272" i="10"/>
  <c r="N273" i="10"/>
  <c r="M274" i="10"/>
  <c r="P275" i="10"/>
  <c r="O276" i="10"/>
  <c r="N277" i="10"/>
  <c r="N278" i="10"/>
  <c r="J278" i="10"/>
  <c r="O278" i="10" s="1"/>
  <c r="L272" i="10"/>
  <c r="P272" i="10"/>
  <c r="O273" i="10"/>
  <c r="L275" i="10"/>
  <c r="P276" i="10"/>
  <c r="P277" i="10"/>
  <c r="P278" i="10"/>
  <c r="M272" i="10"/>
  <c r="O274" i="10"/>
  <c r="M275" i="10"/>
  <c r="L276" i="10"/>
  <c r="K276" i="10" s="1"/>
  <c r="L277" i="10"/>
  <c r="K277" i="10" s="1"/>
  <c r="L278" i="10"/>
  <c r="K278" i="10" s="1"/>
  <c r="L274" i="10"/>
  <c r="J277" i="10"/>
  <c r="O277" i="10" s="1"/>
  <c r="P263" i="10"/>
  <c r="N265" i="10"/>
  <c r="O264" i="10"/>
  <c r="M265" i="10"/>
  <c r="P266" i="10"/>
  <c r="N264" i="10"/>
  <c r="L263" i="10"/>
  <c r="L266" i="10"/>
  <c r="L261" i="10" s="1"/>
  <c r="C36" i="7" s="1"/>
  <c r="J261" i="10"/>
  <c r="L132" i="10"/>
  <c r="K132" i="10" s="1"/>
  <c r="L123" i="10"/>
  <c r="K123" i="10" s="1"/>
  <c r="J94" i="10"/>
  <c r="O94" i="10" s="1"/>
  <c r="J54" i="10"/>
  <c r="O54" i="10" s="1"/>
  <c r="M263" i="10"/>
  <c r="P264" i="10"/>
  <c r="O265" i="10"/>
  <c r="M266" i="10"/>
  <c r="J249" i="10"/>
  <c r="J227" i="10"/>
  <c r="M227" i="10" s="1"/>
  <c r="J148" i="10"/>
  <c r="J147" i="10" s="1"/>
  <c r="L46" i="10"/>
  <c r="K46" i="10" s="1"/>
  <c r="N263" i="10"/>
  <c r="L264" i="10"/>
  <c r="P265" i="10"/>
  <c r="N266" i="10"/>
  <c r="L209" i="10"/>
  <c r="K209" i="10" s="1"/>
  <c r="L207" i="10"/>
  <c r="K207" i="10" s="1"/>
  <c r="J53" i="10"/>
  <c r="O53" i="10" s="1"/>
  <c r="O256" i="10"/>
  <c r="M257" i="10"/>
  <c r="L258" i="10"/>
  <c r="P259" i="10"/>
  <c r="O259" i="10"/>
  <c r="N256" i="10"/>
  <c r="P256" i="10"/>
  <c r="O257" i="10"/>
  <c r="M258" i="10"/>
  <c r="L259" i="10"/>
  <c r="L254" i="10" s="1"/>
  <c r="C35" i="7" s="1"/>
  <c r="J254" i="10"/>
  <c r="J251" i="10"/>
  <c r="N251" i="10" s="1"/>
  <c r="L256" i="10"/>
  <c r="N257" i="10"/>
  <c r="P257" i="10"/>
  <c r="O258" i="10"/>
  <c r="M259" i="10"/>
  <c r="N258" i="10"/>
  <c r="J238" i="10"/>
  <c r="N238" i="10" s="1"/>
  <c r="M249" i="10"/>
  <c r="M250" i="10"/>
  <c r="L251" i="10"/>
  <c r="O252" i="10"/>
  <c r="J242" i="10"/>
  <c r="M242" i="10" s="1"/>
  <c r="O249" i="10"/>
  <c r="M251" i="10"/>
  <c r="L252" i="10"/>
  <c r="L247" i="10" s="1"/>
  <c r="C34" i="7" s="1"/>
  <c r="J40" i="10"/>
  <c r="J38" i="10" s="1"/>
  <c r="J236" i="10"/>
  <c r="N236" i="10" s="1"/>
  <c r="J244" i="10"/>
  <c r="N244" i="10" s="1"/>
  <c r="P249" i="10"/>
  <c r="O250" i="10"/>
  <c r="O251" i="10"/>
  <c r="M252" i="10"/>
  <c r="J237" i="10"/>
  <c r="N237" i="10" s="1"/>
  <c r="L250" i="10"/>
  <c r="O235" i="10"/>
  <c r="M240" i="10"/>
  <c r="L244" i="10"/>
  <c r="P244" i="10"/>
  <c r="O236" i="10"/>
  <c r="M237" i="10"/>
  <c r="O238" i="10"/>
  <c r="M241" i="10"/>
  <c r="L242" i="10"/>
  <c r="K242" i="10" s="1"/>
  <c r="L235" i="10"/>
  <c r="P235" i="10"/>
  <c r="N240" i="10"/>
  <c r="M244" i="10"/>
  <c r="P236" i="10"/>
  <c r="L238" i="10"/>
  <c r="P238" i="10"/>
  <c r="N241" i="10"/>
  <c r="N242" i="10"/>
  <c r="M245" i="10"/>
  <c r="H241" i="10"/>
  <c r="J241" i="10" s="1"/>
  <c r="O241" i="10" s="1"/>
  <c r="M235" i="10"/>
  <c r="J240" i="10"/>
  <c r="O240" i="10" s="1"/>
  <c r="P240" i="10"/>
  <c r="L236" i="10"/>
  <c r="O237" i="10"/>
  <c r="M238" i="10"/>
  <c r="P241" i="10"/>
  <c r="O242" i="10"/>
  <c r="N245" i="10"/>
  <c r="L237" i="10"/>
  <c r="J225" i="10"/>
  <c r="N225" i="10" s="1"/>
  <c r="M230" i="10"/>
  <c r="M229" i="10" s="1"/>
  <c r="J226" i="10"/>
  <c r="N230" i="10"/>
  <c r="N229" i="10" s="1"/>
  <c r="J220" i="10"/>
  <c r="P220" i="10" s="1"/>
  <c r="P219" i="10" s="1"/>
  <c r="J230" i="10"/>
  <c r="P224" i="10"/>
  <c r="O225" i="10"/>
  <c r="M226" i="10"/>
  <c r="P227" i="10"/>
  <c r="L224" i="10"/>
  <c r="P225" i="10"/>
  <c r="L227" i="10"/>
  <c r="K227" i="10" s="1"/>
  <c r="M224" i="10"/>
  <c r="L225" i="10"/>
  <c r="O226" i="10"/>
  <c r="N227" i="10"/>
  <c r="L226" i="10"/>
  <c r="O220" i="10"/>
  <c r="O219" i="10" s="1"/>
  <c r="J154" i="10"/>
  <c r="J153" i="10" s="1"/>
  <c r="L54" i="10"/>
  <c r="K54" i="10" s="1"/>
  <c r="L220" i="10"/>
  <c r="L219" i="10" s="1"/>
  <c r="C30" i="7" s="1"/>
  <c r="J95" i="10"/>
  <c r="O95" i="10" s="1"/>
  <c r="M220" i="10"/>
  <c r="M219" i="10" s="1"/>
  <c r="L95" i="10"/>
  <c r="K95" i="10" s="1"/>
  <c r="M214" i="10"/>
  <c r="N217" i="10"/>
  <c r="O216" i="10"/>
  <c r="N215" i="10"/>
  <c r="N214" i="10"/>
  <c r="M217" i="10"/>
  <c r="N216" i="10"/>
  <c r="M215" i="10"/>
  <c r="J217" i="10"/>
  <c r="O217" i="10" s="1"/>
  <c r="P214" i="10"/>
  <c r="P213" i="10" s="1"/>
  <c r="L217" i="10"/>
  <c r="K217" i="10" s="1"/>
  <c r="L216" i="10"/>
  <c r="K216" i="10" s="1"/>
  <c r="J214" i="10"/>
  <c r="J216" i="10"/>
  <c r="M216" i="10" s="1"/>
  <c r="J215" i="10"/>
  <c r="O215" i="10" s="1"/>
  <c r="L215" i="10"/>
  <c r="K215" i="10" s="1"/>
  <c r="J208" i="10"/>
  <c r="O208" i="10" s="1"/>
  <c r="J204" i="10"/>
  <c r="M204" i="10" s="1"/>
  <c r="J209" i="10"/>
  <c r="M209" i="10" s="1"/>
  <c r="J207" i="10"/>
  <c r="O207" i="10" s="1"/>
  <c r="J201" i="10"/>
  <c r="O201" i="10" s="1"/>
  <c r="J206" i="10"/>
  <c r="O206" i="10" s="1"/>
  <c r="J202" i="10"/>
  <c r="O202" i="10" s="1"/>
  <c r="J203" i="10"/>
  <c r="O203" i="10" s="1"/>
  <c r="P201" i="10"/>
  <c r="N206" i="10"/>
  <c r="N204" i="10"/>
  <c r="M203" i="10"/>
  <c r="P202" i="10"/>
  <c r="L202" i="10"/>
  <c r="K202" i="10" s="1"/>
  <c r="O209" i="10"/>
  <c r="L208" i="10"/>
  <c r="K208" i="10" s="1"/>
  <c r="J198" i="10"/>
  <c r="M198" i="10" s="1"/>
  <c r="L201" i="10"/>
  <c r="P206" i="10"/>
  <c r="P203" i="10"/>
  <c r="L203" i="10"/>
  <c r="K203" i="10" s="1"/>
  <c r="N209" i="10"/>
  <c r="P208" i="10"/>
  <c r="N207" i="10"/>
  <c r="J191" i="10"/>
  <c r="O191" i="10" s="1"/>
  <c r="M201" i="10"/>
  <c r="L206" i="10"/>
  <c r="K206" i="10" s="1"/>
  <c r="P204" i="10"/>
  <c r="L204" i="10"/>
  <c r="K204" i="10" s="1"/>
  <c r="N202" i="10"/>
  <c r="N208" i="10"/>
  <c r="M207" i="10"/>
  <c r="J192" i="10"/>
  <c r="O192" i="10" s="1"/>
  <c r="P209" i="10"/>
  <c r="P207" i="10"/>
  <c r="P190" i="10"/>
  <c r="M195" i="10"/>
  <c r="O193" i="10"/>
  <c r="N192" i="10"/>
  <c r="M191" i="10"/>
  <c r="P198" i="10"/>
  <c r="L198" i="10"/>
  <c r="K198" i="10" s="1"/>
  <c r="M197" i="10"/>
  <c r="N196" i="10"/>
  <c r="L190" i="10"/>
  <c r="J195" i="10"/>
  <c r="O195" i="10" s="1"/>
  <c r="N195" i="10"/>
  <c r="N193" i="10"/>
  <c r="M192" i="10"/>
  <c r="P191" i="10"/>
  <c r="L191" i="10"/>
  <c r="K191" i="10" s="1"/>
  <c r="O198" i="10"/>
  <c r="M196" i="10"/>
  <c r="J185" i="10"/>
  <c r="M185" i="10" s="1"/>
  <c r="M190" i="10"/>
  <c r="P195" i="10"/>
  <c r="M193" i="10"/>
  <c r="P192" i="10"/>
  <c r="L192" i="10"/>
  <c r="K192" i="10" s="1"/>
  <c r="N198" i="10"/>
  <c r="P197" i="10"/>
  <c r="P193" i="10"/>
  <c r="H196" i="10"/>
  <c r="J196" i="10" s="1"/>
  <c r="O196" i="10" s="1"/>
  <c r="H197" i="10"/>
  <c r="J197" i="10" s="1"/>
  <c r="O197" i="10" s="1"/>
  <c r="L185" i="10"/>
  <c r="N186" i="10"/>
  <c r="H186" i="10"/>
  <c r="J186" i="10" s="1"/>
  <c r="O186" i="10" s="1"/>
  <c r="N185" i="10"/>
  <c r="P186" i="10"/>
  <c r="P184" i="10" s="1"/>
  <c r="O185" i="10"/>
  <c r="L181" i="10"/>
  <c r="J181" i="10"/>
  <c r="O181" i="10"/>
  <c r="O179" i="10" s="1"/>
  <c r="J170" i="10"/>
  <c r="P170" i="10" s="1"/>
  <c r="M181" i="10"/>
  <c r="M179" i="10" s="1"/>
  <c r="J13" i="10"/>
  <c r="M13" i="10" s="1"/>
  <c r="J168" i="10"/>
  <c r="P168" i="10" s="1"/>
  <c r="P169" i="10"/>
  <c r="P165" i="10"/>
  <c r="N168" i="10"/>
  <c r="L169" i="10"/>
  <c r="K169" i="10" s="1"/>
  <c r="O170" i="10"/>
  <c r="O171" i="10"/>
  <c r="O168" i="10"/>
  <c r="M169" i="10"/>
  <c r="L170" i="10"/>
  <c r="K170" i="10" s="1"/>
  <c r="P171" i="10"/>
  <c r="N165" i="10"/>
  <c r="L168" i="10"/>
  <c r="K168" i="10" s="1"/>
  <c r="N169" i="10"/>
  <c r="M170" i="10"/>
  <c r="M171" i="10"/>
  <c r="L165" i="10"/>
  <c r="K165" i="10" s="1"/>
  <c r="J165" i="10"/>
  <c r="N158" i="10"/>
  <c r="N157" i="10" s="1"/>
  <c r="O158" i="10"/>
  <c r="O157" i="10" s="1"/>
  <c r="N103" i="10"/>
  <c r="O154" i="10"/>
  <c r="O153" i="10" s="1"/>
  <c r="L154" i="10"/>
  <c r="M154" i="10"/>
  <c r="M153" i="10" s="1"/>
  <c r="J143" i="10"/>
  <c r="J142" i="10" s="1"/>
  <c r="O148" i="10"/>
  <c r="O147" i="10" s="1"/>
  <c r="L148" i="10"/>
  <c r="P148" i="10"/>
  <c r="P147" i="10" s="1"/>
  <c r="M148" i="10"/>
  <c r="H119" i="10"/>
  <c r="J119" i="10" s="1"/>
  <c r="M119" i="10" s="1"/>
  <c r="H117" i="10"/>
  <c r="J117" i="10" s="1"/>
  <c r="O117" i="10" s="1"/>
  <c r="H124" i="10"/>
  <c r="J124" i="10" s="1"/>
  <c r="O124" i="10" s="1"/>
  <c r="M143" i="10"/>
  <c r="M142" i="10" s="1"/>
  <c r="L143" i="10"/>
  <c r="L142" i="10" s="1"/>
  <c r="C19" i="7" s="1"/>
  <c r="N143" i="10"/>
  <c r="N142" i="10" s="1"/>
  <c r="P140" i="10"/>
  <c r="P139" i="10" s="1"/>
  <c r="J139" i="10"/>
  <c r="O140" i="10"/>
  <c r="O139" i="10" s="1"/>
  <c r="L140" i="10"/>
  <c r="L139" i="10" s="1"/>
  <c r="C18" i="7" s="1"/>
  <c r="J118" i="10"/>
  <c r="O118" i="10" s="1"/>
  <c r="J123" i="10"/>
  <c r="O123" i="10" s="1"/>
  <c r="M140" i="10"/>
  <c r="M139" i="10" s="1"/>
  <c r="H114" i="10"/>
  <c r="J114" i="10" s="1"/>
  <c r="O114" i="10" s="1"/>
  <c r="J132" i="10"/>
  <c r="O132" i="10" s="1"/>
  <c r="J103" i="10"/>
  <c r="O103" i="10" s="1"/>
  <c r="M114" i="10"/>
  <c r="L122" i="10"/>
  <c r="K122" i="10" s="1"/>
  <c r="P122" i="10"/>
  <c r="N119" i="10"/>
  <c r="M117" i="10"/>
  <c r="O125" i="10"/>
  <c r="M124" i="10"/>
  <c r="H133" i="10"/>
  <c r="J133" i="10" s="1"/>
  <c r="O133" i="10" s="1"/>
  <c r="P131" i="10"/>
  <c r="M135" i="10"/>
  <c r="O134" i="10"/>
  <c r="M133" i="10"/>
  <c r="G104" i="10"/>
  <c r="J104" i="10" s="1"/>
  <c r="O104" i="10" s="1"/>
  <c r="P106" i="10"/>
  <c r="H116" i="10"/>
  <c r="J116" i="10" s="1"/>
  <c r="O116" i="10" s="1"/>
  <c r="H120" i="10"/>
  <c r="J120" i="10" s="1"/>
  <c r="O120" i="10" s="1"/>
  <c r="H125" i="10"/>
  <c r="J125" i="10" s="1"/>
  <c r="M125" i="10" s="1"/>
  <c r="N114" i="10"/>
  <c r="P116" i="10"/>
  <c r="M122" i="10"/>
  <c r="P120" i="10"/>
  <c r="N118" i="10"/>
  <c r="P117" i="10"/>
  <c r="N125" i="10"/>
  <c r="P124" i="10"/>
  <c r="N123" i="10"/>
  <c r="H129" i="10"/>
  <c r="J129" i="10" s="1"/>
  <c r="O129" i="10" s="1"/>
  <c r="H134" i="10"/>
  <c r="J134" i="10" s="1"/>
  <c r="M134" i="10" s="1"/>
  <c r="P129" i="10"/>
  <c r="M131" i="10"/>
  <c r="P135" i="10"/>
  <c r="N134" i="10"/>
  <c r="P133" i="10"/>
  <c r="N132" i="10"/>
  <c r="G105" i="10"/>
  <c r="L105" i="10" s="1"/>
  <c r="K105" i="10" s="1"/>
  <c r="N107" i="10"/>
  <c r="P114" i="10"/>
  <c r="M116" i="10"/>
  <c r="J122" i="10"/>
  <c r="O122" i="10" s="1"/>
  <c r="N122" i="10"/>
  <c r="N120" i="10"/>
  <c r="P119" i="10"/>
  <c r="M118" i="10"/>
  <c r="M123" i="10"/>
  <c r="H131" i="10"/>
  <c r="J131" i="10" s="1"/>
  <c r="O131" i="10" s="1"/>
  <c r="H135" i="10"/>
  <c r="J135" i="10" s="1"/>
  <c r="O135" i="10" s="1"/>
  <c r="M129" i="10"/>
  <c r="N131" i="10"/>
  <c r="M132" i="10"/>
  <c r="G108" i="10"/>
  <c r="J108" i="10" s="1"/>
  <c r="M108" i="10" s="1"/>
  <c r="P118" i="10"/>
  <c r="P125" i="10"/>
  <c r="P123" i="10"/>
  <c r="P134" i="10"/>
  <c r="P132" i="10"/>
  <c r="J107" i="10"/>
  <c r="O107" i="10" s="1"/>
  <c r="M104" i="10"/>
  <c r="N108" i="10"/>
  <c r="G106" i="10"/>
  <c r="J106" i="10" s="1"/>
  <c r="O106" i="10" s="1"/>
  <c r="P103" i="10"/>
  <c r="N104" i="10"/>
  <c r="M105" i="10"/>
  <c r="P107" i="10"/>
  <c r="O108" i="10"/>
  <c r="L103" i="10"/>
  <c r="P104" i="10"/>
  <c r="N105" i="10"/>
  <c r="M106" i="10"/>
  <c r="L107" i="10"/>
  <c r="K107" i="10" s="1"/>
  <c r="P108" i="10"/>
  <c r="O109" i="10"/>
  <c r="L109" i="10"/>
  <c r="P109" i="10"/>
  <c r="J96" i="10"/>
  <c r="O96" i="10" s="1"/>
  <c r="J97" i="10"/>
  <c r="M97" i="10" s="1"/>
  <c r="J89" i="10"/>
  <c r="N89" i="10" s="1"/>
  <c r="P94" i="10"/>
  <c r="P96" i="10"/>
  <c r="L96" i="10"/>
  <c r="K96" i="10" s="1"/>
  <c r="J90" i="10"/>
  <c r="L94" i="10"/>
  <c r="P97" i="10"/>
  <c r="L97" i="10"/>
  <c r="K97" i="10" s="1"/>
  <c r="N95" i="10"/>
  <c r="J28" i="10"/>
  <c r="O28" i="10" s="1"/>
  <c r="M94" i="10"/>
  <c r="O97" i="10"/>
  <c r="N96" i="10"/>
  <c r="M95" i="10"/>
  <c r="H79" i="10"/>
  <c r="J79" i="10" s="1"/>
  <c r="O79" i="10" s="1"/>
  <c r="P95" i="10"/>
  <c r="O89" i="10"/>
  <c r="O90" i="10"/>
  <c r="J31" i="10"/>
  <c r="O31" i="10" s="1"/>
  <c r="J81" i="10"/>
  <c r="N81" i="10" s="1"/>
  <c r="H82" i="10"/>
  <c r="J82" i="10" s="1"/>
  <c r="O82" i="10" s="1"/>
  <c r="P89" i="10"/>
  <c r="N90" i="10"/>
  <c r="J85" i="10"/>
  <c r="O85" i="10" s="1"/>
  <c r="H83" i="10"/>
  <c r="J83" i="10" s="1"/>
  <c r="M83" i="10" s="1"/>
  <c r="L89" i="10"/>
  <c r="M90" i="10"/>
  <c r="J78" i="10"/>
  <c r="N78" i="10" s="1"/>
  <c r="O78" i="10"/>
  <c r="M85" i="10"/>
  <c r="N84" i="10"/>
  <c r="N82" i="10"/>
  <c r="M81" i="10"/>
  <c r="P80" i="10"/>
  <c r="L78" i="10"/>
  <c r="P78" i="10"/>
  <c r="L85" i="10"/>
  <c r="K85" i="10" s="1"/>
  <c r="M84" i="10"/>
  <c r="P83" i="10"/>
  <c r="M82" i="10"/>
  <c r="P81" i="10"/>
  <c r="L81" i="10"/>
  <c r="O80" i="10"/>
  <c r="N79" i="10"/>
  <c r="H80" i="10"/>
  <c r="J80" i="10" s="1"/>
  <c r="H84" i="10"/>
  <c r="J84" i="10" s="1"/>
  <c r="O84" i="10" s="1"/>
  <c r="M78" i="10"/>
  <c r="P85" i="10"/>
  <c r="O83" i="10"/>
  <c r="O81" i="10"/>
  <c r="N80" i="10"/>
  <c r="M79" i="10"/>
  <c r="P79" i="10"/>
  <c r="J71" i="10"/>
  <c r="N71" i="10" s="1"/>
  <c r="N25" i="10"/>
  <c r="J25" i="10"/>
  <c r="O25" i="10" s="1"/>
  <c r="P72" i="10"/>
  <c r="H69" i="10"/>
  <c r="J69" i="10" s="1"/>
  <c r="N69" i="10" s="1"/>
  <c r="H73" i="10"/>
  <c r="J73" i="10" s="1"/>
  <c r="P73" i="10" s="1"/>
  <c r="L72" i="10"/>
  <c r="H70" i="10"/>
  <c r="J70" i="10" s="1"/>
  <c r="N70" i="10" s="1"/>
  <c r="O69" i="10"/>
  <c r="P70" i="10"/>
  <c r="J30" i="10"/>
  <c r="O30" i="10" s="1"/>
  <c r="J26" i="10"/>
  <c r="O26" i="10" s="1"/>
  <c r="N73" i="10"/>
  <c r="L70" i="10"/>
  <c r="J55" i="10"/>
  <c r="M55" i="10" s="1"/>
  <c r="J60" i="10"/>
  <c r="M60" i="10" s="1"/>
  <c r="J52" i="10"/>
  <c r="O52" i="10" s="1"/>
  <c r="P69" i="10"/>
  <c r="M73" i="10"/>
  <c r="O72" i="10"/>
  <c r="M71" i="10"/>
  <c r="O70" i="10"/>
  <c r="J58" i="10"/>
  <c r="O58" i="10" s="1"/>
  <c r="L69" i="10"/>
  <c r="P71" i="10"/>
  <c r="L71" i="10"/>
  <c r="L60" i="10"/>
  <c r="K60" i="10" s="1"/>
  <c r="J59" i="10"/>
  <c r="O59" i="10" s="1"/>
  <c r="L52" i="10"/>
  <c r="N57" i="10"/>
  <c r="O60" i="10"/>
  <c r="N59" i="10"/>
  <c r="M58" i="10"/>
  <c r="P55" i="10"/>
  <c r="L55" i="10"/>
  <c r="K55" i="10" s="1"/>
  <c r="M52" i="10"/>
  <c r="P57" i="10"/>
  <c r="N60" i="10"/>
  <c r="M59" i="10"/>
  <c r="P58" i="10"/>
  <c r="L58" i="10"/>
  <c r="K58" i="10" s="1"/>
  <c r="O55" i="10"/>
  <c r="N54" i="10"/>
  <c r="N53" i="10"/>
  <c r="J16" i="10"/>
  <c r="N52" i="10"/>
  <c r="L57" i="10"/>
  <c r="K57" i="10" s="1"/>
  <c r="P59" i="10"/>
  <c r="L59" i="10"/>
  <c r="K59" i="10" s="1"/>
  <c r="N55" i="10"/>
  <c r="M54" i="10"/>
  <c r="M53" i="10"/>
  <c r="P60" i="10"/>
  <c r="P54" i="10"/>
  <c r="P53" i="10"/>
  <c r="N30" i="10"/>
  <c r="O18" i="10"/>
  <c r="P8" i="10"/>
  <c r="J46" i="10"/>
  <c r="O46" i="10" s="1"/>
  <c r="N18" i="10"/>
  <c r="L17" i="10"/>
  <c r="K17" i="10" s="1"/>
  <c r="N7" i="10"/>
  <c r="J47" i="10"/>
  <c r="O47" i="10" s="1"/>
  <c r="P17" i="10"/>
  <c r="J29" i="10"/>
  <c r="O29" i="10" s="1"/>
  <c r="J27" i="10"/>
  <c r="O27" i="10" s="1"/>
  <c r="J24" i="10"/>
  <c r="O24" i="10" s="1"/>
  <c r="M47" i="10"/>
  <c r="L49" i="10"/>
  <c r="K49" i="10" s="1"/>
  <c r="L7" i="10"/>
  <c r="K7" i="10" s="1"/>
  <c r="M46" i="10"/>
  <c r="P49" i="10"/>
  <c r="N48" i="10"/>
  <c r="P47" i="10"/>
  <c r="L48" i="10"/>
  <c r="K48" i="10" s="1"/>
  <c r="N27" i="10"/>
  <c r="M17" i="10"/>
  <c r="L16" i="10"/>
  <c r="K16" i="10" s="1"/>
  <c r="N46" i="10"/>
  <c r="O49" i="10"/>
  <c r="M48" i="10"/>
  <c r="L47" i="10"/>
  <c r="K47" i="10" s="1"/>
  <c r="P46" i="10"/>
  <c r="P13" i="10"/>
  <c r="M25" i="10"/>
  <c r="P24" i="10"/>
  <c r="N13" i="10"/>
  <c r="M7" i="10"/>
  <c r="P27" i="10"/>
  <c r="J18" i="10"/>
  <c r="P18" i="10" s="1"/>
  <c r="J8" i="10"/>
  <c r="M8" i="10" s="1"/>
  <c r="M40" i="10"/>
  <c r="M38" i="10" s="1"/>
  <c r="P26" i="10"/>
  <c r="M19" i="10"/>
  <c r="L8" i="10"/>
  <c r="K8" i="10" s="1"/>
  <c r="O5" i="10"/>
  <c r="N40" i="10"/>
  <c r="N38" i="10" s="1"/>
  <c r="L33" i="10"/>
  <c r="K33" i="10" s="1"/>
  <c r="P32" i="10"/>
  <c r="N29" i="10"/>
  <c r="K40" i="10"/>
  <c r="P34" i="10"/>
  <c r="P33" i="10"/>
  <c r="L34" i="10"/>
  <c r="K34" i="10" s="1"/>
  <c r="O33" i="10"/>
  <c r="M33" i="10"/>
  <c r="M32" i="10"/>
  <c r="N31" i="10"/>
  <c r="M26" i="10"/>
  <c r="M24" i="10"/>
  <c r="L18" i="10"/>
  <c r="K18" i="10" s="1"/>
  <c r="L13" i="10"/>
  <c r="K13" i="10" s="1"/>
  <c r="P7" i="10"/>
  <c r="M34" i="10"/>
  <c r="L32" i="10"/>
  <c r="N28" i="10"/>
  <c r="O34" i="10"/>
  <c r="O32" i="10"/>
  <c r="M31" i="10"/>
  <c r="M30" i="10"/>
  <c r="M29" i="10"/>
  <c r="M28" i="10"/>
  <c r="P19" i="10"/>
  <c r="L19" i="10"/>
  <c r="N16" i="10"/>
  <c r="O19" i="10"/>
  <c r="O17" i="10"/>
  <c r="M16" i="10"/>
  <c r="N8" i="10"/>
  <c r="B7" i="4"/>
  <c r="C6" i="4"/>
  <c r="H3" i="4"/>
  <c r="H7" i="4"/>
  <c r="I6" i="4"/>
  <c r="I3" i="4" s="1"/>
  <c r="F7" i="4"/>
  <c r="G6" i="4"/>
  <c r="G3" i="4" s="1"/>
  <c r="F3" i="4"/>
  <c r="D3" i="4"/>
  <c r="D7" i="4"/>
  <c r="J7" i="4"/>
  <c r="K6" i="4"/>
  <c r="K3" i="4" s="1"/>
  <c r="J3" i="4"/>
  <c r="E5" i="4"/>
  <c r="I5" i="4"/>
  <c r="P433" i="10" l="1"/>
  <c r="M850" i="10"/>
  <c r="M433" i="10"/>
  <c r="O705" i="10"/>
  <c r="P705" i="10"/>
  <c r="N850" i="10"/>
  <c r="P850" i="10"/>
  <c r="O850" i="10"/>
  <c r="J433" i="10"/>
  <c r="O433" i="10"/>
  <c r="P1253" i="10"/>
  <c r="O1731" i="10"/>
  <c r="N1718" i="10"/>
  <c r="J1402" i="10"/>
  <c r="J905" i="10"/>
  <c r="J787" i="10"/>
  <c r="N789" i="10"/>
  <c r="N787" i="10" s="1"/>
  <c r="P775" i="10"/>
  <c r="P774" i="10" s="1"/>
  <c r="J705" i="10"/>
  <c r="J576" i="10"/>
  <c r="P514" i="10"/>
  <c r="P513" i="10" s="1"/>
  <c r="P158" i="10"/>
  <c r="P157" i="10" s="1"/>
  <c r="L124" i="10"/>
  <c r="K124" i="10" s="1"/>
  <c r="J363" i="10"/>
  <c r="L186" i="10"/>
  <c r="K186" i="10" s="1"/>
  <c r="P1801" i="10"/>
  <c r="M1808" i="10"/>
  <c r="Q1809" i="10"/>
  <c r="Q1808" i="10" s="1"/>
  <c r="N1801" i="10"/>
  <c r="M1805" i="10"/>
  <c r="Q1806" i="10"/>
  <c r="Q1803" i="10"/>
  <c r="O1801" i="10"/>
  <c r="Q1802" i="10"/>
  <c r="M1801" i="10"/>
  <c r="Q1799" i="10"/>
  <c r="M1798" i="10"/>
  <c r="Q1796" i="10"/>
  <c r="Q1795" i="10" s="1"/>
  <c r="M1795" i="10"/>
  <c r="Q1791" i="10"/>
  <c r="Q1790" i="10" s="1"/>
  <c r="E587" i="5" s="1"/>
  <c r="M1790" i="10"/>
  <c r="Q1787" i="10"/>
  <c r="Q1786" i="10" s="1"/>
  <c r="E584" i="5" s="1"/>
  <c r="M1786" i="10"/>
  <c r="M1783" i="10"/>
  <c r="Q1784" i="10"/>
  <c r="Q1783" i="10" s="1"/>
  <c r="E583" i="5" s="1"/>
  <c r="P1762" i="10"/>
  <c r="N1762" i="10"/>
  <c r="Q1779" i="10"/>
  <c r="Q1778" i="10" s="1"/>
  <c r="E579" i="5" s="1"/>
  <c r="M1778" i="10"/>
  <c r="Q1755" i="10"/>
  <c r="Q1764" i="10"/>
  <c r="M1762" i="10"/>
  <c r="Q1770" i="10"/>
  <c r="Q1773" i="10"/>
  <c r="O1748" i="10"/>
  <c r="Q1751" i="10"/>
  <c r="O1762" i="10"/>
  <c r="Q1767" i="10"/>
  <c r="Q1769" i="10"/>
  <c r="Q1765" i="10"/>
  <c r="Q1771" i="10"/>
  <c r="Q1766" i="10"/>
  <c r="Q1774" i="10"/>
  <c r="Q1757" i="10"/>
  <c r="P1748" i="10"/>
  <c r="Q1738" i="10"/>
  <c r="Q1746" i="10"/>
  <c r="Q1750" i="10"/>
  <c r="M1748" i="10"/>
  <c r="Q1756" i="10"/>
  <c r="Q1760" i="10"/>
  <c r="N1748" i="10"/>
  <c r="P1731" i="10"/>
  <c r="O1744" i="10"/>
  <c r="Q1759" i="10"/>
  <c r="Q1752" i="10"/>
  <c r="Q1753" i="10"/>
  <c r="N1735" i="10"/>
  <c r="K1746" i="10"/>
  <c r="L1744" i="10"/>
  <c r="C236" i="7" s="1"/>
  <c r="N1731" i="10"/>
  <c r="Q1745" i="10"/>
  <c r="M1744" i="10"/>
  <c r="Q1739" i="10"/>
  <c r="O1718" i="10"/>
  <c r="Q1737" i="10"/>
  <c r="O1735" i="10"/>
  <c r="K1738" i="10"/>
  <c r="L1735" i="10"/>
  <c r="C235" i="7" s="1"/>
  <c r="Q1733" i="10"/>
  <c r="P1735" i="10"/>
  <c r="M1735" i="10"/>
  <c r="Q1736" i="10"/>
  <c r="M1731" i="10"/>
  <c r="Q1732" i="10"/>
  <c r="M1727" i="10"/>
  <c r="Q1728" i="10"/>
  <c r="Q1727" i="10" s="1"/>
  <c r="E566" i="5" s="1"/>
  <c r="N1711" i="10"/>
  <c r="M1724" i="10"/>
  <c r="Q1725" i="10"/>
  <c r="Q1724" i="10" s="1"/>
  <c r="E565" i="5" s="1"/>
  <c r="Q1714" i="10"/>
  <c r="Q1713" i="10"/>
  <c r="M1718" i="10"/>
  <c r="Q688" i="10"/>
  <c r="P1718" i="10"/>
  <c r="P1706" i="10"/>
  <c r="Q1712" i="10"/>
  <c r="M1711" i="10"/>
  <c r="P1711" i="10"/>
  <c r="Q1708" i="10"/>
  <c r="O1711" i="10"/>
  <c r="K1713" i="10"/>
  <c r="L1711" i="10"/>
  <c r="C230" i="7" s="1"/>
  <c r="Q1707" i="10"/>
  <c r="M1706" i="10"/>
  <c r="N1706" i="10"/>
  <c r="O1706" i="10"/>
  <c r="Q1686" i="10"/>
  <c r="Q1702" i="10"/>
  <c r="Q1703" i="10"/>
  <c r="Q1709" i="10"/>
  <c r="K1708" i="10"/>
  <c r="L1706" i="10"/>
  <c r="C229" i="7" s="1"/>
  <c r="Q1704" i="10"/>
  <c r="K1693" i="10"/>
  <c r="L1691" i="10"/>
  <c r="C228" i="7" s="1"/>
  <c r="Q1701" i="10"/>
  <c r="Q1696" i="10"/>
  <c r="N1681" i="10"/>
  <c r="Q1685" i="10"/>
  <c r="Q1689" i="10"/>
  <c r="Q1688" i="10"/>
  <c r="N1691" i="10"/>
  <c r="M1691" i="10"/>
  <c r="Q1693" i="10"/>
  <c r="Q1698" i="10"/>
  <c r="P1691" i="10"/>
  <c r="Q1695" i="10"/>
  <c r="Q1697" i="10"/>
  <c r="Q1699" i="10"/>
  <c r="O1691" i="10"/>
  <c r="K1683" i="10"/>
  <c r="L1681" i="10"/>
  <c r="C227" i="7" s="1"/>
  <c r="Q1687" i="10"/>
  <c r="Q1678" i="10"/>
  <c r="Q1683" i="10"/>
  <c r="M1681" i="10"/>
  <c r="O1681" i="10"/>
  <c r="Q1675" i="10"/>
  <c r="Q1677" i="10"/>
  <c r="P1681" i="10"/>
  <c r="Q1679" i="10"/>
  <c r="P1671" i="10"/>
  <c r="Q1662" i="10"/>
  <c r="N1671" i="10"/>
  <c r="K1673" i="10"/>
  <c r="L1671" i="10"/>
  <c r="C226" i="7" s="1"/>
  <c r="Q1676" i="10"/>
  <c r="O1671" i="10"/>
  <c r="Q1673" i="10"/>
  <c r="M1671" i="10"/>
  <c r="K1667" i="10"/>
  <c r="L1666" i="10"/>
  <c r="C225" i="7" s="1"/>
  <c r="Q1651" i="10"/>
  <c r="N1647" i="10"/>
  <c r="Q1664" i="10"/>
  <c r="M1666" i="10"/>
  <c r="Q1667" i="10"/>
  <c r="Q1666" i="10" s="1"/>
  <c r="E550" i="5" s="1"/>
  <c r="O1647" i="10"/>
  <c r="Q1652" i="10"/>
  <c r="Q1661" i="10"/>
  <c r="O1656" i="10"/>
  <c r="Q1659" i="10"/>
  <c r="Q1663" i="10"/>
  <c r="M1656" i="10"/>
  <c r="Q1658" i="10"/>
  <c r="N1656" i="10"/>
  <c r="P1656" i="10"/>
  <c r="K1661" i="10"/>
  <c r="L1656" i="10"/>
  <c r="C224" i="7" s="1"/>
  <c r="Q1660" i="10"/>
  <c r="O1620" i="10"/>
  <c r="P1647" i="10"/>
  <c r="Q1649" i="10"/>
  <c r="M1647" i="10"/>
  <c r="Q1650" i="10"/>
  <c r="O1628" i="10"/>
  <c r="Q1637" i="10"/>
  <c r="Q1636" i="10"/>
  <c r="Q1638" i="10"/>
  <c r="Q1642" i="10"/>
  <c r="M1641" i="10"/>
  <c r="O1641" i="10"/>
  <c r="Q1632" i="10"/>
  <c r="Q1634" i="10"/>
  <c r="Q1643" i="10"/>
  <c r="P1641" i="10"/>
  <c r="N1641" i="10"/>
  <c r="Q1644" i="10"/>
  <c r="P1620" i="10"/>
  <c r="Q1624" i="10"/>
  <c r="N1620" i="10"/>
  <c r="Q1635" i="10"/>
  <c r="N1628" i="10"/>
  <c r="Q1633" i="10"/>
  <c r="P1628" i="10"/>
  <c r="O1575" i="10"/>
  <c r="Q1609" i="10"/>
  <c r="N1613" i="10"/>
  <c r="M1628" i="10"/>
  <c r="Q1631" i="10"/>
  <c r="K1632" i="10"/>
  <c r="L1628" i="10"/>
  <c r="C221" i="7" s="1"/>
  <c r="Q1626" i="10"/>
  <c r="Q1623" i="10"/>
  <c r="Q1616" i="10"/>
  <c r="M1620" i="10"/>
  <c r="Q1622" i="10"/>
  <c r="N1606" i="10"/>
  <c r="Q1625" i="10"/>
  <c r="Q1615" i="10"/>
  <c r="M1613" i="10"/>
  <c r="K1617" i="10"/>
  <c r="L1613" i="10"/>
  <c r="C219" i="7" s="1"/>
  <c r="O1613" i="10"/>
  <c r="Q1617" i="10"/>
  <c r="P1613" i="10"/>
  <c r="P1606" i="10"/>
  <c r="Q1608" i="10"/>
  <c r="M1606" i="10"/>
  <c r="Q1604" i="10"/>
  <c r="P1600" i="10"/>
  <c r="Q1610" i="10"/>
  <c r="Q1603" i="10"/>
  <c r="O1600" i="10"/>
  <c r="K1601" i="10"/>
  <c r="L1600" i="10"/>
  <c r="C217" i="7" s="1"/>
  <c r="N1600" i="10"/>
  <c r="Q1602" i="10"/>
  <c r="M1600" i="10"/>
  <c r="Q1601" i="10"/>
  <c r="Q1596" i="10"/>
  <c r="Q1591" i="10"/>
  <c r="Q1593" i="10"/>
  <c r="P1580" i="10"/>
  <c r="Q1590" i="10"/>
  <c r="Q1582" i="10"/>
  <c r="Q1584" i="10"/>
  <c r="O1580" i="10"/>
  <c r="O1587" i="10"/>
  <c r="Q1589" i="10"/>
  <c r="P1587" i="10"/>
  <c r="Q1594" i="10"/>
  <c r="N1575" i="10"/>
  <c r="M1587" i="10"/>
  <c r="Q1588" i="10"/>
  <c r="N1587" i="10"/>
  <c r="Q1595" i="10"/>
  <c r="L1587" i="10"/>
  <c r="C216" i="7" s="1"/>
  <c r="K1588" i="10"/>
  <c r="N1580" i="10"/>
  <c r="M1580" i="10"/>
  <c r="Q1581" i="10"/>
  <c r="Q1583" i="10"/>
  <c r="Q1577" i="10"/>
  <c r="K1581" i="10"/>
  <c r="L1580" i="10"/>
  <c r="C215" i="7" s="1"/>
  <c r="K1576" i="10"/>
  <c r="L1575" i="10"/>
  <c r="C214" i="7" s="1"/>
  <c r="Q1576" i="10"/>
  <c r="M1575" i="10"/>
  <c r="M1570" i="10"/>
  <c r="Q1572" i="10"/>
  <c r="Q1570" i="10" s="1"/>
  <c r="E525" i="5" s="1"/>
  <c r="Q1560" i="10"/>
  <c r="N1555" i="10"/>
  <c r="Q1556" i="10"/>
  <c r="M1555" i="10"/>
  <c r="Q1561" i="10"/>
  <c r="O1555" i="10"/>
  <c r="Q1562" i="10"/>
  <c r="Q1559" i="10"/>
  <c r="P1555" i="10"/>
  <c r="Q1550" i="10"/>
  <c r="Q1549" i="10" s="1"/>
  <c r="E509" i="5" s="1"/>
  <c r="M1549" i="10"/>
  <c r="Q1546" i="10"/>
  <c r="Q1545" i="10" s="1"/>
  <c r="E506" i="5" s="1"/>
  <c r="M1545" i="10"/>
  <c r="Q1517" i="10"/>
  <c r="Q1521" i="10"/>
  <c r="Q1514" i="10"/>
  <c r="Q1522" i="10"/>
  <c r="N1524" i="10"/>
  <c r="P1524" i="10"/>
  <c r="Q1533" i="10"/>
  <c r="M1540" i="10"/>
  <c r="Q1541" i="10"/>
  <c r="Q1540" i="10" s="1"/>
  <c r="E502" i="5" s="1"/>
  <c r="Q1526" i="10"/>
  <c r="M1524" i="10"/>
  <c r="Q1531" i="10"/>
  <c r="Q1535" i="10"/>
  <c r="O1524" i="10"/>
  <c r="Q1536" i="10"/>
  <c r="Q1527" i="10"/>
  <c r="Q1528" i="10"/>
  <c r="Q1532" i="10"/>
  <c r="Q1529" i="10"/>
  <c r="Q1515" i="10"/>
  <c r="O1510" i="10"/>
  <c r="Q1519" i="10"/>
  <c r="Q1518" i="10"/>
  <c r="Q1513" i="10"/>
  <c r="Q1512" i="10"/>
  <c r="M1510" i="10"/>
  <c r="P1510" i="10"/>
  <c r="N1510" i="10"/>
  <c r="Q1489" i="10"/>
  <c r="N1487" i="10"/>
  <c r="Q1505" i="10"/>
  <c r="Q1504" i="10" s="1"/>
  <c r="E493" i="5" s="1"/>
  <c r="M1504" i="10"/>
  <c r="M1499" i="10"/>
  <c r="Q1500" i="10"/>
  <c r="Q1499" i="10" s="1"/>
  <c r="E490" i="5" s="1"/>
  <c r="O1492" i="10"/>
  <c r="K1494" i="10"/>
  <c r="L1492" i="10"/>
  <c r="C203" i="7" s="1"/>
  <c r="P1492" i="10"/>
  <c r="Q1490" i="10"/>
  <c r="Q1495" i="10"/>
  <c r="Q1494" i="10"/>
  <c r="Q1493" i="10"/>
  <c r="M1492" i="10"/>
  <c r="N1492" i="10"/>
  <c r="L1487" i="10"/>
  <c r="C202" i="7" s="1"/>
  <c r="K1489" i="10"/>
  <c r="O1487" i="10"/>
  <c r="Q1483" i="10"/>
  <c r="O1472" i="10"/>
  <c r="P1487" i="10"/>
  <c r="M1487" i="10"/>
  <c r="Q1488" i="10"/>
  <c r="Q1485" i="10"/>
  <c r="Q1478" i="10"/>
  <c r="Q1443" i="10"/>
  <c r="N1447" i="10"/>
  <c r="P1447" i="10"/>
  <c r="Q1479" i="10"/>
  <c r="P1472" i="10"/>
  <c r="Q1454" i="10"/>
  <c r="Q1469" i="10"/>
  <c r="K1474" i="10"/>
  <c r="L1472" i="10"/>
  <c r="C201" i="7" s="1"/>
  <c r="Q1482" i="10"/>
  <c r="N1472" i="10"/>
  <c r="Q1474" i="10"/>
  <c r="M1472" i="10"/>
  <c r="Q1476" i="10"/>
  <c r="Q1480" i="10"/>
  <c r="Q1484" i="10"/>
  <c r="Q1477" i="10"/>
  <c r="P1462" i="10"/>
  <c r="Q1468" i="10"/>
  <c r="Q1466" i="10"/>
  <c r="Q1467" i="10"/>
  <c r="Q1464" i="10"/>
  <c r="M1462" i="10"/>
  <c r="L1462" i="10"/>
  <c r="C200" i="7" s="1"/>
  <c r="K1464" i="10"/>
  <c r="O1462" i="10"/>
  <c r="N1462" i="10"/>
  <c r="Q1470" i="10"/>
  <c r="K1458" i="10"/>
  <c r="L1457" i="10"/>
  <c r="C199" i="7" s="1"/>
  <c r="O1447" i="10"/>
  <c r="Q1453" i="10"/>
  <c r="M1457" i="10"/>
  <c r="Q1458" i="10"/>
  <c r="Q1457" i="10" s="1"/>
  <c r="E480" i="5" s="1"/>
  <c r="Q1445" i="10"/>
  <c r="Q1451" i="10"/>
  <c r="K1442" i="10"/>
  <c r="L1437" i="10"/>
  <c r="C197" i="7" s="1"/>
  <c r="Q1441" i="10"/>
  <c r="M1447" i="10"/>
  <c r="Q1449" i="10"/>
  <c r="K1452" i="10"/>
  <c r="L1447" i="10"/>
  <c r="C198" i="7" s="1"/>
  <c r="Q1442" i="10"/>
  <c r="O1437" i="10"/>
  <c r="Q1455" i="10"/>
  <c r="Q1452" i="10"/>
  <c r="Q1450" i="10"/>
  <c r="P1437" i="10"/>
  <c r="Q1440" i="10"/>
  <c r="Q1439" i="10"/>
  <c r="M1437" i="10"/>
  <c r="Q1444" i="10"/>
  <c r="N1437" i="10"/>
  <c r="O1330" i="10"/>
  <c r="O1428" i="10"/>
  <c r="Q1425" i="10"/>
  <c r="M1428" i="10"/>
  <c r="Q1431" i="10"/>
  <c r="P1428" i="10"/>
  <c r="Q1432" i="10"/>
  <c r="Q1433" i="10"/>
  <c r="Q1430" i="10"/>
  <c r="N1428" i="10"/>
  <c r="Q1426" i="10"/>
  <c r="P1421" i="10"/>
  <c r="Q1424" i="10"/>
  <c r="Q1418" i="10"/>
  <c r="M1421" i="10"/>
  <c r="Q1423" i="10"/>
  <c r="P1402" i="10"/>
  <c r="O1421" i="10"/>
  <c r="N1421" i="10"/>
  <c r="Q1410" i="10"/>
  <c r="P1415" i="10"/>
  <c r="Q1399" i="10"/>
  <c r="Q1407" i="10"/>
  <c r="Q1409" i="10"/>
  <c r="Q1411" i="10"/>
  <c r="Q1412" i="10"/>
  <c r="Q1417" i="10"/>
  <c r="Q1416" i="10"/>
  <c r="M1415" i="10"/>
  <c r="O1415" i="10"/>
  <c r="N1415" i="10"/>
  <c r="N1402" i="10"/>
  <c r="O1402" i="10"/>
  <c r="K1406" i="10"/>
  <c r="L1402" i="10"/>
  <c r="C193" i="7" s="1"/>
  <c r="M1402" i="10"/>
  <c r="Q1405" i="10"/>
  <c r="Q1406" i="10"/>
  <c r="Q1408" i="10"/>
  <c r="P1393" i="10"/>
  <c r="Q1357" i="10"/>
  <c r="Q1364" i="10"/>
  <c r="Q1383" i="10"/>
  <c r="O1386" i="10"/>
  <c r="Q1398" i="10"/>
  <c r="Q1397" i="10"/>
  <c r="O1393" i="10"/>
  <c r="M1393" i="10"/>
  <c r="Q1396" i="10"/>
  <c r="Q1400" i="10"/>
  <c r="N1393" i="10"/>
  <c r="M1386" i="10"/>
  <c r="Q1388" i="10"/>
  <c r="P1386" i="10"/>
  <c r="K1390" i="10"/>
  <c r="L1386" i="10"/>
  <c r="C191" i="7" s="1"/>
  <c r="N1379" i="10"/>
  <c r="Q1389" i="10"/>
  <c r="Q1390" i="10"/>
  <c r="N1386" i="10"/>
  <c r="P1379" i="10"/>
  <c r="Q1382" i="10"/>
  <c r="Q1381" i="10"/>
  <c r="K1380" i="10"/>
  <c r="L1379" i="10"/>
  <c r="C190" i="7" s="1"/>
  <c r="O1379" i="10"/>
  <c r="M1379" i="10"/>
  <c r="Q1380" i="10"/>
  <c r="Q1375" i="10"/>
  <c r="O1366" i="10"/>
  <c r="Q1370" i="10"/>
  <c r="Q1363" i="10"/>
  <c r="Q1368" i="10"/>
  <c r="P1366" i="10"/>
  <c r="N1366" i="10"/>
  <c r="P1330" i="10"/>
  <c r="M1366" i="10"/>
  <c r="Q1367" i="10"/>
  <c r="Q1369" i="10"/>
  <c r="K1367" i="10"/>
  <c r="L1366" i="10"/>
  <c r="C189" i="7" s="1"/>
  <c r="Q1373" i="10"/>
  <c r="Q1372" i="10"/>
  <c r="Q1374" i="10"/>
  <c r="N1330" i="10"/>
  <c r="Q1352" i="10"/>
  <c r="Q1361" i="10"/>
  <c r="N1359" i="10"/>
  <c r="L1359" i="10"/>
  <c r="C188" i="7" s="1"/>
  <c r="K1360" i="10"/>
  <c r="P1359" i="10"/>
  <c r="O1359" i="10"/>
  <c r="Q1360" i="10"/>
  <c r="M1359" i="10"/>
  <c r="Q1362" i="10"/>
  <c r="L1348" i="10"/>
  <c r="C187" i="7" s="1"/>
  <c r="K1349" i="10"/>
  <c r="N1348" i="10"/>
  <c r="M1348" i="10"/>
  <c r="Q1349" i="10"/>
  <c r="Q1355" i="10"/>
  <c r="Q1350" i="10"/>
  <c r="O1348" i="10"/>
  <c r="Q1354" i="10"/>
  <c r="Q1356" i="10"/>
  <c r="P1348" i="10"/>
  <c r="Q1351" i="10"/>
  <c r="P1342" i="10"/>
  <c r="Q1345" i="10"/>
  <c r="O1342" i="10"/>
  <c r="Q1337" i="10"/>
  <c r="K1343" i="10"/>
  <c r="L1342" i="10"/>
  <c r="C186" i="7" s="1"/>
  <c r="M1342" i="10"/>
  <c r="Q1343" i="10"/>
  <c r="N1342" i="10"/>
  <c r="Q1344" i="10"/>
  <c r="Q1346" i="10"/>
  <c r="N1335" i="10"/>
  <c r="Q1332" i="10"/>
  <c r="Q1339" i="10"/>
  <c r="Q1336" i="10"/>
  <c r="M1335" i="10"/>
  <c r="P1335" i="10"/>
  <c r="Q1338" i="10"/>
  <c r="K1336" i="10"/>
  <c r="L1335" i="10"/>
  <c r="C185" i="7" s="1"/>
  <c r="O1335" i="10"/>
  <c r="K1331" i="10"/>
  <c r="L1330" i="10"/>
  <c r="C184" i="7" s="1"/>
  <c r="Q1331" i="10"/>
  <c r="M1330" i="10"/>
  <c r="M1323" i="10"/>
  <c r="Q1325" i="10"/>
  <c r="Q1323" i="10" s="1"/>
  <c r="E449" i="5" s="1"/>
  <c r="N1308" i="10"/>
  <c r="Q1313" i="10"/>
  <c r="Q1315" i="10"/>
  <c r="Q1312" i="10"/>
  <c r="Q1314" i="10"/>
  <c r="O1308" i="10"/>
  <c r="P1308" i="10"/>
  <c r="Q1309" i="10"/>
  <c r="M1308" i="10"/>
  <c r="Q1303" i="10"/>
  <c r="Q1302" i="10" s="1"/>
  <c r="E433" i="5" s="1"/>
  <c r="M1302" i="10"/>
  <c r="Q1289" i="10"/>
  <c r="Q1299" i="10"/>
  <c r="Q1298" i="10" s="1"/>
  <c r="E430" i="5" s="1"/>
  <c r="M1298" i="10"/>
  <c r="Q1295" i="10"/>
  <c r="M1294" i="10"/>
  <c r="O1286" i="10"/>
  <c r="Q1269" i="10"/>
  <c r="Q1271" i="10"/>
  <c r="Q1272" i="10"/>
  <c r="Q1288" i="10"/>
  <c r="N1286" i="10"/>
  <c r="P1286" i="10"/>
  <c r="K1288" i="10"/>
  <c r="L1286" i="10"/>
  <c r="C177" i="7" s="1"/>
  <c r="Q1287" i="10"/>
  <c r="M1286" i="10"/>
  <c r="Q1284" i="10"/>
  <c r="Q1283" i="10" s="1"/>
  <c r="E422" i="5" s="1"/>
  <c r="M1283" i="10"/>
  <c r="O1253" i="10"/>
  <c r="M1279" i="10"/>
  <c r="Q1280" i="10"/>
  <c r="Q1279" i="10" s="1"/>
  <c r="E420" i="5" s="1"/>
  <c r="Q1277" i="10"/>
  <c r="Q1276" i="10" s="1"/>
  <c r="E419" i="5" s="1"/>
  <c r="M1276" i="10"/>
  <c r="Q1267" i="10"/>
  <c r="M1260" i="10"/>
  <c r="Q1262" i="10"/>
  <c r="Q1263" i="10"/>
  <c r="Q1265" i="10"/>
  <c r="P1260" i="10"/>
  <c r="Q1264" i="10"/>
  <c r="Q1268" i="10"/>
  <c r="O1260" i="10"/>
  <c r="N1260" i="10"/>
  <c r="M1253" i="10"/>
  <c r="Q1255" i="10"/>
  <c r="Q1254" i="10"/>
  <c r="N1253" i="10"/>
  <c r="Q1250" i="10"/>
  <c r="Q1249" i="10" s="1"/>
  <c r="E409" i="5" s="1"/>
  <c r="M1249" i="10"/>
  <c r="N1190" i="10"/>
  <c r="O1227" i="10"/>
  <c r="Q1219" i="10"/>
  <c r="Q1245" i="10"/>
  <c r="Q1244" i="10" s="1"/>
  <c r="E405" i="5" s="1"/>
  <c r="M1244" i="10"/>
  <c r="P1202" i="10"/>
  <c r="Q1234" i="10"/>
  <c r="P1232" i="10"/>
  <c r="Q1240" i="10"/>
  <c r="Q1239" i="10" s="1"/>
  <c r="E402" i="5" s="1"/>
  <c r="M1239" i="10"/>
  <c r="Q1224" i="10"/>
  <c r="O1232" i="10"/>
  <c r="K1234" i="10"/>
  <c r="L1232" i="10"/>
  <c r="C168" i="7" s="1"/>
  <c r="Q1229" i="10"/>
  <c r="Q1233" i="10"/>
  <c r="M1232" i="10"/>
  <c r="Q1235" i="10"/>
  <c r="N1232" i="10"/>
  <c r="Q1217" i="10"/>
  <c r="Q1225" i="10"/>
  <c r="L1227" i="10"/>
  <c r="C167" i="7" s="1"/>
  <c r="K1229" i="10"/>
  <c r="Q1230" i="10"/>
  <c r="Q1228" i="10"/>
  <c r="M1227" i="10"/>
  <c r="N1227" i="10"/>
  <c r="P1227" i="10"/>
  <c r="P1190" i="10"/>
  <c r="Q1194" i="10"/>
  <c r="Q1198" i="10"/>
  <c r="Q1195" i="10"/>
  <c r="N1202" i="10"/>
  <c r="Q1208" i="10"/>
  <c r="P1212" i="10"/>
  <c r="O1202" i="10"/>
  <c r="K1214" i="10"/>
  <c r="L1212" i="10"/>
  <c r="C166" i="7" s="1"/>
  <c r="Q1223" i="10"/>
  <c r="M1212" i="10"/>
  <c r="Q1214" i="10"/>
  <c r="Q1222" i="10"/>
  <c r="O1212" i="10"/>
  <c r="N1212" i="10"/>
  <c r="Q1216" i="10"/>
  <c r="Q1218" i="10"/>
  <c r="Q1220" i="10"/>
  <c r="Q1209" i="10"/>
  <c r="Q1204" i="10"/>
  <c r="M1202" i="10"/>
  <c r="Q1207" i="10"/>
  <c r="Q1206" i="10"/>
  <c r="K1204" i="10"/>
  <c r="L1202" i="10"/>
  <c r="C165" i="7" s="1"/>
  <c r="Q1210" i="10"/>
  <c r="Q1192" i="10"/>
  <c r="K1195" i="10"/>
  <c r="L1190" i="10"/>
  <c r="C164" i="7" s="1"/>
  <c r="Q1196" i="10"/>
  <c r="Q1197" i="10"/>
  <c r="Q1193" i="10"/>
  <c r="M1190" i="10"/>
  <c r="O1190" i="10"/>
  <c r="P1181" i="10"/>
  <c r="Q1186" i="10"/>
  <c r="Q1185" i="10"/>
  <c r="N1160" i="10"/>
  <c r="Q1176" i="10"/>
  <c r="Q1184" i="10"/>
  <c r="O1181" i="10"/>
  <c r="Q1177" i="10"/>
  <c r="N1181" i="10"/>
  <c r="Q1183" i="10"/>
  <c r="M1181" i="10"/>
  <c r="Q1157" i="10"/>
  <c r="Q1156" i="10"/>
  <c r="P1160" i="10"/>
  <c r="P1174" i="10"/>
  <c r="N1174" i="10"/>
  <c r="Q1175" i="10"/>
  <c r="M1174" i="10"/>
  <c r="O1174" i="10"/>
  <c r="K1175" i="10"/>
  <c r="L1174" i="10"/>
  <c r="C162" i="7" s="1"/>
  <c r="Q1164" i="10"/>
  <c r="Q1166" i="10"/>
  <c r="Q1165" i="10"/>
  <c r="P1144" i="10"/>
  <c r="M1160" i="10"/>
  <c r="Q1163" i="10"/>
  <c r="O1160" i="10"/>
  <c r="Q1167" i="10"/>
  <c r="Q1169" i="10"/>
  <c r="J1160" i="10"/>
  <c r="K1164" i="10"/>
  <c r="L1160" i="10"/>
  <c r="C161" i="7" s="1"/>
  <c r="Q1170" i="10"/>
  <c r="Q1168" i="10"/>
  <c r="O1136" i="10"/>
  <c r="Q1155" i="10"/>
  <c r="O1151" i="10"/>
  <c r="Q1158" i="10"/>
  <c r="P1151" i="10"/>
  <c r="Q1154" i="10"/>
  <c r="M1151" i="10"/>
  <c r="K1158" i="10"/>
  <c r="L1151" i="10"/>
  <c r="C160" i="7" s="1"/>
  <c r="N1151" i="10"/>
  <c r="Q1146" i="10"/>
  <c r="M1144" i="10"/>
  <c r="Q1148" i="10"/>
  <c r="Q1147" i="10"/>
  <c r="O1144" i="10"/>
  <c r="K1148" i="10"/>
  <c r="L1144" i="10"/>
  <c r="C159" i="7" s="1"/>
  <c r="N1144" i="10"/>
  <c r="M1136" i="10"/>
  <c r="Q1137" i="10"/>
  <c r="N1136" i="10"/>
  <c r="O1100" i="10"/>
  <c r="P1136" i="10"/>
  <c r="Q1139" i="10"/>
  <c r="Q1132" i="10"/>
  <c r="Q1138" i="10"/>
  <c r="Q1140" i="10"/>
  <c r="L1136" i="10"/>
  <c r="C158" i="7" s="1"/>
  <c r="K1137" i="10"/>
  <c r="Q1130" i="10"/>
  <c r="K1124" i="10"/>
  <c r="L1123" i="10"/>
  <c r="C157" i="7" s="1"/>
  <c r="Q1131" i="10"/>
  <c r="P1123" i="10"/>
  <c r="N1105" i="10"/>
  <c r="Q1116" i="10"/>
  <c r="Q1118" i="10"/>
  <c r="Q1121" i="10"/>
  <c r="Q1114" i="10"/>
  <c r="Q1127" i="10"/>
  <c r="M1123" i="10"/>
  <c r="Q1124" i="10"/>
  <c r="Q1126" i="10"/>
  <c r="Q1125" i="10"/>
  <c r="O1123" i="10"/>
  <c r="Q1129" i="10"/>
  <c r="L106" i="10"/>
  <c r="K106" i="10" s="1"/>
  <c r="P1105" i="10"/>
  <c r="P1112" i="10"/>
  <c r="Q1115" i="10"/>
  <c r="N1123" i="10"/>
  <c r="Q1109" i="10"/>
  <c r="Q1113" i="10"/>
  <c r="M1112" i="10"/>
  <c r="Q1120" i="10"/>
  <c r="N1100" i="10"/>
  <c r="K1113" i="10"/>
  <c r="L1112" i="10"/>
  <c r="C156" i="7" s="1"/>
  <c r="Q1119" i="10"/>
  <c r="N1112" i="10"/>
  <c r="O1112" i="10"/>
  <c r="M1105" i="10"/>
  <c r="Q1106" i="10"/>
  <c r="Q1108" i="10"/>
  <c r="O1105" i="10"/>
  <c r="Q1107" i="10"/>
  <c r="P1080" i="10"/>
  <c r="P1100" i="10"/>
  <c r="L1105" i="10"/>
  <c r="C155" i="7" s="1"/>
  <c r="K1106" i="10"/>
  <c r="K1101" i="10"/>
  <c r="L1100" i="10"/>
  <c r="C154" i="7" s="1"/>
  <c r="Q1102" i="10"/>
  <c r="Q1101" i="10"/>
  <c r="M1100" i="10"/>
  <c r="M1095" i="10"/>
  <c r="Q1097" i="10"/>
  <c r="Q1095" i="10" s="1"/>
  <c r="E365" i="5" s="1"/>
  <c r="Q1085" i="10"/>
  <c r="Q1081" i="10"/>
  <c r="M1080" i="10"/>
  <c r="Q1084" i="10"/>
  <c r="O1080" i="10"/>
  <c r="Q1086" i="10"/>
  <c r="N1080" i="10"/>
  <c r="Q1087" i="10"/>
  <c r="Q1075" i="10"/>
  <c r="Q1074" i="10" s="1"/>
  <c r="E349" i="5" s="1"/>
  <c r="M1074" i="10"/>
  <c r="Q1071" i="10"/>
  <c r="Q1070" i="10" s="1"/>
  <c r="E346" i="5" s="1"/>
  <c r="M1070" i="10"/>
  <c r="P1036" i="10"/>
  <c r="M1067" i="10"/>
  <c r="Q1068" i="10"/>
  <c r="Q1067" i="10" s="1"/>
  <c r="E345" i="5" s="1"/>
  <c r="Q1065" i="10"/>
  <c r="Q1064" i="10" s="1"/>
  <c r="E344" i="5" s="1"/>
  <c r="M1064" i="10"/>
  <c r="Q1057" i="10"/>
  <c r="Q1059" i="10"/>
  <c r="Q1052" i="10"/>
  <c r="Q1060" i="10"/>
  <c r="Q1053" i="10"/>
  <c r="P1048" i="10"/>
  <c r="Q1056" i="10"/>
  <c r="Q1051" i="10"/>
  <c r="O1048" i="10"/>
  <c r="Q1055" i="10"/>
  <c r="M1048" i="10"/>
  <c r="Q1050" i="10"/>
  <c r="N1048" i="10"/>
  <c r="Q1043" i="10"/>
  <c r="Q1042" i="10" s="1"/>
  <c r="E335" i="5" s="1"/>
  <c r="M1042" i="10"/>
  <c r="Q1038" i="10"/>
  <c r="Q1037" i="10"/>
  <c r="M1036" i="10"/>
  <c r="O1036" i="10"/>
  <c r="O1019" i="10"/>
  <c r="M1031" i="10"/>
  <c r="Q1032" i="10"/>
  <c r="Q1031" i="10" s="1"/>
  <c r="E328" i="5" s="1"/>
  <c r="L1031" i="10"/>
  <c r="C143" i="7" s="1"/>
  <c r="K1032" i="10"/>
  <c r="Q1001" i="10"/>
  <c r="P1019" i="10"/>
  <c r="Q1022" i="10"/>
  <c r="K1021" i="10"/>
  <c r="L1019" i="10"/>
  <c r="C141" i="7" s="1"/>
  <c r="K1027" i="10"/>
  <c r="L1026" i="10"/>
  <c r="C142" i="7" s="1"/>
  <c r="K1006" i="10"/>
  <c r="L1004" i="10"/>
  <c r="C140" i="7" s="1"/>
  <c r="M1026" i="10"/>
  <c r="Q1027" i="10"/>
  <c r="Q1026" i="10" s="1"/>
  <c r="E325" i="5" s="1"/>
  <c r="M1019" i="10"/>
  <c r="Q1020" i="10"/>
  <c r="Q1017" i="10"/>
  <c r="N1004" i="10"/>
  <c r="Q1021" i="10"/>
  <c r="N1019" i="10"/>
  <c r="J540" i="10"/>
  <c r="P1004" i="10"/>
  <c r="Q1012" i="10"/>
  <c r="Q1014" i="10"/>
  <c r="Q1009" i="10"/>
  <c r="Q1011" i="10"/>
  <c r="Q983" i="10"/>
  <c r="Q985" i="10"/>
  <c r="Q987" i="10"/>
  <c r="N994" i="10"/>
  <c r="O994" i="10"/>
  <c r="Q1008" i="10"/>
  <c r="Q1010" i="10"/>
  <c r="Q1016" i="10"/>
  <c r="M1004" i="10"/>
  <c r="Q1006" i="10"/>
  <c r="O1004" i="10"/>
  <c r="Q1015" i="10"/>
  <c r="L994" i="10"/>
  <c r="C139" i="7" s="1"/>
  <c r="K996" i="10"/>
  <c r="Q1002" i="10"/>
  <c r="J474" i="10"/>
  <c r="P994" i="10"/>
  <c r="M994" i="10"/>
  <c r="Q996" i="10"/>
  <c r="Q998" i="10"/>
  <c r="Q1000" i="10"/>
  <c r="Q999" i="10"/>
  <c r="O962" i="10"/>
  <c r="Q967" i="10"/>
  <c r="Q984" i="10"/>
  <c r="K990" i="10"/>
  <c r="L989" i="10"/>
  <c r="C138" i="7" s="1"/>
  <c r="M989" i="10"/>
  <c r="Q990" i="10"/>
  <c r="Q989" i="10" s="1"/>
  <c r="E315" i="5" s="1"/>
  <c r="K984" i="10"/>
  <c r="L979" i="10"/>
  <c r="C137" i="7" s="1"/>
  <c r="P979" i="10"/>
  <c r="Q982" i="10"/>
  <c r="Q986" i="10"/>
  <c r="M979" i="10"/>
  <c r="Q981" i="10"/>
  <c r="N979" i="10"/>
  <c r="N962" i="10"/>
  <c r="O979" i="10"/>
  <c r="Q971" i="10"/>
  <c r="Q974" i="10"/>
  <c r="P969" i="10"/>
  <c r="O969" i="10"/>
  <c r="Q973" i="10"/>
  <c r="K974" i="10"/>
  <c r="L969" i="10"/>
  <c r="C136" i="7" s="1"/>
  <c r="M969" i="10"/>
  <c r="Q972" i="10"/>
  <c r="N969" i="10"/>
  <c r="Q954" i="10"/>
  <c r="O952" i="10"/>
  <c r="Q955" i="10"/>
  <c r="M962" i="10"/>
  <c r="Q964" i="10"/>
  <c r="Q966" i="10"/>
  <c r="L962" i="10"/>
  <c r="C135" i="7" s="1"/>
  <c r="K967" i="10"/>
  <c r="P962" i="10"/>
  <c r="Q965" i="10"/>
  <c r="Q958" i="10"/>
  <c r="Q957" i="10" s="1"/>
  <c r="E305" i="5" s="1"/>
  <c r="M957" i="10"/>
  <c r="L957" i="10"/>
  <c r="C134" i="7" s="1"/>
  <c r="K958" i="10"/>
  <c r="Q937" i="10"/>
  <c r="Q946" i="10"/>
  <c r="Q948" i="10"/>
  <c r="O942" i="10"/>
  <c r="Q949" i="10"/>
  <c r="K953" i="10"/>
  <c r="L952" i="10"/>
  <c r="C133" i="7" s="1"/>
  <c r="Q953" i="10"/>
  <c r="M952" i="10"/>
  <c r="N952" i="10"/>
  <c r="P952" i="10"/>
  <c r="Q902" i="10"/>
  <c r="Q910" i="10"/>
  <c r="N929" i="10"/>
  <c r="M942" i="10"/>
  <c r="Q945" i="10"/>
  <c r="K949" i="10"/>
  <c r="Q935" i="10"/>
  <c r="P942" i="10"/>
  <c r="Q947" i="10"/>
  <c r="N942" i="10"/>
  <c r="Q925" i="10"/>
  <c r="O929" i="10"/>
  <c r="Q936" i="10"/>
  <c r="K933" i="10"/>
  <c r="L929" i="10"/>
  <c r="C131" i="7" s="1"/>
  <c r="Q921" i="10"/>
  <c r="Q938" i="10"/>
  <c r="Q939" i="10"/>
  <c r="Q913" i="10"/>
  <c r="Q923" i="10"/>
  <c r="P929" i="10"/>
  <c r="Q934" i="10"/>
  <c r="Q933" i="10"/>
  <c r="M929" i="10"/>
  <c r="Q932" i="10"/>
  <c r="P905" i="10"/>
  <c r="L917" i="10"/>
  <c r="C130" i="7" s="1"/>
  <c r="K921" i="10"/>
  <c r="Q922" i="10"/>
  <c r="M917" i="10"/>
  <c r="Q920" i="10"/>
  <c r="L905" i="10"/>
  <c r="C129" i="7" s="1"/>
  <c r="Q924" i="10"/>
  <c r="O917" i="10"/>
  <c r="N917" i="10"/>
  <c r="Q911" i="10"/>
  <c r="Q927" i="10"/>
  <c r="P917" i="10"/>
  <c r="Q926" i="10"/>
  <c r="J520" i="10"/>
  <c r="P785" i="10"/>
  <c r="P784" i="10" s="1"/>
  <c r="O876" i="10"/>
  <c r="Q887" i="10"/>
  <c r="O890" i="10"/>
  <c r="K909" i="10"/>
  <c r="Q914" i="10"/>
  <c r="Q900" i="10"/>
  <c r="Q909" i="10"/>
  <c r="Q915" i="10"/>
  <c r="N905" i="10"/>
  <c r="O905" i="10"/>
  <c r="Q912" i="10"/>
  <c r="M905" i="10"/>
  <c r="Q908" i="10"/>
  <c r="Q888" i="10"/>
  <c r="Q893" i="10"/>
  <c r="P898" i="10"/>
  <c r="N898" i="10"/>
  <c r="K899" i="10"/>
  <c r="L898" i="10"/>
  <c r="C128" i="7" s="1"/>
  <c r="P884" i="10"/>
  <c r="M898" i="10"/>
  <c r="Q899" i="10"/>
  <c r="Q901" i="10"/>
  <c r="O898" i="10"/>
  <c r="M890" i="10"/>
  <c r="Q892" i="10"/>
  <c r="O839" i="10"/>
  <c r="N890" i="10"/>
  <c r="Q894" i="10"/>
  <c r="K891" i="10"/>
  <c r="L890" i="10"/>
  <c r="C127" i="7" s="1"/>
  <c r="J646" i="10"/>
  <c r="Q866" i="10"/>
  <c r="N884" i="10"/>
  <c r="Q891" i="10"/>
  <c r="P890" i="10"/>
  <c r="N876" i="10"/>
  <c r="K885" i="10"/>
  <c r="L884" i="10"/>
  <c r="C126" i="7" s="1"/>
  <c r="Q843" i="10"/>
  <c r="P870" i="10"/>
  <c r="Q885" i="10"/>
  <c r="M884" i="10"/>
  <c r="Q886" i="10"/>
  <c r="O884" i="10"/>
  <c r="Q879" i="10"/>
  <c r="Q878" i="10"/>
  <c r="M876" i="10"/>
  <c r="K880" i="10"/>
  <c r="L876" i="10"/>
  <c r="C125" i="7" s="1"/>
  <c r="Q873" i="10"/>
  <c r="Q872" i="10"/>
  <c r="P876" i="10"/>
  <c r="Q880" i="10"/>
  <c r="Q874" i="10"/>
  <c r="O870" i="10"/>
  <c r="Q859" i="10"/>
  <c r="L870" i="10"/>
  <c r="C124" i="7" s="1"/>
  <c r="K871" i="10"/>
  <c r="Q871" i="10"/>
  <c r="M870" i="10"/>
  <c r="Q847" i="10"/>
  <c r="N870" i="10"/>
  <c r="Q863" i="10"/>
  <c r="Q865" i="10"/>
  <c r="Q861" i="10"/>
  <c r="O857" i="10"/>
  <c r="P857" i="10"/>
  <c r="Q860" i="10"/>
  <c r="N857" i="10"/>
  <c r="Q853" i="10"/>
  <c r="Q855" i="10"/>
  <c r="K858" i="10"/>
  <c r="L857" i="10"/>
  <c r="C123" i="7" s="1"/>
  <c r="Q864" i="10"/>
  <c r="M857" i="10"/>
  <c r="Q858" i="10"/>
  <c r="Q851" i="10"/>
  <c r="Q854" i="10"/>
  <c r="L850" i="10"/>
  <c r="C122" i="7" s="1"/>
  <c r="K851" i="10"/>
  <c r="Q852" i="10"/>
  <c r="L839" i="10"/>
  <c r="C121" i="7" s="1"/>
  <c r="K840" i="10"/>
  <c r="Q846" i="10"/>
  <c r="Q840" i="10"/>
  <c r="M839" i="10"/>
  <c r="Q446" i="10"/>
  <c r="Q848" i="10"/>
  <c r="Q841" i="10"/>
  <c r="Q845" i="10"/>
  <c r="N839" i="10"/>
  <c r="Q842" i="10"/>
  <c r="P839" i="10"/>
  <c r="Q836" i="10"/>
  <c r="Q834" i="10" s="1"/>
  <c r="E279" i="5" s="1"/>
  <c r="M834" i="10"/>
  <c r="Q823" i="10"/>
  <c r="Q672" i="10"/>
  <c r="Q667" i="10"/>
  <c r="Q826" i="10"/>
  <c r="M787" i="10"/>
  <c r="N819" i="10"/>
  <c r="O819" i="10"/>
  <c r="L757" i="10"/>
  <c r="K757" i="10" s="1"/>
  <c r="Q825" i="10"/>
  <c r="P819" i="10"/>
  <c r="Q824" i="10"/>
  <c r="Q820" i="10"/>
  <c r="M819" i="10"/>
  <c r="M813" i="10"/>
  <c r="Q814" i="10"/>
  <c r="Q813" i="10" s="1"/>
  <c r="E263" i="5" s="1"/>
  <c r="Q765" i="10"/>
  <c r="Q803" i="10"/>
  <c r="Q802" i="10"/>
  <c r="Q757" i="10"/>
  <c r="Q768" i="10"/>
  <c r="P794" i="10"/>
  <c r="Q798" i="10"/>
  <c r="Q762" i="10"/>
  <c r="L770" i="10"/>
  <c r="K770" i="10" s="1"/>
  <c r="Q797" i="10"/>
  <c r="Q805" i="10"/>
  <c r="O794" i="10"/>
  <c r="Q806" i="10"/>
  <c r="N794" i="10"/>
  <c r="Q750" i="10"/>
  <c r="Q799" i="10"/>
  <c r="Q801" i="10"/>
  <c r="Q796" i="10"/>
  <c r="M794" i="10"/>
  <c r="Q760" i="10"/>
  <c r="Q746" i="10"/>
  <c r="Q788" i="10"/>
  <c r="O787" i="10"/>
  <c r="P767" i="10"/>
  <c r="Q780" i="10"/>
  <c r="Q779" i="10" s="1"/>
  <c r="E245" i="5" s="1"/>
  <c r="N707" i="10"/>
  <c r="Q707" i="10" s="1"/>
  <c r="Q770" i="10"/>
  <c r="M767" i="10"/>
  <c r="M784" i="10"/>
  <c r="Q747" i="10"/>
  <c r="Q769" i="10"/>
  <c r="N767" i="10"/>
  <c r="O767" i="10"/>
  <c r="J767" i="10"/>
  <c r="Q758" i="10"/>
  <c r="J737" i="10"/>
  <c r="L759" i="10"/>
  <c r="K759" i="10" s="1"/>
  <c r="L754" i="10"/>
  <c r="K754" i="10" s="1"/>
  <c r="P752" i="10"/>
  <c r="L758" i="10"/>
  <c r="K758" i="10" s="1"/>
  <c r="Q749" i="10"/>
  <c r="N752" i="10"/>
  <c r="M752" i="10"/>
  <c r="L764" i="10"/>
  <c r="K764" i="10" s="1"/>
  <c r="P742" i="10"/>
  <c r="Q759" i="10"/>
  <c r="Q763" i="10"/>
  <c r="Q756" i="10"/>
  <c r="Q764" i="10"/>
  <c r="L756" i="10"/>
  <c r="K756" i="10" s="1"/>
  <c r="O754" i="10"/>
  <c r="O752" i="10" s="1"/>
  <c r="J752" i="10"/>
  <c r="L763" i="10"/>
  <c r="K763" i="10" s="1"/>
  <c r="N742" i="10"/>
  <c r="M742" i="10"/>
  <c r="L749" i="10"/>
  <c r="K749" i="10" s="1"/>
  <c r="L744" i="10"/>
  <c r="Q748" i="10"/>
  <c r="Q665" i="10"/>
  <c r="O744" i="10"/>
  <c r="O742" i="10" s="1"/>
  <c r="J742" i="10"/>
  <c r="Q733" i="10"/>
  <c r="L750" i="10"/>
  <c r="K750" i="10" s="1"/>
  <c r="L746" i="10"/>
  <c r="K746" i="10" s="1"/>
  <c r="L748" i="10"/>
  <c r="K748" i="10" s="1"/>
  <c r="L671" i="10"/>
  <c r="K671" i="10" s="1"/>
  <c r="P698" i="10"/>
  <c r="Q721" i="10"/>
  <c r="Q730" i="10"/>
  <c r="Q734" i="10"/>
  <c r="M692" i="10"/>
  <c r="J727" i="10"/>
  <c r="O727" i="10"/>
  <c r="L727" i="10"/>
  <c r="P727" i="10"/>
  <c r="Q738" i="10"/>
  <c r="Q737" i="10" s="1"/>
  <c r="E233" i="5" s="1"/>
  <c r="M737" i="10"/>
  <c r="Q708" i="10"/>
  <c r="Q735" i="10"/>
  <c r="Q732" i="10"/>
  <c r="Q731" i="10"/>
  <c r="J686" i="10"/>
  <c r="Q702" i="10"/>
  <c r="Q723" i="10"/>
  <c r="Q729" i="10"/>
  <c r="M727" i="10"/>
  <c r="Q670" i="10"/>
  <c r="Q714" i="10"/>
  <c r="N727" i="10"/>
  <c r="Q669" i="10"/>
  <c r="P683" i="10"/>
  <c r="P682" i="10" s="1"/>
  <c r="P718" i="10"/>
  <c r="O718" i="10"/>
  <c r="Q706" i="10"/>
  <c r="Q705" i="10" s="1"/>
  <c r="E225" i="5" s="1"/>
  <c r="Q716" i="10"/>
  <c r="Q722" i="10"/>
  <c r="J523" i="10"/>
  <c r="Q690" i="10"/>
  <c r="N720" i="10"/>
  <c r="N718" i="10" s="1"/>
  <c r="J718" i="10"/>
  <c r="M718" i="10"/>
  <c r="J692" i="10"/>
  <c r="N711" i="10"/>
  <c r="O711" i="10"/>
  <c r="J698" i="10"/>
  <c r="Q713" i="10"/>
  <c r="M711" i="10"/>
  <c r="Q715" i="10"/>
  <c r="P711" i="10"/>
  <c r="J711" i="10"/>
  <c r="Q677" i="10"/>
  <c r="O692" i="10"/>
  <c r="L705" i="10"/>
  <c r="C104" i="7" s="1"/>
  <c r="N700" i="10"/>
  <c r="Q700" i="10" s="1"/>
  <c r="P692" i="10"/>
  <c r="N692" i="10"/>
  <c r="Q701" i="10"/>
  <c r="Q696" i="10"/>
  <c r="K702" i="10"/>
  <c r="L698" i="10"/>
  <c r="O698" i="10"/>
  <c r="Q695" i="10"/>
  <c r="M698" i="10"/>
  <c r="P686" i="10"/>
  <c r="O687" i="10"/>
  <c r="Q687" i="10" s="1"/>
  <c r="Q693" i="10"/>
  <c r="N686" i="10"/>
  <c r="K693" i="10"/>
  <c r="L692" i="10"/>
  <c r="C102" i="7" s="1"/>
  <c r="Q689" i="10"/>
  <c r="Q694" i="10"/>
  <c r="M686" i="10"/>
  <c r="O663" i="10"/>
  <c r="Q680" i="10"/>
  <c r="J676" i="10"/>
  <c r="L686" i="10"/>
  <c r="C101" i="7" s="1"/>
  <c r="K687" i="10"/>
  <c r="P676" i="10"/>
  <c r="O676" i="10"/>
  <c r="Q679" i="10"/>
  <c r="K683" i="10"/>
  <c r="L682" i="10"/>
  <c r="C100" i="7" s="1"/>
  <c r="L670" i="10"/>
  <c r="K670" i="10" s="1"/>
  <c r="M676" i="10"/>
  <c r="Q660" i="10"/>
  <c r="Q678" i="10"/>
  <c r="L676" i="10"/>
  <c r="C99" i="7" s="1"/>
  <c r="Q664" i="10"/>
  <c r="N676" i="10"/>
  <c r="J663" i="10"/>
  <c r="Q666" i="10"/>
  <c r="P663" i="10"/>
  <c r="Q671" i="10"/>
  <c r="J656" i="10"/>
  <c r="O656" i="10"/>
  <c r="N663" i="10"/>
  <c r="M663" i="10"/>
  <c r="K664" i="10"/>
  <c r="Q657" i="10"/>
  <c r="P656" i="10"/>
  <c r="Q658" i="10"/>
  <c r="L480" i="10"/>
  <c r="K480" i="10" s="1"/>
  <c r="Q659" i="10"/>
  <c r="J490" i="10"/>
  <c r="O490" i="10" s="1"/>
  <c r="Q490" i="10" s="1"/>
  <c r="P631" i="10"/>
  <c r="M656" i="10"/>
  <c r="K657" i="10"/>
  <c r="L656" i="10"/>
  <c r="C97" i="7" s="1"/>
  <c r="N656" i="10"/>
  <c r="K652" i="10"/>
  <c r="L653" i="10"/>
  <c r="K653" i="10" s="1"/>
  <c r="J651" i="10"/>
  <c r="Q637" i="10"/>
  <c r="Q653" i="10"/>
  <c r="Q652" i="10"/>
  <c r="M651" i="10"/>
  <c r="O651" i="10"/>
  <c r="Q648" i="10"/>
  <c r="Q646" i="10" s="1"/>
  <c r="E207" i="5" s="1"/>
  <c r="Q636" i="10"/>
  <c r="P620" i="10"/>
  <c r="P619" i="10" s="1"/>
  <c r="O631" i="10"/>
  <c r="Q638" i="10"/>
  <c r="N631" i="10"/>
  <c r="J631" i="10"/>
  <c r="Q632" i="10"/>
  <c r="M631" i="10"/>
  <c r="Q635" i="10"/>
  <c r="P626" i="10"/>
  <c r="P625" i="10" s="1"/>
  <c r="J625" i="10"/>
  <c r="P623" i="10"/>
  <c r="P622" i="10" s="1"/>
  <c r="M622" i="10"/>
  <c r="J605" i="10"/>
  <c r="P610" i="10"/>
  <c r="P609" i="10" s="1"/>
  <c r="J613" i="10"/>
  <c r="P617" i="10"/>
  <c r="P616" i="10" s="1"/>
  <c r="P613" i="10"/>
  <c r="Q614" i="10"/>
  <c r="Q613" i="10" s="1"/>
  <c r="E188" i="5" s="1"/>
  <c r="M616" i="10"/>
  <c r="J597" i="10"/>
  <c r="M609" i="10"/>
  <c r="Q606" i="10"/>
  <c r="Q605" i="10" s="1"/>
  <c r="E184" i="5" s="1"/>
  <c r="M605" i="10"/>
  <c r="J580" i="10"/>
  <c r="P602" i="10"/>
  <c r="P601" i="10" s="1"/>
  <c r="J588" i="10"/>
  <c r="M601" i="10"/>
  <c r="Q598" i="10"/>
  <c r="Q597" i="10" s="1"/>
  <c r="E180" i="5" s="1"/>
  <c r="J584" i="10"/>
  <c r="Q593" i="10"/>
  <c r="Q592" i="10" s="1"/>
  <c r="E177" i="5" s="1"/>
  <c r="M592" i="10"/>
  <c r="Q547" i="10"/>
  <c r="Q589" i="10"/>
  <c r="Q588" i="10" s="1"/>
  <c r="E175" i="5" s="1"/>
  <c r="Q585" i="10"/>
  <c r="Q584" i="10" s="1"/>
  <c r="E173" i="5" s="1"/>
  <c r="Q581" i="10"/>
  <c r="Q549" i="10"/>
  <c r="Q566" i="10"/>
  <c r="L553" i="10"/>
  <c r="K553" i="10" s="1"/>
  <c r="J505" i="10"/>
  <c r="M505" i="10" s="1"/>
  <c r="M503" i="10" s="1"/>
  <c r="Q563" i="10"/>
  <c r="Q569" i="10"/>
  <c r="P540" i="10"/>
  <c r="Q565" i="10"/>
  <c r="Q577" i="10"/>
  <c r="Q576" i="10" s="1"/>
  <c r="E165" i="5" s="1"/>
  <c r="Q538" i="10"/>
  <c r="O558" i="10"/>
  <c r="J572" i="10"/>
  <c r="Q548" i="10"/>
  <c r="Q533" i="10"/>
  <c r="Q561" i="10"/>
  <c r="Q529" i="10"/>
  <c r="P544" i="10"/>
  <c r="N558" i="10"/>
  <c r="Q573" i="10"/>
  <c r="Q572" i="10" s="1"/>
  <c r="E162" i="5" s="1"/>
  <c r="J324" i="10"/>
  <c r="Q488" i="10"/>
  <c r="Q534" i="10"/>
  <c r="N541" i="10"/>
  <c r="N540" i="10" s="1"/>
  <c r="Q546" i="10"/>
  <c r="Q570" i="10"/>
  <c r="Q555" i="10"/>
  <c r="Q567" i="10"/>
  <c r="Q530" i="10"/>
  <c r="Q553" i="10"/>
  <c r="Q562" i="10"/>
  <c r="L566" i="10"/>
  <c r="K566" i="10" s="1"/>
  <c r="K565" i="10"/>
  <c r="Q560" i="10"/>
  <c r="M558" i="10"/>
  <c r="P558" i="10"/>
  <c r="J558" i="10"/>
  <c r="Q552" i="10"/>
  <c r="P526" i="10"/>
  <c r="O544" i="10"/>
  <c r="L552" i="10"/>
  <c r="K552" i="10" s="1"/>
  <c r="J544" i="10"/>
  <c r="Q556" i="10"/>
  <c r="Q551" i="10"/>
  <c r="M544" i="10"/>
  <c r="K551" i="10"/>
  <c r="N544" i="10"/>
  <c r="L510" i="10"/>
  <c r="K510" i="10" s="1"/>
  <c r="Q535" i="10"/>
  <c r="Q542" i="10"/>
  <c r="M540" i="10"/>
  <c r="Q402" i="10"/>
  <c r="L402" i="10"/>
  <c r="K402" i="10" s="1"/>
  <c r="Q447" i="10"/>
  <c r="L534" i="10"/>
  <c r="K534" i="10" s="1"/>
  <c r="J526" i="10"/>
  <c r="N526" i="10"/>
  <c r="K533" i="10"/>
  <c r="O526" i="10"/>
  <c r="Q537" i="10"/>
  <c r="Q528" i="10"/>
  <c r="M526" i="10"/>
  <c r="Q531" i="10"/>
  <c r="Q495" i="10"/>
  <c r="Q524" i="10"/>
  <c r="Q523" i="10" s="1"/>
  <c r="E157" i="5" s="1"/>
  <c r="Q504" i="10"/>
  <c r="Q521" i="10"/>
  <c r="Q501" i="10"/>
  <c r="Q445" i="10"/>
  <c r="M516" i="10"/>
  <c r="O456" i="10"/>
  <c r="Q459" i="10"/>
  <c r="Q451" i="10"/>
  <c r="P517" i="10"/>
  <c r="P516" i="10" s="1"/>
  <c r="J516" i="10"/>
  <c r="J372" i="10"/>
  <c r="Q396" i="10"/>
  <c r="N442" i="10"/>
  <c r="L497" i="10"/>
  <c r="K497" i="10" s="1"/>
  <c r="Q360" i="10"/>
  <c r="P508" i="10"/>
  <c r="Q500" i="10"/>
  <c r="Q498" i="10"/>
  <c r="Q511" i="10"/>
  <c r="Q484" i="10"/>
  <c r="Q483" i="10"/>
  <c r="L88" i="10"/>
  <c r="C13" i="7" s="1"/>
  <c r="Q506" i="10"/>
  <c r="N508" i="10"/>
  <c r="O508" i="10"/>
  <c r="Q510" i="10"/>
  <c r="L289" i="10"/>
  <c r="K289" i="10" s="1"/>
  <c r="L356" i="10"/>
  <c r="K356" i="10" s="1"/>
  <c r="Q386" i="10"/>
  <c r="Q411" i="10"/>
  <c r="L495" i="10"/>
  <c r="K495" i="10" s="1"/>
  <c r="Q509" i="10"/>
  <c r="M508" i="10"/>
  <c r="L485" i="10"/>
  <c r="K485" i="10" s="1"/>
  <c r="J482" i="10"/>
  <c r="O482" i="10" s="1"/>
  <c r="Q482" i="10" s="1"/>
  <c r="P493" i="10"/>
  <c r="J508" i="10"/>
  <c r="L313" i="10"/>
  <c r="K313" i="10" s="1"/>
  <c r="M449" i="10"/>
  <c r="L501" i="10"/>
  <c r="K501" i="10" s="1"/>
  <c r="N493" i="10"/>
  <c r="N503" i="10"/>
  <c r="Q468" i="10"/>
  <c r="Q471" i="10"/>
  <c r="Q489" i="10"/>
  <c r="Q491" i="10"/>
  <c r="Q486" i="10"/>
  <c r="Q497" i="10"/>
  <c r="P503" i="10"/>
  <c r="L503" i="10"/>
  <c r="C68" i="7" s="1"/>
  <c r="Q460" i="10"/>
  <c r="Q467" i="10"/>
  <c r="Q485" i="10"/>
  <c r="Q401" i="10"/>
  <c r="O503" i="10"/>
  <c r="Q480" i="10"/>
  <c r="M478" i="10"/>
  <c r="J499" i="10"/>
  <c r="L499" i="10"/>
  <c r="K499" i="10" s="1"/>
  <c r="Q470" i="10"/>
  <c r="O464" i="10"/>
  <c r="M493" i="10"/>
  <c r="L486" i="10"/>
  <c r="K486" i="10" s="1"/>
  <c r="Q452" i="10"/>
  <c r="Q461" i="10"/>
  <c r="J449" i="10"/>
  <c r="J442" i="10"/>
  <c r="Q469" i="10"/>
  <c r="L489" i="10"/>
  <c r="K489" i="10" s="1"/>
  <c r="N478" i="10"/>
  <c r="Q444" i="10"/>
  <c r="J464" i="10"/>
  <c r="P478" i="10"/>
  <c r="L483" i="10"/>
  <c r="K483" i="10" s="1"/>
  <c r="P440" i="10"/>
  <c r="P439" i="10" s="1"/>
  <c r="Q454" i="10"/>
  <c r="Q472" i="10"/>
  <c r="Q475" i="10"/>
  <c r="Q474" i="10" s="1"/>
  <c r="E145" i="5" s="1"/>
  <c r="Q409" i="10"/>
  <c r="O449" i="10"/>
  <c r="P464" i="10"/>
  <c r="Q466" i="10"/>
  <c r="N464" i="10"/>
  <c r="Q453" i="10"/>
  <c r="L464" i="10"/>
  <c r="P456" i="10"/>
  <c r="M464" i="10"/>
  <c r="N458" i="10"/>
  <c r="N456" i="10" s="1"/>
  <c r="J456" i="10"/>
  <c r="M456" i="10"/>
  <c r="N449" i="10"/>
  <c r="Q437" i="10"/>
  <c r="Q404" i="10"/>
  <c r="Q419" i="10"/>
  <c r="Q428" i="10"/>
  <c r="M442" i="10"/>
  <c r="P442" i="10"/>
  <c r="Q431" i="10"/>
  <c r="J427" i="10"/>
  <c r="Q397" i="10"/>
  <c r="Q415" i="10"/>
  <c r="K440" i="10"/>
  <c r="L439" i="10"/>
  <c r="C60" i="7" s="1"/>
  <c r="Q422" i="10"/>
  <c r="Q417" i="10"/>
  <c r="Q436" i="10"/>
  <c r="Q416" i="10"/>
  <c r="K437" i="10"/>
  <c r="L433" i="10"/>
  <c r="C59" i="7" s="1"/>
  <c r="N435" i="10"/>
  <c r="N433" i="10" s="1"/>
  <c r="O413" i="10"/>
  <c r="Q414" i="10"/>
  <c r="O406" i="10"/>
  <c r="Q430" i="10"/>
  <c r="N148" i="10"/>
  <c r="N147" i="10" s="1"/>
  <c r="Q429" i="10"/>
  <c r="O427" i="10"/>
  <c r="J403" i="10"/>
  <c r="O403" i="10" s="1"/>
  <c r="O395" i="10" s="1"/>
  <c r="K428" i="10"/>
  <c r="L427" i="10"/>
  <c r="C58" i="7" s="1"/>
  <c r="P427" i="10"/>
  <c r="N427" i="10"/>
  <c r="M427" i="10"/>
  <c r="J413" i="10"/>
  <c r="P425" i="10"/>
  <c r="J424" i="10"/>
  <c r="Q410" i="10"/>
  <c r="Q408" i="10"/>
  <c r="J406" i="10"/>
  <c r="Q421" i="10"/>
  <c r="M413" i="10"/>
  <c r="L413" i="10"/>
  <c r="C56" i="7" s="1"/>
  <c r="P413" i="10"/>
  <c r="N413" i="10"/>
  <c r="Q420" i="10"/>
  <c r="N406" i="10"/>
  <c r="P154" i="10"/>
  <c r="P153" i="10" s="1"/>
  <c r="Q407" i="10"/>
  <c r="M406" i="10"/>
  <c r="P406" i="10"/>
  <c r="J320" i="10"/>
  <c r="Q384" i="10"/>
  <c r="Q399" i="10"/>
  <c r="Q398" i="10"/>
  <c r="K407" i="10"/>
  <c r="L406" i="10"/>
  <c r="C55" i="7" s="1"/>
  <c r="J378" i="10"/>
  <c r="Q383" i="10"/>
  <c r="P395" i="10"/>
  <c r="N395" i="10"/>
  <c r="M395" i="10"/>
  <c r="P391" i="10"/>
  <c r="P389" i="10" s="1"/>
  <c r="Q385" i="10"/>
  <c r="P378" i="10"/>
  <c r="O378" i="10"/>
  <c r="Q351" i="10"/>
  <c r="Q380" i="10"/>
  <c r="M378" i="10"/>
  <c r="M366" i="10"/>
  <c r="Q369" i="10"/>
  <c r="L293" i="10"/>
  <c r="K293" i="10" s="1"/>
  <c r="O366" i="10"/>
  <c r="Q364" i="10"/>
  <c r="Q363" i="10" s="1"/>
  <c r="E114" i="5" s="1"/>
  <c r="J366" i="10"/>
  <c r="Q373" i="10"/>
  <c r="Q372" i="10" s="1"/>
  <c r="E118" i="5" s="1"/>
  <c r="J347" i="10"/>
  <c r="Q367" i="10"/>
  <c r="Q356" i="10"/>
  <c r="Q355" i="10"/>
  <c r="N350" i="10"/>
  <c r="Q350" i="10" s="1"/>
  <c r="Q353" i="10"/>
  <c r="P281" i="10"/>
  <c r="P280" i="10" s="1"/>
  <c r="M315" i="10"/>
  <c r="Q352" i="10"/>
  <c r="P366" i="10"/>
  <c r="Q368" i="10"/>
  <c r="K368" i="10"/>
  <c r="L366" i="10"/>
  <c r="C49" i="7" s="1"/>
  <c r="N366" i="10"/>
  <c r="L287" i="10"/>
  <c r="Q337" i="10"/>
  <c r="J343" i="10"/>
  <c r="L300" i="10"/>
  <c r="K300" i="10" s="1"/>
  <c r="Q341" i="10"/>
  <c r="Q357" i="10"/>
  <c r="M347" i="10"/>
  <c r="P347" i="10"/>
  <c r="K355" i="10"/>
  <c r="Q359" i="10"/>
  <c r="O347" i="10"/>
  <c r="J310" i="10"/>
  <c r="Q303" i="10"/>
  <c r="L303" i="10"/>
  <c r="K303" i="10" s="1"/>
  <c r="Q344" i="10"/>
  <c r="M343" i="10"/>
  <c r="Q338" i="10"/>
  <c r="Q325" i="10"/>
  <c r="Q334" i="10"/>
  <c r="Q336" i="10"/>
  <c r="Q332" i="10"/>
  <c r="N343" i="10"/>
  <c r="Q345" i="10"/>
  <c r="J315" i="10"/>
  <c r="P329" i="10"/>
  <c r="Q331" i="10"/>
  <c r="M329" i="10"/>
  <c r="Q340" i="10"/>
  <c r="O329" i="10"/>
  <c r="Q318" i="10"/>
  <c r="L337" i="10"/>
  <c r="Q333" i="10"/>
  <c r="J329" i="10"/>
  <c r="N329" i="10"/>
  <c r="Q313" i="10"/>
  <c r="P247" i="10"/>
  <c r="O315" i="10"/>
  <c r="Q317" i="10"/>
  <c r="N315" i="10"/>
  <c r="Q278" i="10"/>
  <c r="Q300" i="10"/>
  <c r="L317" i="10"/>
  <c r="K317" i="10" s="1"/>
  <c r="Q305" i="10"/>
  <c r="Q321" i="10"/>
  <c r="Q320" i="10" s="1"/>
  <c r="E104" i="5" s="1"/>
  <c r="M320" i="10"/>
  <c r="Q299" i="10"/>
  <c r="Q312" i="10"/>
  <c r="N310" i="10"/>
  <c r="O310" i="10"/>
  <c r="P315" i="10"/>
  <c r="Q316" i="10"/>
  <c r="Q302" i="10"/>
  <c r="L292" i="10"/>
  <c r="K292" i="10" s="1"/>
  <c r="J295" i="10"/>
  <c r="Q293" i="10"/>
  <c r="M310" i="10"/>
  <c r="Q275" i="10"/>
  <c r="P295" i="10"/>
  <c r="L290" i="10"/>
  <c r="K290" i="10" s="1"/>
  <c r="Q292" i="10"/>
  <c r="Q308" i="10"/>
  <c r="L299" i="10"/>
  <c r="K299" i="10" s="1"/>
  <c r="Q311" i="10"/>
  <c r="Q290" i="10"/>
  <c r="O289" i="10"/>
  <c r="Q289" i="10" s="1"/>
  <c r="J285" i="10"/>
  <c r="Q256" i="10"/>
  <c r="Q291" i="10"/>
  <c r="L297" i="10"/>
  <c r="O297" i="10"/>
  <c r="O295" i="10" s="1"/>
  <c r="L306" i="10"/>
  <c r="K306" i="10" s="1"/>
  <c r="J247" i="10"/>
  <c r="Q307" i="10"/>
  <c r="Q252" i="10"/>
  <c r="P285" i="10"/>
  <c r="N295" i="10"/>
  <c r="L307" i="10"/>
  <c r="K307" i="10" s="1"/>
  <c r="M295" i="10"/>
  <c r="Q273" i="10"/>
  <c r="Q306" i="10"/>
  <c r="Q301" i="10"/>
  <c r="L301" i="10"/>
  <c r="K301" i="10" s="1"/>
  <c r="M285" i="10"/>
  <c r="N5" i="10"/>
  <c r="P5" i="10"/>
  <c r="P40" i="10"/>
  <c r="P38" i="10" s="1"/>
  <c r="L104" i="10"/>
  <c r="K104" i="10" s="1"/>
  <c r="Q240" i="10"/>
  <c r="N249" i="10"/>
  <c r="N247" i="10" s="1"/>
  <c r="Q277" i="10"/>
  <c r="Q287" i="10"/>
  <c r="Q236" i="10"/>
  <c r="O261" i="10"/>
  <c r="N285" i="10"/>
  <c r="Q276" i="10"/>
  <c r="O270" i="10"/>
  <c r="M280" i="10"/>
  <c r="N270" i="10"/>
  <c r="L117" i="10"/>
  <c r="K117" i="10" s="1"/>
  <c r="J270" i="10"/>
  <c r="J223" i="10"/>
  <c r="Q257" i="10"/>
  <c r="Q264" i="10"/>
  <c r="Q274" i="10"/>
  <c r="Q272" i="10"/>
  <c r="M270" i="10"/>
  <c r="K275" i="10"/>
  <c r="L270" i="10"/>
  <c r="Q259" i="10"/>
  <c r="N261" i="10"/>
  <c r="P270" i="10"/>
  <c r="Q225" i="10"/>
  <c r="Q265" i="10"/>
  <c r="P261" i="10"/>
  <c r="Q251" i="10"/>
  <c r="Q263" i="10"/>
  <c r="M261" i="10"/>
  <c r="Q266" i="10"/>
  <c r="Q227" i="10"/>
  <c r="P254" i="10"/>
  <c r="Q242" i="10"/>
  <c r="N254" i="10"/>
  <c r="Q258" i="10"/>
  <c r="O254" i="10"/>
  <c r="M254" i="10"/>
  <c r="Q250" i="10"/>
  <c r="Q215" i="10"/>
  <c r="Q220" i="10"/>
  <c r="J219" i="10"/>
  <c r="N226" i="10"/>
  <c r="Q226" i="10" s="1"/>
  <c r="Q245" i="10"/>
  <c r="M247" i="10"/>
  <c r="N233" i="10"/>
  <c r="P233" i="10"/>
  <c r="Q196" i="10"/>
  <c r="O247" i="10"/>
  <c r="J200" i="10"/>
  <c r="Q216" i="10"/>
  <c r="Q235" i="10"/>
  <c r="M233" i="10"/>
  <c r="Q237" i="10"/>
  <c r="L241" i="10"/>
  <c r="Q208" i="10"/>
  <c r="Q244" i="10"/>
  <c r="O233" i="10"/>
  <c r="J233" i="10"/>
  <c r="Q238" i="10"/>
  <c r="Q241" i="10"/>
  <c r="P230" i="10"/>
  <c r="J229" i="10"/>
  <c r="Q206" i="10"/>
  <c r="O223" i="10"/>
  <c r="Q224" i="10"/>
  <c r="M223" i="10"/>
  <c r="K224" i="10"/>
  <c r="L223" i="10"/>
  <c r="C31" i="7" s="1"/>
  <c r="P223" i="10"/>
  <c r="M189" i="10"/>
  <c r="Q217" i="10"/>
  <c r="N213" i="10"/>
  <c r="L116" i="10"/>
  <c r="K116" i="10" s="1"/>
  <c r="Q198" i="10"/>
  <c r="O214" i="10"/>
  <c r="J213" i="10"/>
  <c r="M213" i="10"/>
  <c r="L213" i="10"/>
  <c r="C29" i="7" s="1"/>
  <c r="Q195" i="10"/>
  <c r="Q209" i="10"/>
  <c r="Q197" i="10"/>
  <c r="Q202" i="10"/>
  <c r="Q186" i="10"/>
  <c r="Q193" i="10"/>
  <c r="N200" i="10"/>
  <c r="L200" i="10"/>
  <c r="C28" i="7" s="1"/>
  <c r="K201" i="10"/>
  <c r="Q207" i="10"/>
  <c r="Q201" i="10"/>
  <c r="M200" i="10"/>
  <c r="Q204" i="10"/>
  <c r="P200" i="10"/>
  <c r="O200" i="10"/>
  <c r="Q169" i="10"/>
  <c r="N189" i="10"/>
  <c r="Q203" i="10"/>
  <c r="Q170" i="10"/>
  <c r="K185" i="10"/>
  <c r="Q190" i="10"/>
  <c r="N184" i="10"/>
  <c r="L133" i="10"/>
  <c r="K133" i="10" s="1"/>
  <c r="L197" i="10"/>
  <c r="K197" i="10" s="1"/>
  <c r="Q192" i="10"/>
  <c r="K190" i="10"/>
  <c r="J189" i="10"/>
  <c r="L196" i="10"/>
  <c r="K196" i="10" s="1"/>
  <c r="Q191" i="10"/>
  <c r="P189" i="10"/>
  <c r="O189" i="10"/>
  <c r="J184" i="10"/>
  <c r="Q185" i="10"/>
  <c r="M184" i="10"/>
  <c r="Q171" i="10"/>
  <c r="O163" i="10"/>
  <c r="O184" i="10"/>
  <c r="P181" i="10"/>
  <c r="P179" i="10" s="1"/>
  <c r="J179" i="10"/>
  <c r="K181" i="10"/>
  <c r="L179" i="10"/>
  <c r="C25" i="7" s="1"/>
  <c r="P163" i="10"/>
  <c r="Q168" i="10"/>
  <c r="M165" i="10"/>
  <c r="J163" i="10"/>
  <c r="N163" i="10"/>
  <c r="J51" i="10"/>
  <c r="L82" i="10"/>
  <c r="K82" i="10" s="1"/>
  <c r="L119" i="10"/>
  <c r="K119" i="10" s="1"/>
  <c r="Q117" i="10"/>
  <c r="N127" i="10"/>
  <c r="Q107" i="10"/>
  <c r="Q140" i="10"/>
  <c r="P143" i="10"/>
  <c r="P142" i="10" s="1"/>
  <c r="Q123" i="10"/>
  <c r="M147" i="10"/>
  <c r="Q114" i="10"/>
  <c r="Q18" i="10"/>
  <c r="Q132" i="10"/>
  <c r="Q120" i="10"/>
  <c r="Q103" i="10"/>
  <c r="L108" i="10"/>
  <c r="K108" i="10" s="1"/>
  <c r="L129" i="10"/>
  <c r="Q106" i="10"/>
  <c r="Q104" i="10"/>
  <c r="Q119" i="10"/>
  <c r="L114" i="10"/>
  <c r="J105" i="10"/>
  <c r="O105" i="10" s="1"/>
  <c r="Q105" i="10" s="1"/>
  <c r="Q133" i="10"/>
  <c r="O127" i="10"/>
  <c r="J88" i="10"/>
  <c r="J93" i="10"/>
  <c r="Q134" i="10"/>
  <c r="Q129" i="10"/>
  <c r="M127" i="10"/>
  <c r="Q116" i="10"/>
  <c r="P127" i="10"/>
  <c r="N112" i="10"/>
  <c r="J112" i="10"/>
  <c r="Q108" i="10"/>
  <c r="M101" i="10"/>
  <c r="P112" i="10"/>
  <c r="L135" i="10"/>
  <c r="K135" i="10" s="1"/>
  <c r="Q122" i="10"/>
  <c r="L131" i="10"/>
  <c r="O112" i="10"/>
  <c r="Q125" i="10"/>
  <c r="Q135" i="10"/>
  <c r="Q124" i="10"/>
  <c r="Q118" i="10"/>
  <c r="L120" i="10"/>
  <c r="K120" i="10" s="1"/>
  <c r="M112" i="10"/>
  <c r="L125" i="10"/>
  <c r="K125" i="10" s="1"/>
  <c r="Q131" i="10"/>
  <c r="J127" i="10"/>
  <c r="L134" i="10"/>
  <c r="K134" i="10" s="1"/>
  <c r="Q30" i="10"/>
  <c r="P101" i="10"/>
  <c r="N101" i="10"/>
  <c r="P90" i="10"/>
  <c r="Q90" i="10" s="1"/>
  <c r="K103" i="10"/>
  <c r="Q109" i="10"/>
  <c r="N93" i="10"/>
  <c r="Q70" i="10"/>
  <c r="L73" i="10"/>
  <c r="L66" i="10" s="1"/>
  <c r="C11" i="7" s="1"/>
  <c r="L84" i="10"/>
  <c r="K84" i="10" s="1"/>
  <c r="O88" i="10"/>
  <c r="Q96" i="10"/>
  <c r="J22" i="10"/>
  <c r="Q82" i="10"/>
  <c r="L83" i="10"/>
  <c r="K83" i="10" s="1"/>
  <c r="Q95" i="10"/>
  <c r="M93" i="10"/>
  <c r="L79" i="10"/>
  <c r="K79" i="10" s="1"/>
  <c r="Q97" i="10"/>
  <c r="P93" i="10"/>
  <c r="O93" i="10"/>
  <c r="Q72" i="10"/>
  <c r="O66" i="10"/>
  <c r="Q94" i="10"/>
  <c r="K94" i="10"/>
  <c r="L93" i="10"/>
  <c r="C14" i="7" s="1"/>
  <c r="N88" i="10"/>
  <c r="J75" i="10"/>
  <c r="O75" i="10"/>
  <c r="M88" i="10"/>
  <c r="Q85" i="10"/>
  <c r="Q89" i="10"/>
  <c r="N45" i="10"/>
  <c r="M66" i="10"/>
  <c r="J66" i="10"/>
  <c r="L80" i="10"/>
  <c r="Q83" i="10"/>
  <c r="N75" i="10"/>
  <c r="Q78" i="10"/>
  <c r="P75" i="10"/>
  <c r="M80" i="10"/>
  <c r="Q80" i="10" s="1"/>
  <c r="Q79" i="10"/>
  <c r="Q84" i="10"/>
  <c r="Q81" i="10"/>
  <c r="Q55" i="10"/>
  <c r="Q34" i="10"/>
  <c r="P51" i="10"/>
  <c r="Q54" i="10"/>
  <c r="J11" i="10"/>
  <c r="Q57" i="10"/>
  <c r="Q73" i="10"/>
  <c r="P66" i="10"/>
  <c r="M5" i="10"/>
  <c r="Q13" i="10"/>
  <c r="J45" i="10"/>
  <c r="Q69" i="10"/>
  <c r="Q71" i="10"/>
  <c r="N66" i="10"/>
  <c r="O51" i="10"/>
  <c r="P16" i="10"/>
  <c r="P11" i="10" s="1"/>
  <c r="Q19" i="10"/>
  <c r="P22" i="10"/>
  <c r="Q60" i="10"/>
  <c r="M51" i="10"/>
  <c r="J5" i="10"/>
  <c r="N22" i="10"/>
  <c r="Q52" i="10"/>
  <c r="Q59" i="10"/>
  <c r="Q58" i="10"/>
  <c r="K52" i="10"/>
  <c r="L51" i="10"/>
  <c r="C10" i="7" s="1"/>
  <c r="N11" i="10"/>
  <c r="Q28" i="10"/>
  <c r="Q53" i="10"/>
  <c r="N51" i="10"/>
  <c r="Q31" i="10"/>
  <c r="Q25" i="10"/>
  <c r="K32" i="10"/>
  <c r="L22" i="10"/>
  <c r="C7" i="7" s="1"/>
  <c r="O11" i="10"/>
  <c r="Q49" i="10"/>
  <c r="Q27" i="10"/>
  <c r="Q29" i="10"/>
  <c r="O22" i="10"/>
  <c r="P45" i="10"/>
  <c r="Q48" i="10"/>
  <c r="Q47" i="10"/>
  <c r="L45" i="10"/>
  <c r="C9" i="7" s="1"/>
  <c r="Q24" i="10"/>
  <c r="Q46" i="10"/>
  <c r="M45" i="10"/>
  <c r="O45" i="10"/>
  <c r="Q7" i="10"/>
  <c r="Q33" i="10"/>
  <c r="Q26" i="10"/>
  <c r="M11" i="10"/>
  <c r="Q32" i="10"/>
  <c r="M22" i="10"/>
  <c r="Q8" i="10"/>
  <c r="Q17" i="10"/>
  <c r="H8" i="4"/>
  <c r="I7" i="4"/>
  <c r="J8" i="4"/>
  <c r="K7" i="4"/>
  <c r="D8" i="4"/>
  <c r="E7" i="4"/>
  <c r="F8" i="4"/>
  <c r="G7" i="4"/>
  <c r="B8" i="4"/>
  <c r="C7" i="4"/>
  <c r="N705" i="10" l="1"/>
  <c r="Q580" i="10"/>
  <c r="E171" i="5" s="1"/>
  <c r="Q1798" i="10"/>
  <c r="Q219" i="10"/>
  <c r="E83" i="5" s="1"/>
  <c r="Q520" i="10"/>
  <c r="E156" i="5" s="1"/>
  <c r="Q1294" i="10"/>
  <c r="E428" i="5" s="1"/>
  <c r="Q1805" i="10"/>
  <c r="Q139" i="10"/>
  <c r="E44" i="5" s="1"/>
  <c r="Q324" i="10"/>
  <c r="E106" i="5" s="1"/>
  <c r="Q850" i="10"/>
  <c r="E282" i="5" s="1"/>
  <c r="K73" i="10"/>
  <c r="C103" i="7"/>
  <c r="C4" i="7"/>
  <c r="L280" i="10"/>
  <c r="C38" i="7" s="1"/>
  <c r="C37" i="7"/>
  <c r="L474" i="10"/>
  <c r="C65" i="7" s="1"/>
  <c r="C64" i="7"/>
  <c r="L737" i="10"/>
  <c r="C108" i="7" s="1"/>
  <c r="C107" i="7"/>
  <c r="Q775" i="10"/>
  <c r="Q774" i="10" s="1"/>
  <c r="E242" i="5" s="1"/>
  <c r="Q158" i="10"/>
  <c r="Q789" i="10"/>
  <c r="Q787" i="10" s="1"/>
  <c r="E250" i="5" s="1"/>
  <c r="Q514" i="10"/>
  <c r="Q513" i="10" s="1"/>
  <c r="E152" i="5" s="1"/>
  <c r="L184" i="10"/>
  <c r="C26" i="7" s="1"/>
  <c r="Q1801" i="10"/>
  <c r="Q1744" i="10"/>
  <c r="E574" i="5" s="1"/>
  <c r="Q1762" i="10"/>
  <c r="E576" i="5" s="1"/>
  <c r="Q1748" i="10"/>
  <c r="E575" i="5" s="1"/>
  <c r="Q1731" i="10"/>
  <c r="E568" i="5" s="1"/>
  <c r="Q1735" i="10"/>
  <c r="E569" i="5" s="1"/>
  <c r="Q1718" i="10"/>
  <c r="E561" i="5" s="1"/>
  <c r="Q1711" i="10"/>
  <c r="E558" i="5" s="1"/>
  <c r="Q1691" i="10"/>
  <c r="E556" i="5" s="1"/>
  <c r="Q1706" i="10"/>
  <c r="E557" i="5" s="1"/>
  <c r="Q1681" i="10"/>
  <c r="E555" i="5" s="1"/>
  <c r="Q1671" i="10"/>
  <c r="E554" i="5" s="1"/>
  <c r="Q1656" i="10"/>
  <c r="E549" i="5" s="1"/>
  <c r="Q1647" i="10"/>
  <c r="E545" i="5" s="1"/>
  <c r="Q1641" i="10"/>
  <c r="E543" i="5" s="1"/>
  <c r="Q1628" i="10"/>
  <c r="E541" i="5" s="1"/>
  <c r="Q1620" i="10"/>
  <c r="E540" i="5" s="1"/>
  <c r="Q1613" i="10"/>
  <c r="E538" i="5" s="1"/>
  <c r="Q1575" i="10"/>
  <c r="E527" i="5" s="1"/>
  <c r="Q1606" i="10"/>
  <c r="E536" i="5" s="1"/>
  <c r="Q1600" i="10"/>
  <c r="E535" i="5" s="1"/>
  <c r="Q1580" i="10"/>
  <c r="E529" i="5" s="1"/>
  <c r="Q1587" i="10"/>
  <c r="E531" i="5" s="1"/>
  <c r="Q1555" i="10"/>
  <c r="E517" i="5" s="1"/>
  <c r="Q1524" i="10"/>
  <c r="E499" i="5" s="1"/>
  <c r="Q1510" i="10"/>
  <c r="E498" i="5" s="1"/>
  <c r="Q1487" i="10"/>
  <c r="E486" i="5" s="1"/>
  <c r="Q1492" i="10"/>
  <c r="E487" i="5" s="1"/>
  <c r="Q1472" i="10"/>
  <c r="E485" i="5" s="1"/>
  <c r="Q1462" i="10"/>
  <c r="E484" i="5" s="1"/>
  <c r="Q1437" i="10"/>
  <c r="E478" i="5" s="1"/>
  <c r="Q1447" i="10"/>
  <c r="E479" i="5" s="1"/>
  <c r="Q1393" i="10"/>
  <c r="E468" i="5" s="1"/>
  <c r="Q1428" i="10"/>
  <c r="E474" i="5" s="1"/>
  <c r="Q1415" i="10"/>
  <c r="E471" i="5" s="1"/>
  <c r="Q1421" i="10"/>
  <c r="E473" i="5" s="1"/>
  <c r="Q1402" i="10"/>
  <c r="E469" i="5" s="1"/>
  <c r="O285" i="10"/>
  <c r="Q1359" i="10"/>
  <c r="E459" i="5" s="1"/>
  <c r="Q1386" i="10"/>
  <c r="E466" i="5" s="1"/>
  <c r="Q1379" i="10"/>
  <c r="E464" i="5" s="1"/>
  <c r="Q1366" i="10"/>
  <c r="E460" i="5" s="1"/>
  <c r="Q1348" i="10"/>
  <c r="E458" i="5" s="1"/>
  <c r="Q1330" i="10"/>
  <c r="E452" i="5" s="1"/>
  <c r="Q1342" i="10"/>
  <c r="E457" i="5" s="1"/>
  <c r="Q1335" i="10"/>
  <c r="E454" i="5" s="1"/>
  <c r="Q1308" i="10"/>
  <c r="E441" i="5" s="1"/>
  <c r="Q1286" i="10"/>
  <c r="E423" i="5" s="1"/>
  <c r="Q1260" i="10"/>
  <c r="E416" i="5" s="1"/>
  <c r="Q1253" i="10"/>
  <c r="E411" i="5" s="1"/>
  <c r="Q1227" i="10"/>
  <c r="E398" i="5" s="1"/>
  <c r="Q1232" i="10"/>
  <c r="E399" i="5" s="1"/>
  <c r="Q1212" i="10"/>
  <c r="E397" i="5" s="1"/>
  <c r="Q1202" i="10"/>
  <c r="E396" i="5" s="1"/>
  <c r="Q1151" i="10"/>
  <c r="E381" i="5" s="1"/>
  <c r="Q1174" i="10"/>
  <c r="E385" i="5" s="1"/>
  <c r="Q1190" i="10"/>
  <c r="E392" i="5" s="1"/>
  <c r="Q1181" i="10"/>
  <c r="E388" i="5" s="1"/>
  <c r="Q1160" i="10"/>
  <c r="E382" i="5" s="1"/>
  <c r="Q1144" i="10"/>
  <c r="E379" i="5" s="1"/>
  <c r="Q1136" i="10"/>
  <c r="E376" i="5" s="1"/>
  <c r="Q785" i="10"/>
  <c r="Q784" i="10" s="1"/>
  <c r="E249" i="5" s="1"/>
  <c r="Q1123" i="10"/>
  <c r="E372" i="5" s="1"/>
  <c r="Q1112" i="10"/>
  <c r="E371" i="5" s="1"/>
  <c r="Q1105" i="10"/>
  <c r="E369" i="5" s="1"/>
  <c r="Q1100" i="10"/>
  <c r="E367" i="5" s="1"/>
  <c r="Q1080" i="10"/>
  <c r="E357" i="5" s="1"/>
  <c r="Q1036" i="10"/>
  <c r="E332" i="5" s="1"/>
  <c r="Q1048" i="10"/>
  <c r="E340" i="5" s="1"/>
  <c r="Q1004" i="10"/>
  <c r="E320" i="5" s="1"/>
  <c r="Q1019" i="10"/>
  <c r="E321" i="5" s="1"/>
  <c r="Q994" i="10"/>
  <c r="E319" i="5" s="1"/>
  <c r="Q962" i="10"/>
  <c r="E308" i="5" s="1"/>
  <c r="Q969" i="10"/>
  <c r="E309" i="5" s="1"/>
  <c r="Q979" i="10"/>
  <c r="E314" i="5" s="1"/>
  <c r="Q952" i="10"/>
  <c r="E304" i="5" s="1"/>
  <c r="Q942" i="10"/>
  <c r="E302" i="5" s="1"/>
  <c r="Q929" i="10"/>
  <c r="E299" i="5" s="1"/>
  <c r="Q890" i="10"/>
  <c r="E292" i="5" s="1"/>
  <c r="Q917" i="10"/>
  <c r="E298" i="5" s="1"/>
  <c r="Q905" i="10"/>
  <c r="E297" i="5" s="1"/>
  <c r="Q884" i="10"/>
  <c r="E291" i="5" s="1"/>
  <c r="Q898" i="10"/>
  <c r="E295" i="5" s="1"/>
  <c r="Q870" i="10"/>
  <c r="E288" i="5" s="1"/>
  <c r="Q876" i="10"/>
  <c r="E289" i="5" s="1"/>
  <c r="L767" i="10"/>
  <c r="C111" i="7" s="1"/>
  <c r="Q857" i="10"/>
  <c r="E283" i="5" s="1"/>
  <c r="Q839" i="10"/>
  <c r="E281" i="5" s="1"/>
  <c r="Q819" i="10"/>
  <c r="E271" i="5" s="1"/>
  <c r="Q794" i="10"/>
  <c r="E255" i="5" s="1"/>
  <c r="Q767" i="10"/>
  <c r="E239" i="5" s="1"/>
  <c r="Q744" i="10"/>
  <c r="Q742" i="10" s="1"/>
  <c r="E237" i="5" s="1"/>
  <c r="L752" i="10"/>
  <c r="C110" i="7" s="1"/>
  <c r="Q754" i="10"/>
  <c r="Q752" i="10" s="1"/>
  <c r="E238" i="5" s="1"/>
  <c r="K744" i="10"/>
  <c r="L742" i="10"/>
  <c r="C109" i="7" s="1"/>
  <c r="Q505" i="10"/>
  <c r="Q727" i="10"/>
  <c r="E232" i="5" s="1"/>
  <c r="Q720" i="10"/>
  <c r="Q718" i="10" s="1"/>
  <c r="E228" i="5" s="1"/>
  <c r="Q683" i="10"/>
  <c r="Q682" i="10" s="1"/>
  <c r="E219" i="5" s="1"/>
  <c r="Q698" i="10"/>
  <c r="E223" i="5" s="1"/>
  <c r="Q711" i="10"/>
  <c r="E227" i="5" s="1"/>
  <c r="N698" i="10"/>
  <c r="Q686" i="10"/>
  <c r="E221" i="5" s="1"/>
  <c r="O686" i="10"/>
  <c r="Q692" i="10"/>
  <c r="E222" i="5" s="1"/>
  <c r="L663" i="10"/>
  <c r="C98" i="7" s="1"/>
  <c r="J478" i="10"/>
  <c r="Q656" i="10"/>
  <c r="E211" i="5" s="1"/>
  <c r="Q676" i="10"/>
  <c r="E218" i="5" s="1"/>
  <c r="Q663" i="10"/>
  <c r="E214" i="5" s="1"/>
  <c r="L651" i="10"/>
  <c r="C96" i="7" s="1"/>
  <c r="Q651" i="10"/>
  <c r="E209" i="5" s="1"/>
  <c r="Q623" i="10"/>
  <c r="Q622" i="10" s="1"/>
  <c r="E191" i="5" s="1"/>
  <c r="Q610" i="10"/>
  <c r="Q609" i="10" s="1"/>
  <c r="E186" i="5" s="1"/>
  <c r="Q620" i="10"/>
  <c r="Q619" i="10" s="1"/>
  <c r="E190" i="5" s="1"/>
  <c r="Q631" i="10"/>
  <c r="E199" i="5" s="1"/>
  <c r="Q541" i="10"/>
  <c r="Q540" i="10" s="1"/>
  <c r="E159" i="5" s="1"/>
  <c r="Q626" i="10"/>
  <c r="Q625" i="10" s="1"/>
  <c r="E192" i="5" s="1"/>
  <c r="Q617" i="10"/>
  <c r="Q616" i="10" s="1"/>
  <c r="E189" i="5" s="1"/>
  <c r="Q602" i="10"/>
  <c r="Q601" i="10" s="1"/>
  <c r="E182" i="5" s="1"/>
  <c r="Q154" i="10"/>
  <c r="J503" i="10"/>
  <c r="L508" i="10"/>
  <c r="C69" i="7" s="1"/>
  <c r="O478" i="10"/>
  <c r="L395" i="10"/>
  <c r="C54" i="7" s="1"/>
  <c r="L558" i="10"/>
  <c r="C77" i="7" s="1"/>
  <c r="Q544" i="10"/>
  <c r="E160" i="5" s="1"/>
  <c r="Q442" i="10"/>
  <c r="E140" i="5" s="1"/>
  <c r="Q558" i="10"/>
  <c r="E161" i="5" s="1"/>
  <c r="L544" i="10"/>
  <c r="C76" i="7" s="1"/>
  <c r="L347" i="10"/>
  <c r="C47" i="7" s="1"/>
  <c r="Q503" i="10"/>
  <c r="E150" i="5" s="1"/>
  <c r="Q526" i="10"/>
  <c r="E158" i="5" s="1"/>
  <c r="L526" i="10"/>
  <c r="C74" i="7" s="1"/>
  <c r="Q517" i="10"/>
  <c r="Q516" i="10" s="1"/>
  <c r="E153" i="5" s="1"/>
  <c r="Q449" i="10"/>
  <c r="E141" i="5" s="1"/>
  <c r="L493" i="10"/>
  <c r="C67" i="7" s="1"/>
  <c r="L310" i="10"/>
  <c r="C41" i="7" s="1"/>
  <c r="Q508" i="10"/>
  <c r="E151" i="5" s="1"/>
  <c r="Q478" i="10"/>
  <c r="E148" i="5" s="1"/>
  <c r="L285" i="10"/>
  <c r="C39" i="7" s="1"/>
  <c r="Q440" i="10"/>
  <c r="Q439" i="10" s="1"/>
  <c r="E139" i="5" s="1"/>
  <c r="K129" i="10"/>
  <c r="L127" i="10"/>
  <c r="C17" i="7" s="1"/>
  <c r="O499" i="10"/>
  <c r="J493" i="10"/>
  <c r="Q40" i="10"/>
  <c r="K287" i="10"/>
  <c r="Q403" i="10"/>
  <c r="Q395" i="10" s="1"/>
  <c r="E133" i="5" s="1"/>
  <c r="Q281" i="10"/>
  <c r="Q280" i="10" s="1"/>
  <c r="E96" i="5" s="1"/>
  <c r="Q464" i="10"/>
  <c r="E144" i="5" s="1"/>
  <c r="K297" i="10"/>
  <c r="L295" i="10"/>
  <c r="C40" i="7" s="1"/>
  <c r="K114" i="10"/>
  <c r="L112" i="10"/>
  <c r="C16" i="7" s="1"/>
  <c r="L478" i="10"/>
  <c r="C66" i="7" s="1"/>
  <c r="Q458" i="10"/>
  <c r="Q456" i="10" s="1"/>
  <c r="E142" i="5" s="1"/>
  <c r="Q148" i="10"/>
  <c r="Q427" i="10"/>
  <c r="E137" i="5" s="1"/>
  <c r="Q435" i="10"/>
  <c r="Q433" i="10" s="1"/>
  <c r="E138" i="5" s="1"/>
  <c r="J395" i="10"/>
  <c r="Q406" i="10"/>
  <c r="E134" i="5" s="1"/>
  <c r="Q413" i="10"/>
  <c r="E135" i="5" s="1"/>
  <c r="P424" i="10"/>
  <c r="Q425" i="10"/>
  <c r="Q424" i="10" s="1"/>
  <c r="E136" i="5" s="1"/>
  <c r="Q184" i="10"/>
  <c r="E75" i="5" s="1"/>
  <c r="Q378" i="10"/>
  <c r="E126" i="5" s="1"/>
  <c r="Q391" i="10"/>
  <c r="Q389" i="10" s="1"/>
  <c r="E129" i="5" s="1"/>
  <c r="Q310" i="10"/>
  <c r="E102" i="5" s="1"/>
  <c r="N347" i="10"/>
  <c r="N223" i="10"/>
  <c r="Q366" i="10"/>
  <c r="E115" i="5" s="1"/>
  <c r="Q347" i="10"/>
  <c r="E112" i="5" s="1"/>
  <c r="Q343" i="10"/>
  <c r="E111" i="5" s="1"/>
  <c r="K337" i="10"/>
  <c r="L329" i="10"/>
  <c r="C45" i="7" s="1"/>
  <c r="Q329" i="10"/>
  <c r="E110" i="5" s="1"/>
  <c r="L315" i="10"/>
  <c r="C42" i="7" s="1"/>
  <c r="Q315" i="10"/>
  <c r="E103" i="5" s="1"/>
  <c r="Q297" i="10"/>
  <c r="Q295" i="10" s="1"/>
  <c r="E101" i="5" s="1"/>
  <c r="Q285" i="10"/>
  <c r="E100" i="5" s="1"/>
  <c r="Q249" i="10"/>
  <c r="Q261" i="10"/>
  <c r="E91" i="5" s="1"/>
  <c r="Q254" i="10"/>
  <c r="E90" i="5" s="1"/>
  <c r="Q270" i="10"/>
  <c r="E95" i="5" s="1"/>
  <c r="Q223" i="10"/>
  <c r="E85" i="5" s="1"/>
  <c r="Q233" i="10"/>
  <c r="E88" i="5" s="1"/>
  <c r="K241" i="10"/>
  <c r="L233" i="10"/>
  <c r="C33" i="7" s="1"/>
  <c r="P229" i="10"/>
  <c r="Q230" i="10"/>
  <c r="Q229" i="10" s="1"/>
  <c r="E86" i="5" s="1"/>
  <c r="O213" i="10"/>
  <c r="Q214" i="10"/>
  <c r="Q200" i="10"/>
  <c r="E78" i="5" s="1"/>
  <c r="Q189" i="10"/>
  <c r="E77" i="5" s="1"/>
  <c r="L189" i="10"/>
  <c r="C27" i="7" s="1"/>
  <c r="Q181" i="10"/>
  <c r="Q179" i="10" s="1"/>
  <c r="E73" i="5" s="1"/>
  <c r="Q165" i="10"/>
  <c r="Q163" i="10" s="1"/>
  <c r="E65" i="5" s="1"/>
  <c r="M163" i="10"/>
  <c r="Q143" i="10"/>
  <c r="Q142" i="10" s="1"/>
  <c r="E45" i="5" s="1"/>
  <c r="J101" i="10"/>
  <c r="O101" i="10"/>
  <c r="Q112" i="10"/>
  <c r="E40" i="5" s="1"/>
  <c r="L101" i="10"/>
  <c r="C15" i="7" s="1"/>
  <c r="P88" i="10"/>
  <c r="Q101" i="10"/>
  <c r="E38" i="5" s="1"/>
  <c r="K131" i="10"/>
  <c r="Q127" i="10"/>
  <c r="E41" i="5" s="1"/>
  <c r="Q88" i="10"/>
  <c r="E32" i="5" s="1"/>
  <c r="Q93" i="10"/>
  <c r="E34" i="5" s="1"/>
  <c r="M75" i="10"/>
  <c r="Q75" i="10"/>
  <c r="E30" i="5" s="1"/>
  <c r="K80" i="10"/>
  <c r="L75" i="10"/>
  <c r="C12" i="7" s="1"/>
  <c r="Q66" i="10"/>
  <c r="E29" i="5" s="1"/>
  <c r="Q16" i="10"/>
  <c r="Q51" i="10"/>
  <c r="E22" i="5" s="1"/>
  <c r="Q5" i="10"/>
  <c r="E8" i="5" s="1"/>
  <c r="Q45" i="10"/>
  <c r="E21" i="5" s="1"/>
  <c r="Q22" i="10"/>
  <c r="E14" i="5" s="1"/>
  <c r="F9" i="4"/>
  <c r="G8" i="4"/>
  <c r="J9" i="4"/>
  <c r="K8" i="4"/>
  <c r="B9" i="4"/>
  <c r="C8" i="4"/>
  <c r="D9" i="4"/>
  <c r="E8" i="4"/>
  <c r="H9" i="4"/>
  <c r="I8" i="4"/>
  <c r="Q38" i="10" l="1"/>
  <c r="E18" i="5" s="1"/>
  <c r="Q213" i="10"/>
  <c r="E82" i="5" s="1"/>
  <c r="Q153" i="10"/>
  <c r="E54" i="5" s="1"/>
  <c r="Q247" i="10"/>
  <c r="E89" i="5" s="1"/>
  <c r="Q147" i="10"/>
  <c r="E49" i="5" s="1"/>
  <c r="Q11" i="10"/>
  <c r="E10" i="5" s="1"/>
  <c r="Q157" i="10"/>
  <c r="E57" i="5" s="1"/>
  <c r="M1" i="10"/>
  <c r="N1" i="10"/>
  <c r="P1" i="10"/>
  <c r="J1" i="10"/>
  <c r="Q499" i="10"/>
  <c r="Q493" i="10" s="1"/>
  <c r="O493" i="10"/>
  <c r="O1" i="10" s="1"/>
  <c r="J10" i="4"/>
  <c r="K9" i="4"/>
  <c r="D10" i="4"/>
  <c r="E9" i="4"/>
  <c r="H10" i="4"/>
  <c r="I9" i="4"/>
  <c r="B10" i="4"/>
  <c r="C9" i="4"/>
  <c r="F10" i="4"/>
  <c r="G9" i="4"/>
  <c r="Q1" i="10" l="1"/>
  <c r="E149" i="5"/>
  <c r="E647" i="5" s="1"/>
  <c r="B11" i="4"/>
  <c r="C10" i="4"/>
  <c r="D11" i="4"/>
  <c r="E10" i="4"/>
  <c r="F11" i="4"/>
  <c r="G10" i="4"/>
  <c r="H11" i="4"/>
  <c r="I10" i="4"/>
  <c r="J11" i="4"/>
  <c r="K10" i="4"/>
  <c r="H12" i="4" l="1"/>
  <c r="I11" i="4"/>
  <c r="D12" i="4"/>
  <c r="E11" i="4"/>
  <c r="J12" i="4"/>
  <c r="K11" i="4"/>
  <c r="F12" i="4"/>
  <c r="G11" i="4"/>
  <c r="B12" i="4"/>
  <c r="C11" i="4"/>
  <c r="F13" i="4" l="1"/>
  <c r="G12" i="4"/>
  <c r="E12" i="4"/>
  <c r="D13" i="4"/>
  <c r="B13" i="4"/>
  <c r="C12" i="4"/>
  <c r="J13" i="4"/>
  <c r="K12" i="4"/>
  <c r="I12" i="4"/>
  <c r="H13" i="4"/>
  <c r="D14" i="4" l="1"/>
  <c r="E13" i="4"/>
  <c r="J14" i="4"/>
  <c r="K13" i="4"/>
  <c r="H14" i="4"/>
  <c r="I13" i="4"/>
  <c r="B14" i="4"/>
  <c r="C13" i="4"/>
  <c r="G13" i="4"/>
  <c r="F14" i="4"/>
  <c r="B15" i="4" l="1"/>
  <c r="C14" i="4"/>
  <c r="J15" i="4"/>
  <c r="K14" i="4"/>
  <c r="F15" i="4"/>
  <c r="G14" i="4"/>
  <c r="H15" i="4"/>
  <c r="I14" i="4"/>
  <c r="E14" i="4"/>
  <c r="D15" i="4"/>
  <c r="H16" i="4" l="1"/>
  <c r="I15" i="4"/>
  <c r="J16" i="4"/>
  <c r="K15" i="4"/>
  <c r="D16" i="4"/>
  <c r="E15" i="4"/>
  <c r="G15" i="4"/>
  <c r="F16" i="4"/>
  <c r="C15" i="4"/>
  <c r="B16" i="4"/>
  <c r="J17" i="4" l="1"/>
  <c r="K16" i="4"/>
  <c r="F17" i="4"/>
  <c r="G16" i="4"/>
  <c r="B17" i="4"/>
  <c r="C16" i="4"/>
  <c r="E16" i="4"/>
  <c r="D17" i="4"/>
  <c r="I16" i="4"/>
  <c r="H17" i="4"/>
  <c r="G17" i="4" l="1"/>
  <c r="F18" i="4"/>
  <c r="D18" i="4"/>
  <c r="E17" i="4"/>
  <c r="H18" i="4"/>
  <c r="I17" i="4"/>
  <c r="B18" i="4"/>
  <c r="C17" i="4"/>
  <c r="K17" i="4"/>
  <c r="J18" i="4"/>
  <c r="B19" i="4" l="1"/>
  <c r="C18" i="4"/>
  <c r="D19" i="4"/>
  <c r="E18" i="4"/>
  <c r="J19" i="4"/>
  <c r="K18" i="4"/>
  <c r="F19" i="4"/>
  <c r="G18" i="4"/>
  <c r="I18" i="4"/>
  <c r="H19" i="4"/>
  <c r="G19" i="4" l="1"/>
  <c r="F20" i="4"/>
  <c r="D20" i="4"/>
  <c r="E19" i="4"/>
  <c r="H20" i="4"/>
  <c r="I19" i="4"/>
  <c r="K19" i="4"/>
  <c r="J20" i="4"/>
  <c r="B20" i="4"/>
  <c r="C19" i="4"/>
  <c r="D21" i="4" l="1"/>
  <c r="E20" i="4"/>
  <c r="J21" i="4"/>
  <c r="K20" i="4"/>
  <c r="F21" i="4"/>
  <c r="G20" i="4"/>
  <c r="B21" i="4"/>
  <c r="C20" i="4"/>
  <c r="I20" i="4"/>
  <c r="H21" i="4"/>
  <c r="C21" i="4" l="1"/>
  <c r="B22" i="4"/>
  <c r="J22" i="4"/>
  <c r="K21" i="4"/>
  <c r="H22" i="4"/>
  <c r="I21" i="4"/>
  <c r="F22" i="4"/>
  <c r="G21" i="4"/>
  <c r="D22" i="4"/>
  <c r="E21" i="4"/>
  <c r="F23" i="4" l="1"/>
  <c r="G22" i="4"/>
  <c r="J23" i="4"/>
  <c r="K22" i="4"/>
  <c r="C22" i="4"/>
  <c r="B23" i="4"/>
  <c r="D23" i="4"/>
  <c r="E22" i="4"/>
  <c r="I22" i="4"/>
  <c r="H23" i="4"/>
  <c r="D24" i="4" l="1"/>
  <c r="E23" i="4"/>
  <c r="J24" i="4"/>
  <c r="K23" i="4"/>
  <c r="H24" i="4"/>
  <c r="I23" i="4"/>
  <c r="B24" i="4"/>
  <c r="C23" i="4"/>
  <c r="F24" i="4"/>
  <c r="G23" i="4"/>
  <c r="B25" i="4" l="1"/>
  <c r="C24" i="4"/>
  <c r="J25" i="4"/>
  <c r="K24" i="4"/>
  <c r="F25" i="4"/>
  <c r="G24" i="4"/>
  <c r="H25" i="4"/>
  <c r="I24" i="4"/>
  <c r="D25" i="4"/>
  <c r="E24" i="4"/>
  <c r="H26" i="4" l="1"/>
  <c r="I25" i="4"/>
  <c r="J26" i="4"/>
  <c r="K25" i="4"/>
  <c r="D26" i="4"/>
  <c r="E25" i="4"/>
  <c r="F26" i="4"/>
  <c r="G25" i="4"/>
  <c r="B26" i="4"/>
  <c r="C25" i="4"/>
  <c r="F27" i="4" l="1"/>
  <c r="G26" i="4"/>
  <c r="J27" i="4"/>
  <c r="K26" i="4"/>
  <c r="B27" i="4"/>
  <c r="C26" i="4"/>
  <c r="D27" i="4"/>
  <c r="E26" i="4"/>
  <c r="H27" i="4"/>
  <c r="I26" i="4"/>
  <c r="J28" i="4" l="1"/>
  <c r="K27" i="4"/>
  <c r="D28" i="4"/>
  <c r="E27" i="4"/>
  <c r="H28" i="4"/>
  <c r="I27" i="4"/>
  <c r="B28" i="4"/>
  <c r="C27" i="4"/>
  <c r="F28" i="4"/>
  <c r="G27" i="4"/>
  <c r="D29" i="4" l="1"/>
  <c r="E28" i="4"/>
  <c r="B29" i="4"/>
  <c r="C28" i="4"/>
  <c r="F29" i="4"/>
  <c r="G28" i="4"/>
  <c r="H29" i="4"/>
  <c r="I28" i="4"/>
  <c r="J29" i="4"/>
  <c r="K28" i="4"/>
  <c r="H30" i="4" l="1"/>
  <c r="I29" i="4"/>
  <c r="B30" i="4"/>
  <c r="C29" i="4"/>
  <c r="J30" i="4"/>
  <c r="K29" i="4"/>
  <c r="F30" i="4"/>
  <c r="G29" i="4"/>
  <c r="D30" i="4"/>
  <c r="E29" i="4"/>
  <c r="F31" i="4" l="1"/>
  <c r="G30" i="4"/>
  <c r="B31" i="4"/>
  <c r="C30" i="4"/>
  <c r="D31" i="4"/>
  <c r="E30" i="4"/>
  <c r="J31" i="4"/>
  <c r="K30" i="4"/>
  <c r="H31" i="4"/>
  <c r="I30" i="4"/>
  <c r="J32" i="4" l="1"/>
  <c r="K31" i="4"/>
  <c r="B32" i="4"/>
  <c r="C31" i="4"/>
  <c r="H32" i="4"/>
  <c r="I31" i="4"/>
  <c r="D32" i="4"/>
  <c r="E31" i="4"/>
  <c r="F32" i="4"/>
  <c r="G31" i="4"/>
  <c r="D33" i="4" l="1"/>
  <c r="E32" i="4"/>
  <c r="B33" i="4"/>
  <c r="C32" i="4"/>
  <c r="F33" i="4"/>
  <c r="G32" i="4"/>
  <c r="H33" i="4"/>
  <c r="I32" i="4"/>
  <c r="J33" i="4"/>
  <c r="K32" i="4"/>
  <c r="H34" i="4" l="1"/>
  <c r="I33" i="4"/>
  <c r="B34" i="4"/>
  <c r="C33" i="4"/>
  <c r="J34" i="4"/>
  <c r="K33" i="4"/>
  <c r="F34" i="4"/>
  <c r="G33" i="4"/>
  <c r="D34" i="4"/>
  <c r="E33" i="4"/>
  <c r="F35" i="4" l="1"/>
  <c r="G34" i="4"/>
  <c r="B35" i="4"/>
  <c r="C34" i="4"/>
  <c r="D35" i="4"/>
  <c r="E34" i="4"/>
  <c r="J35" i="4"/>
  <c r="K34" i="4"/>
  <c r="H35" i="4"/>
  <c r="I34" i="4"/>
  <c r="B36" i="4" l="1"/>
  <c r="C35" i="4"/>
  <c r="J36" i="4"/>
  <c r="K35" i="4"/>
  <c r="H36" i="4"/>
  <c r="I35" i="4"/>
  <c r="D36" i="4"/>
  <c r="E35" i="4"/>
  <c r="F36" i="4"/>
  <c r="G35" i="4"/>
  <c r="D37" i="4" l="1"/>
  <c r="E36" i="4"/>
  <c r="J37" i="4"/>
  <c r="K36" i="4"/>
  <c r="F37" i="4"/>
  <c r="G36" i="4"/>
  <c r="H37" i="4"/>
  <c r="I36" i="4"/>
  <c r="B37" i="4"/>
  <c r="C36" i="4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M3" i="8"/>
  <c r="N3" i="8"/>
  <c r="O3" i="8"/>
  <c r="P3" i="8"/>
  <c r="Q3" i="8"/>
  <c r="R3" i="8"/>
  <c r="S3" i="8"/>
  <c r="T3" i="8"/>
  <c r="U3" i="8"/>
  <c r="V3" i="8"/>
  <c r="W3" i="8"/>
  <c r="X3" i="8"/>
  <c r="Y3" i="8"/>
  <c r="L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3" i="8"/>
  <c r="N67" i="8" l="1"/>
  <c r="Y67" i="8"/>
  <c r="U67" i="8"/>
  <c r="Q67" i="8"/>
  <c r="M67" i="8"/>
  <c r="L67" i="8"/>
  <c r="X67" i="8"/>
  <c r="T67" i="8"/>
  <c r="P67" i="8"/>
  <c r="K67" i="8"/>
  <c r="W67" i="8"/>
  <c r="S67" i="8"/>
  <c r="O67" i="8"/>
  <c r="V67" i="8"/>
  <c r="R67" i="8"/>
  <c r="H38" i="4"/>
  <c r="I37" i="4"/>
  <c r="J38" i="4"/>
  <c r="K37" i="4"/>
  <c r="B38" i="4"/>
  <c r="C37" i="4"/>
  <c r="F38" i="4"/>
  <c r="G37" i="4"/>
  <c r="D38" i="4"/>
  <c r="E37" i="4"/>
  <c r="F39" i="4" l="1"/>
  <c r="G38" i="4"/>
  <c r="J39" i="4"/>
  <c r="K38" i="4"/>
  <c r="D39" i="4"/>
  <c r="E38" i="4"/>
  <c r="B39" i="4"/>
  <c r="C38" i="4"/>
  <c r="H39" i="4"/>
  <c r="I38" i="4"/>
  <c r="J40" i="4" l="1"/>
  <c r="K39" i="4"/>
  <c r="B40" i="4"/>
  <c r="C39" i="4"/>
  <c r="H40" i="4"/>
  <c r="I39" i="4"/>
  <c r="D40" i="4"/>
  <c r="E39" i="4"/>
  <c r="F40" i="4"/>
  <c r="G39" i="4"/>
  <c r="B41" i="4" l="1"/>
  <c r="C40" i="4"/>
  <c r="D41" i="4"/>
  <c r="E40" i="4"/>
  <c r="F41" i="4"/>
  <c r="G40" i="4"/>
  <c r="H41" i="4"/>
  <c r="I40" i="4"/>
  <c r="J41" i="4"/>
  <c r="K40" i="4"/>
  <c r="H42" i="4" l="1"/>
  <c r="I41" i="4"/>
  <c r="D42" i="4"/>
  <c r="E41" i="4"/>
  <c r="J42" i="4"/>
  <c r="K41" i="4"/>
  <c r="F42" i="4"/>
  <c r="G41" i="4"/>
  <c r="B42" i="4"/>
  <c r="C41" i="4"/>
  <c r="F43" i="4" l="1"/>
  <c r="G42" i="4"/>
  <c r="D43" i="4"/>
  <c r="E42" i="4"/>
  <c r="B43" i="4"/>
  <c r="C42" i="4"/>
  <c r="J43" i="4"/>
  <c r="K42" i="4"/>
  <c r="H43" i="4"/>
  <c r="I42" i="4"/>
  <c r="D44" i="4" l="1"/>
  <c r="E43" i="4"/>
  <c r="J44" i="4"/>
  <c r="K43" i="4"/>
  <c r="H44" i="4"/>
  <c r="I43" i="4"/>
  <c r="B44" i="4"/>
  <c r="C43" i="4"/>
  <c r="F44" i="4"/>
  <c r="G43" i="4"/>
  <c r="J45" i="4" l="1"/>
  <c r="K44" i="4"/>
  <c r="B45" i="4"/>
  <c r="C44" i="4"/>
  <c r="F45" i="4"/>
  <c r="G44" i="4"/>
  <c r="H45" i="4"/>
  <c r="I44" i="4"/>
  <c r="D45" i="4"/>
  <c r="E44" i="4"/>
  <c r="H46" i="4" l="1"/>
  <c r="I45" i="4"/>
  <c r="B46" i="4"/>
  <c r="C45" i="4"/>
  <c r="D46" i="4"/>
  <c r="E45" i="4"/>
  <c r="F46" i="4"/>
  <c r="G45" i="4"/>
  <c r="J46" i="4"/>
  <c r="K45" i="4"/>
  <c r="F47" i="4" l="1"/>
  <c r="G46" i="4"/>
  <c r="B47" i="4"/>
  <c r="C46" i="4"/>
  <c r="J47" i="4"/>
  <c r="K46" i="4"/>
  <c r="D47" i="4"/>
  <c r="E46" i="4"/>
  <c r="H47" i="4"/>
  <c r="I46" i="4"/>
  <c r="B48" i="4" l="1"/>
  <c r="C47" i="4"/>
  <c r="D48" i="4"/>
  <c r="E47" i="4"/>
  <c r="H48" i="4"/>
  <c r="I47" i="4"/>
  <c r="J48" i="4"/>
  <c r="K47" i="4"/>
  <c r="F48" i="4"/>
  <c r="G47" i="4"/>
  <c r="D49" i="4" l="1"/>
  <c r="E48" i="4"/>
  <c r="J49" i="4"/>
  <c r="K48" i="4"/>
  <c r="F49" i="4"/>
  <c r="G48" i="4"/>
  <c r="H49" i="4"/>
  <c r="I48" i="4"/>
  <c r="B49" i="4"/>
  <c r="C48" i="4"/>
  <c r="J50" i="4" l="1"/>
  <c r="K49" i="4"/>
  <c r="H50" i="4"/>
  <c r="I49" i="4"/>
  <c r="B50" i="4"/>
  <c r="C49" i="4"/>
  <c r="F50" i="4"/>
  <c r="G49" i="4"/>
  <c r="D50" i="4"/>
  <c r="E49" i="4"/>
  <c r="H51" i="4" l="1"/>
  <c r="I50" i="4"/>
  <c r="F51" i="4"/>
  <c r="G50" i="4"/>
  <c r="D51" i="4"/>
  <c r="E50" i="4"/>
  <c r="B51" i="4"/>
  <c r="C50" i="4"/>
  <c r="J51" i="4"/>
  <c r="K50" i="4"/>
  <c r="B52" i="4" l="1"/>
  <c r="C51" i="4"/>
  <c r="F52" i="4"/>
  <c r="G51" i="4"/>
  <c r="J52" i="4"/>
  <c r="K51" i="4"/>
  <c r="D52" i="4"/>
  <c r="E51" i="4"/>
  <c r="H52" i="4"/>
  <c r="I51" i="4"/>
  <c r="D53" i="4" l="1"/>
  <c r="E52" i="4"/>
  <c r="F53" i="4"/>
  <c r="G52" i="4"/>
  <c r="H53" i="4"/>
  <c r="I52" i="4"/>
  <c r="J53" i="4"/>
  <c r="K52" i="4"/>
  <c r="B53" i="4"/>
  <c r="C52" i="4"/>
  <c r="F54" i="4" l="1"/>
  <c r="G53" i="4"/>
  <c r="J54" i="4"/>
  <c r="K53" i="4"/>
  <c r="B54" i="4"/>
  <c r="C53" i="4"/>
  <c r="H54" i="4"/>
  <c r="I53" i="4"/>
  <c r="D54" i="4"/>
  <c r="E53" i="4"/>
  <c r="J55" i="4" l="1"/>
  <c r="K55" i="4" s="1"/>
  <c r="K54" i="4"/>
  <c r="H55" i="4"/>
  <c r="I55" i="4" s="1"/>
  <c r="I54" i="4"/>
  <c r="D55" i="4"/>
  <c r="E54" i="4"/>
  <c r="B55" i="4"/>
  <c r="C54" i="4"/>
  <c r="F55" i="4"/>
  <c r="G55" i="4" s="1"/>
  <c r="G54" i="4"/>
  <c r="B56" i="4" l="1"/>
  <c r="C55" i="4"/>
  <c r="D56" i="4"/>
  <c r="E56" i="4" s="1"/>
  <c r="E55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Brett Thiele</author>
  </authors>
  <commentList>
    <comment ref="C71" authorId="0" shapeId="0" xr:uid="{3F56A654-EA36-4B5A-80BB-5FEE831F1B98}">
      <text>
        <r>
          <rPr>
            <b/>
            <sz val="9"/>
            <color indexed="81"/>
            <rFont val="Tahoma"/>
            <family val="2"/>
          </rPr>
          <t>Brett Thiele:</t>
        </r>
        <r>
          <rPr>
            <sz val="9"/>
            <color indexed="81"/>
            <rFont val="Tahoma"/>
            <family val="2"/>
          </rPr>
          <t xml:space="preserve">
This allows the durations of each task to be turned into days, Durations in hours are rounded up to the nearest full day based on this number.</t>
        </r>
      </text>
    </comment>
  </commentList>
</comments>
</file>

<file path=xl/sharedStrings.xml><?xml version="1.0" encoding="utf-8"?>
<sst xmlns="http://schemas.openxmlformats.org/spreadsheetml/2006/main" count="33918" uniqueCount="3118">
  <si>
    <t>Line No</t>
  </si>
  <si>
    <t>Comment</t>
  </si>
  <si>
    <t>Resource Name</t>
  </si>
  <si>
    <t>Unit</t>
  </si>
  <si>
    <t>No</t>
  </si>
  <si>
    <t>Production</t>
  </si>
  <si>
    <t>Quantity</t>
  </si>
  <si>
    <t>Rate</t>
  </si>
  <si>
    <t>Labour</t>
  </si>
  <si>
    <t>Material</t>
  </si>
  <si>
    <t>Plant</t>
  </si>
  <si>
    <t>Subcontract</t>
  </si>
  <si>
    <t>Total</t>
  </si>
  <si>
    <t xml:space="preserve">Line No 1
Item No </t>
  </si>
  <si>
    <t>ANZAC STREET</t>
  </si>
  <si>
    <t>Contributing</t>
  </si>
  <si>
    <t xml:space="preserve">Line No 3
Item No </t>
  </si>
  <si>
    <t>QUALITY SYSTEM</t>
  </si>
  <si>
    <t>Line No 5
Item No QP1</t>
  </si>
  <si>
    <t>Quality System Documents &amp; Records (for entire Package A)</t>
  </si>
  <si>
    <t xml:space="preserve">Lump </t>
  </si>
  <si>
    <t>Project Engineer</t>
  </si>
  <si>
    <t xml:space="preserve">week </t>
  </si>
  <si>
    <t xml:space="preserve">Technical Officer        </t>
  </si>
  <si>
    <t>Line No 6
Item No CQC</t>
  </si>
  <si>
    <t>QUALITY CONTROL REQUIREMENTS</t>
  </si>
  <si>
    <t>Line No 7
Item No QCP1</t>
  </si>
  <si>
    <t>Quality Verification &amp; Control</t>
  </si>
  <si>
    <t>Field Density</t>
  </si>
  <si>
    <t xml:space="preserve">each </t>
  </si>
  <si>
    <t>Gravel Properties Testing</t>
  </si>
  <si>
    <t>Concrete Cylinders</t>
  </si>
  <si>
    <t xml:space="preserve">Survey                   </t>
  </si>
  <si>
    <t xml:space="preserve">Item </t>
  </si>
  <si>
    <t xml:space="preserve">Line No 9
Item No </t>
  </si>
  <si>
    <t>GENERAL REQUIREMENTS</t>
  </si>
  <si>
    <t>GENERAL</t>
  </si>
  <si>
    <t>Line No 11
Item No C101(b)</t>
  </si>
  <si>
    <t>Site Establishment &amp; Disestablishment</t>
  </si>
  <si>
    <t>Grader</t>
  </si>
  <si>
    <t xml:space="preserve">Float                    </t>
  </si>
  <si>
    <t xml:space="preserve">LS   </t>
  </si>
  <si>
    <t>SD Roller</t>
  </si>
  <si>
    <t>MW Roller</t>
  </si>
  <si>
    <t>Truck &amp; Dog</t>
  </si>
  <si>
    <t>Bobcat</t>
  </si>
  <si>
    <t>Generator</t>
  </si>
  <si>
    <t>Project Supervisor</t>
  </si>
  <si>
    <t xml:space="preserve">hr   </t>
  </si>
  <si>
    <t xml:space="preserve">Line No 13
Item No </t>
  </si>
  <si>
    <t>ROAD &amp; EARTHWORKS</t>
  </si>
  <si>
    <t>Line No 14
Item No C201</t>
  </si>
  <si>
    <t>CONTROL OF TRAFFIC</t>
  </si>
  <si>
    <t>Line No 15
Item No C201(a)</t>
  </si>
  <si>
    <t>Control of Traffic</t>
  </si>
  <si>
    <t>Traffic Control Crew</t>
  </si>
  <si>
    <t>Line No 16
Item No C201(b)</t>
  </si>
  <si>
    <t>Provision of Temporary Roadways, Side-tracks and Detours (Provisional)</t>
  </si>
  <si>
    <t>Line No 17
Item No C213</t>
  </si>
  <si>
    <t>EARTHWORKS</t>
  </si>
  <si>
    <t>Line No 18
Item No C213(b)</t>
  </si>
  <si>
    <t>General Earthworks Cut</t>
  </si>
  <si>
    <t xml:space="preserve">m3   </t>
  </si>
  <si>
    <t>Excavator - 25T</t>
  </si>
  <si>
    <t>Water Cart - Hire</t>
  </si>
  <si>
    <t>Prepare Sub-grade</t>
  </si>
  <si>
    <t>Line No 19
Item No C213(d)</t>
  </si>
  <si>
    <t>Replace unsuitable material below sub grade with select material complete (Provisional)</t>
  </si>
  <si>
    <t>Fill</t>
  </si>
  <si>
    <t>SD Roller - Wet (No Op)</t>
  </si>
  <si>
    <t xml:space="preserve">Line No 21
Item No </t>
  </si>
  <si>
    <t>STORMWATER DRAINAGE</t>
  </si>
  <si>
    <t>Line No 22
Item No C221</t>
  </si>
  <si>
    <t>PIPE DRAINAGE (SUPPLY &amp; INSTALL)</t>
  </si>
  <si>
    <t>Line No 23
Item No C221(a)</t>
  </si>
  <si>
    <t>STEEL REINFORCED CONCRETE</t>
  </si>
  <si>
    <t>Line No 25
Item No C222</t>
  </si>
  <si>
    <t>PRECAST BOX CULVERTS (SUPPLY &amp; INSTALL)</t>
  </si>
  <si>
    <t>Line No 26
Item No C222(a)</t>
  </si>
  <si>
    <t>In-Situ reinforced concrete Base Slab for culverts complete</t>
  </si>
  <si>
    <t>1200 x 600 (12m)</t>
  </si>
  <si>
    <t>Sand</t>
  </si>
  <si>
    <t>tonne</t>
  </si>
  <si>
    <t xml:space="preserve">m²   </t>
  </si>
  <si>
    <t>Bar Chairs</t>
  </si>
  <si>
    <t>N32</t>
  </si>
  <si>
    <t xml:space="preserve">m³   </t>
  </si>
  <si>
    <t>Line No 27
Item No C222(b)</t>
  </si>
  <si>
    <t>1200 x 600</t>
  </si>
  <si>
    <t xml:space="preserve">m    </t>
  </si>
  <si>
    <t>EE formula - =q(15) Hand Placed Backfill</t>
  </si>
  <si>
    <t>Denso Tape</t>
  </si>
  <si>
    <t>Plate Compactor</t>
  </si>
  <si>
    <t>Line No 28
Item No C223</t>
  </si>
  <si>
    <t>DRAINAGE STRUCTURES</t>
  </si>
  <si>
    <t>Line No 29
Item No C223(a)</t>
  </si>
  <si>
    <t>Cast in situ Concrete Headwalls &amp; Wingwalls &amp; Aprons complete</t>
  </si>
  <si>
    <t>Line No 30
Item No C224</t>
  </si>
  <si>
    <t>OPEN DRAINS, INCLUDING KERB &amp; CHANNEL</t>
  </si>
  <si>
    <t>Line No 31
Item No C224(b)</t>
  </si>
  <si>
    <t>Excavation - Inlet, Outlet &amp; Diversion Channels</t>
  </si>
  <si>
    <t xml:space="preserve">Line No 33
Item No </t>
  </si>
  <si>
    <t>PAVEMENTS</t>
  </si>
  <si>
    <t>Line No 34
Item No C241</t>
  </si>
  <si>
    <t>STABILIZATION</t>
  </si>
  <si>
    <t xml:space="preserve">Line No 35
Item No </t>
  </si>
  <si>
    <t>Full service, supply agent and mix complete (Provisional if ordered)</t>
  </si>
  <si>
    <t xml:space="preserve">m2   </t>
  </si>
  <si>
    <t>Stabilising</t>
  </si>
  <si>
    <t>Cement</t>
  </si>
  <si>
    <t>Line No 36
Item No C242</t>
  </si>
  <si>
    <t>FLEXIBLE PAVEMENTS</t>
  </si>
  <si>
    <t xml:space="preserve">Line No 37
Item No </t>
  </si>
  <si>
    <t>Place only Type 2.1 (cement modified)</t>
  </si>
  <si>
    <t>Placement</t>
  </si>
  <si>
    <t>Backhoe</t>
  </si>
  <si>
    <t>Final Trim</t>
  </si>
  <si>
    <t xml:space="preserve">Line No 38
Item No </t>
  </si>
  <si>
    <t>Place only Type 2.3 (cement modified)</t>
  </si>
  <si>
    <t>Line No 39
Item No C244</t>
  </si>
  <si>
    <t>SPRAYED BITUMINOUS SURFACING</t>
  </si>
  <si>
    <t>Line No 40
Item No C244(a)</t>
  </si>
  <si>
    <t>Supply &amp; Spray Primer, supply &amp; spread aggregates, Primerbinder (including preparation of surface) complete</t>
  </si>
  <si>
    <t>Line No 41
Item No C244(a)</t>
  </si>
  <si>
    <t>(vii)  AMC5</t>
  </si>
  <si>
    <t>Seal Visit One</t>
  </si>
  <si>
    <t>Line No 42
Item No C244(b)</t>
  </si>
  <si>
    <t>Supply &amp; Spray Binder -  Bitumen (includes PMB's, Adhesion Agent where required and Preparation of Surface) supply &amp; spread aggregates complete</t>
  </si>
  <si>
    <t xml:space="preserve">Line No 44
Item No </t>
  </si>
  <si>
    <t>ROAD FURNISHINGS</t>
  </si>
  <si>
    <t>Line No 45
Item No C263</t>
  </si>
  <si>
    <t>GUIDE POSTS</t>
  </si>
  <si>
    <t>Line No 46
Item No C263(a)</t>
  </si>
  <si>
    <t>Guide Posts complete supply and install</t>
  </si>
  <si>
    <t>Guide Post</t>
  </si>
  <si>
    <t xml:space="preserve">Line No 48
Item No </t>
  </si>
  <si>
    <t>MISCELLANEOUS</t>
  </si>
  <si>
    <t>Line No 49
Item No C273</t>
  </si>
  <si>
    <t>LANDSCAPE</t>
  </si>
  <si>
    <t>Line No 50
Item No C273(a)</t>
  </si>
  <si>
    <t>Vegetation of Slopes 1 in 3 or Flatter</t>
  </si>
  <si>
    <t>Line No 51
Item No C273(a)</t>
  </si>
  <si>
    <t>(i)  Grass Seeding</t>
  </si>
  <si>
    <t>Grass Seeding</t>
  </si>
  <si>
    <t xml:space="preserve">Line No 53
Item No </t>
  </si>
  <si>
    <t>SPECIFIED WORKS</t>
  </si>
  <si>
    <t xml:space="preserve">Line No 54
Item No </t>
  </si>
  <si>
    <t>Special Item - As Constructed Survey and Plans</t>
  </si>
  <si>
    <t>Survey</t>
  </si>
  <si>
    <t xml:space="preserve">Line No 58
Item No </t>
  </si>
  <si>
    <t>DOBBINS LANE</t>
  </si>
  <si>
    <t xml:space="preserve">Line No 60
Item No </t>
  </si>
  <si>
    <t>Line No 61
Item No CQC</t>
  </si>
  <si>
    <t>Line No 62
Item No QCP1</t>
  </si>
  <si>
    <t xml:space="preserve">Line No 64
Item No </t>
  </si>
  <si>
    <t>Line No 65
Item No C101</t>
  </si>
  <si>
    <t>Line No 66
Item No C101(b)</t>
  </si>
  <si>
    <t xml:space="preserve">Line No 68
Item No </t>
  </si>
  <si>
    <t>Line No 69
Item No C201</t>
  </si>
  <si>
    <t>Line No 70
Item No C201(a)</t>
  </si>
  <si>
    <t>Line No 71
Item No C211</t>
  </si>
  <si>
    <t>CONTROL OF EROSION &amp; SEDIMENTATION</t>
  </si>
  <si>
    <t>Line No 72
Item No C211(a)</t>
  </si>
  <si>
    <t>Temporary Erosion &amp; Sedimentation Control (includes supply and installation of all components)</t>
  </si>
  <si>
    <t>Line No 73
Item No C213</t>
  </si>
  <si>
    <t>Line No 74
Item No C213(b)</t>
  </si>
  <si>
    <t>Line No 75
Item No C213(d)</t>
  </si>
  <si>
    <t>Replace unsuitable material below sub grade with select material complete (PROVISIONAL)</t>
  </si>
  <si>
    <t xml:space="preserve">Line No 77
Item No </t>
  </si>
  <si>
    <t>Line No 78
Item No C220</t>
  </si>
  <si>
    <t>STORMWATER DRAINAGE - GENERAL</t>
  </si>
  <si>
    <t xml:space="preserve">Line No 79
Item No </t>
  </si>
  <si>
    <t xml:space="preserve"> Removal / Demolition of Drainage Components complete</t>
  </si>
  <si>
    <t>Tipper</t>
  </si>
  <si>
    <t xml:space="preserve">Line No 80
Item No </t>
  </si>
  <si>
    <t>Alteration to Existing Stormwater Structures (New 225 Upvc at Ch 140</t>
  </si>
  <si>
    <t>Pit Builder - Modify</t>
  </si>
  <si>
    <t>Line No 81
Item No C221</t>
  </si>
  <si>
    <t>Line No 82
Item No C221(a)</t>
  </si>
  <si>
    <t>225mm dia uPVC</t>
  </si>
  <si>
    <t xml:space="preserve">300 RCP                  </t>
  </si>
  <si>
    <t>Line No 83
Item No C223(b)</t>
  </si>
  <si>
    <t>(x) Inter-allotment Drainage Pit</t>
  </si>
  <si>
    <t>Pit Builder</t>
  </si>
  <si>
    <t>Line No 84
Item No C224</t>
  </si>
  <si>
    <t>Line No 85
Item No C224(c)</t>
  </si>
  <si>
    <t>Concrete Lining of Open Drains</t>
  </si>
  <si>
    <t>Purchase Materials</t>
  </si>
  <si>
    <t>N25</t>
  </si>
  <si>
    <t>SL72</t>
  </si>
  <si>
    <t>Abel Flex</t>
  </si>
  <si>
    <t>Detailed Excavation:</t>
  </si>
  <si>
    <t>Form Pour &amp; Finish</t>
  </si>
  <si>
    <t>Concrete Subbie</t>
  </si>
  <si>
    <t>Line No 86
Item No C224(h)</t>
  </si>
  <si>
    <t>(i)  Concrete Barrier Kerb &amp; Channel B1 complete</t>
  </si>
  <si>
    <t>Use Kerb Subbie. Allciv to supply sand &amp; cement for slurry</t>
  </si>
  <si>
    <t>S32 - Kerb Mix</t>
  </si>
  <si>
    <t>Kerb Subbie</t>
  </si>
  <si>
    <t>Line No 87
Item No C224(h)</t>
  </si>
  <si>
    <t>(iv)  Concrete Dish Drain (0.9m wide) complete</t>
  </si>
  <si>
    <t>Line No 88
Item No C224(h)</t>
  </si>
  <si>
    <t>(vi)  Concrete Kerb (Type B2) complete</t>
  </si>
  <si>
    <t xml:space="preserve">Line No 90
Item No </t>
  </si>
  <si>
    <t>SUB-SURFACE DRAINAGE</t>
  </si>
  <si>
    <t>Line No 91
Item No C232</t>
  </si>
  <si>
    <t>PAVEMENT DRAINS</t>
  </si>
  <si>
    <t>Line No 92
Item No C232(b)</t>
  </si>
  <si>
    <t>(i)  100mm dia Slotted Corrugated Plastic Pipe</t>
  </si>
  <si>
    <t>Excavate &amp; install sub-soil drain at a rate of 100m per day. Use 300 trench and sand to backfill.</t>
  </si>
  <si>
    <t>Sub Soil Drain</t>
  </si>
  <si>
    <t>Sub Soil Clean Out - Inst</t>
  </si>
  <si>
    <t>Line No 93
Item No C232(c)</t>
  </si>
  <si>
    <t>Cleanout Structures</t>
  </si>
  <si>
    <t xml:space="preserve">Line No 95
Item No </t>
  </si>
  <si>
    <t>Line No 96
Item No C242</t>
  </si>
  <si>
    <t xml:space="preserve">Line No 97
Item No </t>
  </si>
  <si>
    <t>Place only Type 2.3</t>
  </si>
  <si>
    <t xml:space="preserve">Line No 98
Item No </t>
  </si>
  <si>
    <t>Place only Type 2.1</t>
  </si>
  <si>
    <t xml:space="preserve">Line No 99
Item No </t>
  </si>
  <si>
    <t>Special Item - Geogrid layer</t>
  </si>
  <si>
    <t xml:space="preserve">Line No 100
Item No </t>
  </si>
  <si>
    <t>Special Item - Geotextile layer</t>
  </si>
  <si>
    <t>Line No 101
Item No C244(a)</t>
  </si>
  <si>
    <t>Line No 102
Item No C245(c)</t>
  </si>
  <si>
    <t>Dense Graded Asphalt in Wearing Course</t>
  </si>
  <si>
    <t>Line No 103
Item No C245(c)</t>
  </si>
  <si>
    <t>(ii)  14mm Nominal Size</t>
  </si>
  <si>
    <t xml:space="preserve">Line No 105
Item No </t>
  </si>
  <si>
    <t>Line No 106
Item No C271</t>
  </si>
  <si>
    <t>MINOR CONCRETE WORKS</t>
  </si>
  <si>
    <t>Line No 107
Item No C271(c)</t>
  </si>
  <si>
    <t>(i) 100mm thick concrete footpath</t>
  </si>
  <si>
    <t>Line No 108
Item No C271(c)</t>
  </si>
  <si>
    <t>(ii)  Concrete Kerb Ramp</t>
  </si>
  <si>
    <t>Pram Ramps</t>
  </si>
  <si>
    <t>Line No 109
Item No C271(c)</t>
  </si>
  <si>
    <t>(v)   Industrial Invert Crossing</t>
  </si>
  <si>
    <t>Line No 110
Item No C273</t>
  </si>
  <si>
    <t>Line No 111
Item No C273(a)</t>
  </si>
  <si>
    <t>(ii)  Turfing</t>
  </si>
  <si>
    <t>Turf Subbie</t>
  </si>
  <si>
    <t xml:space="preserve">Line No 112
Item No </t>
  </si>
  <si>
    <t>Supply and place  Imported Topsoil</t>
  </si>
  <si>
    <t xml:space="preserve">Line No 114
Item No </t>
  </si>
  <si>
    <t xml:space="preserve">Line No 115
Item No </t>
  </si>
  <si>
    <t xml:space="preserve">Line No 119
Item No </t>
  </si>
  <si>
    <t>CULTURAL CENTRE CAR PARK</t>
  </si>
  <si>
    <t xml:space="preserve">Line No 121
Item No </t>
  </si>
  <si>
    <t>Line No 122
Item No CQC</t>
  </si>
  <si>
    <t>Line No 123
Item No QCP1</t>
  </si>
  <si>
    <t xml:space="preserve">Line No 125
Item No </t>
  </si>
  <si>
    <t>Line No 126
Item No C201(a)</t>
  </si>
  <si>
    <t xml:space="preserve">Line No 128
Item No </t>
  </si>
  <si>
    <t>Line No 129
Item No C213</t>
  </si>
  <si>
    <t>Line No 130
Item No C213(b)</t>
  </si>
  <si>
    <t>Line No 131
Item No C213(c)</t>
  </si>
  <si>
    <t>General Earthworks Fill</t>
  </si>
  <si>
    <t>Line No 132
Item No C213(d)</t>
  </si>
  <si>
    <t xml:space="preserve">Line No 133
Item No </t>
  </si>
  <si>
    <t>Alteration to Existing Stormwater Structures (Break new PVC pipt into existing line and andage)</t>
  </si>
  <si>
    <t>Line No 134
Item No C221(a)</t>
  </si>
  <si>
    <t>UPVC pipes (150mm) supply, install, backfill complete</t>
  </si>
  <si>
    <t>Line No 135
Item No C221(a)</t>
  </si>
  <si>
    <t>Connect property drainage pipes</t>
  </si>
  <si>
    <t>150 SN8 Sewer Pipe</t>
  </si>
  <si>
    <t>Kerb Adaptors</t>
  </si>
  <si>
    <t>Plumber</t>
  </si>
  <si>
    <t>Line No 136
Item No C223(b)</t>
  </si>
  <si>
    <t>Construct Complete in place, downpipe extension and overflow grate</t>
  </si>
  <si>
    <t>Line No 137
Item No C224(h)</t>
  </si>
  <si>
    <t>Line No 138
Item No C224(h)</t>
  </si>
  <si>
    <t>Line No 139
Item No C224(h)</t>
  </si>
  <si>
    <t>Line No 140
Item No C232(b)</t>
  </si>
  <si>
    <t>Subsoil Drain Pipe</t>
  </si>
  <si>
    <t>Line No 141
Item No C232(b)</t>
  </si>
  <si>
    <t>Line No 142
Item No C232(c)</t>
  </si>
  <si>
    <t>Line No 144
Item No C242</t>
  </si>
  <si>
    <t xml:space="preserve">Line No 145
Item No </t>
  </si>
  <si>
    <t xml:space="preserve">Line No 146
Item No </t>
  </si>
  <si>
    <t xml:space="preserve">Line No 147
Item No </t>
  </si>
  <si>
    <t xml:space="preserve">Line No 148
Item No </t>
  </si>
  <si>
    <t>Line No 149
Item No C244(a)</t>
  </si>
  <si>
    <t>Line No 150
Item No C245(c)</t>
  </si>
  <si>
    <t>Line No 152
Item No C261</t>
  </si>
  <si>
    <t>PAVEMENT MARKINGS</t>
  </si>
  <si>
    <t>Line No 153
Item No C261(a)</t>
  </si>
  <si>
    <t>Pavement Marking Paint - Longitudinal Lines including car parking bays</t>
  </si>
  <si>
    <t>Line Marking</t>
  </si>
  <si>
    <t>Line No 154
Item No C261(b)</t>
  </si>
  <si>
    <t>Pavement Marking Paint - Transverse Lines, Symbols, Legends, Arrows, Chevrons, Traffic Islands &amp; Kerbs</t>
  </si>
  <si>
    <t>Line No 155
Item No C271(c)</t>
  </si>
  <si>
    <t>Line No 156
Item No C271(c)</t>
  </si>
  <si>
    <t>Line No 157
Item No C271(c)</t>
  </si>
  <si>
    <t>(iv)  Residential Invert Crossing</t>
  </si>
  <si>
    <t xml:space="preserve">N32                      </t>
  </si>
  <si>
    <t>Line No 158
Item No C271(c)</t>
  </si>
  <si>
    <t xml:space="preserve">Line No 159
Item No </t>
  </si>
  <si>
    <t>Special Item - Supply &amp; Install Tactile Marking</t>
  </si>
  <si>
    <t xml:space="preserve">Line No 161
Item No </t>
  </si>
  <si>
    <t xml:space="preserve">Line No 162
Item No </t>
  </si>
  <si>
    <t xml:space="preserve">Line No 166
Item No </t>
  </si>
  <si>
    <t>DOBBINS LANE WATER MAIN</t>
  </si>
  <si>
    <t>Line No 168
Item No 1.</t>
  </si>
  <si>
    <t>Excavate and backfil all materials for following diameter water mains, approved backfill under roads, testing of backfill compaction, disposal of surplus materials and restoration of surfaces:</t>
  </si>
  <si>
    <t>WDC</t>
  </si>
  <si>
    <t>Line No 169
Item No 2.</t>
  </si>
  <si>
    <t>Supply &amp; place materials, following diameter water mains</t>
  </si>
  <si>
    <t xml:space="preserve">Line No 170
Item No </t>
  </si>
  <si>
    <t>100mm dia. DICL Class PN35</t>
  </si>
  <si>
    <t>Line No 171
Item No 3.</t>
  </si>
  <si>
    <t>Supply materials and install hydrants to the following diameter mains complete including hydrant tee/bend, riser, hydrant box, concrete surround and kerb/pavement marking:</t>
  </si>
  <si>
    <t xml:space="preserve">Line No 172
Item No </t>
  </si>
  <si>
    <t>100mm dia.</t>
  </si>
  <si>
    <t xml:space="preserve">No.  </t>
  </si>
  <si>
    <t>Line No 173
Item No 4.</t>
  </si>
  <si>
    <t>Supply materials and install sluice valves to the following diameter mains complete including jointing, margin setts, boxes and kerb/pavement marking</t>
  </si>
  <si>
    <t xml:space="preserve">Line No 174
Item No </t>
  </si>
  <si>
    <t>Line No 175
Item No 5.</t>
  </si>
  <si>
    <t>Supply materials and install the following internally lined and externally coated DICL fittings including bed, lay, joint, backfill and thrust blocks:</t>
  </si>
  <si>
    <t xml:space="preserve">Line No 176
Item No </t>
  </si>
  <si>
    <t>Tee:</t>
  </si>
  <si>
    <t xml:space="preserve">Line No 177
Item No </t>
  </si>
  <si>
    <t>100mm x 100mm.</t>
  </si>
  <si>
    <t xml:space="preserve">Line No 178
Item No </t>
  </si>
  <si>
    <t>Bend:</t>
  </si>
  <si>
    <t xml:space="preserve">Line No 179
Item No </t>
  </si>
  <si>
    <t>100mm x 45 degree.</t>
  </si>
  <si>
    <t xml:space="preserve">Line No 180
Item No </t>
  </si>
  <si>
    <t>Gibault:</t>
  </si>
  <si>
    <t xml:space="preserve">Line No 181
Item No </t>
  </si>
  <si>
    <t>100mm</t>
  </si>
  <si>
    <t xml:space="preserve">Line No 182
Item No </t>
  </si>
  <si>
    <t>Thrust Flange:</t>
  </si>
  <si>
    <t xml:space="preserve">Line No 183
Item No </t>
  </si>
  <si>
    <t>Line No 184
Item No 6.</t>
  </si>
  <si>
    <t>Supply materials and install  property service connections</t>
  </si>
  <si>
    <t xml:space="preserve">Line No 185
Item No </t>
  </si>
  <si>
    <t>Single connection with road crossing</t>
  </si>
  <si>
    <t xml:space="preserve">Line No 186
Item No </t>
  </si>
  <si>
    <t>Double connection with road crossing</t>
  </si>
  <si>
    <t>Line No 187
Item No 7.</t>
  </si>
  <si>
    <t>Sterilisation of mains including supply of chlorine, water for chlorination and bacteriological sampling and testing.</t>
  </si>
  <si>
    <t>Line No 188
Item No 8.</t>
  </si>
  <si>
    <t>Locate existing  water main and arrange connection of new water main. (Work by WRC).</t>
  </si>
  <si>
    <t>PC It</t>
  </si>
  <si>
    <t>Line No 189
Item No 9.</t>
  </si>
  <si>
    <t xml:space="preserve">Line No 192
Item No </t>
  </si>
  <si>
    <t>DODD STREET</t>
  </si>
  <si>
    <t xml:space="preserve">Line No 194
Item No </t>
  </si>
  <si>
    <t>Line No 195
Item No CQC</t>
  </si>
  <si>
    <t>Line No 196
Item No QCP1</t>
  </si>
  <si>
    <t xml:space="preserve">Line No 198
Item No </t>
  </si>
  <si>
    <t>Line No 199
Item No C101</t>
  </si>
  <si>
    <t>Line No 200
Item No C101(b)</t>
  </si>
  <si>
    <t xml:space="preserve">Line No 202
Item No </t>
  </si>
  <si>
    <t>Line No 203
Item No C201</t>
  </si>
  <si>
    <t>Line No 204
Item No C201(a)</t>
  </si>
  <si>
    <t>Line No 205
Item No C211</t>
  </si>
  <si>
    <t>Line No 206
Item No C211(a)</t>
  </si>
  <si>
    <t>Line No 207
Item No C212</t>
  </si>
  <si>
    <t>CLEARING &amp; GRUBBING</t>
  </si>
  <si>
    <t xml:space="preserve">Line No 208
Item No </t>
  </si>
  <si>
    <t>Special Item - Demolition of Structure (concrete slabs, culverts, pipes etc)</t>
  </si>
  <si>
    <t>Line No 210
Item No C213</t>
  </si>
  <si>
    <t>Line No 211
Item No C213(b)</t>
  </si>
  <si>
    <t xml:space="preserve">Line No 213
Item No </t>
  </si>
  <si>
    <t>Line No 214
Item No C220</t>
  </si>
  <si>
    <t xml:space="preserve">Line No 215
Item No </t>
  </si>
  <si>
    <t xml:space="preserve">Line No 216
Item No </t>
  </si>
  <si>
    <t>Alteration to Existing Stormwater Structures (Break new RCP's into existing RCBC - 4 Nos)</t>
  </si>
  <si>
    <t>Line No 217
Item No C221</t>
  </si>
  <si>
    <t>Line No 218
Item No C221(a)</t>
  </si>
  <si>
    <t>375mm dia Class 2, Flush Joint</t>
  </si>
  <si>
    <t xml:space="preserve">375 RCP FJ CL3           </t>
  </si>
  <si>
    <t>Line No 219
Item No C221(a)</t>
  </si>
  <si>
    <t>375mm dia Class 3, Flush Joint</t>
  </si>
  <si>
    <t>Line No 220
Item No C221(a)</t>
  </si>
  <si>
    <t>Renew Property Drainage connections</t>
  </si>
  <si>
    <t>Line No 221
Item No C223</t>
  </si>
  <si>
    <t>Line No 222
Item No C223(b)</t>
  </si>
  <si>
    <t>MCC Type A Gully Pit</t>
  </si>
  <si>
    <t>MCC Type A Gully Top</t>
  </si>
  <si>
    <t>Concretor - Labour</t>
  </si>
  <si>
    <t>Line No 223
Item No C224</t>
  </si>
  <si>
    <t>Line No 224
Item No C224(h)</t>
  </si>
  <si>
    <t>Line No 225
Item No C224(h)</t>
  </si>
  <si>
    <t>(ii)  Concrete Mountable Kerb &amp; Channel M1 complete</t>
  </si>
  <si>
    <t xml:space="preserve">Line No 227
Item No </t>
  </si>
  <si>
    <t>Line No 228
Item No C231</t>
  </si>
  <si>
    <t>SUBSOIL &amp; FOUNDATION DRAINS</t>
  </si>
  <si>
    <t>Line No 229
Item No C232(b)</t>
  </si>
  <si>
    <t>Line No 230
Item No C232(c)</t>
  </si>
  <si>
    <t xml:space="preserve">Line No 232
Item No </t>
  </si>
  <si>
    <t>Line No 233
Item No C242</t>
  </si>
  <si>
    <t xml:space="preserve">Line No 234
Item No </t>
  </si>
  <si>
    <t xml:space="preserve">Line No 235
Item No </t>
  </si>
  <si>
    <t xml:space="preserve">Line No 236
Item No </t>
  </si>
  <si>
    <t>Line No 237
Item No C244</t>
  </si>
  <si>
    <t>Line No 238
Item No C244(a)</t>
  </si>
  <si>
    <t>Line No 239
Item No C244(a)</t>
  </si>
  <si>
    <t>Line No 240
Item No C245</t>
  </si>
  <si>
    <t>ASPHALTIC CONCRETE</t>
  </si>
  <si>
    <t>Line No 241
Item No C245(c)</t>
  </si>
  <si>
    <t>Line No 242
Item No C245(c)</t>
  </si>
  <si>
    <t xml:space="preserve">Line No 244
Item No </t>
  </si>
  <si>
    <t>Line No 245
Item No C261</t>
  </si>
  <si>
    <t>Line No 246
Item No C261(b)</t>
  </si>
  <si>
    <t>Line No 247
Item No C262(g)</t>
  </si>
  <si>
    <t>Remove and reinstate Existing Signs &amp; Support Structures</t>
  </si>
  <si>
    <t>Signs Complete</t>
  </si>
  <si>
    <t xml:space="preserve">Line No 249
Item No </t>
  </si>
  <si>
    <t>Line No 250
Item No C271</t>
  </si>
  <si>
    <t>Line No 251
Item No C271(c)</t>
  </si>
  <si>
    <t>Footpaths, Bike paths, Driveways, Median Toppings &amp; Works of Similar Nature</t>
  </si>
  <si>
    <t>Line No 252
Item No C271(c)</t>
  </si>
  <si>
    <t xml:space="preserve">Line No 254
Item No </t>
  </si>
  <si>
    <t>SERVICES</t>
  </si>
  <si>
    <t>Line No 255
Item No C320</t>
  </si>
  <si>
    <t>WATER RETICULATION</t>
  </si>
  <si>
    <t xml:space="preserve">Line No 256
Item No </t>
  </si>
  <si>
    <t>Reinstate Existing water main</t>
  </si>
  <si>
    <t xml:space="preserve">Line No 258
Item No </t>
  </si>
  <si>
    <t xml:space="preserve">Line No 259
Item No </t>
  </si>
  <si>
    <t xml:space="preserve">Line No 263
Item No </t>
  </si>
  <si>
    <t>DOHERTY STREET</t>
  </si>
  <si>
    <t xml:space="preserve">Line No 265
Item No </t>
  </si>
  <si>
    <t>Line No 266
Item No CQC</t>
  </si>
  <si>
    <t>Line No 267
Item No QCP1</t>
  </si>
  <si>
    <t xml:space="preserve">Line No 269
Item No </t>
  </si>
  <si>
    <t>Line No 270
Item No C101</t>
  </si>
  <si>
    <t>Line No 271
Item No C101(b)</t>
  </si>
  <si>
    <t xml:space="preserve">Line No 273
Item No </t>
  </si>
  <si>
    <t>Line No 274
Item No C201</t>
  </si>
  <si>
    <t>Line No 275
Item No C201(a)</t>
  </si>
  <si>
    <t>Line No 276
Item No C213</t>
  </si>
  <si>
    <t>Line No 277
Item No C213(b)</t>
  </si>
  <si>
    <t>Line No 278
Item No C213(c)</t>
  </si>
  <si>
    <t>General Earthworks Fill (Fill behind kerb to boundary)</t>
  </si>
  <si>
    <t>Line No 279
Item No C213(d)</t>
  </si>
  <si>
    <t xml:space="preserve">Line No 281
Item No </t>
  </si>
  <si>
    <t>Line No 282
Item No C220</t>
  </si>
  <si>
    <t xml:space="preserve">Line No 283
Item No </t>
  </si>
  <si>
    <t xml:space="preserve">Line No 284
Item No </t>
  </si>
  <si>
    <t>Relocate existing kerb adapter and roofwater connection from property</t>
  </si>
  <si>
    <t>Line No 285
Item No C221</t>
  </si>
  <si>
    <t>Line No 286
Item No C221(a)</t>
  </si>
  <si>
    <t>Line No 287
Item No C221(a)</t>
  </si>
  <si>
    <t>Line No 288
Item No C221(a)</t>
  </si>
  <si>
    <t>450mm dia Class 2, Flush Joint</t>
  </si>
  <si>
    <t>450 RCP FJ CL2</t>
  </si>
  <si>
    <t>Line No 289
Item No C221(a)</t>
  </si>
  <si>
    <t>Line No 290
Item No C221(a)</t>
  </si>
  <si>
    <t>FIBRE REINFORCED CEMENT</t>
  </si>
  <si>
    <t>Line No 291
Item No C221(a)</t>
  </si>
  <si>
    <t>450mm dia Class 2, Rubber Ring Joint</t>
  </si>
  <si>
    <t>Line No 292
Item No C222</t>
  </si>
  <si>
    <t>Line No 293
Item No C222(b)</t>
  </si>
  <si>
    <t>900 x 450</t>
  </si>
  <si>
    <t>Line No 294
Item No C222(b)</t>
  </si>
  <si>
    <t>1200 x 450</t>
  </si>
  <si>
    <t>EE formula - =q(45) Hand Placed Backfill</t>
  </si>
  <si>
    <t>Line No 295
Item No C222(b)</t>
  </si>
  <si>
    <t>Line No 296
Item No C223</t>
  </si>
  <si>
    <t>Line No 297
Item No C223(a)</t>
  </si>
  <si>
    <t>Line No 298
Item No C223(b)</t>
  </si>
  <si>
    <t>Pits, Dissipators, Channel Basins &amp; Other Supplementary Structures</t>
  </si>
  <si>
    <t>Line No 299
Item No C223(b)</t>
  </si>
  <si>
    <t>BRO Pit Gully Pit</t>
  </si>
  <si>
    <t>Line No 300
Item No C223(b)</t>
  </si>
  <si>
    <t>(v)  Concrete Manholes - Cast Insitu</t>
  </si>
  <si>
    <t>Line No 301
Item No C224</t>
  </si>
  <si>
    <t>Line No 302
Item No C224(h)</t>
  </si>
  <si>
    <t>Kerb &amp;/or Channel</t>
  </si>
  <si>
    <t>Line No 303
Item No C224(h)</t>
  </si>
  <si>
    <t>Line No 304
Item No C224(h)</t>
  </si>
  <si>
    <t xml:space="preserve">Line No 306
Item No </t>
  </si>
  <si>
    <t>Line No 307
Item No C232</t>
  </si>
  <si>
    <t>Line No 308
Item No C232(b)</t>
  </si>
  <si>
    <t>Line No 309
Item No C232(b)</t>
  </si>
  <si>
    <t>Line No 310
Item No C232(c)</t>
  </si>
  <si>
    <t xml:space="preserve">Line No 312
Item No </t>
  </si>
  <si>
    <t>Line No 313
Item No C242</t>
  </si>
  <si>
    <t xml:space="preserve">Line No 314
Item No </t>
  </si>
  <si>
    <t xml:space="preserve">Line No 315
Item No </t>
  </si>
  <si>
    <t>Place only Type 2.1 (828m²)</t>
  </si>
  <si>
    <t xml:space="preserve">Line No 316
Item No </t>
  </si>
  <si>
    <t>Line No 317
Item No C244</t>
  </si>
  <si>
    <t>Line No 318
Item No C244(a)</t>
  </si>
  <si>
    <t>Supply &amp; Spray Primer, supply &amp; spread aggregates, Primerbinder (including preparation of surface and precoated aggregate) complete</t>
  </si>
  <si>
    <t>Line No 319
Item No C244(a)</t>
  </si>
  <si>
    <t>Line No 320
Item No C245</t>
  </si>
  <si>
    <t>Line No 321
Item No C245(c)</t>
  </si>
  <si>
    <t>Line No 322
Item No C245(c)</t>
  </si>
  <si>
    <t xml:space="preserve">Line No 324
Item No </t>
  </si>
  <si>
    <t>Line No 325
Item No C262</t>
  </si>
  <si>
    <t>SIGNPOSTING</t>
  </si>
  <si>
    <t>Line No 326
Item No C262(g)</t>
  </si>
  <si>
    <t>Line No 327
Item No C265</t>
  </si>
  <si>
    <t>BOUNDARY FENCING</t>
  </si>
  <si>
    <t>Line No 328
Item No C265(a)</t>
  </si>
  <si>
    <t>Supply &amp; Erection of Boundary Fencing</t>
  </si>
  <si>
    <t>Line No 329
Item No C265(a)</t>
  </si>
  <si>
    <t>Supply &amp; Erection of Boundary Fencing  (1200 high chainlink star picket fence)</t>
  </si>
  <si>
    <t>Fencing Subbie</t>
  </si>
  <si>
    <t xml:space="preserve">Line No 331
Item No </t>
  </si>
  <si>
    <t>Line No 332
Item No C271</t>
  </si>
  <si>
    <t>Line No 333
Item No C271(c)</t>
  </si>
  <si>
    <t>Line No 334
Item No C271(c)</t>
  </si>
  <si>
    <t>(iv)  Residential Invert Crossing (? m)</t>
  </si>
  <si>
    <t xml:space="preserve">Line No 336
Item No </t>
  </si>
  <si>
    <t>Line No 337
Item No C320</t>
  </si>
  <si>
    <t xml:space="preserve">Line No 338
Item No </t>
  </si>
  <si>
    <t>Service connections</t>
  </si>
  <si>
    <t xml:space="preserve">Line No 339
Item No </t>
  </si>
  <si>
    <t>Alterations to water main</t>
  </si>
  <si>
    <t xml:space="preserve">Line No 340
Item No </t>
  </si>
  <si>
    <t>Alterations to valves and hydrant margins</t>
  </si>
  <si>
    <t xml:space="preserve">Line No 342
Item No </t>
  </si>
  <si>
    <t xml:space="preserve">Line No 343
Item No </t>
  </si>
  <si>
    <t xml:space="preserve">Line No 347
Item No </t>
  </si>
  <si>
    <t>FAUST STREET</t>
  </si>
  <si>
    <t xml:space="preserve">Line No 349
Item No </t>
  </si>
  <si>
    <t>Line No 350
Item No CQC</t>
  </si>
  <si>
    <t>Line No 351
Item No QCP1</t>
  </si>
  <si>
    <t xml:space="preserve">Line No 353
Item No </t>
  </si>
  <si>
    <t>Line No 354
Item No C101</t>
  </si>
  <si>
    <t>Line No 355
Item No C101(b)</t>
  </si>
  <si>
    <t xml:space="preserve">Line No 357
Item No </t>
  </si>
  <si>
    <t>Line No 358
Item No C201</t>
  </si>
  <si>
    <t>Line No 359
Item No C201(a)</t>
  </si>
  <si>
    <t>Line No 360
Item No C211</t>
  </si>
  <si>
    <t>Line No 361
Item No C211(a)</t>
  </si>
  <si>
    <t>Line No 362
Item No C212</t>
  </si>
  <si>
    <t>Line No 363
Item No C212(a)</t>
  </si>
  <si>
    <t>Clearing and Grubbing (removal of kerb &amp; channel)</t>
  </si>
  <si>
    <t>Line No 364
Item No C213</t>
  </si>
  <si>
    <t>Line No 365
Item No C213(b)</t>
  </si>
  <si>
    <t>Line No 366
Item No C213(d)</t>
  </si>
  <si>
    <t>Replace unsuitable material below sub grade with select material complete (provisional)</t>
  </si>
  <si>
    <t xml:space="preserve">Line No 368
Item No </t>
  </si>
  <si>
    <t>Line No 369
Item No C220</t>
  </si>
  <si>
    <t xml:space="preserve">Line No 370
Item No </t>
  </si>
  <si>
    <t>Line No 371
Item No C221</t>
  </si>
  <si>
    <t>Line No 372
Item No C221(a)</t>
  </si>
  <si>
    <t>OTHER</t>
  </si>
  <si>
    <t>Line No 373
Item No C221(a)</t>
  </si>
  <si>
    <t>Connect property drainage pipes (No. 21)</t>
  </si>
  <si>
    <t>Line No 374
Item No C222</t>
  </si>
  <si>
    <t>Line No 375
Item No C222(a)</t>
  </si>
  <si>
    <t>Line No 376
Item No C222(b)</t>
  </si>
  <si>
    <t>1200 x 300</t>
  </si>
  <si>
    <t xml:space="preserve">RCBC - 1200 x 300        </t>
  </si>
  <si>
    <t>Line No 377
Item No C223</t>
  </si>
  <si>
    <t>Line No 378
Item No C223(b)</t>
  </si>
  <si>
    <t>Line No 379
Item No C223(b)</t>
  </si>
  <si>
    <t>Line No 380
Item No C224</t>
  </si>
  <si>
    <t>Line No 381
Item No C224(h)</t>
  </si>
  <si>
    <t>Line No 382
Item No C224(h)</t>
  </si>
  <si>
    <t xml:space="preserve">Line No 384
Item No </t>
  </si>
  <si>
    <t>Line No 385
Item No C231</t>
  </si>
  <si>
    <t>Line No 386
Item No C231(b)</t>
  </si>
  <si>
    <t>Subsoil Drain Pipe - 100mm dia Slotted Corrugated Plastic Pipe complete (provisional quantity)</t>
  </si>
  <si>
    <t xml:space="preserve">Line No 388
Item No </t>
  </si>
  <si>
    <t>Line No 389
Item No C242</t>
  </si>
  <si>
    <t xml:space="preserve">Line No 390
Item No </t>
  </si>
  <si>
    <t>Place only Type 2.3 (includes cart, place, compact &amp; trim)</t>
  </si>
  <si>
    <t xml:space="preserve">Line No 391
Item No </t>
  </si>
  <si>
    <t>Place only Type 2.1 (includes cart, place, compact &amp; trim)</t>
  </si>
  <si>
    <t xml:space="preserve">Line No 392
Item No </t>
  </si>
  <si>
    <t xml:space="preserve">Line No 393
Item No </t>
  </si>
  <si>
    <t>Line No 394
Item No C244</t>
  </si>
  <si>
    <t>Line No 395
Item No C244(a)</t>
  </si>
  <si>
    <t>Line No 396
Item No C244(a)</t>
  </si>
  <si>
    <t>Line No 397
Item No C245</t>
  </si>
  <si>
    <t>Line No 398
Item No C245(c)</t>
  </si>
  <si>
    <t>Line No 399
Item No C245(c)</t>
  </si>
  <si>
    <t>(i)  10mm Nominal Size</t>
  </si>
  <si>
    <t xml:space="preserve">Line No 401
Item No </t>
  </si>
  <si>
    <t>Line No 402
Item No C261</t>
  </si>
  <si>
    <t>Line No 403
Item No C261(a)</t>
  </si>
  <si>
    <t>Line No 404
Item No C262</t>
  </si>
  <si>
    <t>Line No 405
Item No C262(g)</t>
  </si>
  <si>
    <t xml:space="preserve">Line No 407
Item No </t>
  </si>
  <si>
    <t>Line No 408
Item No C271</t>
  </si>
  <si>
    <t>Line No 409
Item No C271(c)</t>
  </si>
  <si>
    <t>Line No 410
Item No C271(c)</t>
  </si>
  <si>
    <t>Line No 411
Item No C273</t>
  </si>
  <si>
    <t>Line No 412
Item No C273(a)</t>
  </si>
  <si>
    <t>Line No 413
Item No C273(a)</t>
  </si>
  <si>
    <t>Line No 414
Item No C273(a)</t>
  </si>
  <si>
    <t>Line No 415
Item No C273(d)</t>
  </si>
  <si>
    <t>Landscape Planting</t>
  </si>
  <si>
    <t>Line No 416
Item No C273(d)</t>
  </si>
  <si>
    <t>(iii)  Individual Planting</t>
  </si>
  <si>
    <t xml:space="preserve">Line No 417
Item No </t>
  </si>
  <si>
    <t xml:space="preserve">Line No 419
Item No </t>
  </si>
  <si>
    <t>Line No 420
Item No C306</t>
  </si>
  <si>
    <t>ROAD OPENINGS &amp; RESTORATION</t>
  </si>
  <si>
    <t>Line No 421
Item No C306(a)</t>
  </si>
  <si>
    <t>Sawcut Existing Pavement / Footpath</t>
  </si>
  <si>
    <t>Line No 422
Item No C306(a)</t>
  </si>
  <si>
    <t>Sawcut Bituminous pavement</t>
  </si>
  <si>
    <t>Sawcut</t>
  </si>
  <si>
    <t>Line No 423
Item No C320</t>
  </si>
  <si>
    <t xml:space="preserve">Line No 424
Item No </t>
  </si>
  <si>
    <t xml:space="preserve">Line No 426
Item No </t>
  </si>
  <si>
    <t xml:space="preserve">Line No 427
Item No </t>
  </si>
  <si>
    <t xml:space="preserve">Line No 431
Item No </t>
  </si>
  <si>
    <t>JUPP STREET</t>
  </si>
  <si>
    <t xml:space="preserve">Line No 433
Item No </t>
  </si>
  <si>
    <t>Line No 434
Item No CQC</t>
  </si>
  <si>
    <t>Line No 435
Item No QCP1</t>
  </si>
  <si>
    <t xml:space="preserve">Line No 437
Item No </t>
  </si>
  <si>
    <t>Line No 438
Item No C101</t>
  </si>
  <si>
    <t>Line No 439
Item No C101(b)</t>
  </si>
  <si>
    <t xml:space="preserve">Line No 441
Item No </t>
  </si>
  <si>
    <t>Line No 442
Item No C201</t>
  </si>
  <si>
    <t>Line No 443
Item No C201(a)</t>
  </si>
  <si>
    <t>Line No 444
Item No C201(b)</t>
  </si>
  <si>
    <t>Provision of Temporary Roadways, Side-tracks and Detours</t>
  </si>
  <si>
    <t>Line No 445
Item No C211</t>
  </si>
  <si>
    <t>Line No 446
Item No C211(a)</t>
  </si>
  <si>
    <t>Line No 447
Item No C212</t>
  </si>
  <si>
    <t xml:space="preserve">Line No 448
Item No </t>
  </si>
  <si>
    <t>Line No 450
Item No C213</t>
  </si>
  <si>
    <t>Line No 451
Item No C213(a)</t>
  </si>
  <si>
    <t>Removal &amp; Stockpiling of  Topsoil for reuse (100mm thick nom.)</t>
  </si>
  <si>
    <t xml:space="preserve">Tipper                   </t>
  </si>
  <si>
    <t>Line No 452
Item No C213(b)</t>
  </si>
  <si>
    <t>Line No 453
Item No C213(c)</t>
  </si>
  <si>
    <t>Line No 454
Item No C213(d)</t>
  </si>
  <si>
    <t xml:space="preserve">Line No 456
Item No </t>
  </si>
  <si>
    <t>Line No 457
Item No C220</t>
  </si>
  <si>
    <t xml:space="preserve">Line No 458
Item No </t>
  </si>
  <si>
    <t>Line No 459
Item No C221</t>
  </si>
  <si>
    <t>Line No 460
Item No C221(a)</t>
  </si>
  <si>
    <t>Connect property drainage pipes ( 7 No.)</t>
  </si>
  <si>
    <t>EE formula - =q(7) No. of properties</t>
  </si>
  <si>
    <t>Line No 461
Item No C222</t>
  </si>
  <si>
    <t>Line No 462
Item No C222(a)</t>
  </si>
  <si>
    <t>Line No 463
Item No C222(b)</t>
  </si>
  <si>
    <t>750 x 300</t>
  </si>
  <si>
    <t>Line No 464
Item No C223</t>
  </si>
  <si>
    <t>Line No 465
Item No C223(b)</t>
  </si>
  <si>
    <t>MCC Type A Gully Pit (including chamber)</t>
  </si>
  <si>
    <t>Line No 466
Item No C224</t>
  </si>
  <si>
    <t>Line No 467
Item No C224(h)</t>
  </si>
  <si>
    <t>Line No 468
Item No C224(h)</t>
  </si>
  <si>
    <t>(iv)  Concrete Dish Drain (600 wide) complete</t>
  </si>
  <si>
    <t xml:space="preserve">Line No 470
Item No </t>
  </si>
  <si>
    <t>Line No 471
Item No C231</t>
  </si>
  <si>
    <t>Line No 472
Item No C231(b)</t>
  </si>
  <si>
    <t>Subsoil Drain Pipe - 100mm dia Slotted Corrugated Plastic Pipe complete</t>
  </si>
  <si>
    <t xml:space="preserve">Line No 473
Item No </t>
  </si>
  <si>
    <t>Special Item -Subsoil Drain Pipe - 100mm dia Slotted Corrugated Plastic Pipe encased in no fines concrete complete as shown on drawings</t>
  </si>
  <si>
    <t>Line No 474
Item No C232(c)</t>
  </si>
  <si>
    <t xml:space="preserve">Line No 476
Item No </t>
  </si>
  <si>
    <t>Line No 477
Item No C242</t>
  </si>
  <si>
    <t xml:space="preserve">Line No 478
Item No </t>
  </si>
  <si>
    <t xml:space="preserve">Line No 479
Item No </t>
  </si>
  <si>
    <t xml:space="preserve">Line No 480
Item No </t>
  </si>
  <si>
    <t>Special Item - Geogrid layer (PROVISIONAL)</t>
  </si>
  <si>
    <t xml:space="preserve">Line No 481
Item No </t>
  </si>
  <si>
    <t>Special Item -Geotextile layer (PROVISIONAL)</t>
  </si>
  <si>
    <t>Line No 482
Item No C244</t>
  </si>
  <si>
    <t>Line No 483
Item No C244(a)</t>
  </si>
  <si>
    <t>Line No 484
Item No C244(a)</t>
  </si>
  <si>
    <t>(vi)  AMC4</t>
  </si>
  <si>
    <t>Line No 485
Item No C245</t>
  </si>
  <si>
    <t>Line No 486
Item No C245(c)</t>
  </si>
  <si>
    <t>Line No 487
Item No C245(c)</t>
  </si>
  <si>
    <t xml:space="preserve">Line No 489
Item No </t>
  </si>
  <si>
    <t>Line No 490
Item No C271</t>
  </si>
  <si>
    <t>Line No 491
Item No C271(c)</t>
  </si>
  <si>
    <t>Line No 492
Item No C271(c)</t>
  </si>
  <si>
    <t>(iv)  Residential Invert Crossing (3.1m to 4.5m)</t>
  </si>
  <si>
    <t>Line No 493
Item No C271(c)</t>
  </si>
  <si>
    <t>(viii) Hand Placed Concrete Paving (Footpath / Bikeway)</t>
  </si>
  <si>
    <t>Line No 494
Item No C273</t>
  </si>
  <si>
    <t>Line No 495
Item No C273(a)</t>
  </si>
  <si>
    <t>Line No 496
Item No C273(a)</t>
  </si>
  <si>
    <t xml:space="preserve">Line No 498
Item No </t>
  </si>
  <si>
    <t>Line No 499
Item No C320</t>
  </si>
  <si>
    <t xml:space="preserve">Line No 500
Item No </t>
  </si>
  <si>
    <t>Supply and install mains and reticulation</t>
  </si>
  <si>
    <t xml:space="preserve">Line No 502
Item No </t>
  </si>
  <si>
    <t xml:space="preserve">Line No 503
Item No </t>
  </si>
  <si>
    <t xml:space="preserve">Line No 507
Item No </t>
  </si>
  <si>
    <t>STERRY STREET</t>
  </si>
  <si>
    <t xml:space="preserve">Line No 509
Item No </t>
  </si>
  <si>
    <t>Line No 510
Item No CQC</t>
  </si>
  <si>
    <t>Line No 511
Item No QCP1</t>
  </si>
  <si>
    <t xml:space="preserve">Line No 513
Item No </t>
  </si>
  <si>
    <t>Line No 514
Item No C101</t>
  </si>
  <si>
    <t>Line No 515
Item No C101(b)</t>
  </si>
  <si>
    <t xml:space="preserve">Line No 517
Item No </t>
  </si>
  <si>
    <t>Line No 518
Item No C201</t>
  </si>
  <si>
    <t>Line No 519
Item No C201(a)</t>
  </si>
  <si>
    <t>Line No 520
Item No C211</t>
  </si>
  <si>
    <t>Line No 521
Item No C211(a)</t>
  </si>
  <si>
    <t>Line No 522
Item No C212</t>
  </si>
  <si>
    <t xml:space="preserve">Line No 523
Item No </t>
  </si>
  <si>
    <t>Line No 524
Item No C213</t>
  </si>
  <si>
    <t>Line No 525
Item No C213(b)</t>
  </si>
  <si>
    <t xml:space="preserve">Line No 527
Item No </t>
  </si>
  <si>
    <t>Line No 528
Item No C220</t>
  </si>
  <si>
    <t xml:space="preserve">Line No 529
Item No </t>
  </si>
  <si>
    <t xml:space="preserve">Line No 530
Item No </t>
  </si>
  <si>
    <t>Alteration to Existing Stormwater Structures</t>
  </si>
  <si>
    <t>6 x new grates. 3 x walls dowelled &amp; pinned.</t>
  </si>
  <si>
    <t>Grate &amp; Frame</t>
  </si>
  <si>
    <t>Line No 531
Item No C221</t>
  </si>
  <si>
    <t>Line No 532
Item No C221(a)</t>
  </si>
  <si>
    <t>Line No 533
Item No C222</t>
  </si>
  <si>
    <t>Line No 534
Item No C222(a)</t>
  </si>
  <si>
    <t>Line No 535
Item No C222(b)</t>
  </si>
  <si>
    <t>EE formula - =q(25) Hand Placed Backfill</t>
  </si>
  <si>
    <t>Line No 536
Item No C223</t>
  </si>
  <si>
    <t>Line No 537
Item No C223(b)</t>
  </si>
  <si>
    <t>Line No 538
Item No C224</t>
  </si>
  <si>
    <t>Line No 539
Item No C224(h)</t>
  </si>
  <si>
    <t xml:space="preserve">Line No 541
Item No </t>
  </si>
  <si>
    <t>Line No 542
Item No C231</t>
  </si>
  <si>
    <t>Line No 543
Item No C231(b)</t>
  </si>
  <si>
    <t>Line No 544
Item No C232(c)</t>
  </si>
  <si>
    <t xml:space="preserve">Line No 546
Item No </t>
  </si>
  <si>
    <t>Line No 547
Item No C242</t>
  </si>
  <si>
    <t xml:space="preserve">Line No 548
Item No </t>
  </si>
  <si>
    <t xml:space="preserve">Line No 549
Item No </t>
  </si>
  <si>
    <t>Place only Type 2.5 (cement modified)</t>
  </si>
  <si>
    <t xml:space="preserve">Line No 550
Item No </t>
  </si>
  <si>
    <t xml:space="preserve">Line No 551
Item No </t>
  </si>
  <si>
    <t xml:space="preserve">Line No 552
Item No </t>
  </si>
  <si>
    <t>Line No 553
Item No C245</t>
  </si>
  <si>
    <t>Line No 554
Item No C245(c)</t>
  </si>
  <si>
    <t>Line No 555
Item No C245(c)</t>
  </si>
  <si>
    <t xml:space="preserve">Line No 557
Item No </t>
  </si>
  <si>
    <t>Line No 558
Item No C261</t>
  </si>
  <si>
    <t>Line No 559
Item No C261(a)</t>
  </si>
  <si>
    <t>Line No 560
Item No C261(b)</t>
  </si>
  <si>
    <t>Line No 561
Item No C262</t>
  </si>
  <si>
    <t>Line No 562
Item No C262(g)</t>
  </si>
  <si>
    <t xml:space="preserve">Line No 563
Item No </t>
  </si>
  <si>
    <t>Supply &amp; Installation of all Signs (complete)</t>
  </si>
  <si>
    <t xml:space="preserve">Line No 565
Item No </t>
  </si>
  <si>
    <t>Line No 566
Item No C271</t>
  </si>
  <si>
    <t>Line No 567
Item No C271(c)</t>
  </si>
  <si>
    <t>Line No 568
Item No C271(c)</t>
  </si>
  <si>
    <t>(ii)  Concrete Kerb Ramp (1 No)</t>
  </si>
  <si>
    <t>Line No 569
Item No C271(c)</t>
  </si>
  <si>
    <t>(iv)  Residential Invert Crossing (10.5 m)</t>
  </si>
  <si>
    <t>Line No 570
Item No C271(c)</t>
  </si>
  <si>
    <t>Line No 571
Item No C273</t>
  </si>
  <si>
    <t>Line No 572
Item No C273(a)</t>
  </si>
  <si>
    <t>Line No 573
Item No C273(a)</t>
  </si>
  <si>
    <t xml:space="preserve">Line No 575
Item No </t>
  </si>
  <si>
    <t>Line No 576
Item No C320</t>
  </si>
  <si>
    <t xml:space="preserve">Line No 577
Item No </t>
  </si>
  <si>
    <t xml:space="preserve">Line No 578
Item No </t>
  </si>
  <si>
    <t xml:space="preserve">Line No 580
Item No </t>
  </si>
  <si>
    <t xml:space="preserve">Line No 581
Item No </t>
  </si>
  <si>
    <t xml:space="preserve">Line No OH  1
Item No </t>
  </si>
  <si>
    <t>Project Engineering</t>
  </si>
  <si>
    <t xml:space="preserve">Line No OH  2
Item No </t>
  </si>
  <si>
    <t>Project Supervision</t>
  </si>
  <si>
    <t xml:space="preserve">Line No OH  3
Item No </t>
  </si>
  <si>
    <t>Insurances &amp; Fees</t>
  </si>
  <si>
    <t>CAR</t>
  </si>
  <si>
    <t>Retention Costs</t>
  </si>
  <si>
    <t xml:space="preserve">Line No OH  4
Item No </t>
  </si>
  <si>
    <t>Site Vehicle</t>
  </si>
  <si>
    <t>Ute - Hire</t>
  </si>
  <si>
    <t xml:space="preserve">day  </t>
  </si>
  <si>
    <t xml:space="preserve">Line No OH  5
Item No </t>
  </si>
  <si>
    <t>Site Facilities</t>
  </si>
  <si>
    <t>Crib Facilities</t>
  </si>
  <si>
    <t>Date</t>
  </si>
  <si>
    <t>Description</t>
  </si>
  <si>
    <t>Resource</t>
  </si>
  <si>
    <t xml:space="preserve"> </t>
  </si>
  <si>
    <t>Inv SI3632343</t>
  </si>
  <si>
    <t xml:space="preserve">     </t>
  </si>
  <si>
    <t>Inv No - SI3636328</t>
  </si>
  <si>
    <t xml:space="preserve">Field Density            </t>
  </si>
  <si>
    <t>Inv No - SI3636326</t>
  </si>
  <si>
    <t>Inv No - SI3638506</t>
  </si>
  <si>
    <t xml:space="preserve">Field Survey             </t>
  </si>
  <si>
    <t>Inv No - SI3638507</t>
  </si>
  <si>
    <t>Inv No- SI3639265</t>
  </si>
  <si>
    <t>Inv No - SI3641254</t>
  </si>
  <si>
    <t>Inv No - SI3641258</t>
  </si>
  <si>
    <t>Inv No - SI3641256</t>
  </si>
  <si>
    <t>Inv No - SI3643241</t>
  </si>
  <si>
    <t>Inv No - SI3643249</t>
  </si>
  <si>
    <t>Inv No - SI3643246</t>
  </si>
  <si>
    <t>Inv No - SI3643244</t>
  </si>
  <si>
    <t>Inv No - SI3656365</t>
  </si>
  <si>
    <t>Survey Team.  Inv No - SI3647089</t>
  </si>
  <si>
    <t>Inv No - SI3648210</t>
  </si>
  <si>
    <t>Inv No - SI3648242</t>
  </si>
  <si>
    <t>Inv No - SI3648246</t>
  </si>
  <si>
    <t>Inv No - SI3649823</t>
  </si>
  <si>
    <t>Inv No - SI3649824</t>
  </si>
  <si>
    <t>Inv No - SI3649825</t>
  </si>
  <si>
    <t>Inv No - SI3649822</t>
  </si>
  <si>
    <t>Inv No - SI3649826</t>
  </si>
  <si>
    <t>Docket No 09888 09890 09891 09893 09894 .  Inv No SI3651775</t>
  </si>
  <si>
    <t>Inv No - SI3651777</t>
  </si>
  <si>
    <t xml:space="preserve">Subtotal for 011                   </t>
  </si>
  <si>
    <t>Inv No - SI3639264</t>
  </si>
  <si>
    <t>Inv No - SI3644798</t>
  </si>
  <si>
    <t>Inv No - SI3644801</t>
  </si>
  <si>
    <t>Inv No - SI3644803</t>
  </si>
  <si>
    <t>Inv No - SI3644799</t>
  </si>
  <si>
    <t>Inv No - SI3646365</t>
  </si>
  <si>
    <t>Inv No - SI3648251</t>
  </si>
  <si>
    <t>Dockets No - 09888 09890 09891 09893 09894
Inv No - SI3651775</t>
  </si>
  <si>
    <t>Doherty Street.</t>
  </si>
  <si>
    <t>Anzac Street</t>
  </si>
  <si>
    <t>Faust Street</t>
  </si>
  <si>
    <t xml:space="preserve">Subtotal for 012                   </t>
  </si>
  <si>
    <t>Moisture Density Relationship &amp; FD (nuclear Gauge )  Inv No CBW:69122235</t>
  </si>
  <si>
    <t>Inv No 106837</t>
  </si>
  <si>
    <t>Inv No SI3633896</t>
  </si>
  <si>
    <t>Inv No 107125</t>
  </si>
  <si>
    <t xml:space="preserve">Compressive Streght Test </t>
  </si>
  <si>
    <t>Inv No - 107480</t>
  </si>
  <si>
    <t>Inv No - 107842</t>
  </si>
  <si>
    <t>Inv No - 107837</t>
  </si>
  <si>
    <t>Travel to Site.    Inv No - 107836</t>
  </si>
  <si>
    <t>Inv No - 108595</t>
  </si>
  <si>
    <t>Inv No - 108600</t>
  </si>
  <si>
    <t>Inv No - 108599</t>
  </si>
  <si>
    <t>Inv No - 108999</t>
  </si>
  <si>
    <t>Inv No - 109003</t>
  </si>
  <si>
    <t>Inv No - 108998</t>
  </si>
  <si>
    <t>Inv No - 109449</t>
  </si>
  <si>
    <t>Inv No - 109451</t>
  </si>
  <si>
    <t>Inv No - ICR1300457</t>
  </si>
  <si>
    <t>Inv No - ICR1300456</t>
  </si>
  <si>
    <t>Inv No - ICR1300831</t>
  </si>
  <si>
    <t>Inv No - ICR1300819</t>
  </si>
  <si>
    <t>Inv No - ICR1300829</t>
  </si>
  <si>
    <t>Inv No - ICR1301209</t>
  </si>
  <si>
    <t>Inv No - ICR1301208</t>
  </si>
  <si>
    <t>Inv No - ICR1301601</t>
  </si>
  <si>
    <t xml:space="preserve">Subtotal for 013                   </t>
  </si>
  <si>
    <t>Worked carried out corner of Lurline drive &amp; Dodd Str.  Inv No - 00102754</t>
  </si>
  <si>
    <t xml:space="preserve">Service Locator          </t>
  </si>
  <si>
    <t>Inv No - 102844</t>
  </si>
  <si>
    <t>Inv No - 102889</t>
  </si>
  <si>
    <t>Inv No - 0168</t>
  </si>
  <si>
    <t>Cable Location carried out on Dobbin Lane.  Inv No - 220</t>
  </si>
  <si>
    <t>Inv No - 0284</t>
  </si>
  <si>
    <t>Inv No - 305</t>
  </si>
  <si>
    <t>Inv No - 350</t>
  </si>
  <si>
    <t>Work Carried out on Faust/Compton.  Inv No  - 0263</t>
  </si>
  <si>
    <t xml:space="preserve">Subtotal for 015                   </t>
  </si>
  <si>
    <t>Waste-Disposal</t>
  </si>
  <si>
    <t xml:space="preserve">Waste Disposal           </t>
  </si>
  <si>
    <t xml:space="preserve">Subtotal for 032                   </t>
  </si>
  <si>
    <t>21 Tonne Excavator</t>
  </si>
  <si>
    <t xml:space="preserve">Berry Excavations        </t>
  </si>
  <si>
    <t>Labour Hire</t>
  </si>
  <si>
    <t>Truck</t>
  </si>
  <si>
    <t>Mcdowall Earthmoving  (Backhoe Hire )</t>
  </si>
  <si>
    <t xml:space="preserve">McDowall Earthmoving     </t>
  </si>
  <si>
    <t xml:space="preserve">Labour Hire </t>
  </si>
  <si>
    <t xml:space="preserve">Taylor Earthmoving  ( 3t Excavator ) </t>
  </si>
  <si>
    <t xml:space="preserve">Taylors Earthmoving      </t>
  </si>
  <si>
    <t>Water Truck Hire</t>
  </si>
  <si>
    <t xml:space="preserve">Talbots                  </t>
  </si>
  <si>
    <t>New Holland Compact Grader - No Operator</t>
  </si>
  <si>
    <t xml:space="preserve">NH Grader                </t>
  </si>
  <si>
    <t>( Bobcat Hire )</t>
  </si>
  <si>
    <t xml:space="preserve">Mcdowall Earthmoving  (Backhoe Hire ) </t>
  </si>
  <si>
    <t>Terry Flanagan Backhoe Hire</t>
  </si>
  <si>
    <t xml:space="preserve">Terry Flanagan           </t>
  </si>
  <si>
    <t>( 10 M Tipper )</t>
  </si>
  <si>
    <t xml:space="preserve">Lovell Earthmoving       </t>
  </si>
  <si>
    <t>Plant Operator-Labour Hire</t>
  </si>
  <si>
    <t>CAT297 Stabiliser - No operator</t>
  </si>
  <si>
    <t xml:space="preserve">CAT297 Stabiliser        </t>
  </si>
  <si>
    <t>Truck Hire</t>
  </si>
  <si>
    <t xml:space="preserve">Micheal Biles            </t>
  </si>
  <si>
    <t>Earthmoving &amp; Water Cart</t>
  </si>
  <si>
    <t xml:space="preserve">Subtotal for 033                   </t>
  </si>
  <si>
    <t>Excavator  ( 7 Tonne)</t>
  </si>
  <si>
    <t xml:space="preserve">Taylors Earthmoving  ( 3t Excavator ) </t>
  </si>
  <si>
    <t>Hired on the 14/5/2012.  Inv No - 285238</t>
  </si>
  <si>
    <t xml:space="preserve">Generator                </t>
  </si>
  <si>
    <t>Truck &amp; Trailer Hire</t>
  </si>
  <si>
    <t>Hired on the 14/5/2012 - 16/5/2012.  Inv No - 285417</t>
  </si>
  <si>
    <t>Generator , Heavy Duty Breaker, Point Chisel Breakers .  Hired 3/7/2012 - 5/7/2012.  Inv No - 292252</t>
  </si>
  <si>
    <t>Labour Hire  ( Achieve Group )</t>
  </si>
  <si>
    <t>Concrtetor Hire</t>
  </si>
  <si>
    <t>Time &amp; Half</t>
  </si>
  <si>
    <t>Heavy Duty Breaker, Point Breaker, Generator.  Hired 2/8/12 - 6/8/12.  Inv No - 296297</t>
  </si>
  <si>
    <t xml:space="preserve">Subtotal for 041                   </t>
  </si>
  <si>
    <t xml:space="preserve">Subtotal for 052                   </t>
  </si>
  <si>
    <t>Excavator  ( 7 Tonne )</t>
  </si>
  <si>
    <t>Berry ( Bogie / Tipper )</t>
  </si>
  <si>
    <t>(10 M Tipper )</t>
  </si>
  <si>
    <t xml:space="preserve">Pollard Earthmoving      </t>
  </si>
  <si>
    <t>Excavator ( 7 Tonne )</t>
  </si>
  <si>
    <t>Excavator   ( 7 Tonne )</t>
  </si>
  <si>
    <t xml:space="preserve"> (Water Truck )</t>
  </si>
  <si>
    <t xml:space="preserve">Excavator ( 7 Tonne ) </t>
  </si>
  <si>
    <t xml:space="preserve">  Excavator  (7 tonne )</t>
  </si>
  <si>
    <t>( 10m Tipper )</t>
  </si>
  <si>
    <t xml:space="preserve">DoyawanaTruck Hire </t>
  </si>
  <si>
    <t xml:space="preserve">Doyawana                 </t>
  </si>
  <si>
    <t xml:space="preserve"> (Truck Hire )</t>
  </si>
  <si>
    <t>(Tipper Hire )</t>
  </si>
  <si>
    <t>Excavator 21 Tonne</t>
  </si>
  <si>
    <t>DoyawanaTruck Hire</t>
  </si>
  <si>
    <t>Tipper Hire</t>
  </si>
  <si>
    <t>7 Tonne Excavator</t>
  </si>
  <si>
    <t>Taylors Earthmoving   ( 25 t Excavator )</t>
  </si>
  <si>
    <t>Foreman</t>
  </si>
  <si>
    <t>Micheal Biles.   ( 10m Tipper )</t>
  </si>
  <si>
    <t>Body Truck  Hire</t>
  </si>
  <si>
    <t xml:space="preserve">Raymonds Truck Hire      </t>
  </si>
  <si>
    <t>Body Truck</t>
  </si>
  <si>
    <t>Body Truck Hire</t>
  </si>
  <si>
    <t>Body  Truck Hire</t>
  </si>
  <si>
    <t>BodyTruck Hire</t>
  </si>
  <si>
    <t>Standby Tipper</t>
  </si>
  <si>
    <t>7  Tonne Excavator</t>
  </si>
  <si>
    <t>Truck &amp; Dog Hire</t>
  </si>
  <si>
    <t>Taylors Earthmoving  25t Excavator</t>
  </si>
  <si>
    <t>Twin Steer Truck Hire</t>
  </si>
  <si>
    <t xml:space="preserve">Humphries Pty Ltd        </t>
  </si>
  <si>
    <t>Water Truck</t>
  </si>
  <si>
    <t>Water Truck.  Inv No 4924</t>
  </si>
  <si>
    <t>Twin Steer Hire</t>
  </si>
  <si>
    <t>Taylors Earthmoving  ( 23t Excabator )</t>
  </si>
  <si>
    <t xml:space="preserve">taylors Eathmoving  ( 23t Excavator ) </t>
  </si>
  <si>
    <t>Taylors Earthmoving    (23t Excavator )</t>
  </si>
  <si>
    <t>Taylors Earthmoving ( 3t Excavator )</t>
  </si>
  <si>
    <t>Taylors Excavator ( 3t Excavator )</t>
  </si>
  <si>
    <t>Allans Earthmoving (Tipper Hire)</t>
  </si>
  <si>
    <t xml:space="preserve">Allans Earthmoving       </t>
  </si>
  <si>
    <t>N K Jepsen Tipper Hire</t>
  </si>
  <si>
    <t xml:space="preserve">N K Jepsen Tipper Hire   </t>
  </si>
  <si>
    <t xml:space="preserve">    T Excavator Hire</t>
  </si>
  <si>
    <t xml:space="preserve">Watts Excavations        </t>
  </si>
  <si>
    <t>12H Grader - Allciv Pty Ltd</t>
  </si>
  <si>
    <t>12H Grader- Allciv Ptd Lt</t>
  </si>
  <si>
    <t>Truck  Hire</t>
  </si>
  <si>
    <t>Quick Cut Saw &amp; Daimond Blade.  Hired 31/8/12 - 10/9/12.  Inv No - 300862</t>
  </si>
  <si>
    <t xml:space="preserve">Quick Cut Saw            </t>
  </si>
  <si>
    <t>Labour Hire  ( People Resourcing )</t>
  </si>
  <si>
    <t>Truck Hire (Dry Hire)</t>
  </si>
  <si>
    <t>Double Drum Roller. Hired 31/8/12 - 28/9/12.  Inv No 303113</t>
  </si>
  <si>
    <t xml:space="preserve">Double Drum Roller       </t>
  </si>
  <si>
    <t>Dynapac CC 21 Roller.  Hired 31/8/12 - 20/9/12.  Inv No - 303112</t>
  </si>
  <si>
    <t xml:space="preserve">Dynapac CC21 Roller      </t>
  </si>
  <si>
    <t xml:space="preserve">Subtotal for 053                   </t>
  </si>
  <si>
    <t>Twim Steer Hire</t>
  </si>
  <si>
    <t>Taylors Earthmoving ( 23t Excavator )</t>
  </si>
  <si>
    <t xml:space="preserve">Ace One Truck Hire       </t>
  </si>
  <si>
    <t xml:space="preserve">J &amp; S Truck Hire         </t>
  </si>
  <si>
    <t>Taylors Earthmoving (23t Excavator )</t>
  </si>
  <si>
    <t>Excavator ( 5 Tonner )</t>
  </si>
  <si>
    <t>Earthmoving Hire  ( 24t )</t>
  </si>
  <si>
    <t xml:space="preserve">Banks Earthmoving        </t>
  </si>
  <si>
    <t>Grader Hire</t>
  </si>
  <si>
    <t>Twin Steer</t>
  </si>
  <si>
    <t>Earthmoving Hire 24T</t>
  </si>
  <si>
    <t>Earthmoving Hire 24t</t>
  </si>
  <si>
    <t>Pad Foot Roller - Dry.  Hired on the 2/5/2012 - 8/5/2012.   Inv No 284764</t>
  </si>
  <si>
    <t xml:space="preserve">PF Roller                </t>
  </si>
  <si>
    <t>Bulk GP / GB Cement.  Inv No - 21272448</t>
  </si>
  <si>
    <t xml:space="preserve">Cement                   </t>
  </si>
  <si>
    <t>Bulk GP / GB Cement.  Inv No - 21272578</t>
  </si>
  <si>
    <t>Bulk GP / GB Cement.  Inv No - 21272650</t>
  </si>
  <si>
    <t>Bulk GP / GB Cement.  Inv No - 21272744</t>
  </si>
  <si>
    <t>Bulk GP / GB Cement.  Inv No - 21272790</t>
  </si>
  <si>
    <t>Bulk GP / GB Cement.  Inv No - 21272888</t>
  </si>
  <si>
    <t>Double Drum Roller.  Inv No - 295261</t>
  </si>
  <si>
    <t>Pad Foot Roller - Dry Hire Hired 7/7/12 - 31/7/12.  Inv No - 295263</t>
  </si>
  <si>
    <t xml:space="preserve"> 11T Excavator Hire</t>
  </si>
  <si>
    <t xml:space="preserve">Tom Hurst                </t>
  </si>
  <si>
    <t>Pad Foot Roller - Dry</t>
  </si>
  <si>
    <t>Backhoe Hire</t>
  </si>
  <si>
    <t>Semi Side Tipper Hire</t>
  </si>
  <si>
    <t>Pad Foot Roller - Dry.  Hired 31/7/12 - 24/8/12. Inv No - 298887</t>
  </si>
  <si>
    <t>Truck Hire Dry Hire</t>
  </si>
  <si>
    <t xml:space="preserve">Subtotal for 057                   </t>
  </si>
  <si>
    <t>Taylors Earthmoving   (3t Excavator )</t>
  </si>
  <si>
    <t xml:space="preserve">Subtotal for 061                   </t>
  </si>
  <si>
    <t>Plate Compactor - Dry  Vibrating Rammer              Inv - 259690</t>
  </si>
  <si>
    <t xml:space="preserve">Plate Compactor          </t>
  </si>
  <si>
    <t>Tipper - Allciv (No Driver)</t>
  </si>
  <si>
    <t xml:space="preserve">Tipper - Allciv          </t>
  </si>
  <si>
    <t>Hire of tipper from foxdale Quarry to Jupp Street  Inv No - 18970</t>
  </si>
  <si>
    <t>Hire from the 30/11/2011 to the 30/11/2011  Inv No 265610</t>
  </si>
  <si>
    <t xml:space="preserve">Vibrating Rammer         </t>
  </si>
  <si>
    <t>Hire From the 31/10/2011 to the 30/11/2011  Inv No 7775893</t>
  </si>
  <si>
    <t xml:space="preserve">Multi Tyre Roller        </t>
  </si>
  <si>
    <t>Stabilised Sand  Inv No 8834</t>
  </si>
  <si>
    <t xml:space="preserve">Stabilised Sand          </t>
  </si>
  <si>
    <t>Vibrating Rammer ( Flexi Hire ) Hired from the30/11/2011 to the 10/12/2011                     Inv No 267003</t>
  </si>
  <si>
    <t>Bedding Sand Inv No 4428</t>
  </si>
  <si>
    <t xml:space="preserve">Sand                     </t>
  </si>
  <si>
    <t>Hire from the 30/11/2011 to the 31/12/2011.  Inv No 269588</t>
  </si>
  <si>
    <t>Coates 12H Grader Hire  Hire from the 30/11/2011 to the 31/12/2011                          Inv No - 9194232</t>
  </si>
  <si>
    <t xml:space="preserve">Grader                   </t>
  </si>
  <si>
    <t>Coates 12H Grader Hire . Hired from the 31/12/2011 to the 19/01/2012 .  Inv No - 9268059</t>
  </si>
  <si>
    <t>S.A &amp; M.L Mackenzie  ( Grader Hire )</t>
  </si>
  <si>
    <t xml:space="preserve">Mackenzie Earthmoving    </t>
  </si>
  <si>
    <t>Vibrating Rammer ( Flexi Hire ) . Hire from the 2/2/12 to the 10/2/12.   Inv No 273688</t>
  </si>
  <si>
    <t>Water / Tipper</t>
  </si>
  <si>
    <t>Dynapac CC21 Roller.  Hired from the 31/01/12 - 29/02/12.  Inv No - 276343</t>
  </si>
  <si>
    <t xml:space="preserve">Dynapac Roller           </t>
  </si>
  <si>
    <t>Double Drum Roller, Plus Delivery.  Hired from the 23/02/12  -  29/02/12.  Inv No 276347</t>
  </si>
  <si>
    <t xml:space="preserve">Grader </t>
  </si>
  <si>
    <t>Truck &amp; Trailor Hire</t>
  </si>
  <si>
    <t>Taylors Earthmoving  ( 3t Excavator )</t>
  </si>
  <si>
    <t>Truck &amp; Dot Hire</t>
  </si>
  <si>
    <t>Humpries Twin Steer Hire</t>
  </si>
  <si>
    <t>Humpries Truck &amp; Dog Hire</t>
  </si>
  <si>
    <t>Humphries Grader Hire</t>
  </si>
  <si>
    <t>Humpries Truck Hire</t>
  </si>
  <si>
    <t>Hired from the 29/2/2012  to the 31/3/2012.  Inv No - 279426</t>
  </si>
  <si>
    <t>Double Drum Roller. Hired from the 29/2/2012 to the 31/3/2012.    Inv No - 279430</t>
  </si>
  <si>
    <t>Twin Stee Hire</t>
  </si>
  <si>
    <t>Hired from the 31/3/12 to the 4/4/2012.  Inv No - 280613</t>
  </si>
  <si>
    <t>Vibrating Rammer ( Flexi Hire ) . Hired from the 31/3/2012 to the 5/4/2012.  Inv No - 280840</t>
  </si>
  <si>
    <t>Excavator ( 5t )</t>
  </si>
  <si>
    <t>Side Tipper</t>
  </si>
  <si>
    <t xml:space="preserve">Steve Banks              </t>
  </si>
  <si>
    <t>Dynapac CC 21 Roller.  Hired from the 31/3/2012 - 30/4/2012.  Inv No - 283186</t>
  </si>
  <si>
    <t>Vibrating Rammer ( Flexi Hire ).  Hired on the 19/4/2012 - 30/4/2012.  Inv No - 283192</t>
  </si>
  <si>
    <t>Vibrating Rammer ( Flexi Hire ) Hired from the 30/4/2012 - 1/5/2012.  Inv No - 284071</t>
  </si>
  <si>
    <t>Vibrating Rammer ( Flexi Hire ) .  Hired from the 11/5/2012 - 12/5/2012.  Inv No - 285035</t>
  </si>
  <si>
    <t>Float</t>
  </si>
  <si>
    <t>Water Cart Hire</t>
  </si>
  <si>
    <t xml:space="preserve"> Water Cart Hire</t>
  </si>
  <si>
    <t>Vibrating Rammer ( Flexi Hire )  Hired 16/6/2012 - 29/6/2012.  Inv No - 290647</t>
  </si>
  <si>
    <t>Dynapac CC 21 Roller.  Hired 31/5/2012 - 30/6/2012.  Inv No - 291189</t>
  </si>
  <si>
    <t>Pad Foot Roller - Dry Hired 7/7/12 - 31/7/12.  Inv No - 295263</t>
  </si>
  <si>
    <t>Dynapac CC 21 Roller.  Hired 30/6/12 - 31/7/12.  Inv No - 295257</t>
  </si>
  <si>
    <t>11 T Excavator Hire</t>
  </si>
  <si>
    <t>Vibrating Rammer ( Flexi Hire ).Hired 7/8/12 - 15/8/12.    Inv No - 297270</t>
  </si>
  <si>
    <t>Operator-Labour</t>
  </si>
  <si>
    <t>Earthmoving Hire</t>
  </si>
  <si>
    <t>Earthmoving &amp; Water Cart Semi Tipper Hire</t>
  </si>
  <si>
    <t>Earthmiving &amp; Water Cart</t>
  </si>
  <si>
    <t>S/D Roller - 13T - Dry Hire  ( Flexi Hire ) Hired 30/6/2012 - 16/7/2012.  Inv No 293883</t>
  </si>
  <si>
    <t xml:space="preserve">SD Roller -13T           </t>
  </si>
  <si>
    <t>Semi Tipper Hire</t>
  </si>
  <si>
    <t>Dynapac CC 21 Roller.  Hired 31/7/12 - 31/8/12.  Inv No - 299458</t>
  </si>
  <si>
    <t>Double Drum Roller.  Hired 31/7/12 -  31/8/12.  Inv No - 299459</t>
  </si>
  <si>
    <t>Truck &amp; Dog  Hire</t>
  </si>
  <si>
    <t>Inv No - 5103</t>
  </si>
  <si>
    <t xml:space="preserve">Subtotal for 062                   </t>
  </si>
  <si>
    <t>Excavator  21 Tonne</t>
  </si>
  <si>
    <t>Hired from 5/3/12  -  7/3/12 .                          Inv No - 9458775</t>
  </si>
  <si>
    <t xml:space="preserve">Portable Vibrator Shaft  </t>
  </si>
  <si>
    <t>Grader HIre</t>
  </si>
  <si>
    <t>Spreader Truck</t>
  </si>
  <si>
    <t xml:space="preserve">Ivecko Spreader Truck    </t>
  </si>
  <si>
    <t>Double Drum Roller.  Hired on the 18/4/2012 - 24/4/2012.  Inv No - 282621</t>
  </si>
  <si>
    <t>Standpipe Water Consumption.  Inv no - 5996</t>
  </si>
  <si>
    <t xml:space="preserve">Water Consumption        </t>
  </si>
  <si>
    <t>Pad Foot Roller - Dry. Hired 31/7/12 - 24/8/12.  Inv No - 298887</t>
  </si>
  <si>
    <t>Double Drum Roller.  Hired 31/8/12 - 28/9/12.  Inv No - 303113</t>
  </si>
  <si>
    <t>Dynapac CC 21 Roller Hired 31/8/12 - 20/9/12. Invoice No - 303112</t>
  </si>
  <si>
    <t xml:space="preserve">Subtotal for 063                   </t>
  </si>
  <si>
    <t>ANZAC Ave - Inv 265044</t>
  </si>
  <si>
    <t xml:space="preserve">Seal Visit One           </t>
  </si>
  <si>
    <t>Labour Hire  ( Best Employment )</t>
  </si>
  <si>
    <t>7mm Primer Seal - Inv 5458379</t>
  </si>
  <si>
    <t xml:space="preserve">7mm Primer Seal          </t>
  </si>
  <si>
    <t>Inv No - AQMKB4009-001</t>
  </si>
  <si>
    <t xml:space="preserve">Primerseal               </t>
  </si>
  <si>
    <t>Primerseal.  Inv No - AQMKB4009-002</t>
  </si>
  <si>
    <t>Primerseal.   Inv No - AQMKB4009-003</t>
  </si>
  <si>
    <t>Primerseal.  Inv No - AQMKB4009-004</t>
  </si>
  <si>
    <t>Primerseal.  Inv No - AQMKB4009-005</t>
  </si>
  <si>
    <t>Asphalt.  Inv No - 6296253 RI</t>
  </si>
  <si>
    <t xml:space="preserve">Asphalt                  </t>
  </si>
  <si>
    <t>Primerseal. (Faust Doherty &amp; Dobbins).  Inv No - AQMKB4009-007</t>
  </si>
  <si>
    <t>Asphalt.  Inv No - 6358239 RI</t>
  </si>
  <si>
    <t>Hired 20/9/12 - 21/9/12.  Inv No 303115</t>
  </si>
  <si>
    <t>Sweeper with Bobcat.  Inv No - 01071</t>
  </si>
  <si>
    <t xml:space="preserve">Sweeper                  </t>
  </si>
  <si>
    <t xml:space="preserve">Subtotal for 064                   </t>
  </si>
  <si>
    <t>Primerseal.  Inv No- 6053291  RI</t>
  </si>
  <si>
    <t>Primerseal.  Inv No 6053291  RI.</t>
  </si>
  <si>
    <t>Asphalt.  Inv No - 6224194 RI</t>
  </si>
  <si>
    <t>Asphalt.  Inv No - 6371704 RI</t>
  </si>
  <si>
    <t>S/D Roller - 3T - Dry Hire  ( Flexi Hire )</t>
  </si>
  <si>
    <t xml:space="preserve">SD Roller - 3T           </t>
  </si>
  <si>
    <t xml:space="preserve">Screening.  Inv No - 7551 </t>
  </si>
  <si>
    <t xml:space="preserve">Subtotal for 065                   </t>
  </si>
  <si>
    <t>Carpark at Dobbins Lane</t>
  </si>
  <si>
    <t xml:space="preserve">Line Marking             </t>
  </si>
  <si>
    <t>Line Marking at Sterry St &amp; Chapman St Proserpine</t>
  </si>
  <si>
    <t>Line Marking of White Piano Keys at Dobbins Lane</t>
  </si>
  <si>
    <t xml:space="preserve">Subtotal for 066                   </t>
  </si>
  <si>
    <t xml:space="preserve">Subtotal for 067                   </t>
  </si>
  <si>
    <t>BCLA Pty Ltd.</t>
  </si>
  <si>
    <t xml:space="preserve">Tractor Profiller        </t>
  </si>
  <si>
    <t>Taylors Ëxcavator (3T)</t>
  </si>
  <si>
    <t>Pad Foot Roller - Dry.  Hired 1/6/2012 - 6/6/2012.  Inv No - 288519</t>
  </si>
  <si>
    <t>Double Drum Roller. Hired 4/6/2012 - 30/6/2012.  Inv No - 291194</t>
  </si>
  <si>
    <t xml:space="preserve">Subtotal for 068                   </t>
  </si>
  <si>
    <t>B1 &amp; M1 Powder Coated Aluminium Kerb Adaptors Docket No 15004  Inv - 198851</t>
  </si>
  <si>
    <t xml:space="preserve">Kerb Adaptors            </t>
  </si>
  <si>
    <t>Plus Damage Waiver &amp; Daimond Blade.  Hired on the 29/02/12.  Inv No - 276348</t>
  </si>
  <si>
    <t xml:space="preserve">Concrete Saw             </t>
  </si>
  <si>
    <t>Hired from the 29/2/12 - 2/3/12.  Inv No 276826</t>
  </si>
  <si>
    <t>Taylors Earthmoving   ( 3t Excavator )</t>
  </si>
  <si>
    <t>Inv No - 198339</t>
  </si>
  <si>
    <t xml:space="preserve">Kerb Subbie              </t>
  </si>
  <si>
    <t>Driveways, Cerb Crossing, Set &amp; Place Pit Walls.  Inv No - 956526</t>
  </si>
  <si>
    <t xml:space="preserve">Concrete Subbie          </t>
  </si>
  <si>
    <t>Inv No - 198341</t>
  </si>
  <si>
    <t>Set &amp; Finish of Kerb.  Inv No - 0956529</t>
  </si>
  <si>
    <t>Inv No - 956533</t>
  </si>
  <si>
    <t>Set and pour kerb and chanel in Chapman St.  Inv No - 85</t>
  </si>
  <si>
    <t>Inv No - 198400</t>
  </si>
  <si>
    <t>Double Time</t>
  </si>
  <si>
    <t>Set &amp; Place Finish concrete Kerb .  Inv No - 0956544</t>
  </si>
  <si>
    <t xml:space="preserve">Over Time </t>
  </si>
  <si>
    <t>Over Time</t>
  </si>
  <si>
    <t>Quick Cut Saw &amp; Daimond Blade.  Hired 28/8/12 - 31/8/12.  Inv No - 299463</t>
  </si>
  <si>
    <t>Dkt No 40628085, 40628086, 40628088, 40628092.  Inv No - QM8692191</t>
  </si>
  <si>
    <t xml:space="preserve">Kerb Machine             </t>
  </si>
  <si>
    <t>Set place &amp; Finish Kerb Channell.  Inv No - 57</t>
  </si>
  <si>
    <t>98 l/m of Kerb &amp; Gutter.  Faust Street.  Inv No - 0177276</t>
  </si>
  <si>
    <t>450 l/m of Kerb &amp; 22 Kerb adaptors Faust &amp; Doherty Street.   Inv No - 0177279</t>
  </si>
  <si>
    <t>Place Set &amp; Finish Speed Inhibiter &amp; Kerb.  Dobbins Lane</t>
  </si>
  <si>
    <t>Set Place &amp; Finish Kerb Channell, Doherty Street</t>
  </si>
  <si>
    <t>Dobbins Lane 183 L/M of Kerb &amp; Gutter &amp; 6 Kerb Adaptors   (See Comment)</t>
  </si>
  <si>
    <t xml:space="preserve">Subtotal for 071                   </t>
  </si>
  <si>
    <t>Hedwalls  Anzac Rd - Inv 956507</t>
  </si>
  <si>
    <t>Headwalls - Jupp St Inv 956507</t>
  </si>
  <si>
    <t>Inv No - 956509.</t>
  </si>
  <si>
    <t xml:space="preserve">Subtotal for 072                   </t>
  </si>
  <si>
    <t>Inv No - 956510</t>
  </si>
  <si>
    <t>Slab on Ground Inv No  - 956510.</t>
  </si>
  <si>
    <t>Place &amp; Set Footpath.  Inv No - 0956529</t>
  </si>
  <si>
    <t>Concrete Pipe Encacement , form edgeboard, driveway crossovers.  Inv No - 0956527</t>
  </si>
  <si>
    <t>Inv No  - 956534</t>
  </si>
  <si>
    <t>Place &amp; Set Pram Ramps &amp; Footpaths.  Inv No - 956531</t>
  </si>
  <si>
    <t>Inv No - 0758</t>
  </si>
  <si>
    <t xml:space="preserve">Tactiles                 </t>
  </si>
  <si>
    <t>Set Place &amp; Finish of concrete paths &amp; pram ramps.  Set Place &amp; Finish path entrance to nursing Home.  Inv No - 0956545</t>
  </si>
  <si>
    <t>Set &amp; Place concrete hob wall, Set &amp; Place concrete footpat, Set and Place Driveways.  Inv No - 0956455</t>
  </si>
  <si>
    <t>Set &amp; Pour Paths ( Dobbins Lane).  Inv No - 52</t>
  </si>
  <si>
    <t>Set &amp; Pour kerbs Pran Ramps Hobwall &amp; Paths. Dobbins Lane.   Inv No - 51</t>
  </si>
  <si>
    <t>Set &amp; Place Concrete crossovers &amp; Driveways.  Inv No - 57</t>
  </si>
  <si>
    <t>Compressor Trailer &amp; Air Hoses.  Inv No - 304268</t>
  </si>
  <si>
    <t xml:space="preserve">Compressor               </t>
  </si>
  <si>
    <t>Inv No - 0768</t>
  </si>
  <si>
    <t xml:space="preserve">Inv No - 0769 </t>
  </si>
  <si>
    <t>Place Set &amp; Finish Pram Ram &amp; Path, Dobbins Lane</t>
  </si>
  <si>
    <t xml:space="preserve">Subtotal for 073                   </t>
  </si>
  <si>
    <t xml:space="preserve"> Inv No  - 1403</t>
  </si>
  <si>
    <t>Inv No - 1507</t>
  </si>
  <si>
    <t>Saw Cutting.  Inv No - 1625</t>
  </si>
  <si>
    <t>Saw Cutting.  Inv No - 01632</t>
  </si>
  <si>
    <t>Saw Cutting.  Inv No - 01660</t>
  </si>
  <si>
    <t xml:space="preserve">Subtotal for 075                   </t>
  </si>
  <si>
    <t>Hessian Sand bags. Tran No- 08416249</t>
  </si>
  <si>
    <t xml:space="preserve">Sand Bags                </t>
  </si>
  <si>
    <t>Sand Bags &amp; Star Pickets.                            Trans / No 08423958</t>
  </si>
  <si>
    <t xml:space="preserve">Taylor Earthmoving ( 3 t Excavator ) </t>
  </si>
  <si>
    <t>Vibrating Rammer ( Flexi Hire ) .  Inv No - 279432</t>
  </si>
  <si>
    <t>Pvc S/W Pipes.  Inv No - 143756444</t>
  </si>
  <si>
    <t xml:space="preserve">Pvc S/W Pipe             </t>
  </si>
  <si>
    <t>Pvc S/W Pipes.  Inv No - 14375670</t>
  </si>
  <si>
    <t>Pvc S/W Pipes.  Inv No -  143758132</t>
  </si>
  <si>
    <t xml:space="preserve">Subtotal for 081                   </t>
  </si>
  <si>
    <t>Set Place &amp; Fisish of Culverts.  Rase Wall &amp; Lid.  Inv No- 0956529</t>
  </si>
  <si>
    <t>Brush Cutter &amp; Harness. Inv No - 285418</t>
  </si>
  <si>
    <t xml:space="preserve">Brush Cutter             </t>
  </si>
  <si>
    <t>Drill Hammer &amp; Drills.  Hired on the 16/5/2012.  Inv No - 285418</t>
  </si>
  <si>
    <t xml:space="preserve">Drill Hammer             </t>
  </si>
  <si>
    <t>Place Set &amp; Finsh of Stormwater Pit, Doherty St</t>
  </si>
  <si>
    <t xml:space="preserve">Subtotal for 085                   </t>
  </si>
  <si>
    <t>SW Sub - Contractors.  Inv No 137903</t>
  </si>
  <si>
    <t xml:space="preserve">SW Sub - Contractors     </t>
  </si>
  <si>
    <t xml:space="preserve">SW Sub - Contractors.  Inv No - </t>
  </si>
  <si>
    <t xml:space="preserve">Subtotal for 086                   </t>
  </si>
  <si>
    <t>Agg Line   Inv- 14916</t>
  </si>
  <si>
    <t xml:space="preserve">Agg - Line               </t>
  </si>
  <si>
    <t>Tipper (Wet Hire) Dock No 7823,7824                Inv - 6778</t>
  </si>
  <si>
    <t>Excavator  21  Tonne</t>
  </si>
  <si>
    <t>Excavator 21 tonne</t>
  </si>
  <si>
    <t>5 - Cast Iron Valve Boxes with Lids Inv No 15178   Inv No 20076</t>
  </si>
  <si>
    <t xml:space="preserve">Valve Box &amp; Surround     </t>
  </si>
  <si>
    <t>20mm Agg , 10 Percent Powder.  Inv No 9143</t>
  </si>
  <si>
    <t xml:space="preserve">Cement Powder            </t>
  </si>
  <si>
    <t>Inv No - 20349</t>
  </si>
  <si>
    <t xml:space="preserve">Drainage Agg             </t>
  </si>
  <si>
    <t>Plumbrs Mates Inspection Covers.  Inv No - 21030</t>
  </si>
  <si>
    <t xml:space="preserve">Plumbers Mates           </t>
  </si>
  <si>
    <t xml:space="preserve">100 x 100mm Socked Ag-Line.  Inv No - 21367
</t>
  </si>
  <si>
    <t xml:space="preserve">Inv No - 21451
</t>
  </si>
  <si>
    <t xml:space="preserve">Inv No - 21535
</t>
  </si>
  <si>
    <t xml:space="preserve">Subtotal for 087                   </t>
  </si>
  <si>
    <t>Inv No - 131</t>
  </si>
  <si>
    <t>Inv No - 561</t>
  </si>
  <si>
    <t>Inv No - 257</t>
  </si>
  <si>
    <t>Inv No - 87</t>
  </si>
  <si>
    <t>Inv No - 89</t>
  </si>
  <si>
    <t>SW Sub - Contractors.  Civil Works for Dobbins Lane,  Inv No - 391</t>
  </si>
  <si>
    <t>SW Sub - Contractors.  Progress Claim Stormwater at Doherty street.  Inv No - 405</t>
  </si>
  <si>
    <t>SW Sub - Contractors.  Progress Claim on the Watermain on Doherty Street.  Inv No - 404</t>
  </si>
  <si>
    <t>P2 Plastic Teltra Pit - Concrete Cover.  Inv No 21115</t>
  </si>
  <si>
    <t xml:space="preserve">Teltra Pit &amp; Cover       </t>
  </si>
  <si>
    <t>SW Sub - Contractors.  Sewermain on Sterry Street.   Inv no 411</t>
  </si>
  <si>
    <t>SW Sub - Contractors.  Inv No - 418</t>
  </si>
  <si>
    <t>SW Sub - Contractors.  Inv No 418</t>
  </si>
  <si>
    <t>SW Sub - Contractors.  Inv No - 0438</t>
  </si>
  <si>
    <t>SW Sub - Contractors.  Inv No - 0439</t>
  </si>
  <si>
    <t>SW Sub - Contractors  Inv No 0437</t>
  </si>
  <si>
    <t>SW Sub - Contractors.  Inv No - 0440</t>
  </si>
  <si>
    <t>SW Sub - Contractors Claim for completion of works done on the rising main on Faust Street Proserpine.</t>
  </si>
  <si>
    <t xml:space="preserve">Subtotal for 103                   </t>
  </si>
  <si>
    <t>P2 Plastic Teltra Pit - Concrete Cover.  Inv No - 21115</t>
  </si>
  <si>
    <t xml:space="preserve">Subtotal for 110                   </t>
  </si>
  <si>
    <t>Cough.  Inv No 750</t>
  </si>
  <si>
    <t xml:space="preserve">Turf                     </t>
  </si>
  <si>
    <t xml:space="preserve">Subtotal for 120                   </t>
  </si>
  <si>
    <t>Inv No - 750</t>
  </si>
  <si>
    <t xml:space="preserve">Turf Subbie              </t>
  </si>
  <si>
    <t>Inv No - 819</t>
  </si>
  <si>
    <t>For the Hydromulching at yyour Faust &amp; Doherty St Project</t>
  </si>
  <si>
    <t xml:space="preserve">Hydromulching            </t>
  </si>
  <si>
    <t xml:space="preserve">Subtotal for 121                   </t>
  </si>
  <si>
    <t>Traffic Controller with Vehicle Inv - 00019641</t>
  </si>
  <si>
    <t xml:space="preserve">Traffic Controller       </t>
  </si>
  <si>
    <t>2 x TC's + Ute, Signs &amp; Comms.  Inv No - 20653</t>
  </si>
  <si>
    <t xml:space="preserve">Traffic Control Crew     </t>
  </si>
  <si>
    <t>2 x TC's + Ute, Signs &amp; Comms.  Inv No - 20906</t>
  </si>
  <si>
    <t>2 x TC's + Ute, Signs &amp; Comms.  Inv No - 21153</t>
  </si>
  <si>
    <t>2 x TC's + Ute, Signs &amp; Comms.  Inv No - BIH17703</t>
  </si>
  <si>
    <t>2 x TC's + Ute, Signs &amp; Comms.  Inv No - 21992</t>
  </si>
  <si>
    <t>2 x TC's + Ute, Signs &amp; Comms.  Inv No - 250</t>
  </si>
  <si>
    <t>2 x TC's + Ute, Signs &amp; Comms.  Inv No - 0361</t>
  </si>
  <si>
    <t>2 x TC's + Ute, Signs &amp; Comms.  Inv No -  0567</t>
  </si>
  <si>
    <t>2 x TC's + Ute, Signs &amp; Comms.  Inv No - 21826</t>
  </si>
  <si>
    <t>2 x TC's + Ute, Signs &amp; Comms.  Inv No - 0761</t>
  </si>
  <si>
    <t>XH Stackable Barriers.  Hired 2/8/12 - 31/8/12.  Inv No - 299462</t>
  </si>
  <si>
    <t xml:space="preserve">Stackable Barriers       </t>
  </si>
  <si>
    <t>XH Stackable Barriers &amp; Delivery  Hired 31/8/12 - 27/9/12.  Inv No - 302828</t>
  </si>
  <si>
    <t>Hired 31/8/2012 - 30/9/2012.  Inv No - 30314</t>
  </si>
  <si>
    <t xml:space="preserve">Traffic Lights           </t>
  </si>
  <si>
    <t>Traffic Control Device. Hired 30/9/12 - 3/10/12.   Inv No 304194</t>
  </si>
  <si>
    <t xml:space="preserve">Subtotal for 141                   </t>
  </si>
  <si>
    <t>Berry ( Boggie / Tipper )</t>
  </si>
  <si>
    <t>Inv No 6721</t>
  </si>
  <si>
    <t xml:space="preserve">Aggregate                </t>
  </si>
  <si>
    <t xml:space="preserve">Subtotal for 151                   </t>
  </si>
  <si>
    <t>RCBC Crowns, Bar Chairs  Dock 14795                    Inv - 19658</t>
  </si>
  <si>
    <t>Bulk GP / GB Cement  Inv - 19703</t>
  </si>
  <si>
    <t>Plate Compactor - Dry Hire Inv - 259080</t>
  </si>
  <si>
    <t>Slab on Ground - Inv 50</t>
  </si>
  <si>
    <t>Berry Excavations   ( 7t Ex )</t>
  </si>
  <si>
    <t>Berry Excavations ( 7t Exc )</t>
  </si>
  <si>
    <t xml:space="preserve">Subtotal for 181                   </t>
  </si>
  <si>
    <t>Inv No -956510</t>
  </si>
  <si>
    <t xml:space="preserve">Subtotal for 182                   </t>
  </si>
  <si>
    <t>Backhoe - Hire  (Chris Brown)</t>
  </si>
  <si>
    <t xml:space="preserve">Back Hoe                 </t>
  </si>
  <si>
    <t>Shovel &amp; Broom x 2</t>
  </si>
  <si>
    <t xml:space="preserve">Small Tools              </t>
  </si>
  <si>
    <t>Tipper Hire - Profiling &amp; Removing Dig-Out  (Chris Brown)</t>
  </si>
  <si>
    <t>Backhoe - Hire</t>
  </si>
  <si>
    <t>Rags, Glovew, Buckets,Screed &amp; Rake</t>
  </si>
  <si>
    <t>Watering Can (Chris Brown)</t>
  </si>
  <si>
    <t>2 x TC's + Ute, Signs &amp; Comms ( Chris Brown)</t>
  </si>
  <si>
    <t>Allciv - Paveline Emulsion Sprayer</t>
  </si>
  <si>
    <t xml:space="preserve">Paveline Truck           </t>
  </si>
  <si>
    <t>Asphalt.</t>
  </si>
  <si>
    <t>Laymor Broom Hire</t>
  </si>
  <si>
    <t xml:space="preserve">Laymor Broom             </t>
  </si>
  <si>
    <t>Repairs</t>
  </si>
  <si>
    <t xml:space="preserve">Emulsion                 </t>
  </si>
  <si>
    <t>Faust Street Pipeline Crossing</t>
  </si>
  <si>
    <t xml:space="preserve">Subtotal for 201                   </t>
  </si>
  <si>
    <t>Place Set &amp; Fisish of Concrete Pip Encasement.  Inv No - 956531</t>
  </si>
  <si>
    <t xml:space="preserve">Conduit Subbie           </t>
  </si>
  <si>
    <t xml:space="preserve">Subtotal for 220                   </t>
  </si>
  <si>
    <t xml:space="preserve"> Inv No - 956512</t>
  </si>
  <si>
    <t>Tensar Triax Grid. 3.80M X 75M.  Inv No - CD201218068</t>
  </si>
  <si>
    <t xml:space="preserve">Tensar Triax Grid        </t>
  </si>
  <si>
    <t xml:space="preserve">Subtotal for 221                   </t>
  </si>
  <si>
    <t>Class D Geotextile  4.00M x 100M.  Inv No - CD201207670</t>
  </si>
  <si>
    <t xml:space="preserve">Class D Geotextile       </t>
  </si>
  <si>
    <t>3.80M x 75M tensar Triax Grid.  Inv No - CD201207670</t>
  </si>
  <si>
    <t>3.80M x 75M tensar Triax Grid.  Inv No - Cd201212423</t>
  </si>
  <si>
    <t>A34-Bidim 6.00M x150M.  Inv No - CD201212423</t>
  </si>
  <si>
    <t xml:space="preserve">A34                      </t>
  </si>
  <si>
    <t>A34-Bidim 6.00M x150M.  Inv No - CD201214094</t>
  </si>
  <si>
    <t>3.80M x 75M tensar Triax Grid.  Inv No - CD201214094</t>
  </si>
  <si>
    <t>A29-Bidim 6.00M x 150M.  Inv No - CD201215705</t>
  </si>
  <si>
    <t xml:space="preserve">A29                      </t>
  </si>
  <si>
    <t>3.80M x 75M tensar Triax Grid.  Inv No - CD201215705</t>
  </si>
  <si>
    <t>A24 - Bidum 3.00M x 75M.  Inv No - CD201215705</t>
  </si>
  <si>
    <t xml:space="preserve">A24                      </t>
  </si>
  <si>
    <t>A34- Bidim 6.00M x150M.  Inv No - CD201215804</t>
  </si>
  <si>
    <t>Bidin A34   6.00M X 150M.  Inv No - CD201219162</t>
  </si>
  <si>
    <t>Bidim A34  6.00M  X 150M.  Inv No - CD201219166</t>
  </si>
  <si>
    <t>Inv No - CD201219684</t>
  </si>
  <si>
    <t xml:space="preserve">SS30 3.80M x 100M        </t>
  </si>
  <si>
    <t>Freight Charges.  SS30  3.80M x 100M.  Inv No - CD201219682</t>
  </si>
  <si>
    <t>Taylors Earthmoving (3t)</t>
  </si>
  <si>
    <t>Freight Charges.  Inv No - CD201221417</t>
  </si>
  <si>
    <t>3.80M x 75M Tensar Triax Grid.  Inv No - CD201221418</t>
  </si>
  <si>
    <t>3.80M x 75M tensar Triax Grid.  Inv No - CD201223240</t>
  </si>
  <si>
    <t>3.80M x 75M tensar Triax Grid.  Inv No - CD201223247</t>
  </si>
  <si>
    <t>A34-Bidim 6.00M x150M.  Inv No - CD201301199</t>
  </si>
  <si>
    <t>A29-Bidim 6.00M x 150M.  Inv No - CD201303396</t>
  </si>
  <si>
    <t>A29-Bidim 6.00M x 150M.  Inv No - CD201304934.</t>
  </si>
  <si>
    <t xml:space="preserve">Subtotal for 222                   </t>
  </si>
  <si>
    <t>Work Place Health &amp; Safety Officer</t>
  </si>
  <si>
    <t xml:space="preserve">WHSO                     </t>
  </si>
  <si>
    <t>Technical Officer.  Week Ending 24/2/13</t>
  </si>
  <si>
    <t>Technical Officer.  Week Ending 3/3/13</t>
  </si>
  <si>
    <t>Technical Officer.  Week Ending 17/3/13</t>
  </si>
  <si>
    <t>Technical Officer.  Week Ending 12/5/13</t>
  </si>
  <si>
    <t xml:space="preserve">Subtotal for 901                   </t>
  </si>
  <si>
    <t xml:space="preserve"> ( Foreman )</t>
  </si>
  <si>
    <t>Ford Ranger 4WD Utility</t>
  </si>
  <si>
    <t xml:space="preserve">Ford Utility             </t>
  </si>
  <si>
    <t xml:space="preserve">Subtotal for 902                   </t>
  </si>
  <si>
    <t>fire Extinguisher  Dock - 082286946</t>
  </si>
  <si>
    <t>Bolt &amp; Nut Hex, Tool Box Jumbo   Dock - 08293497</t>
  </si>
  <si>
    <t>Makita Friver Drill Inv -21263156</t>
  </si>
  <si>
    <t>Shackle, Notice board Inv - 21263190</t>
  </si>
  <si>
    <t xml:space="preserve"> Hessian  Sandbags Inv - 8301784</t>
  </si>
  <si>
    <t>Petrolatkum Dux Tape  Inv - 1588247</t>
  </si>
  <si>
    <t>Weed Mat Pins Inv - 21263621</t>
  </si>
  <si>
    <t>Petrolatum Dux Tape Inv - 8311782</t>
  </si>
  <si>
    <t>DWV Junction, Duct Tape Inv - 21263803</t>
  </si>
  <si>
    <t>Sledge Hammer,Club Wood Hammer INv - 21263839</t>
  </si>
  <si>
    <t>Barrow Kelso Inv - 21263831</t>
  </si>
  <si>
    <t>Hoe Mortar Inv - 21263849</t>
  </si>
  <si>
    <t xml:space="preserve">Office  Floor Rent Receipt No 581184 </t>
  </si>
  <si>
    <t xml:space="preserve">Accommodation            </t>
  </si>
  <si>
    <t>Proserpine Shed Rent - 1/1/12 to 1/2/12</t>
  </si>
  <si>
    <t xml:space="preserve">Crib Facilities          </t>
  </si>
  <si>
    <t>Spring Water 15 Lts.  Inv No - Feb</t>
  </si>
  <si>
    <t xml:space="preserve">Spring Water             </t>
  </si>
  <si>
    <t>Spring Water 15 Lts. Inv No - Feb</t>
  </si>
  <si>
    <t>Monthly Rental on 45-47 Anzac Rd Proserpine.  1/02/2012 to the 29/02/2012. Inv No - 1109</t>
  </si>
  <si>
    <t>Spring Water 15 Lts.   Inv No - Feb</t>
  </si>
  <si>
    <t xml:space="preserve">Spring Water Cooler Rental 15 Lts.  Inv No - Feb </t>
  </si>
  <si>
    <t>Spring Water 15 Lts.   Inv No - March</t>
  </si>
  <si>
    <t>Monthly Rental of 45-47 Anzac Rd Proserpine.  1/5/2012 to the 31/5/2012.</t>
  </si>
  <si>
    <t>Spring Water 15 Lts.  Inv No - May</t>
  </si>
  <si>
    <t>Monthly Rental of 45-47 Anzac Rd Proserpine.  1/6/2012 to the 30/6/2012. Inv No 78</t>
  </si>
  <si>
    <t>Spring Water 15 Lts.   Inv No- June</t>
  </si>
  <si>
    <t>Site Office &amp; Tiolet, 1 Pump out during project.  1/7/2012 - 31/7/2012.  Inv No -  90</t>
  </si>
  <si>
    <t>Monthly Rental of 45-47 Anzac Rd Proserpine. 1/08/2012 to 31/08/2012.  Inv No - 103</t>
  </si>
  <si>
    <t>Spring Water 15 Lts.  Inv No - Aug</t>
  </si>
  <si>
    <t>Monthly Rental of 45-47 Anzac Rd Proserpine.  1/9/12 - 30/9/12.  Inv No - 119</t>
  </si>
  <si>
    <t xml:space="preserve">Spring Water 15 Lts.  </t>
  </si>
  <si>
    <t>45-47 Anzac Rd Proserpine.  1/10/12 - 31/10/12.  Inv No 131</t>
  </si>
  <si>
    <t xml:space="preserve">Spring Water 15 Lts. </t>
  </si>
  <si>
    <t xml:space="preserve">Subtotal for 903                   </t>
  </si>
  <si>
    <t>Insurance Brokers  Inv - 10958526</t>
  </si>
  <si>
    <t xml:space="preserve">Insurance                </t>
  </si>
  <si>
    <t>Insurance Brokers Inv - 10958525</t>
  </si>
  <si>
    <t xml:space="preserve">Dynapac CC21 Roller.  Damage Waiver.  Inv No 276343
</t>
  </si>
  <si>
    <t>Double Drum Roller. Damage Waiver.  Inv No - 279430</t>
  </si>
  <si>
    <t>Dynapac CC 21 Roller.  Damage Waiver.  Inv No - 279426</t>
  </si>
  <si>
    <t>Dynapac CC 21 Roller.  Damage Waiver Hired from the 31/3/2012 - 30/4/2012.  Inv No - 283186</t>
  </si>
  <si>
    <t>Pad Foot Roller - Dry.  Damage Waiver.  Inv No - 284764</t>
  </si>
  <si>
    <t>Damage Waiver Padfoot Roller &amp; Mack Truck.  Inv No - 288519</t>
  </si>
  <si>
    <t>Damage Waiver, Vibrating Rammer.  Inv No - 290647</t>
  </si>
  <si>
    <t>Damage Waiver,  Dynapac CC21 Roller.  Inv No - 291189</t>
  </si>
  <si>
    <t>Damage Waiver Double Drum Roller.  Inv No - 291194</t>
  </si>
  <si>
    <t>Damage Waiver ,  Generator.  Hired 3/7/2012 - 5/7/2012.  Inv No - 292252</t>
  </si>
  <si>
    <t>Damage Waiver.  Dynapac CC21 Roller. Hired 30/6/12 - 31/7/12.  Inv No - 295257</t>
  </si>
  <si>
    <t>Damage Waiver.  Padfoot Roller.  Hired 7/7/12 - 31/7/12.  Inv No - 295263</t>
  </si>
  <si>
    <t>Damage Waiver. Double Drum Roller.   Inv No - 295261</t>
  </si>
  <si>
    <t>Damage Waiver.  Generator. Hired 2/8/12 -  6/8/12.  Inv No - 296297</t>
  </si>
  <si>
    <t>Damage Waiver.  Vibrating Rammer.  Inv No - 297270</t>
  </si>
  <si>
    <t>Damage Waiver. 13T Smooth Drum Roller. Hired 30/6/2012 - 16/7/2012.  Inv No - 293883</t>
  </si>
  <si>
    <t>Damage Waiver.  Padfoot Roller.  Inv No - 298887</t>
  </si>
  <si>
    <t>Damage Waiver, Multityre Roller.  Inv No - 303115</t>
  </si>
  <si>
    <t>Insurance Brokers.  Quickcut Saw &amp; Blade. 
 Inv No - 299463</t>
  </si>
  <si>
    <t>Damage Waiver.  Double Drum Roller.  Inv No - 299459</t>
  </si>
  <si>
    <t>Damage Waiver.  Dynapac CC21 Roller.  Inv No - 299458</t>
  </si>
  <si>
    <t>Damage Wiaver.   Stackable Barriers.  Inv No - 299462</t>
  </si>
  <si>
    <t>Damage Waiver.  Quickcut Saw.  Inv No - 300862</t>
  </si>
  <si>
    <t>Damage Waiver, Stackable Barriers.  Inv No - 302828</t>
  </si>
  <si>
    <t>Damage Waiver.  Double Drum Roller.  Inv No - 303113</t>
  </si>
  <si>
    <t>Damage Waiver.  Solar Traffic Lights.  Inv No - 303114</t>
  </si>
  <si>
    <t>Damage Waiver, Compressor.  Inv No - 304268</t>
  </si>
  <si>
    <t>Damage Waiver.  Traffic Lightrs.  Inv No - 304194</t>
  </si>
  <si>
    <t xml:space="preserve">Subtotal for 904                   </t>
  </si>
  <si>
    <t>Cement QCL  20, 20kg Bags  Inv No 21264228</t>
  </si>
  <si>
    <t>PVC Pipe PVC Slovent Cement Inv No 21264281</t>
  </si>
  <si>
    <t>Saw Hand Jack Inv No - 21264284</t>
  </si>
  <si>
    <t>Plumbers Pals Bolted Trap Scre                        Inv No 21264285</t>
  </si>
  <si>
    <t>Pipe Connectors Inv No - 21264303</t>
  </si>
  <si>
    <t>Medalist SQ Mouth Shovel, Batteries               Inv No  21264051</t>
  </si>
  <si>
    <t>Ramset Anchors, Cable Ties Inv No 21264660</t>
  </si>
  <si>
    <t>Ramset Dynabolts Inv No - 21264699</t>
  </si>
  <si>
    <t>Brush Paint,Dustpan Inv No 21264839</t>
  </si>
  <si>
    <t>Bug Spray, Cleaners, Polyglazse,Mop&amp;Bucket Ect Inv No- 21264836</t>
  </si>
  <si>
    <t>Steel Round Dowel Galv Inv No - 21265186</t>
  </si>
  <si>
    <t>Garden Edging Icon, Steel Plastic Chairs.             Inv No - 21265188</t>
  </si>
  <si>
    <t>Straps Octopus, Drill Bit  Inv No - 21265586</t>
  </si>
  <si>
    <t>Rainwater Pit, Driver nuts, cable ties, spade      Inv No 21265634</t>
  </si>
  <si>
    <t>BBQ Jumbuck  Inv No - 8467/26347</t>
  </si>
  <si>
    <t>Camlock, Tread tape. Inv No- 134266</t>
  </si>
  <si>
    <t>Nail Belt Steel.  Inv No - 08419297</t>
  </si>
  <si>
    <t>Cable Ties.  Inv No - 21266452</t>
  </si>
  <si>
    <t>Cement.  Inv No - 21266518</t>
  </si>
  <si>
    <t>Spray &amp; Mark.  Inv No - 21266734</t>
  </si>
  <si>
    <t>Plumbers Pals. Inv No - 20433778</t>
  </si>
  <si>
    <t>Plumbers Pals Inv no - 20433778</t>
  </si>
  <si>
    <t xml:space="preserve"> Bricklayers Line Tape measure, Safeyt Barriers, Fence Post Holes Shovel Ect.              Inv No - 21266818</t>
  </si>
  <si>
    <t>DWV Juntion.  Inv No - 21267177.</t>
  </si>
  <si>
    <t>Dutch Hoe.  Inv No - 600007</t>
  </si>
  <si>
    <t>Poly head, Hammer. Inv  No - 600023</t>
  </si>
  <si>
    <t>Safety Mesh Barrier.  Inv No - 08458546</t>
  </si>
  <si>
    <t>Fence Posts.  Inv No - 08458546</t>
  </si>
  <si>
    <t>Cap Reo 12mm to 16mm. Inv No 08458546</t>
  </si>
  <si>
    <t>Hard Hat Protector, Cement QCL Type.            Inv No - 21267400</t>
  </si>
  <si>
    <t>Cement QCL Type.  Inv No - 21267667</t>
  </si>
  <si>
    <t>Cement QCL - 20 kg Bags.  Inv No - 21267819</t>
  </si>
  <si>
    <t>Joining Tape.  Inv No - 21267829</t>
  </si>
  <si>
    <t>Chin, Hook Cup.  Inv No - 21267852</t>
  </si>
  <si>
    <t>Plumbers Pals Bolted Tape Screws.                 Inv No - 20435125</t>
  </si>
  <si>
    <t>PVC Fit.  Inv No 21267925</t>
  </si>
  <si>
    <t>Steel Bar Chairs. Hand Saw.  Inv No - 21267905</t>
  </si>
  <si>
    <t>Tape Measure.  PVC Pipe, Ect.   Inv No - 21267901</t>
  </si>
  <si>
    <t>PVC Fit .  Inv No - 21267903</t>
  </si>
  <si>
    <t>Garbage bags, Hack Saw Black, Spray &amp; Mark.  Inv No - 2126981</t>
  </si>
  <si>
    <t>Cable Ties.  Inv No - 21268154</t>
  </si>
  <si>
    <t>Solvent cement, DWV Juntion.Bend, Push on Cap.  Inv No - 20435857</t>
  </si>
  <si>
    <t>Cable Ties.  Inv No - 21268613</t>
  </si>
  <si>
    <t>Bolt Cutter.  Inv No - 21268595</t>
  </si>
  <si>
    <t>Diamond Blade 400mm.  Trans No - 08511151</t>
  </si>
  <si>
    <t>DWV Bend.  Inv No - 21268720</t>
  </si>
  <si>
    <t>PVC Pipe.  Inv No - 21268735</t>
  </si>
  <si>
    <t>DWV Bend.  Inv No - 21268739</t>
  </si>
  <si>
    <t>DWV Invert Level Tapper,  Jointing Tape.           Inv No - 20435981</t>
  </si>
  <si>
    <t>Tap Measures.  Inv No - 21268740</t>
  </si>
  <si>
    <t>Rigger Gloves,  Buckets,  Cable Ties,  Crayons, Gumboots, Shovel.  Inv No - 21268825</t>
  </si>
  <si>
    <t>Steel Bar,  Cable Ties, Fence Post, Barricade Mesh.  Inv No - 21268968</t>
  </si>
  <si>
    <t>Line Trimmer.  Inv No - 21268991</t>
  </si>
  <si>
    <t>Weed Mat, Fence Post, Mesh.  Inv No - 21269003</t>
  </si>
  <si>
    <t>Bair Chairs, Shovel Post.  Inv No - 21270059</t>
  </si>
  <si>
    <t>Fence Posts,Enamel Matt, Paint Brushes.  Inv No - 21269123</t>
  </si>
  <si>
    <t>Cement 20 kg, Mineral Turps                            .  Inv No - 21269129</t>
  </si>
  <si>
    <t>Fence Post, Safety Barrier Netting.  Inv No - 21269197</t>
  </si>
  <si>
    <t>Trenching Shovel.  Inv No - 21269233</t>
  </si>
  <si>
    <t>Rechargeable batteries, cable Ties, Toilet paper.  Inv No - 21269226</t>
  </si>
  <si>
    <t>Deformed Steel.  Inv No - 21269268</t>
  </si>
  <si>
    <t>Tool Box Professional, Knife Retractable.  Inv No - 1620161</t>
  </si>
  <si>
    <t>Cable Ties, Fiesta HC Plates Set, Bromms.  Inv No - 21269350</t>
  </si>
  <si>
    <t xml:space="preserve">Small Signs              </t>
  </si>
  <si>
    <t>20kg Cement, Diamond Blade.  Trans No - 08539846</t>
  </si>
  <si>
    <t>Dowl Galv Steel.  Inv No - 20436890</t>
  </si>
  <si>
    <t>Deformed Steel.  Inv No - 21269593</t>
  </si>
  <si>
    <t>Bags Hessian Sandbags.  Inv No - 8557960</t>
  </si>
  <si>
    <t>Cement, Duct Tape, PVC Pipe,  Inv No - 21269851</t>
  </si>
  <si>
    <t>DWV Coupling, DWV Coupling, Solvent Cement.  Inv No - 21269835</t>
  </si>
  <si>
    <t>Hessian Sandbags.  Inv No - 08559199</t>
  </si>
  <si>
    <t>Bar Chairs, Shovels.  Inv No - 21270059</t>
  </si>
  <si>
    <t>Tape Measure,  Cable Ties.  Inv No - 21270242</t>
  </si>
  <si>
    <t>Bair Chair,  Spray &amp; Mark Paint.  Inv No - 130960</t>
  </si>
  <si>
    <t>Wrecking Bar,  Adjustable Wrench,Hammer, Fence Barricade &amp; Exterior Ply.  Inv No - 21270391</t>
  </si>
  <si>
    <t>Cable Ties, Cement, Rake Handle.  Inv No - 21270630</t>
  </si>
  <si>
    <t>Spray &amp; Mark Paint.  Inv No - 20438134</t>
  </si>
  <si>
    <t>Hydraflume Tubing.  Inv No - 21270737</t>
  </si>
  <si>
    <t>Jointing Tape.  Inv No - 21270727</t>
  </si>
  <si>
    <t>Cleaning Wipes Hand Wash, Disinfectand, Toilet Paper.  Inv No - 21270712</t>
  </si>
  <si>
    <t>Cable Ties, Barier Plastic.  Inv No - 21270929</t>
  </si>
  <si>
    <t>Drill Bits.  Inv No - 21271181</t>
  </si>
  <si>
    <t>Jointing Tape, Cable Ties, Barricade Mesh, PVC  Pipe.   Inv No - 21271277</t>
  </si>
  <si>
    <t>Cable Ties, Barricade Mesh.  Inv No - 21271419</t>
  </si>
  <si>
    <t>Cable Ties.  Inv No 21271442</t>
  </si>
  <si>
    <t>Weed Mat Pins, Cable Ties.  Inv No - 21271520</t>
  </si>
  <si>
    <t>N32 Concrete.  Inv No - 10140</t>
  </si>
  <si>
    <t>Tie Downs, Cable Ties, Steel Bar Chairs, Barricade. Ect.  Inv No - 21270622</t>
  </si>
  <si>
    <t>Steel Plastic Bar Chairs.  Inv No - 21271836</t>
  </si>
  <si>
    <t>Poamjoint Stickyback.  Inv No  - 21271837</t>
  </si>
  <si>
    <t>PVC Pipe.  Inv No - 21271887</t>
  </si>
  <si>
    <t>PVC  Solvent Cement, PVC Fit.  Inv No - 21271882</t>
  </si>
  <si>
    <t>Hand Saw, Diamond Blade.  Inv No - 8639217</t>
  </si>
  <si>
    <t>Jumper Leads 50mm W/Flex  4 Mtrs.  Inv  No -  I-75931</t>
  </si>
  <si>
    <t>Steel Dowel, Ramset, Knife Blade, Cut Wheel.  Inv No - 21272156</t>
  </si>
  <si>
    <t>Steel Dowel, Hammer, Clamp.  Inv No -  21272213</t>
  </si>
  <si>
    <t>Magnesuim Cement, Cement Trowel.  Inv No - 21272736</t>
  </si>
  <si>
    <t>Bar Chairs.  Inv No - 231272805</t>
  </si>
  <si>
    <t>Screws, Saddle Pipe.  Inv No - 21272986</t>
  </si>
  <si>
    <t>Sandbags.  Inv No - 21272950</t>
  </si>
  <si>
    <t>Mini coil rope, Reflective tape.  Inv No 21272968</t>
  </si>
  <si>
    <t>Makita Drill.  Inv No - 21272943</t>
  </si>
  <si>
    <t>Spray &amp; Mark Paint.  Inv No - 21273048</t>
  </si>
  <si>
    <t>Screws &amp; Toilet Paper.  Inv No - 21273085</t>
  </si>
  <si>
    <t>Formply structural &amp; Screws.  Inv No - 21273101</t>
  </si>
  <si>
    <t>Sheet Ribbed Mesh,  Steel Plastic Bar Chairs.  Inv No - 21273288</t>
  </si>
  <si>
    <t>Fortress Brass Padlock.  Inv No - 21273306</t>
  </si>
  <si>
    <t>Fence Panel.  Inv No - 1643367</t>
  </si>
  <si>
    <t>Bolts Hex Head &amp; Bolts.  Inv No - 21273531</t>
  </si>
  <si>
    <t>PVC Fit, Tape Jointing, Spray &amp; Mark, Toilet Paper.  Inv No - 21273580</t>
  </si>
  <si>
    <t>Cup Head Galv Bolt, Landscape Broom.  Inv No - 21273643</t>
  </si>
  <si>
    <t>Bar Chairs &amp; Cable Ties.  Inv No - 21273960</t>
  </si>
  <si>
    <t>Post Hole Shovel.  Inv No - 21273963</t>
  </si>
  <si>
    <t>Mesh, Cable Tiew, Frofessional Level.  Inv No - 21274208</t>
  </si>
  <si>
    <t>Mineral Turps.  Inv No - 21274216</t>
  </si>
  <si>
    <t>Gold Aluminuim Number.  Inv no 21274249</t>
  </si>
  <si>
    <t>Small Colourbond Letter Box.  Inv No - 20442797</t>
  </si>
  <si>
    <t>Orange Barricade Mesh.  Inv No - 21274361</t>
  </si>
  <si>
    <t>Mineral Turps &amp; Csr Carle Sealant.  Inv No - 21274860</t>
  </si>
  <si>
    <t>Gloves PVC Chemical &amp; Hoe Swan Steel Shaft.  Inv No - 21274864</t>
  </si>
  <si>
    <t>Cement 20Kg Bag.  Inv No - 21274911</t>
  </si>
  <si>
    <t>Watering Cans &amp; Gloves.  Inv No - 21274910</t>
  </si>
  <si>
    <t>Damage Waiver.  Inv No - 303112</t>
  </si>
  <si>
    <t>Damage Waiver, Multirtyre Roller.  Inv No - 303115</t>
  </si>
  <si>
    <t>Sandbags.  Inv No - 21274991</t>
  </si>
  <si>
    <t>Safety Specs Ultralite.  Inv No - 21275105</t>
  </si>
  <si>
    <t>Mesh &amp; Render Mesh.  Inv No - 21275240</t>
  </si>
  <si>
    <t>Masonry Wheel D/C.  Inv No - 21275356</t>
  </si>
  <si>
    <t>Masonry Wheel.  Inv No - 21275354</t>
  </si>
  <si>
    <t>Ramset Dynabolt.  Inv No - 130007</t>
  </si>
  <si>
    <t>Sheet Ribbed Mesh.  Inv No - 21275517</t>
  </si>
  <si>
    <t xml:space="preserve">Mesh                     </t>
  </si>
  <si>
    <t xml:space="preserve">Subtotal for 905                   </t>
  </si>
  <si>
    <t>Paint Enamel Spray Inv - 20429101</t>
  </si>
  <si>
    <t>Screws Tek Hex  Inv - 21262992</t>
  </si>
  <si>
    <t>Mini Float Proserpine Inv - 4827</t>
  </si>
  <si>
    <t>Cable Ties Inv - 21263044</t>
  </si>
  <si>
    <t>Steel Round Dowel Galv, Visqueen Black             Inv- 20429676</t>
  </si>
  <si>
    <t>Rain Coat Inv 21263230</t>
  </si>
  <si>
    <t>Fence Post Inv - 21263395</t>
  </si>
  <si>
    <t>Chalk, Knife Classic, Chalk Refill Inv - 21263550</t>
  </si>
  <si>
    <t xml:space="preserve"> Stanley Fatmax Chalk Line, Fat Builders Pencils Inv - 21263546</t>
  </si>
  <si>
    <t>Steel N12 Deformed Inv - 21263633</t>
  </si>
  <si>
    <t>Hand Towel Dispenser Inv - 73245/01</t>
  </si>
  <si>
    <t>Mr Clean, Cable Wipes,Tape Measure, Steel Roudn Dowel  Ect.  Inv No 21267018</t>
  </si>
  <si>
    <t>Notice of works.  Inv No 75221</t>
  </si>
  <si>
    <t xml:space="preserve">Advertising              </t>
  </si>
  <si>
    <t xml:space="preserve">Transport </t>
  </si>
  <si>
    <t>Transport of Excavator</t>
  </si>
  <si>
    <t>Hired from the 28/2/2012 to 27/3/2012.  Inv No - 89</t>
  </si>
  <si>
    <t xml:space="preserve">Ute - Hire               </t>
  </si>
  <si>
    <t>Hired from the 30/1/12 to 28/2/2012.  Inv No 89</t>
  </si>
  <si>
    <t>H.T Gourlay &amp; P.R Gourlay</t>
  </si>
  <si>
    <t>Tilt Tray Hire</t>
  </si>
  <si>
    <t xml:space="preserve"> Inv No - 284764</t>
  </si>
  <si>
    <t>Transport Pad Foot Roller.  &amp; Diesel Fuel.  Hired on the 2/5/2012 - 8/5/2012.  Inv No - 284764</t>
  </si>
  <si>
    <t>Hired 1/5/2012 -  31/5/2012 .  Inv No - 48</t>
  </si>
  <si>
    <t>Transport Pad Foot Roller,  Hired 1/6/2012 - 6/6/2012.  Inv No - 288519</t>
  </si>
  <si>
    <t>Move Roller from Bowen to Proserpine.  Inv No - 1740</t>
  </si>
  <si>
    <t>float Double Drum Roller.  Inv No - 291194</t>
  </si>
  <si>
    <t>Float Hire from Roberts St to Doherty St</t>
  </si>
  <si>
    <t>Transport Pad Foot Roller,  Inv No - 295263</t>
  </si>
  <si>
    <t>Hited 1/7/12 - 27/7/12.  Inv No - 85</t>
  </si>
  <si>
    <t>Cable Ties, Shovel, Tape Measure.  Inv No - 21273043</t>
  </si>
  <si>
    <t>Float of Excavator from Roberts St to Council Pit</t>
  </si>
  <si>
    <t>Trasport of Grader from Mackay to Proserpine.  Inv No - 27113</t>
  </si>
  <si>
    <t>Float Watts Excavator from Gravel pit to Kelsey Cr</t>
  </si>
  <si>
    <t>Transport Fad Foot Roller. Hired 31/7/12 - 24/8/12.  Inv No 298887</t>
  </si>
  <si>
    <t>Delivery on Stackable Barriers.  Inv No - 299462</t>
  </si>
  <si>
    <t>Diamond Blade.  Inv No - 08742450</t>
  </si>
  <si>
    <t>Deliver to site, Multityre Roller.  Inv No - 303115</t>
  </si>
  <si>
    <t>Pickup of Traffic Lights &amp; Roller.  Inv No - 304106</t>
  </si>
  <si>
    <t>Float, Multi Tyre Roller.  Inv No - 304436</t>
  </si>
  <si>
    <t xml:space="preserve">Subtotal for 907                   </t>
  </si>
  <si>
    <t>Ear Plugs, Gloves, Refletors, Safety Sunglasses, Safety Vest &amp; Sunscreen.  Inv No - 92387/01</t>
  </si>
  <si>
    <t xml:space="preserve">Safety Workwear          </t>
  </si>
  <si>
    <t>Restock of Kit.  Anzac Rd.  Inv No - 176</t>
  </si>
  <si>
    <t xml:space="preserve">First Aid                </t>
  </si>
  <si>
    <t>Safety Workwear &amp; ect.  Gloves, Earplugs &amp; Glassses.  Inv No - 119648/01</t>
  </si>
  <si>
    <t xml:space="preserve">Subtotal for 908                   </t>
  </si>
  <si>
    <t>From the 10/10/11 to th 7/11/2011 
Acc No 17613663</t>
  </si>
  <si>
    <t xml:space="preserve">Electricity              </t>
  </si>
  <si>
    <t>Billing Period from the 7/11/11 to the 8/02/12.  Acc/ No 17613663</t>
  </si>
  <si>
    <t>Billing Period from the 8/2/2012 - 9/5/2012.  Inv No - 17613663</t>
  </si>
  <si>
    <t>1/47 Anzac Rd.  Acc/No 17613663</t>
  </si>
  <si>
    <t>Electicity to Accommodation 1/47 Anzac Rd Proserpine.  Acc/No 17613663</t>
  </si>
  <si>
    <t>45-47 Anzac Rd Proserpine. 1/11/2012 - 30/11/2012.  Inv No - 146</t>
  </si>
  <si>
    <t>Electicity to Accommodation 1/47 Anzac Rd Proserpine.  Billing Period 6/8/12 - 7/11/12</t>
  </si>
  <si>
    <t xml:space="preserve">Subtotal for 911                   </t>
  </si>
  <si>
    <t xml:space="preserve">Subtotal for 913                   </t>
  </si>
  <si>
    <t>Labour Hire (Inspecting road damage with David &amp; Anita)</t>
  </si>
  <si>
    <t>Shovel Steel x 2</t>
  </si>
  <si>
    <t>Plate Compactor - Dry Hire  &amp; Damage Waiver</t>
  </si>
  <si>
    <t xml:space="preserve">Subtotal for 915                   </t>
  </si>
  <si>
    <t>N20 Concrete.  Inv No - 9652</t>
  </si>
  <si>
    <t xml:space="preserve">N20                      </t>
  </si>
  <si>
    <t>N20 Concrete.  Inv No - 10148</t>
  </si>
  <si>
    <t xml:space="preserve">Subtotal for C20 - 20Mpa           </t>
  </si>
  <si>
    <t>Inv No - 8595</t>
  </si>
  <si>
    <t xml:space="preserve">N25                      </t>
  </si>
  <si>
    <t>Inv No - 8754</t>
  </si>
  <si>
    <t>N25 Concrete .  Inv No - 9084</t>
  </si>
  <si>
    <t>N25 Concrete Inv No - 9118</t>
  </si>
  <si>
    <t>N25 Concrete.  Inv No - 9110</t>
  </si>
  <si>
    <t>N25 Concrete Inv No 9110</t>
  </si>
  <si>
    <t>N32 Concrete.  Inv No - QM8327686</t>
  </si>
  <si>
    <t>N32 Concrete.  Inv No - QM8339014.</t>
  </si>
  <si>
    <t>N32 Concrete. Inv No  - QM8339013</t>
  </si>
  <si>
    <t>N32 Concrete.  Inv No 10119</t>
  </si>
  <si>
    <t>N25 Concrete.  Inv No - QM8497587</t>
  </si>
  <si>
    <t>N25 Concrete.  Inv No - 67315850</t>
  </si>
  <si>
    <t>N25 Concrete.  Inv No 67358464</t>
  </si>
  <si>
    <t>N25 Concrete.  Inv No - 67368025</t>
  </si>
  <si>
    <t>N25 Concrete. Dkts No 56368296, 56377226, 56379014.  Inv No 67423789</t>
  </si>
  <si>
    <t>N25 Concrete.  Inv No - 67432355</t>
  </si>
  <si>
    <t>N25 Concrete.  Inv No - 67437073</t>
  </si>
  <si>
    <t>N25 Concrete.  Inv No - QM8711891</t>
  </si>
  <si>
    <t>N25 Concrete.  Inv No - QM8729759</t>
  </si>
  <si>
    <t>N25 Concrete.  Inv No 010701</t>
  </si>
  <si>
    <t>N32 Concrete.  Inv No - 010825</t>
  </si>
  <si>
    <t>N25 Concrete</t>
  </si>
  <si>
    <t xml:space="preserve">Subtotal for C25                   </t>
  </si>
  <si>
    <t>Bulk GP / GB Cement Dock No 3482                 Inv - 8098</t>
  </si>
  <si>
    <t xml:space="preserve">  Inv - 8280</t>
  </si>
  <si>
    <t>N32 Concrete  Inv No - 66964187</t>
  </si>
  <si>
    <t>N32 Concrete     Inv No 66966602</t>
  </si>
  <si>
    <t>N32 Concrete Inv No - 66983956</t>
  </si>
  <si>
    <t>N32 Concrete - Inv 8880</t>
  </si>
  <si>
    <t>N32 Concrete.  Inv No - 67111212</t>
  </si>
  <si>
    <t>N32 Concrete.  Inv No - 67111213</t>
  </si>
  <si>
    <t>N32 Concrete  Inv No - 67114767</t>
  </si>
  <si>
    <t>N32 Concrete.  Inv No - 67114768</t>
  </si>
  <si>
    <t>N32 Concrete.  Inv No - 67126435</t>
  </si>
  <si>
    <t>N32 Concrete.  Inv No -  67133281</t>
  </si>
  <si>
    <t>N32 Concrete.  Inv No - 67122518</t>
  </si>
  <si>
    <t>N32 Concrete.  Inv No - 9581</t>
  </si>
  <si>
    <t>N32 Concrete.  Inv No -  9637</t>
  </si>
  <si>
    <t>N32 Concrete.  Inv No - 67181678</t>
  </si>
  <si>
    <t>N32 Concrete.  Inv No - 9647</t>
  </si>
  <si>
    <t>N32 Concrete.  Inv No - 9654</t>
  </si>
  <si>
    <t>N32 Concrete.  Inv No - 9661</t>
  </si>
  <si>
    <t>N32 Concrete.  Inv No - QM8327685</t>
  </si>
  <si>
    <t>N32 Concrete.  Inv No - 9715</t>
  </si>
  <si>
    <t>N32 Concrete.  Inv No - 9719</t>
  </si>
  <si>
    <t>N32 Concrete.  Inv No - QM8345342</t>
  </si>
  <si>
    <t>N32 Concrete.   Inv No - QM8345343</t>
  </si>
  <si>
    <t>N32 Concrete.  Inv No - QM 8369677</t>
  </si>
  <si>
    <t>N32 Concrete.  Inv No - QM 8369675</t>
  </si>
  <si>
    <t>N32 Concrete.  Inv No - QM8369676</t>
  </si>
  <si>
    <t>N32 Concrete.  Inv No - 9902</t>
  </si>
  <si>
    <t>N32 Concrete.  Inv No - QM8396538</t>
  </si>
  <si>
    <t>N32 Concrete.  Inv No - 9915</t>
  </si>
  <si>
    <t>N32 Concrete.  Inv No - QM8396540</t>
  </si>
  <si>
    <t>N32 Concrete.  Inv No - QM8396539</t>
  </si>
  <si>
    <t>N32 Concrete.  Inv No - 67267047</t>
  </si>
  <si>
    <t>N32 Concrete.  Inv No - 67281045</t>
  </si>
  <si>
    <t>N32 Concrete.  Inv No - 67285270</t>
  </si>
  <si>
    <t>N32 Concrete.  Inv No - 67285269</t>
  </si>
  <si>
    <t>N32 Concrete.  Inv No - 10120</t>
  </si>
  <si>
    <t xml:space="preserve"> N32 Concrete.                                                 Docket No  55916652,55917360,55919089,55919334,55919843.    Inv No - 67288419 </t>
  </si>
  <si>
    <t>N32 Concrete.  Inv No - 10146</t>
  </si>
  <si>
    <t>N32 Concrete.  Inv No - 10182</t>
  </si>
  <si>
    <t>N32 Concrete.   Inv No - 10181</t>
  </si>
  <si>
    <t>N32 Concrete.  Inv No - QM8486119</t>
  </si>
  <si>
    <t>N32 Concrete.  Inv No - 10197</t>
  </si>
  <si>
    <t>N32 Concrete.  Inv No - 67303997</t>
  </si>
  <si>
    <t>N32 Concrete.  Inv No - 67307055</t>
  </si>
  <si>
    <t>N32 Concrete.  Inv No - QM8502675</t>
  </si>
  <si>
    <t>N32 Concrete.  Inv No - 10246</t>
  </si>
  <si>
    <t>N32 Concrete.  Inv No - 67320305</t>
  </si>
  <si>
    <t>N32 Concrete.  Inv No - 67338804</t>
  </si>
  <si>
    <t>N32 Concrete.  Inv No 67342989</t>
  </si>
  <si>
    <t>N32 Concrete. Dkt No 56112194, 56107731,56100682.   Inv No - 67346359</t>
  </si>
  <si>
    <t>N32 Concrete.  Inv No - 67350772</t>
  </si>
  <si>
    <t>N32 Concrete.  Inv No - 67350773</t>
  </si>
  <si>
    <t>N32 Concrete.  Inv No - 10387</t>
  </si>
  <si>
    <t>N32 Concrete.  Inv No QM8572686</t>
  </si>
  <si>
    <t>N32 Concrete.  Inv No - 67368026</t>
  </si>
  <si>
    <t>N32 Concrete.  Inv No - 67372050</t>
  </si>
  <si>
    <t>N32 Concrete.  Inv No - 67375234</t>
  </si>
  <si>
    <t>N32 Concrete.  Inv No - 67375235</t>
  </si>
  <si>
    <t>N32 Concrete Dkt No 56301648,56302168,56303086,56303438,56303998,56304448,56305035.  Inv No - 67402751</t>
  </si>
  <si>
    <t>N32 Concrete.  Inv No - QM8672778</t>
  </si>
  <si>
    <t>N32 Concrete.  Inv No - QM8677374</t>
  </si>
  <si>
    <t>N32 Concrete.  Inv No - 67412756</t>
  </si>
  <si>
    <t>N32 Concrete.  Inv No - Qm8686902</t>
  </si>
  <si>
    <t>N32 Concrete.  Inv No - 10601</t>
  </si>
  <si>
    <t>N32 Concrete.  Inv No - 010675</t>
  </si>
  <si>
    <t>N32 Concrete.  Inv No - 010674</t>
  </si>
  <si>
    <t>N32 Concrete.  Dockts No 56443021 56443535 56444147 56445045.   Inv No 67444581</t>
  </si>
  <si>
    <t>N32 Concrete.  Inv No - 010709</t>
  </si>
  <si>
    <t>N32 Concrete.  Inv No - 010702</t>
  </si>
  <si>
    <t>N32 Concrete.  Inv No - 010794</t>
  </si>
  <si>
    <t>N32 Concrete.  Inv No - QM8774229</t>
  </si>
  <si>
    <t>N32 Concrete.   Inv No - 67481762</t>
  </si>
  <si>
    <t>N32 Concrete.  Inv No - 010841</t>
  </si>
  <si>
    <t xml:space="preserve">Subtotal for C32                   </t>
  </si>
  <si>
    <t>40 Mpa Inv - 66955610</t>
  </si>
  <si>
    <t xml:space="preserve">C40                      </t>
  </si>
  <si>
    <t>N40 Concrete.  Inv No - 10234</t>
  </si>
  <si>
    <t xml:space="preserve">N40                      </t>
  </si>
  <si>
    <t>N40 Concrete.  Inv No - 10256</t>
  </si>
  <si>
    <t xml:space="preserve">Subtotal for C40                   </t>
  </si>
  <si>
    <t>Inv - 66943287</t>
  </si>
  <si>
    <t>N32 Concrete. Dock No - 55307253,7692,8437,8754,9588,9774,10387,10496,10832.  Inv No - 67105440</t>
  </si>
  <si>
    <t>Inv No - 21267827</t>
  </si>
  <si>
    <t>N32 Concrete.  Inv No - 67475077</t>
  </si>
  <si>
    <t>N32 Concrete.  Inv No - 67475076</t>
  </si>
  <si>
    <t>Cement QCL  GP   20kg Bag.  Inv No - 21269636</t>
  </si>
  <si>
    <t>N32 Concrete. Plus Dkts 55600528, 55600969   Inv No - 67196025</t>
  </si>
  <si>
    <t>20Kg bag.  Inv No - 21269902</t>
  </si>
  <si>
    <t xml:space="preserve">Cement - GP Bulk         </t>
  </si>
  <si>
    <t>20Kg Bag Cement.  Inv No -21271058</t>
  </si>
  <si>
    <t>Bulk GP / GB Cement.  Inv No - 21274111</t>
  </si>
  <si>
    <t>Bulk GP / GB Cement.  Inv No - 21274512</t>
  </si>
  <si>
    <t xml:space="preserve">Subtotal for CKM                   </t>
  </si>
  <si>
    <t>Inv No - 94695054</t>
  </si>
  <si>
    <t>Inv No - 94736310</t>
  </si>
  <si>
    <t>Cement 20kg Bag.  Inv No - 21271573</t>
  </si>
  <si>
    <t>Inv No - 21271537</t>
  </si>
  <si>
    <t>Cement 20 Kg Bags.  Inv No - 21273752</t>
  </si>
  <si>
    <t>50 Mpa Terracotta  Concrete Speed Bump.   Inv No - 67481763</t>
  </si>
  <si>
    <t xml:space="preserve">Subtotal for CSA                   </t>
  </si>
  <si>
    <t>Docket  No 3826/3828  Inv 8484</t>
  </si>
  <si>
    <t xml:space="preserve"> Docket No 3841 Inv - 8485</t>
  </si>
  <si>
    <t>Docket  No 3852  Inv - 8511</t>
  </si>
  <si>
    <t>Stabilised Sand.  Inv No - 9304</t>
  </si>
  <si>
    <t>Stabilised Sand. Inv No - 9311</t>
  </si>
  <si>
    <t>Stabilised Sand.  Inv No - 9336</t>
  </si>
  <si>
    <t>Stabilised Sand.  Inv No - 9483</t>
  </si>
  <si>
    <t xml:space="preserve">Subtotal for CSS                   </t>
  </si>
  <si>
    <t>Inv No - 7689</t>
  </si>
  <si>
    <t xml:space="preserve">Rock                     </t>
  </si>
  <si>
    <t>Inv No  -  Inv No - 7687</t>
  </si>
  <si>
    <t>Gabion Rock.  Inv No - 20416</t>
  </si>
  <si>
    <t xml:space="preserve">Gabion Rock              </t>
  </si>
  <si>
    <t>Inv No - 7690. With a credit, Inv No - 7762</t>
  </si>
  <si>
    <t>Inv No - 7763</t>
  </si>
  <si>
    <t>Inv No - 7869</t>
  </si>
  <si>
    <t>Inv No - 7868</t>
  </si>
  <si>
    <t>Inv No - 7870</t>
  </si>
  <si>
    <t>Inv No - 6051</t>
  </si>
  <si>
    <t>75/100mm Rock.  Inv No 124545</t>
  </si>
  <si>
    <t>Inv No- 124561</t>
  </si>
  <si>
    <t>Medium Fine Sand.  Inv No - 4935</t>
  </si>
  <si>
    <t>Inv No - 7291</t>
  </si>
  <si>
    <t>Inv No - 7290</t>
  </si>
  <si>
    <t xml:space="preserve">Subtotal for QMR                   </t>
  </si>
  <si>
    <t>Bedding Sand  Dock No 3524   Inv - 8135</t>
  </si>
  <si>
    <t xml:space="preserve"> Sand</t>
  </si>
  <si>
    <t>Bedding Sand. Inv No - 4474</t>
  </si>
  <si>
    <t>Medium/Fine Sand.  Inv No - 4518</t>
  </si>
  <si>
    <t>Bedding Sand.  Inv No - 4518</t>
  </si>
  <si>
    <t>Bedding Sand.Inv No - 4518</t>
  </si>
  <si>
    <t>Bedding Sand.  Inv No - 4603</t>
  </si>
  <si>
    <t>Bedding Sand.  Inv No 4603</t>
  </si>
  <si>
    <t>Bedding Sand.  Inv No -  4647</t>
  </si>
  <si>
    <t>Bedding Sand. Inv No - 4647</t>
  </si>
  <si>
    <t>Bedding Sand.  Inv No - 4647</t>
  </si>
  <si>
    <t>Bedding Sand.  Inv No- 4647</t>
  </si>
  <si>
    <t>Bedding Sand. Inv No  - 4647</t>
  </si>
  <si>
    <t>Bedding Sand.Inv No - 4647</t>
  </si>
  <si>
    <t>Bedding Sand.  Inv No - 4735</t>
  </si>
  <si>
    <t>Medium Fine Sand.  Inv No - 4735</t>
  </si>
  <si>
    <t>Fine Sand.  Inv No -4735</t>
  </si>
  <si>
    <t>Medium Fine Sand.  Inv No 4842</t>
  </si>
  <si>
    <t>MediumFine  Sand.  Inv No - 4842</t>
  </si>
  <si>
    <t>Medium Fine Sand.  Inv No - 4842</t>
  </si>
  <si>
    <t>Medium Fine Sand.  Inv No  - 4842</t>
  </si>
  <si>
    <t>Medium Fine  Sand.  Inv No - 4842</t>
  </si>
  <si>
    <t>Inv No - 8227936</t>
  </si>
  <si>
    <t xml:space="preserve">Signs Complete           </t>
  </si>
  <si>
    <t>Medium Fine Sand.  Inv No-  4842</t>
  </si>
  <si>
    <t xml:space="preserve">Weight - Order  Inv No - 4935  
</t>
  </si>
  <si>
    <t xml:space="preserve">Weight - Order           </t>
  </si>
  <si>
    <t>Weight - Order .  Inv No - 4935</t>
  </si>
  <si>
    <t>Stabilised Sand.  Inv No - 10492</t>
  </si>
  <si>
    <t>Medium Fine Sand.  Inv No - 5015</t>
  </si>
  <si>
    <t>Medium Fine Sand.  Inv No -  5015</t>
  </si>
  <si>
    <t>Medium Fine Sand.  Inv No -</t>
  </si>
  <si>
    <t>Medium Fine Sand.  Inv No - 5103</t>
  </si>
  <si>
    <t xml:space="preserve">Subtotal for QMS                   </t>
  </si>
  <si>
    <t>Galv Med Pipe Inv 1586224</t>
  </si>
  <si>
    <t xml:space="preserve">Signs - General          </t>
  </si>
  <si>
    <t>fabricate 2PL sign boards  * 5 Inv- 10198</t>
  </si>
  <si>
    <t>Inv No IN - 8204925</t>
  </si>
  <si>
    <t>Inv No - 8215971</t>
  </si>
  <si>
    <t xml:space="preserve">Subtotal for RFS                   </t>
  </si>
  <si>
    <t xml:space="preserve"> Dock No 14866 Inv - 19736</t>
  </si>
  <si>
    <t>Bidim  A34 6.00 M - 150M  Inv =- CD201209301</t>
  </si>
  <si>
    <t>NF82 Square Ribmesh Docket No 15024        Inv - 19910</t>
  </si>
  <si>
    <t>Bar Chairs Inv No - 8603</t>
  </si>
  <si>
    <t xml:space="preserve">Bar Chairs               </t>
  </si>
  <si>
    <t xml:space="preserve"> NF82 Square Ribmesh  Inv No 20005</t>
  </si>
  <si>
    <t xml:space="preserve"> NF 72 Ribmesh Inv No 20041</t>
  </si>
  <si>
    <t>NF 82 &amp; NF 72  Inv No 20054</t>
  </si>
  <si>
    <t>Inv No - 20649</t>
  </si>
  <si>
    <t>Inv No - 21157</t>
  </si>
  <si>
    <t>Mesh, Circular Saw.  Inv No - 21272973</t>
  </si>
  <si>
    <t>Mesh SL 6M x 2.4M.  Inv No - 21273961</t>
  </si>
  <si>
    <t>6M x 2.4M Sheet Ribbed Mesh.  Inv No - 21274314</t>
  </si>
  <si>
    <t>Steel Plastic Bar  Chairs &amp; Mesh.  Inv No - 21274437</t>
  </si>
  <si>
    <t xml:space="preserve">Subtotal for RSM                   </t>
  </si>
  <si>
    <t>750MM X 1.2M RCBC Crowns.  ( 30 ) .  Inv No - 20391</t>
  </si>
  <si>
    <t xml:space="preserve">HW- 750 x 300 RCBC       </t>
  </si>
  <si>
    <t>Inv No - 20473</t>
  </si>
  <si>
    <t xml:space="preserve"> HW - 1200 x 450 x 2400. RCBC . Inv No -21118</t>
  </si>
  <si>
    <t xml:space="preserve">HW - 1200 x 450 RCBC     </t>
  </si>
  <si>
    <t>HW - 1200 x 450 x 1200 RCBC .  Inv No - 21118</t>
  </si>
  <si>
    <t>RCBC Crown Unit- 900 x 450.  Inv No - 21230</t>
  </si>
  <si>
    <t xml:space="preserve">RCBC- 900 x 450          </t>
  </si>
  <si>
    <t>Inv No - 21295</t>
  </si>
  <si>
    <t xml:space="preserve">HW 1200 x 600 RCBC       </t>
  </si>
  <si>
    <t xml:space="preserve">HW - 3/1200 x 300 RCBC   </t>
  </si>
  <si>
    <t>HW - 900 x 450 RCBC.  Inv No 21295</t>
  </si>
  <si>
    <t xml:space="preserve">HW - 900 x 450 RCBC      </t>
  </si>
  <si>
    <t>HW - 1800 x 600 RCBC.  Inv No - 21295</t>
  </si>
  <si>
    <t xml:space="preserve">HW - 1800 x 600 RCBC     </t>
  </si>
  <si>
    <t>Inv No 21598</t>
  </si>
  <si>
    <t xml:space="preserve">Subtotal for SWC                   </t>
  </si>
  <si>
    <t>Inv No - 20648</t>
  </si>
  <si>
    <t>Inv No 20837</t>
  </si>
  <si>
    <t xml:space="preserve">Grate &amp; Frame            </t>
  </si>
  <si>
    <t>Inv No 20962</t>
  </si>
  <si>
    <t>Inv No - 21184</t>
  </si>
  <si>
    <t>600 X 600 Medium Duty Galvanised Grate &amp; Frame.  Inv No - 21367</t>
  </si>
  <si>
    <t>Inv No - 021834</t>
  </si>
  <si>
    <t xml:space="preserve">Subtotal for SWL                   </t>
  </si>
  <si>
    <t>8- 3 FJ RC pipes, 3- 2FJ RC PIPES                  Inv No - 20095</t>
  </si>
  <si>
    <t>Inv No - 20515</t>
  </si>
  <si>
    <t xml:space="preserve">450 RCP FJ CL2           </t>
  </si>
  <si>
    <t>Plus Delivery.  Inv No - 20515</t>
  </si>
  <si>
    <t xml:space="preserve">Sand Bands               </t>
  </si>
  <si>
    <t>Inv No 21147</t>
  </si>
  <si>
    <t>Inv No - 16323</t>
  </si>
  <si>
    <t>Cartage Chard on Kerb Entry Pits.  Inv No - 072408</t>
  </si>
  <si>
    <t>Inv No - 072408</t>
  </si>
  <si>
    <t xml:space="preserve">Kerb Entry Pit           </t>
  </si>
  <si>
    <t xml:space="preserve">Subtotal for SWP                   </t>
  </si>
  <si>
    <t>Inv No 070739</t>
  </si>
  <si>
    <t xml:space="preserve">Pre-cast Kerb Unit       </t>
  </si>
  <si>
    <t>Inv No - 171070.</t>
  </si>
  <si>
    <t>Inv No 071070</t>
  </si>
  <si>
    <t xml:space="preserve">Pre-cast Pits            </t>
  </si>
  <si>
    <t>Inv No - 072596</t>
  </si>
  <si>
    <t xml:space="preserve">Subtotal for SWPC                  </t>
  </si>
  <si>
    <t>Pvc S/W Pipes &amp; Pvc Fittings.  Inv No - 21274108</t>
  </si>
  <si>
    <t xml:space="preserve">Subtotal for WMF                   </t>
  </si>
  <si>
    <t>Grand Total</t>
  </si>
  <si>
    <t>Portfolio WBS</t>
  </si>
  <si>
    <t>Portfolio WBS 011</t>
  </si>
  <si>
    <t>Portfolio WBS 012</t>
  </si>
  <si>
    <t>Portfolio WBS 013</t>
  </si>
  <si>
    <t>Portfolio WBS 015</t>
  </si>
  <si>
    <t>Portfolio WBS 032</t>
  </si>
  <si>
    <t>Portfolio WBS 033</t>
  </si>
  <si>
    <t>Portfolio WBS 041</t>
  </si>
  <si>
    <t>Portfolio WBS 052</t>
  </si>
  <si>
    <t>Portfolio WBS 053</t>
  </si>
  <si>
    <t>Portfolio WBS 057</t>
  </si>
  <si>
    <t>Portfolio WBS 061</t>
  </si>
  <si>
    <t>Portfolio WBS 062</t>
  </si>
  <si>
    <t>Portfolio WBS 063</t>
  </si>
  <si>
    <t>Portfolio WBS 064</t>
  </si>
  <si>
    <t>Portfolio WBS 065</t>
  </si>
  <si>
    <t>Portfolio WBS 066</t>
  </si>
  <si>
    <t>Portfolio WBS 067</t>
  </si>
  <si>
    <t>Portfolio WBS 068</t>
  </si>
  <si>
    <t>Portfolio WBS 071</t>
  </si>
  <si>
    <t>Portfolio WBS 072</t>
  </si>
  <si>
    <t>Portfolio WBS 073</t>
  </si>
  <si>
    <t>Portfolio WBS 075</t>
  </si>
  <si>
    <t>Portfolio WBS 081</t>
  </si>
  <si>
    <t>Portfolio WBS 085</t>
  </si>
  <si>
    <t>Portfolio WBS 086</t>
  </si>
  <si>
    <t>Portfolio WBS 087</t>
  </si>
  <si>
    <t>Portfolio WBS 103</t>
  </si>
  <si>
    <t>Portfolio WBS 110</t>
  </si>
  <si>
    <t>Portfolio WBS 120</t>
  </si>
  <si>
    <t>Portfolio WBS 121</t>
  </si>
  <si>
    <t>Portfolio WBS 141</t>
  </si>
  <si>
    <t>Portfolio WBS 151</t>
  </si>
  <si>
    <t>Portfolio WBS 181</t>
  </si>
  <si>
    <t>Portfolio WBS 182</t>
  </si>
  <si>
    <t>Portfolio WBS 201</t>
  </si>
  <si>
    <t>Portfolio WBS 220</t>
  </si>
  <si>
    <t>Portfolio WBS 221</t>
  </si>
  <si>
    <t>Portfolio WBS 222</t>
  </si>
  <si>
    <t>Portfolio WBS 901</t>
  </si>
  <si>
    <t>Portfolio WBS 902</t>
  </si>
  <si>
    <t>Portfolio WBS 903</t>
  </si>
  <si>
    <t>Portfolio WBS 904</t>
  </si>
  <si>
    <t>Portfolio WBS 905</t>
  </si>
  <si>
    <t>Portfolio WBS 907</t>
  </si>
  <si>
    <t>Portfolio WBS 908</t>
  </si>
  <si>
    <t>Portfolio WBS 911</t>
  </si>
  <si>
    <t>Portfolio WBS 913</t>
  </si>
  <si>
    <t>Portfolio WBS 915</t>
  </si>
  <si>
    <t>Portfolio WBS C20 - 20Mpa</t>
  </si>
  <si>
    <t>Portfolio WBS C25</t>
  </si>
  <si>
    <t>Portfolio WBS C32</t>
  </si>
  <si>
    <t>Portfolio WBS C40</t>
  </si>
  <si>
    <t>Portfolio WBS CKM</t>
  </si>
  <si>
    <t>Portfolio WBS CSA</t>
  </si>
  <si>
    <t>Portfolio WBS CSS</t>
  </si>
  <si>
    <t>Portfolio WBS QMR</t>
  </si>
  <si>
    <t>Portfolio WBS QMS</t>
  </si>
  <si>
    <t>Portfolio WBS RFS</t>
  </si>
  <si>
    <t>Portfolio WBS RSM</t>
  </si>
  <si>
    <t>Portfolio WBS SWC</t>
  </si>
  <si>
    <t>Portfolio WBS SWL</t>
  </si>
  <si>
    <t>Portfolio WBS SWP</t>
  </si>
  <si>
    <t>Portfolio WBS SWPC</t>
  </si>
  <si>
    <t>Portfolio WBS WMF</t>
  </si>
  <si>
    <t>TOTAL</t>
  </si>
  <si>
    <t>Curr</t>
  </si>
  <si>
    <t>Base Rate</t>
  </si>
  <si>
    <t>Concretor</t>
  </si>
  <si>
    <t>AUD</t>
  </si>
  <si>
    <t>Plant Operator</t>
  </si>
  <si>
    <t>Pipe Layer</t>
  </si>
  <si>
    <t>Project Engineer - Weekly Rate</t>
  </si>
  <si>
    <t>Weekly Rate - Project Manager</t>
  </si>
  <si>
    <t>Survey Team</t>
  </si>
  <si>
    <t>Traffic Controller with Vehicle</t>
  </si>
  <si>
    <t>1050 pre-cast man hole rings (sewer / storm water)</t>
  </si>
  <si>
    <t>1050 Reducer Slab for 1050 Manhole</t>
  </si>
  <si>
    <t xml:space="preserve">ton  </t>
  </si>
  <si>
    <t>A24 - Bidum</t>
  </si>
  <si>
    <t>A64 Bidum</t>
  </si>
  <si>
    <t>Bro Pit 1 Chamber, 1 Trough</t>
  </si>
  <si>
    <t>Bro Pit - 1 Chamber, 2 Trough</t>
  </si>
  <si>
    <t>CBR15 Road Base</t>
  </si>
  <si>
    <t>CBR45 Road Base</t>
  </si>
  <si>
    <t>CBR80 Road Base - Delivered</t>
  </si>
  <si>
    <t>Cast Iron Lid (Class D) &amp; Surround for Man Holes</t>
  </si>
  <si>
    <t>Bulk GP / GB Cement</t>
  </si>
  <si>
    <t>Cement Powder - 2 Tonne Bag</t>
  </si>
  <si>
    <t>50m Roll</t>
  </si>
  <si>
    <t>50m roll</t>
  </si>
  <si>
    <t>110m Roll</t>
  </si>
  <si>
    <t>90 PE - 100m roll</t>
  </si>
  <si>
    <t>Drainage Aggregate</t>
  </si>
  <si>
    <t>Gabion Rock (150 - 300)</t>
  </si>
  <si>
    <t>General Fill</t>
  </si>
  <si>
    <t>CBR 15 General Fill</t>
  </si>
  <si>
    <t>Head Wall 375 RCP</t>
  </si>
  <si>
    <t>N20 Concrete</t>
  </si>
  <si>
    <t>N32 Concrete</t>
  </si>
  <si>
    <t>DN200 - PE100 MDPE Pipe</t>
  </si>
  <si>
    <t>Star Pickets</t>
  </si>
  <si>
    <t>RCBC Crown Unit - 3600 x 900</t>
  </si>
  <si>
    <t>SL72 - Reinforcing Mesh</t>
  </si>
  <si>
    <t>SL82 Reinforcing Mesh</t>
  </si>
  <si>
    <t>Bedding Sand</t>
  </si>
  <si>
    <t>General signs &amp; delineation for traffic control.</t>
  </si>
  <si>
    <t>Silt Fence</t>
  </si>
  <si>
    <t>Stabilised Sand</t>
  </si>
  <si>
    <t>Pre-cast wheel stops</t>
  </si>
  <si>
    <t>Backhoe - Wet Hire</t>
  </si>
  <si>
    <t>Bobcat - Wet Hire</t>
  </si>
  <si>
    <t>Bomag 124DH-3 SD Roller (3.5 T) - No Operator</t>
  </si>
  <si>
    <t>Stand Down SD Roller</t>
  </si>
  <si>
    <t>CAT297C MTL - No Operator</t>
  </si>
  <si>
    <t>CAT311D - 12T Excavator (No Operator)</t>
  </si>
  <si>
    <t>Site Office &amp; Tiolet, 1 Pump out during project.</t>
  </si>
  <si>
    <t>D6 Dozer</t>
  </si>
  <si>
    <t>15T Excavator - Wet Hire</t>
  </si>
  <si>
    <t>25T Excavator - Wet Hire</t>
  </si>
  <si>
    <t>30T Excavator - Wet Hire</t>
  </si>
  <si>
    <t>8T Excavator - Wet Hire</t>
  </si>
  <si>
    <t>Excavator 25T - RATE ONLY</t>
  </si>
  <si>
    <t>FAE Mixer with Tractor</t>
  </si>
  <si>
    <t>Grader - Wet Hire</t>
  </si>
  <si>
    <t>MW Roller (Wet No Op)</t>
  </si>
  <si>
    <t>Plate Compactor - Dry Hire</t>
  </si>
  <si>
    <t>Excavator - Wet Hire with Rock Breaker</t>
  </si>
  <si>
    <t>SD Roller - Dry</t>
  </si>
  <si>
    <t>SD Roller Wet Hire - No Operator</t>
  </si>
  <si>
    <t>Spreader Truck - 30T</t>
  </si>
  <si>
    <t>Tipper (Wet Hire)</t>
  </si>
  <si>
    <t>Toyota Landcruiser 100 Utility</t>
  </si>
  <si>
    <t>Truck &amp; Dog - Wet Hire</t>
  </si>
  <si>
    <t>UD Spreader Truck - No Driver</t>
  </si>
  <si>
    <t>Variable Message Board</t>
  </si>
  <si>
    <t>Water Cart Allciv - No Operator</t>
  </si>
  <si>
    <t>10mm Spary Seal</t>
  </si>
  <si>
    <t>14mm Primerseal</t>
  </si>
  <si>
    <t>7mm Primer Seal</t>
  </si>
  <si>
    <t>Accommodation &amp; 3 meals Rate</t>
  </si>
  <si>
    <t>CAR Insurance</t>
  </si>
  <si>
    <t>Cylinders - Set of Three</t>
  </si>
  <si>
    <t>CUM Rate</t>
  </si>
  <si>
    <t>Slab on Ground</t>
  </si>
  <si>
    <t>PL Insurance</t>
  </si>
  <si>
    <t>Contract Rate per pit</t>
  </si>
  <si>
    <t>Modify Manholes</t>
  </si>
  <si>
    <t>Field Density via Sand Replacement Method</t>
  </si>
  <si>
    <t>Sterry St</t>
  </si>
  <si>
    <t>Doherty St</t>
  </si>
  <si>
    <t>Dodd St</t>
  </si>
  <si>
    <t>ANZAC Ave</t>
  </si>
  <si>
    <t>Jupp St</t>
  </si>
  <si>
    <t>Faust St</t>
  </si>
  <si>
    <t>Cultural Centre Carpark</t>
  </si>
  <si>
    <t>Dobbins Lane</t>
  </si>
  <si>
    <t>Security Fence - Three Strand Barb &amp; Crank</t>
  </si>
  <si>
    <t>Tactile Ground Surface Indicators</t>
  </si>
  <si>
    <t>Tip fees per ton of waste</t>
  </si>
  <si>
    <t>2 x TC's + Ute, Signs &amp; Comms</t>
  </si>
  <si>
    <t>Whitsunday Drainage Contractors</t>
  </si>
  <si>
    <t>WHS Insurance / Levy</t>
  </si>
  <si>
    <t>LABOUR RESOURCES</t>
  </si>
  <si>
    <t>MATERIAL RESOURCES</t>
  </si>
  <si>
    <t>PLANT RESOURCES</t>
  </si>
  <si>
    <t>SUBCONTRACT RESOURCES</t>
  </si>
  <si>
    <t>Type</t>
  </si>
  <si>
    <t>L</t>
  </si>
  <si>
    <t>M</t>
  </si>
  <si>
    <t>P</t>
  </si>
  <si>
    <t>S</t>
  </si>
  <si>
    <t>Non-Working Calendar 2011 - 2015 (Queensland - Australia)</t>
  </si>
  <si>
    <t>Christmas Day</t>
  </si>
  <si>
    <t>Boxing Day</t>
  </si>
  <si>
    <t>New Years Day</t>
  </si>
  <si>
    <t>Australia Day</t>
  </si>
  <si>
    <t>Good Friday</t>
  </si>
  <si>
    <t>Easter Monday</t>
  </si>
  <si>
    <t>ANZAC Day</t>
  </si>
  <si>
    <t>Labour Day</t>
  </si>
  <si>
    <t>Queen's Birthday</t>
  </si>
  <si>
    <t>Xmas S/D</t>
  </si>
  <si>
    <t>Work Hours Per Day</t>
  </si>
  <si>
    <t>Start Date</t>
  </si>
  <si>
    <t>Engineer / CQR</t>
  </si>
  <si>
    <t>Foreman - Hourly</t>
  </si>
  <si>
    <t>Labour - RATE ONLY</t>
  </si>
  <si>
    <t>Operator</t>
  </si>
  <si>
    <t>PM</t>
  </si>
  <si>
    <t>Pipelayer</t>
  </si>
  <si>
    <t>Project Manager</t>
  </si>
  <si>
    <t>Surveyor</t>
  </si>
  <si>
    <t>Technical Officer</t>
  </si>
  <si>
    <t>Traffic Controller</t>
  </si>
  <si>
    <t>WHSO</t>
  </si>
  <si>
    <t>100 Bend - 11.25 deg</t>
  </si>
  <si>
    <t>100 Bend - 22.5 deg</t>
  </si>
  <si>
    <t>100 Bend - 45 deg</t>
  </si>
  <si>
    <t>100 End Cap</t>
  </si>
  <si>
    <t>100 Gasket Set</t>
  </si>
  <si>
    <t>100 LD uPVC Electrical</t>
  </si>
  <si>
    <t>100 SV So-So</t>
  </si>
  <si>
    <t>100 x 100 Tee</t>
  </si>
  <si>
    <t>1050 Manhole per metre</t>
  </si>
  <si>
    <t>1050 Reducer Slab</t>
  </si>
  <si>
    <t>1200 RCP FJ CL2</t>
  </si>
  <si>
    <t>125 LD uPVC Electrical</t>
  </si>
  <si>
    <t>150 Bend - 11.25 deg</t>
  </si>
  <si>
    <t>150 Bend - 22.5 deg</t>
  </si>
  <si>
    <t>150 Bend - 45 deg</t>
  </si>
  <si>
    <t>150 Bend - 90 deg</t>
  </si>
  <si>
    <t>150 End Cap</t>
  </si>
  <si>
    <t>150 Gasket Set</t>
  </si>
  <si>
    <t>150 SV So-So</t>
  </si>
  <si>
    <t>150 Vari-Gib</t>
  </si>
  <si>
    <t>150 Water Meter - Helix</t>
  </si>
  <si>
    <t>150 x 100 Tee</t>
  </si>
  <si>
    <t>150 x 150 Tee</t>
  </si>
  <si>
    <t>20mm Drainage Agg</t>
  </si>
  <si>
    <t>300 RCP</t>
  </si>
  <si>
    <t>300 RCP FJ CL3</t>
  </si>
  <si>
    <t>375 RCP</t>
  </si>
  <si>
    <t>375 RCP FJ CL3</t>
  </si>
  <si>
    <t>375 Sloping Headwall</t>
  </si>
  <si>
    <t>40 HD uPVC Electrical</t>
  </si>
  <si>
    <t>40mm Drainage Agg</t>
  </si>
  <si>
    <t>450 RCP FJ CL4</t>
  </si>
  <si>
    <t>50 HD uPVC Electrical</t>
  </si>
  <si>
    <t>50 uPVC Communications</t>
  </si>
  <si>
    <t>525 RCP FJ CL2</t>
  </si>
  <si>
    <t>63 HD VX Electrical</t>
  </si>
  <si>
    <t>675 RCP FJ CL3</t>
  </si>
  <si>
    <t>750 HW</t>
  </si>
  <si>
    <t>750 RCP</t>
  </si>
  <si>
    <t>80 uPVC Communications</t>
  </si>
  <si>
    <t>900 RCP FJ CL2</t>
  </si>
  <si>
    <t>A24</t>
  </si>
  <si>
    <t>A34</t>
  </si>
  <si>
    <t>A64</t>
  </si>
  <si>
    <t>Bollard - Plain</t>
  </si>
  <si>
    <t>Bolts</t>
  </si>
  <si>
    <t>Bro Pit - 1C1T</t>
  </si>
  <si>
    <t>Bro Pit - 1C2T</t>
  </si>
  <si>
    <t>CBR15</t>
  </si>
  <si>
    <t>CBR45</t>
  </si>
  <si>
    <t>CBR80</t>
  </si>
  <si>
    <t>Cast Iron Lid &amp; Surround</t>
  </si>
  <si>
    <t>Cement - 2 Tonne Bag</t>
  </si>
  <si>
    <t>Cement - GP Bulk</t>
  </si>
  <si>
    <t>Cold Mix AC</t>
  </si>
  <si>
    <t>Crusher Dust - Delivered</t>
  </si>
  <si>
    <t>DN100 uPVC PN18</t>
  </si>
  <si>
    <t>DN100 uPVC SN10</t>
  </si>
  <si>
    <t>DN100 uPVC SN8</t>
  </si>
  <si>
    <t>DN150 uPVC PN16</t>
  </si>
  <si>
    <t>DN150 uPVC PN18</t>
  </si>
  <si>
    <t>DN150 uPVC SN8</t>
  </si>
  <si>
    <t>DN25 PE100 PN12.5</t>
  </si>
  <si>
    <t>DN32 PE100 PN12.5</t>
  </si>
  <si>
    <t>DN40 PE100 ON12.5</t>
  </si>
  <si>
    <t>DN50 PE100 PN12.5</t>
  </si>
  <si>
    <t>DN63 PE100 PN12.5</t>
  </si>
  <si>
    <t>DN63 PE80B SDR11 (Gas)</t>
  </si>
  <si>
    <t>DN90 PE100 PN12.5</t>
  </si>
  <si>
    <t>Daneley Joints</t>
  </si>
  <si>
    <t>Delineation</t>
  </si>
  <si>
    <t>Dowels</t>
  </si>
  <si>
    <t>Drainage Agg</t>
  </si>
  <si>
    <t>Draw Rope - Conduits</t>
  </si>
  <si>
    <t>Electrical Pit - Precast</t>
  </si>
  <si>
    <t>Ferrule &amp; Bonnet - 25mm</t>
  </si>
  <si>
    <t>Ferrule &amp; Bonnet - 40mm</t>
  </si>
  <si>
    <t>Ferrule &amp; Bonnet - 50mm</t>
  </si>
  <si>
    <t>Fire Booster Assembly</t>
  </si>
  <si>
    <t>Fire Booster Cabinet</t>
  </si>
  <si>
    <t>Form Boards</t>
  </si>
  <si>
    <t>Form Ply</t>
  </si>
  <si>
    <t>GCL</t>
  </si>
  <si>
    <t>Gabion Rock</t>
  </si>
  <si>
    <t>Gates</t>
  </si>
  <si>
    <t>General Fill (CBR15)</t>
  </si>
  <si>
    <t>HW - 1200 x 450 RCBC</t>
  </si>
  <si>
    <t>HW - 2400 x 900 RCBC</t>
  </si>
  <si>
    <t>HW - 3/1200 x 300 RCBC</t>
  </si>
  <si>
    <t>HW - 300</t>
  </si>
  <si>
    <t>HW - 375</t>
  </si>
  <si>
    <t>HW - 375 Sloping</t>
  </si>
  <si>
    <t>HW - 450</t>
  </si>
  <si>
    <t>HW - 450 Sloping</t>
  </si>
  <si>
    <t>HW - 600 x 375 RCBC</t>
  </si>
  <si>
    <t>HW - 675</t>
  </si>
  <si>
    <t>HW - 750 x 450 RCBC</t>
  </si>
  <si>
    <t>HW 1200 x 600 RCBC</t>
  </si>
  <si>
    <t>Hard Cover - Electrical</t>
  </si>
  <si>
    <t>Hazard Board</t>
  </si>
  <si>
    <t>Hose Cock</t>
  </si>
  <si>
    <t>Hydrant Riser</t>
  </si>
  <si>
    <t>Hydrant Riser - 100 Dual</t>
  </si>
  <si>
    <t>Hydrant Riser 150 Dual</t>
  </si>
  <si>
    <t>MDPE Junctions</t>
  </si>
  <si>
    <t>Marker Post</t>
  </si>
  <si>
    <t>N20</t>
  </si>
  <si>
    <t>PN10 : 200 DiaPE100</t>
  </si>
  <si>
    <t>Pickets</t>
  </si>
  <si>
    <t>Pre-cast Kerb Unit</t>
  </si>
  <si>
    <t>Pugmill</t>
  </si>
  <si>
    <t>RCBC - 1200 x 300</t>
  </si>
  <si>
    <t>RCBC - 1200 x 375</t>
  </si>
  <si>
    <t>RCBC - 1200 x 450</t>
  </si>
  <si>
    <t>RCBC - 1200 x 600</t>
  </si>
  <si>
    <t>RCBC - 2400 x 900</t>
  </si>
  <si>
    <t>RCBC - 3600 x 900</t>
  </si>
  <si>
    <t>RCBC - 600 x 300</t>
  </si>
  <si>
    <t>RCBC - 750 x 450</t>
  </si>
  <si>
    <t>RCBC - 900 x 300</t>
  </si>
  <si>
    <t>RCBC 600 x 375</t>
  </si>
  <si>
    <t>RL1218</t>
  </si>
  <si>
    <t>Rag Bolt</t>
  </si>
  <si>
    <t>Rag Bolt - Small</t>
  </si>
  <si>
    <t>Reinforcing Steel</t>
  </si>
  <si>
    <t>S32 - Exposed Aggregate</t>
  </si>
  <si>
    <t>SL82</t>
  </si>
  <si>
    <t>Sand Bags</t>
  </si>
  <si>
    <t>Signs - General</t>
  </si>
  <si>
    <t>Single Check Detector</t>
  </si>
  <si>
    <t>Small Signs</t>
  </si>
  <si>
    <t>Small Tools</t>
  </si>
  <si>
    <t>Sub Soil Flush Fittings</t>
  </si>
  <si>
    <t>TX160 - Geogrid</t>
  </si>
  <si>
    <t>Tack Coat</t>
  </si>
  <si>
    <t>Tapping Band - 100 x 25</t>
  </si>
  <si>
    <t>Tapping Band - 100 x 50</t>
  </si>
  <si>
    <t>Tapping Band 100 x 40</t>
  </si>
  <si>
    <t>Topsoil</t>
  </si>
  <si>
    <t>Type A Sewer Junction</t>
  </si>
  <si>
    <t>Valve Box &amp; Surround</t>
  </si>
  <si>
    <t>Water Meter Interface</t>
  </si>
  <si>
    <t>Wheel Stops</t>
  </si>
  <si>
    <t>DG14</t>
  </si>
  <si>
    <t>A25</t>
  </si>
  <si>
    <t>Back Hoe</t>
  </si>
  <si>
    <t>Bobcat - RATE ONLY</t>
  </si>
  <si>
    <t>Bomag 124DH</t>
  </si>
  <si>
    <t>Bomag 124DH (Stand Down)</t>
  </si>
  <si>
    <t>CAT297</t>
  </si>
  <si>
    <t>CAT297 Stabiliser</t>
  </si>
  <si>
    <t>CAT311</t>
  </si>
  <si>
    <t>Container</t>
  </si>
  <si>
    <t>Crane Truck</t>
  </si>
  <si>
    <t>D6</t>
  </si>
  <si>
    <t>Dual Grade Laser</t>
  </si>
  <si>
    <t>Excavator - 15T</t>
  </si>
  <si>
    <t>Excavator - 30T</t>
  </si>
  <si>
    <t>Excavator - 8T</t>
  </si>
  <si>
    <t>Excavator &lt; 24 RATE ONLY</t>
  </si>
  <si>
    <t>FAE Mixer</t>
  </si>
  <si>
    <t>Ford Utility</t>
  </si>
  <si>
    <t>Grader - RATE ONLY</t>
  </si>
  <si>
    <t>NH Grader</t>
  </si>
  <si>
    <t>PF Roller</t>
  </si>
  <si>
    <t>PF Roller Wet - No OP</t>
  </si>
  <si>
    <t>Plant Float - Allciv</t>
  </si>
  <si>
    <t>Rock Breaker</t>
  </si>
  <si>
    <t>SD Roller - RATE ONLY</t>
  </si>
  <si>
    <t>Scraper - RATE ONLY</t>
  </si>
  <si>
    <t>T&amp;D - RATE ONLY</t>
  </si>
  <si>
    <t>Tipper - Allciv</t>
  </si>
  <si>
    <t>Toyota Utility</t>
  </si>
  <si>
    <t>Trench Roller</t>
  </si>
  <si>
    <t>Truck - RATE ONLY</t>
  </si>
  <si>
    <t>UD Spreader</t>
  </si>
  <si>
    <t>UD Spreader - Daily</t>
  </si>
  <si>
    <t>WC - Allciv</t>
  </si>
  <si>
    <t>Water Cart - RATE ONLY</t>
  </si>
  <si>
    <t>10mm Seal</t>
  </si>
  <si>
    <t>AMC0 Prime</t>
  </si>
  <si>
    <t>Accommodation</t>
  </si>
  <si>
    <t>CBR Test</t>
  </si>
  <si>
    <t>CCTV</t>
  </si>
  <si>
    <t>Concrete Hole Cutting</t>
  </si>
  <si>
    <t>Concrete Sub-contract</t>
  </si>
  <si>
    <t>Conduit Subbie</t>
  </si>
  <si>
    <t>Council Fee</t>
  </si>
  <si>
    <t>DG14 - CCCP</t>
  </si>
  <si>
    <t>DG14 - Dobbins Lane</t>
  </si>
  <si>
    <t>DG14 - Dodd St</t>
  </si>
  <si>
    <t>DG14 - Doherty St</t>
  </si>
  <si>
    <t>DG14 - Faust St</t>
  </si>
  <si>
    <t>DG14 - Jupp St</t>
  </si>
  <si>
    <t>DG14 - Sterry St</t>
  </si>
  <si>
    <t>Final Seal</t>
  </si>
  <si>
    <t>Geotech Level One</t>
  </si>
  <si>
    <t>Grinder</t>
  </si>
  <si>
    <t>HDPE Liner</t>
  </si>
  <si>
    <t>Kerb Subbie (two)</t>
  </si>
  <si>
    <t>Kerb Subbie - Hand</t>
  </si>
  <si>
    <t>Lab Compaction</t>
  </si>
  <si>
    <t>Manhole Builder (1-2m)</t>
  </si>
  <si>
    <t>Manhole Builder (2-3m)</t>
  </si>
  <si>
    <t>PE Welder</t>
  </si>
  <si>
    <t>PL</t>
  </si>
  <si>
    <t>Pavement Subbie</t>
  </si>
  <si>
    <t>Pavement Test</t>
  </si>
  <si>
    <t>Pot Holes R Us</t>
  </si>
  <si>
    <t>Pot Plants</t>
  </si>
  <si>
    <t>Power</t>
  </si>
  <si>
    <t>Profiling Subbie</t>
  </si>
  <si>
    <t>RCBC Slab Subbie</t>
  </si>
  <si>
    <t>SAMI Seal</t>
  </si>
  <si>
    <t>Safety Rails</t>
  </si>
  <si>
    <t>Sand Replacements</t>
  </si>
  <si>
    <t>Seal Visit Eight</t>
  </si>
  <si>
    <t>Seal Visit Five</t>
  </si>
  <si>
    <t>Seal Visit Four</t>
  </si>
  <si>
    <t>Seal Visit Seven</t>
  </si>
  <si>
    <t>Seal Visit Six</t>
  </si>
  <si>
    <t>Seal Visit Three</t>
  </si>
  <si>
    <t>Seal Visit Two</t>
  </si>
  <si>
    <t>Security Fence</t>
  </si>
  <si>
    <t>Service Locator</t>
  </si>
  <si>
    <t>Sewer Subbie</t>
  </si>
  <si>
    <t>Soil Tests</t>
  </si>
  <si>
    <t>Steel Fixing</t>
  </si>
  <si>
    <t>Stone Pitching</t>
  </si>
  <si>
    <t>Survey - Boundary Pegs</t>
  </si>
  <si>
    <t>TGSI</t>
  </si>
  <si>
    <t>Temporary Fencing</t>
  </si>
  <si>
    <t>Tip Fees</t>
  </si>
  <si>
    <t>Traffic Ute</t>
  </si>
  <si>
    <t>WHS</t>
  </si>
  <si>
    <t>Water Subbie</t>
  </si>
  <si>
    <t>DG10</t>
  </si>
  <si>
    <t>11</t>
  </si>
  <si>
    <t/>
  </si>
  <si>
    <t>12</t>
  </si>
  <si>
    <t>13</t>
  </si>
  <si>
    <t>15</t>
  </si>
  <si>
    <t>32</t>
  </si>
  <si>
    <t>33</t>
  </si>
  <si>
    <t>41</t>
  </si>
  <si>
    <t>52</t>
  </si>
  <si>
    <t>53</t>
  </si>
  <si>
    <t>57</t>
  </si>
  <si>
    <t>61</t>
  </si>
  <si>
    <t>62</t>
  </si>
  <si>
    <t>63</t>
  </si>
  <si>
    <t>64</t>
  </si>
  <si>
    <t>65</t>
  </si>
  <si>
    <t>66</t>
  </si>
  <si>
    <t>67</t>
  </si>
  <si>
    <t>68</t>
  </si>
  <si>
    <t>71</t>
  </si>
  <si>
    <t>72</t>
  </si>
  <si>
    <t>73</t>
  </si>
  <si>
    <t>75</t>
  </si>
  <si>
    <t>81</t>
  </si>
  <si>
    <t>85</t>
  </si>
  <si>
    <t>86</t>
  </si>
  <si>
    <t>87</t>
  </si>
  <si>
    <t>103</t>
  </si>
  <si>
    <t>110</t>
  </si>
  <si>
    <t>120</t>
  </si>
  <si>
    <t>121</t>
  </si>
  <si>
    <t>141</t>
  </si>
  <si>
    <t>151</t>
  </si>
  <si>
    <t>181</t>
  </si>
  <si>
    <t>182</t>
  </si>
  <si>
    <t>201</t>
  </si>
  <si>
    <t>220</t>
  </si>
  <si>
    <t>221</t>
  </si>
  <si>
    <t>222</t>
  </si>
  <si>
    <t>901</t>
  </si>
  <si>
    <t>902</t>
  </si>
  <si>
    <t>903</t>
  </si>
  <si>
    <t>904</t>
  </si>
  <si>
    <t>905</t>
  </si>
  <si>
    <t>907</t>
  </si>
  <si>
    <t>908</t>
  </si>
  <si>
    <t>911</t>
  </si>
  <si>
    <t>913</t>
  </si>
  <si>
    <t>915</t>
  </si>
  <si>
    <t>C20 - 20Mpa</t>
  </si>
  <si>
    <t>C25</t>
  </si>
  <si>
    <t>C32</t>
  </si>
  <si>
    <t>C40</t>
  </si>
  <si>
    <t>CKM</t>
  </si>
  <si>
    <t>CSA</t>
  </si>
  <si>
    <t>CSS</t>
  </si>
  <si>
    <t>QMR</t>
  </si>
  <si>
    <t>QMS</t>
  </si>
  <si>
    <t>RFS</t>
  </si>
  <si>
    <t>RSM</t>
  </si>
  <si>
    <t>SWC</t>
  </si>
  <si>
    <t>SWL</t>
  </si>
  <si>
    <t>SWP</t>
  </si>
  <si>
    <t>SWPC</t>
  </si>
  <si>
    <t>WMF</t>
  </si>
  <si>
    <t>Cost</t>
  </si>
  <si>
    <t>Usage</t>
  </si>
  <si>
    <t>Duration</t>
  </si>
  <si>
    <r>
      <t>Prod</t>
    </r>
    <r>
      <rPr>
        <b/>
        <vertAlign val="superscript"/>
        <sz val="11"/>
        <color theme="1"/>
        <rFont val="Calibri"/>
        <family val="2"/>
        <scheme val="minor"/>
      </rPr>
      <t>n</t>
    </r>
  </si>
  <si>
    <t>Field Density Tests (QTY)</t>
  </si>
  <si>
    <t>Concrete Cylinders (QTY)</t>
  </si>
  <si>
    <t>Duration (Weeks)</t>
  </si>
  <si>
    <t>Float of Machinery - in order: Grader; SD Roller; MW Roller; Water Cart; Truck &amp; Dogs; Bobcat; Excavator &amp; Site Office. Allow to purchase a generator &amp; Project supervisor for 1 week.</t>
  </si>
  <si>
    <t>Tasks ongoing throughout project</t>
  </si>
  <si>
    <t>Area = QTY/.2</t>
  </si>
  <si>
    <t>(10) Box Units to Stand - 1.2m long each</t>
  </si>
  <si>
    <t>(15) Hand Placed Backfill - 1.25 cum / m</t>
  </si>
  <si>
    <t>Tonnes Gravel = QTY*density</t>
  </si>
  <si>
    <t>(15) Field Density Tests</t>
  </si>
  <si>
    <t>(6) Concrete Cylinder Sets</t>
  </si>
  <si>
    <t>(6) No. Weeks TC Required</t>
  </si>
  <si>
    <t>Tonnes Gravel = QTY* density</t>
  </si>
  <si>
    <t>18 sqm per invert; 175mm thick, 10% concrete waste</t>
  </si>
  <si>
    <t>(12) Field Density Tests</t>
  </si>
  <si>
    <t>(2) No. Weeks TC Required</t>
  </si>
  <si>
    <t>No. properties = 10</t>
  </si>
  <si>
    <t xml:space="preserve"> Tonnes Gravel = QTY*density</t>
  </si>
  <si>
    <t>Purchase Materials: 6 sqm per invert, 125mm thick, 10% wastage, 1 chair / 0.9 sqm</t>
  </si>
  <si>
    <t>Purchase Materials: 18 sqm per invert, 175mm thick, 10% wastage, 1 chair / 0.9 sqm</t>
  </si>
  <si>
    <t>(4) No. Weeks TC Required</t>
  </si>
  <si>
    <t>(16) No. of properties</t>
  </si>
  <si>
    <t>(4) No. Weeks TC Required - No. = days per week</t>
  </si>
  <si>
    <t>(2) No. of properties</t>
  </si>
  <si>
    <t>(10) Box Units to Stand</t>
  </si>
  <si>
    <t>(15) Hand Placed Backfill</t>
  </si>
  <si>
    <t>(74) Box Units to Stand</t>
  </si>
  <si>
    <t>(9) Box Units to Stand</t>
  </si>
  <si>
    <t>QTY/.2) = Area</t>
  </si>
  <si>
    <t>QTY*density Tonnes Gravel</t>
  </si>
  <si>
    <t>(30) Field Density Tests</t>
  </si>
  <si>
    <t>(6) No. Weeks TC Required; No. = 6 days per week</t>
  </si>
  <si>
    <t>(21) No. of properties</t>
  </si>
  <si>
    <t>QTY/.2 =  Area</t>
  </si>
  <si>
    <t>(11) Box Units to Stand</t>
  </si>
  <si>
    <t>Use Kerb Subbie. We will supply sand &amp; cement for slurry</t>
  </si>
  <si>
    <t>QTY*2.4 Tonnes Gravel</t>
  </si>
  <si>
    <t>(4) No. Weeks TC Required; No. = 6 days per week</t>
  </si>
  <si>
    <t>QTY/.2 = Area</t>
  </si>
  <si>
    <t>(24) Field Density Tests</t>
  </si>
  <si>
    <t>(5) No. Weeks TC Required; No. = 6 days per week</t>
  </si>
  <si>
    <t>(17) No. of properties</t>
  </si>
  <si>
    <t>(30) Box Units to Stand</t>
  </si>
  <si>
    <t>2.4*density Tonnes Gravel</t>
  </si>
  <si>
    <t>WBS</t>
  </si>
  <si>
    <t>UOM</t>
  </si>
  <si>
    <t>INPUT</t>
  </si>
  <si>
    <t>TYPE</t>
  </si>
  <si>
    <t>Q</t>
  </si>
  <si>
    <r>
      <t>t/m</t>
    </r>
    <r>
      <rPr>
        <vertAlign val="superscript"/>
        <sz val="11"/>
        <color theme="1"/>
        <rFont val="Calibri"/>
        <family val="2"/>
        <scheme val="minor"/>
      </rPr>
      <t>3</t>
    </r>
  </si>
  <si>
    <t>t/m3</t>
  </si>
  <si>
    <t>TASK</t>
  </si>
  <si>
    <t>DURATION</t>
  </si>
  <si>
    <t xml:space="preserve">JUPP_PV01   </t>
  </si>
  <si>
    <t>Jupp Street Geotextile wrapping around no fines concrete</t>
  </si>
  <si>
    <t xml:space="preserve">JUPP_PV02   </t>
  </si>
  <si>
    <t>Jupp_PV02  -  Boundary Pits &amp; Pipes</t>
  </si>
  <si>
    <t xml:space="preserve">DODD_PV01   </t>
  </si>
  <si>
    <t>Dodd St - Geogrid layer</t>
  </si>
  <si>
    <t xml:space="preserve">JUPP_PV     </t>
  </si>
  <si>
    <t>Jupp St - Haul &amp; Place Type 2.3 gravel</t>
  </si>
  <si>
    <t xml:space="preserve">DODD_PV02   </t>
  </si>
  <si>
    <t>Dodd Street-PV02 Supply and Install  Entry pits, RCBC and  Concrete Nib Wall and Nib</t>
  </si>
  <si>
    <t xml:space="preserve">item </t>
  </si>
  <si>
    <t xml:space="preserve">            </t>
  </si>
  <si>
    <t xml:space="preserve">Supply and install 1200x300 RCBC </t>
  </si>
  <si>
    <t>Install concrete Nib Wall and Nib</t>
  </si>
  <si>
    <t xml:space="preserve">Supply and Install 2 MCC Type A Kerb entry pits </t>
  </si>
  <si>
    <t xml:space="preserve">DODD_PV09   </t>
  </si>
  <si>
    <t xml:space="preserve">Vairation to design levels  mismatch to road surface  -  44m Lurline Street to match levels to existing road surface. </t>
  </si>
  <si>
    <t xml:space="preserve">DODD_PV06   </t>
  </si>
  <si>
    <t xml:space="preserve"> Install new Type A  MCC side entry pit, 13m  of 450 RCP  break in to existing drainage line and  install a  flush point. </t>
  </si>
  <si>
    <t xml:space="preserve">CCC_PV02    </t>
  </si>
  <si>
    <t xml:space="preserve">CCC_PV02 - Cultrual Centre Carpark - Install 600m dish Drain </t>
  </si>
  <si>
    <t xml:space="preserve">DODD_PV04   </t>
  </si>
  <si>
    <t xml:space="preserve">JUPP_PV03   </t>
  </si>
  <si>
    <t xml:space="preserve">Installation of water main Jupp and anzac two crossing </t>
  </si>
  <si>
    <t xml:space="preserve">Supervisor </t>
  </si>
  <si>
    <t xml:space="preserve">DODD_PV05   </t>
  </si>
  <si>
    <t>Dodd Street_PV05  - New Bropit and RCBC arrangement</t>
  </si>
  <si>
    <t xml:space="preserve">CCC_PV03    </t>
  </si>
  <si>
    <t xml:space="preserve">STERRY_PV01 </t>
  </si>
  <si>
    <t>Sterry_PV01 Sterry Street - Chapman Street Works</t>
  </si>
  <si>
    <t xml:space="preserve">Kerb and Channel B1 </t>
  </si>
  <si>
    <t xml:space="preserve">Concrete Trench  Works </t>
  </si>
  <si>
    <t>Asphalt Works to Chaptman Street</t>
  </si>
  <si>
    <t>Property Connection and  Kerb Adaptor  Chaptman  street</t>
  </si>
  <si>
    <t xml:space="preserve">Install driveways  chapman street </t>
  </si>
  <si>
    <t xml:space="preserve">Profiling existing road edge to match in to grade existing and kerb Chapman Street </t>
  </si>
  <si>
    <t xml:space="preserve">Line marking - Remark pavement marks  -  bus parking area </t>
  </si>
  <si>
    <t xml:space="preserve">Primer Seal </t>
  </si>
  <si>
    <t xml:space="preserve">JUPP_PV04   </t>
  </si>
  <si>
    <t xml:space="preserve">Jupp_PV04 - Extend Kerb &amp; Channel On Anzac Road </t>
  </si>
  <si>
    <t xml:space="preserve">Install kerbing on Anzac Rd  type B1 </t>
  </si>
  <si>
    <t xml:space="preserve">JUPP_PV05   </t>
  </si>
  <si>
    <t>Jupp_PV05 - Extend Kerb &amp; Channel on Phaff Street</t>
  </si>
  <si>
    <t xml:space="preserve">Kerbing type B1 Phaff st </t>
  </si>
  <si>
    <t>Property Connection and kerb adaptor Phaff Street</t>
  </si>
  <si>
    <t xml:space="preserve">DODD_PV03   </t>
  </si>
  <si>
    <t xml:space="preserve">Survey water main </t>
  </si>
  <si>
    <t xml:space="preserve">CCC_PV01    </t>
  </si>
  <si>
    <t xml:space="preserve">CCC_PV01 - Remove and Replace New kerbiing and traffic Islands </t>
  </si>
  <si>
    <t xml:space="preserve">CCC_PV01 - Cultrual Centre Carpark - Install Traffic Islands  </t>
  </si>
  <si>
    <t xml:space="preserve">Cutrual Carpark Centre - Demolition of kerb invert and islands </t>
  </si>
  <si>
    <t>STERRY_ PV02</t>
  </si>
  <si>
    <t xml:space="preserve">Area1 and Area 2  Sterry Street  -  Rock mattress, 2  layers of Geogrid and, geofabric </t>
  </si>
  <si>
    <t xml:space="preserve">Traffic Control - maintenance of signs 1 hr/ day @ 50/hr based on 23 days </t>
  </si>
  <si>
    <t xml:space="preserve">Area 1  Remove cement modify base - subgrade failure </t>
  </si>
  <si>
    <t xml:space="preserve">Area 1 Excavate unsuitable material 200mm below subgrade </t>
  </si>
  <si>
    <t>Area 1 Replace unsuitable material with select material complete 400mm depth</t>
  </si>
  <si>
    <t xml:space="preserve">Area 1 Supply and install 2 Layer Geogrid tensar TX160 Top layers only </t>
  </si>
  <si>
    <t xml:space="preserve">Area 1 Supply and install Geofabric Top and side of mattress only </t>
  </si>
  <si>
    <t>Area1 Supply Gabion Rock  BQC</t>
  </si>
  <si>
    <t>Area 1 Cartage Gabion Rock  BQC</t>
  </si>
  <si>
    <t xml:space="preserve">Area 1 Project Manager </t>
  </si>
  <si>
    <t xml:space="preserve">Area 1 Project Engineer </t>
  </si>
  <si>
    <t xml:space="preserve">Area 2  Excavate Unsuitable Material 200mm below subgrade  </t>
  </si>
  <si>
    <t xml:space="preserve">Area 2  Replace unsuitable material with select material complete 400mm depth </t>
  </si>
  <si>
    <t>Area 2 Supply and install Geofabric Top and side of Mattress only</t>
  </si>
  <si>
    <t>Area 2 Supply Gabion Rock Wall &amp; Sons</t>
  </si>
  <si>
    <t>Area 2 Cartage Rock Wall &amp;Sons</t>
  </si>
  <si>
    <t xml:space="preserve">Area 1 - Supply  Rock  Wall and Sons </t>
  </si>
  <si>
    <t xml:space="preserve">Area 1 Additional water service connections  (5) </t>
  </si>
  <si>
    <t xml:space="preserve">Area 2 Project Manager </t>
  </si>
  <si>
    <t xml:space="preserve">Area 2 Project Engineer </t>
  </si>
  <si>
    <t xml:space="preserve">Area1 - Cartage Rock Wall &amp; Son </t>
  </si>
  <si>
    <t xml:space="preserve">DODD_P0V7   </t>
  </si>
  <si>
    <t xml:space="preserve">Installation Pram Ramps Dodd street </t>
  </si>
  <si>
    <t xml:space="preserve">Hand placed concrete paving </t>
  </si>
  <si>
    <t>Reinstate footpath - 2.1m x 24.1m</t>
  </si>
  <si>
    <t>Hand placed kerb - 17m</t>
  </si>
  <si>
    <t xml:space="preserve">CCC_PV04    </t>
  </si>
  <si>
    <t xml:space="preserve">Unsuitable Subgrade replacement Iron Stone Rock Mattress </t>
  </si>
  <si>
    <t>Win, load and Import iron stone gravel</t>
  </si>
  <si>
    <t>Excavate and remove unsitable subgrade to depth 300mm</t>
  </si>
  <si>
    <t xml:space="preserve">Supply and install A34 geofabric additional layer provided in redesign   </t>
  </si>
  <si>
    <t xml:space="preserve">Replace unsuitable meterial below subgrade with select material 300mm depth </t>
  </si>
  <si>
    <t xml:space="preserve">DODD_PV08   </t>
  </si>
  <si>
    <t>Dodd Street - Water main Protection Lurline Street  -  works completed formal vairation to be provided Refer to email 2 May sent</t>
  </si>
  <si>
    <t xml:space="preserve">STERRY_PV04 </t>
  </si>
  <si>
    <t xml:space="preserve">Cement stabilisation - Sterry Street  250mm depth </t>
  </si>
  <si>
    <t>STERRY_ PV03</t>
  </si>
  <si>
    <t xml:space="preserve">Vairation direction - Removal and Replacement of 150mm Sewer Main Sterry street </t>
  </si>
  <si>
    <t xml:space="preserve">STERRY_PV05 </t>
  </si>
  <si>
    <t xml:space="preserve">7 mm Primer Seal Sterry Street </t>
  </si>
  <si>
    <t xml:space="preserve">STERRY_PV06 </t>
  </si>
  <si>
    <t xml:space="preserve">Additional Chapman Street works - Kerbing and Miscellaneous concrete works Chapman </t>
  </si>
  <si>
    <t xml:space="preserve">STERRY_PV07 </t>
  </si>
  <si>
    <t>Construct standard driveway access - Proserpine Secondary School</t>
  </si>
  <si>
    <t xml:space="preserve">DOBB_PV01   </t>
  </si>
  <si>
    <t xml:space="preserve">Construct three residential property access Dobbins Lane </t>
  </si>
  <si>
    <t xml:space="preserve">DOH_PV01    </t>
  </si>
  <si>
    <t xml:space="preserve">Variation to water main Doherty street extra over the BOQ </t>
  </si>
  <si>
    <t xml:space="preserve">DOBB_PV02   </t>
  </si>
  <si>
    <t xml:space="preserve">DOBB_PVO3 A </t>
  </si>
  <si>
    <t xml:space="preserve">FAUST_PV01  </t>
  </si>
  <si>
    <t xml:space="preserve">Faust Street drw FSC 04 extra over the BOQ </t>
  </si>
  <si>
    <t xml:space="preserve">DOH_PV03    </t>
  </si>
  <si>
    <t>Replacement of AC sewer main ch 37</t>
  </si>
  <si>
    <t xml:space="preserve">DOH_PV02    </t>
  </si>
  <si>
    <t xml:space="preserve">Pavement Design </t>
  </si>
  <si>
    <t xml:space="preserve">Excavation of Subgrade </t>
  </si>
  <si>
    <t xml:space="preserve">Win, load and import Iron stone </t>
  </si>
  <si>
    <t xml:space="preserve">Replace Unsuitable with select material </t>
  </si>
  <si>
    <t xml:space="preserve">Rock Mattress - 23m x4m x 0.4m  excavation  23x4x0.7  </t>
  </si>
  <si>
    <t>Cartage Rock - foxdale</t>
  </si>
  <si>
    <t xml:space="preserve">Supply and lay geofabric  </t>
  </si>
  <si>
    <t xml:space="preserve">FAUST_PV00  </t>
  </si>
  <si>
    <t xml:space="preserve">Win,load and Import Iron Stone </t>
  </si>
  <si>
    <t>Supply Gabion Rock  - Foxdale</t>
  </si>
  <si>
    <t xml:space="preserve">Supply of geofabric - rockmattress </t>
  </si>
  <si>
    <t>Cartage Rock - Foxdale</t>
  </si>
  <si>
    <t xml:space="preserve">STERRY_03   </t>
  </si>
  <si>
    <t xml:space="preserve">Various Concrete works and fencing and gate alterations - day labour rates + materials </t>
  </si>
  <si>
    <t xml:space="preserve">FAUST_PV04  </t>
  </si>
  <si>
    <t xml:space="preserve">Additional Testing Requirements </t>
  </si>
  <si>
    <t xml:space="preserve">FAST_PV03   </t>
  </si>
  <si>
    <t xml:space="preserve">Blend Iron stone with 1% cement to stockpile </t>
  </si>
  <si>
    <t xml:space="preserve">Faust_Pv01  </t>
  </si>
  <si>
    <t xml:space="preserve">Excavate Unsuitable subgrade </t>
  </si>
  <si>
    <t xml:space="preserve">Replace Unsuitable with select Material </t>
  </si>
  <si>
    <t xml:space="preserve">DOH_PV06    </t>
  </si>
  <si>
    <t xml:space="preserve">Concrete Driveway  3 Doherty Street </t>
  </si>
  <si>
    <t xml:space="preserve">DOH_PV04    </t>
  </si>
  <si>
    <t xml:space="preserve">Construct Field Inlet Gully Pit Doherty Street </t>
  </si>
  <si>
    <t xml:space="preserve">DOH_PV05    </t>
  </si>
  <si>
    <t xml:space="preserve">Kerb extension end of Doherty Street </t>
  </si>
  <si>
    <t xml:space="preserve">Faust_PVO1A </t>
  </si>
  <si>
    <t xml:space="preserve">Additional Asphalt for Variation  Faust _PV01 -  Asphalt Invoice Plus 12.5% </t>
  </si>
  <si>
    <t xml:space="preserve">DOH_PVO6    </t>
  </si>
  <si>
    <t xml:space="preserve">Waste_ PV01 </t>
  </si>
  <si>
    <t xml:space="preserve">Faust_V10   </t>
  </si>
  <si>
    <t xml:space="preserve">Faust Street  - Service Crossing </t>
  </si>
  <si>
    <t>S32 - No Fines</t>
  </si>
  <si>
    <t>No Fines Concrete</t>
  </si>
  <si>
    <t>m3</t>
  </si>
  <si>
    <t>JSV01</t>
  </si>
  <si>
    <t>JSV01.1</t>
  </si>
  <si>
    <t>JSV02</t>
  </si>
  <si>
    <t>JSV03</t>
  </si>
  <si>
    <t>JSV03.1</t>
  </si>
  <si>
    <t>JSV03.2</t>
  </si>
  <si>
    <t xml:space="preserve"> Jupp St_PV03 - Replace AC watermain crossing at Jupp and Anzac Rd</t>
  </si>
  <si>
    <t>JSV04</t>
  </si>
  <si>
    <t>JSV05</t>
  </si>
  <si>
    <t>No. properties = 1</t>
  </si>
  <si>
    <t>JSV06</t>
  </si>
  <si>
    <t>JSV06.1</t>
  </si>
  <si>
    <t>DSV01</t>
  </si>
  <si>
    <t>DSV01.1</t>
  </si>
  <si>
    <t>DSV01.2</t>
  </si>
  <si>
    <t>DSV02</t>
  </si>
  <si>
    <t>DSV02.1</t>
  </si>
  <si>
    <t>DSV02.5</t>
  </si>
  <si>
    <t>DSV02.3</t>
  </si>
  <si>
    <t>DSV02.2</t>
  </si>
  <si>
    <t>DSV02.4</t>
  </si>
  <si>
    <t>DSV02.6</t>
  </si>
  <si>
    <t>DSV03</t>
  </si>
  <si>
    <t>DSV03.1</t>
  </si>
  <si>
    <t>DSV03.2</t>
  </si>
  <si>
    <t xml:space="preserve"> Replace AC Watermain Crossing at Dodd and Phaff Street</t>
  </si>
  <si>
    <t>Water Main Dodd St /Anzac Road at CH 315</t>
  </si>
  <si>
    <t>Dodd Street water main replacement Install new 100mm Dia DICL Watermains 3 locations</t>
  </si>
  <si>
    <t>Dodd Street_ PV04 - Extend Deep Lift AC at Culvert Crossing Anzac Drive</t>
  </si>
  <si>
    <t>Install 13m 450 FJ RCP</t>
  </si>
  <si>
    <t>DSV04</t>
  </si>
  <si>
    <t>DSV05</t>
  </si>
  <si>
    <t>DSV06</t>
  </si>
  <si>
    <t>DSV06.1</t>
  </si>
  <si>
    <t>DSV06.2</t>
  </si>
  <si>
    <t>DSV07</t>
  </si>
  <si>
    <t>Tactiles</t>
  </si>
  <si>
    <t>DSV07.1</t>
  </si>
  <si>
    <t>DSV07.2</t>
  </si>
  <si>
    <t>DSV07.3</t>
  </si>
  <si>
    <t>DSV07.4</t>
  </si>
  <si>
    <t>DSV07.5</t>
  </si>
  <si>
    <t>DSV07.6</t>
  </si>
  <si>
    <t>Demolition of Existing Pram Ramp</t>
  </si>
  <si>
    <t>m2</t>
  </si>
  <si>
    <t>m</t>
  </si>
  <si>
    <t>DSV07.7</t>
  </si>
  <si>
    <t>DSV08</t>
  </si>
  <si>
    <t>DSV09</t>
  </si>
  <si>
    <t>CCC01</t>
  </si>
  <si>
    <t>CCC01.1</t>
  </si>
  <si>
    <t>CCC01.2</t>
  </si>
  <si>
    <t>CCC01.5</t>
  </si>
  <si>
    <t>CCC01.3</t>
  </si>
  <si>
    <t>CCC01.4</t>
  </si>
  <si>
    <t>CCC02</t>
  </si>
  <si>
    <t>CCC02.2</t>
  </si>
  <si>
    <t>CCC02.3</t>
  </si>
  <si>
    <t>CCC03</t>
  </si>
  <si>
    <t>CCC_PV03   Cultrual Centre Carpark Insitu Stabilising Carpark  -  400m2</t>
  </si>
  <si>
    <t>StabIlising:</t>
  </si>
  <si>
    <t>Item</t>
  </si>
  <si>
    <t>CCC04</t>
  </si>
  <si>
    <t>CCC04.1</t>
  </si>
  <si>
    <t>CCC04.2</t>
  </si>
  <si>
    <t>CCC04.3</t>
  </si>
  <si>
    <t>CCC04.4</t>
  </si>
  <si>
    <t>CCC04.5</t>
  </si>
  <si>
    <t>CCC04.6</t>
  </si>
  <si>
    <t>CCC04.7</t>
  </si>
  <si>
    <t>SS01</t>
  </si>
  <si>
    <t>No. of properties</t>
  </si>
  <si>
    <t>SS01.2</t>
  </si>
  <si>
    <t>SS01.1</t>
  </si>
  <si>
    <t>SS01.3</t>
  </si>
  <si>
    <t>SS01.4</t>
  </si>
  <si>
    <t>SS01.5</t>
  </si>
  <si>
    <t>SS01.6</t>
  </si>
  <si>
    <t>SS01.7</t>
  </si>
  <si>
    <t>SS01.8</t>
  </si>
  <si>
    <t>SS01.9</t>
  </si>
  <si>
    <t xml:space="preserve"> PV02  - Directed on the 27 April 2012  to excavate and remove one layer tensar grid. Ch 50 - Ch 60 LHS </t>
  </si>
  <si>
    <t>PV02 -Direction 4 May 2012  remove top two grids mix amd compact .</t>
  </si>
  <si>
    <t>SS02</t>
  </si>
  <si>
    <t>SS02.1</t>
  </si>
  <si>
    <t>SS02.2</t>
  </si>
  <si>
    <t>SS02.3</t>
  </si>
  <si>
    <t>SS02.4</t>
  </si>
  <si>
    <t>SS02.5</t>
  </si>
  <si>
    <t>SS02.6</t>
  </si>
  <si>
    <t>SS02.7</t>
  </si>
  <si>
    <t>SS02.8</t>
  </si>
  <si>
    <t>SS02.9</t>
  </si>
  <si>
    <t>SS02.10</t>
  </si>
  <si>
    <t>SS02.11</t>
  </si>
  <si>
    <t>SS02.12</t>
  </si>
  <si>
    <t>SS02.13</t>
  </si>
  <si>
    <t>SS02.14</t>
  </si>
  <si>
    <t>SS02.15</t>
  </si>
  <si>
    <t>SS02.16</t>
  </si>
  <si>
    <t>SS02.17</t>
  </si>
  <si>
    <t>SS02.18</t>
  </si>
  <si>
    <t>SS02.19</t>
  </si>
  <si>
    <t>SS02.20</t>
  </si>
  <si>
    <t>SS02.21</t>
  </si>
  <si>
    <t>SS02.22</t>
  </si>
  <si>
    <t>SS02.23</t>
  </si>
  <si>
    <t>SS02.24</t>
  </si>
  <si>
    <t>SS02.25</t>
  </si>
  <si>
    <t>SS02.26</t>
  </si>
  <si>
    <t>SS02.27</t>
  </si>
  <si>
    <t>SS02.28</t>
  </si>
  <si>
    <t>SS02.29</t>
  </si>
  <si>
    <t>SS02.30</t>
  </si>
  <si>
    <t>SS02.31</t>
  </si>
  <si>
    <t>SS02.32</t>
  </si>
  <si>
    <t>SS02.33</t>
  </si>
  <si>
    <t>SS02.34</t>
  </si>
  <si>
    <t>SS02.35</t>
  </si>
  <si>
    <t>SS02.36</t>
  </si>
  <si>
    <t>SS02.37</t>
  </si>
  <si>
    <t>SS04</t>
  </si>
  <si>
    <t>SS04.2</t>
  </si>
  <si>
    <t>SS04.1</t>
  </si>
  <si>
    <t>SS03</t>
  </si>
  <si>
    <t>SS05</t>
  </si>
  <si>
    <t>SS06</t>
  </si>
  <si>
    <t>SS07</t>
  </si>
  <si>
    <t>SS07.1</t>
  </si>
  <si>
    <t>SS08</t>
  </si>
  <si>
    <t>Variation Direction to place an additional layer of Geogrid dobbins lane  Ch 190 to Ch 230  -  7.5m wide</t>
  </si>
  <si>
    <t>DL01</t>
  </si>
  <si>
    <t>DL01.1</t>
  </si>
  <si>
    <t>DL02</t>
  </si>
  <si>
    <t>DL02.1</t>
  </si>
  <si>
    <t>DL02.2</t>
  </si>
  <si>
    <t xml:space="preserve">Remove &amp; Replace Subgrade -  Excavate unsutiable  material,  Blended  cement into gravel, import place and compact. </t>
  </si>
  <si>
    <t xml:space="preserve">Excavate Unsuitable Material  below subgrade  </t>
  </si>
  <si>
    <t>Replace unsuitable material with select material</t>
  </si>
  <si>
    <t>Stabilise Reploaced Gravel</t>
  </si>
  <si>
    <t>DL03</t>
  </si>
  <si>
    <t>DL03.1</t>
  </si>
  <si>
    <t>DL03.2</t>
  </si>
  <si>
    <t>DL03.3</t>
  </si>
  <si>
    <t>DL03.4</t>
  </si>
  <si>
    <t>DL03.5</t>
  </si>
  <si>
    <t>DL03.6</t>
  </si>
  <si>
    <t>DS01</t>
  </si>
  <si>
    <t>DS03</t>
  </si>
  <si>
    <t>DS02</t>
  </si>
  <si>
    <t>DS02.1</t>
  </si>
  <si>
    <t>DS02.2</t>
  </si>
  <si>
    <t>DS02.3</t>
  </si>
  <si>
    <t>DS02.4</t>
  </si>
  <si>
    <t>DS02.5</t>
  </si>
  <si>
    <t>DS02.6</t>
  </si>
  <si>
    <t>DS02.7</t>
  </si>
  <si>
    <t>DS02.8</t>
  </si>
  <si>
    <t>DS02.9</t>
  </si>
  <si>
    <t>DS02.10</t>
  </si>
  <si>
    <t>DS02.11</t>
  </si>
  <si>
    <t>DS04</t>
  </si>
  <si>
    <t>DS05</t>
  </si>
  <si>
    <t>DS06</t>
  </si>
  <si>
    <t>DS06.1</t>
  </si>
  <si>
    <t>DS07</t>
  </si>
  <si>
    <t xml:space="preserve">Doherty Street  - Hydromulch 1000m2 </t>
  </si>
  <si>
    <t>Remove and Replace Unsuitable Subgrade Faust Street</t>
  </si>
  <si>
    <t>FS00</t>
  </si>
  <si>
    <t>FS00.1</t>
  </si>
  <si>
    <t>FS00.2</t>
  </si>
  <si>
    <t>FS00.3</t>
  </si>
  <si>
    <t>FS00.4</t>
  </si>
  <si>
    <t>FS00.5</t>
  </si>
  <si>
    <t>FS00.6</t>
  </si>
  <si>
    <t>FS00.7</t>
  </si>
  <si>
    <t>FS00.8</t>
  </si>
  <si>
    <t>FS00.9</t>
  </si>
  <si>
    <t>FS00.10</t>
  </si>
  <si>
    <t>FS00.11</t>
  </si>
  <si>
    <t>FS00.12</t>
  </si>
  <si>
    <t>FS00.13</t>
  </si>
  <si>
    <t>FS04</t>
  </si>
  <si>
    <t>each</t>
  </si>
  <si>
    <t>FS05</t>
  </si>
  <si>
    <t>FS05.1</t>
  </si>
  <si>
    <t>FS05.2</t>
  </si>
  <si>
    <t xml:space="preserve">Excavation of unsuitable subgrade </t>
  </si>
  <si>
    <t>FS01</t>
  </si>
  <si>
    <t>FS01.1</t>
  </si>
  <si>
    <t>FS01.2</t>
  </si>
  <si>
    <t>FS01.3</t>
  </si>
  <si>
    <t>FSXX</t>
  </si>
  <si>
    <t>FS01A</t>
  </si>
  <si>
    <t>Additional Asphalt for Variation  Faust _PV01</t>
  </si>
  <si>
    <t>FS10</t>
  </si>
  <si>
    <t xml:space="preserve">Waste Disposal </t>
  </si>
  <si>
    <t>W01</t>
  </si>
  <si>
    <t>CCC02.1</t>
  </si>
  <si>
    <t>No.</t>
  </si>
  <si>
    <t>Cost Code</t>
  </si>
  <si>
    <t>BAC</t>
  </si>
  <si>
    <t>BAC Rate</t>
  </si>
  <si>
    <t>Final Qty</t>
  </si>
  <si>
    <t>Final Cost</t>
  </si>
  <si>
    <t>Final Rate</t>
  </si>
  <si>
    <t>Totals, all cost codes</t>
  </si>
  <si>
    <t>SQ</t>
  </si>
  <si>
    <t>AQ</t>
  </si>
  <si>
    <t>AC</t>
  </si>
  <si>
    <t>PQ</t>
  </si>
  <si>
    <t>PV</t>
  </si>
  <si>
    <t>EV</t>
  </si>
  <si>
    <t>Survey - Construction</t>
  </si>
  <si>
    <t>hr</t>
  </si>
  <si>
    <t>Survey - As Constructed</t>
  </si>
  <si>
    <t>QA Testing</t>
  </si>
  <si>
    <t>item</t>
  </si>
  <si>
    <t>Service Locations</t>
  </si>
  <si>
    <t>Disposal offsite - Clearing waste</t>
  </si>
  <si>
    <t>Re-spread topsoil</t>
  </si>
  <si>
    <t>Demolition works</t>
  </si>
  <si>
    <t>Cut to Spoil</t>
  </si>
  <si>
    <t>Remove &amp; Replace unsuitable</t>
  </si>
  <si>
    <t>Subgrade Preparation</t>
  </si>
  <si>
    <t>Place &amp; Compact Gravel</t>
  </si>
  <si>
    <t>Trim All Layers</t>
  </si>
  <si>
    <t>Sweep &amp; Prime / Primer seal or Seal</t>
  </si>
  <si>
    <t>Asphalt</t>
  </si>
  <si>
    <t>Linemarking</t>
  </si>
  <si>
    <t>Install Road Furniture</t>
  </si>
  <si>
    <t>Insitu Stabilisation</t>
  </si>
  <si>
    <t>Place Kerb &amp; Channel / Inverts</t>
  </si>
  <si>
    <t>Form &amp; Pour Headwalls</t>
  </si>
  <si>
    <t>Form &amp; Place Footpath</t>
  </si>
  <si>
    <t>Saw Cutting</t>
  </si>
  <si>
    <t>&gt; 450</t>
  </si>
  <si>
    <t>Install SW Pits &amp; Chambers</t>
  </si>
  <si>
    <t>Supply &amp; Place Subsoil Drainage</t>
  </si>
  <si>
    <t>Water Sub-contractor</t>
  </si>
  <si>
    <t>Landscaping Sub-contractors</t>
  </si>
  <si>
    <t>Traffic Controllers</t>
  </si>
  <si>
    <t>Supply &amp; Place Silt fences</t>
  </si>
  <si>
    <t>Place Box Culverts</t>
  </si>
  <si>
    <t>Non Conformance</t>
  </si>
  <si>
    <t>Place Stone / Rock</t>
  </si>
  <si>
    <t>Supply &amp; Place Geofabrics</t>
  </si>
  <si>
    <t>week</t>
  </si>
  <si>
    <t>Project Facilities</t>
  </si>
  <si>
    <t>Project Insurance, Fees &amp; Levies</t>
  </si>
  <si>
    <t>Site Establishment / disestablishment</t>
  </si>
  <si>
    <t>25 Mpa</t>
  </si>
  <si>
    <t>32 Mpa</t>
  </si>
  <si>
    <t>Cement Powder</t>
  </si>
  <si>
    <t>Rock</t>
  </si>
  <si>
    <t>Signs</t>
  </si>
  <si>
    <t>Mesh</t>
  </si>
  <si>
    <t>RCBC</t>
  </si>
  <si>
    <t>Grates, Frames &amp; Lids</t>
  </si>
  <si>
    <t>RCP</t>
  </si>
  <si>
    <t>Pre-cast Pit Tops / backstones</t>
  </si>
  <si>
    <t>C20</t>
  </si>
  <si>
    <t>Project Management</t>
  </si>
  <si>
    <t>SW Sub-Contract Works</t>
  </si>
  <si>
    <t>Watermain Fittings</t>
  </si>
  <si>
    <t>Concrete - Keb Mix</t>
  </si>
  <si>
    <t>40 Mpa</t>
  </si>
  <si>
    <t>20 Mpa</t>
  </si>
  <si>
    <t>Safety Work wear</t>
  </si>
  <si>
    <t>Wet Weather Stand Down</t>
  </si>
  <si>
    <t>Maintenance</t>
  </si>
  <si>
    <t>Protective Work</t>
  </si>
  <si>
    <t>Supply Base Slabs</t>
  </si>
  <si>
    <t>Electrical &amp; Telecom</t>
  </si>
  <si>
    <t>Stockpile to Fill</t>
  </si>
  <si>
    <t>Supervisor</t>
  </si>
  <si>
    <t>Item No</t>
  </si>
  <si>
    <t>Tender Quantity</t>
  </si>
  <si>
    <t>Contract Quantity</t>
  </si>
  <si>
    <t>Tender Rate</t>
  </si>
  <si>
    <t>Tender Total</t>
  </si>
  <si>
    <t>Contract Total</t>
  </si>
  <si>
    <t>Contract Items</t>
  </si>
  <si>
    <t xml:space="preserve">CQS         </t>
  </si>
  <si>
    <t>QUALITY SYSTEM REQUIREMENTS</t>
  </si>
  <si>
    <t xml:space="preserve">102. QP1    </t>
  </si>
  <si>
    <t xml:space="preserve">CQC         </t>
  </si>
  <si>
    <t xml:space="preserve">104. QCP1   </t>
  </si>
  <si>
    <t>SUB-TOTAL</t>
  </si>
  <si>
    <t xml:space="preserve">C101        </t>
  </si>
  <si>
    <t>107. C101(b)</t>
  </si>
  <si>
    <t xml:space="preserve">C201        </t>
  </si>
  <si>
    <t>449. C201(a)</t>
  </si>
  <si>
    <t>112. C201(b)</t>
  </si>
  <si>
    <t xml:space="preserve">C213        </t>
  </si>
  <si>
    <t>125. C213(b)</t>
  </si>
  <si>
    <t>127. C213(d)</t>
  </si>
  <si>
    <t xml:space="preserve">C221        </t>
  </si>
  <si>
    <t>314. C221(a)</t>
  </si>
  <si>
    <t xml:space="preserve">C222        </t>
  </si>
  <si>
    <t>315. C222(a)</t>
  </si>
  <si>
    <t>325. C222(b)</t>
  </si>
  <si>
    <t xml:space="preserve">C223        </t>
  </si>
  <si>
    <t>418. C223(a)</t>
  </si>
  <si>
    <t xml:space="preserve">C224        </t>
  </si>
  <si>
    <t>465. C224(b)</t>
  </si>
  <si>
    <t xml:space="preserve">C241        </t>
  </si>
  <si>
    <t xml:space="preserve">C242        </t>
  </si>
  <si>
    <t xml:space="preserve">C244        </t>
  </si>
  <si>
    <t xml:space="preserve">C244(a)     </t>
  </si>
  <si>
    <t>551. C244(a)</t>
  </si>
  <si>
    <t>555. C244(b)</t>
  </si>
  <si>
    <t xml:space="preserve">C263        </t>
  </si>
  <si>
    <t>690. C263(a)</t>
  </si>
  <si>
    <t xml:space="preserve">C273        </t>
  </si>
  <si>
    <t xml:space="preserve">C273(a)     </t>
  </si>
  <si>
    <t>830. C273(a)</t>
  </si>
  <si>
    <t xml:space="preserve">C211        </t>
  </si>
  <si>
    <t>114. C211(a)</t>
  </si>
  <si>
    <t xml:space="preserve">C220        </t>
  </si>
  <si>
    <t>229. C221(a)</t>
  </si>
  <si>
    <t>443. C223(b)</t>
  </si>
  <si>
    <t>466. C224(c)</t>
  </si>
  <si>
    <t>472. C224(h)</t>
  </si>
  <si>
    <t>475. C224(h)</t>
  </si>
  <si>
    <t>477. C224(h)</t>
  </si>
  <si>
    <t xml:space="preserve">C232        </t>
  </si>
  <si>
    <t>508. C232(b)</t>
  </si>
  <si>
    <t>519. C232(c)</t>
  </si>
  <si>
    <t xml:space="preserve">C245(c)     </t>
  </si>
  <si>
    <t>574. C245(c)</t>
  </si>
  <si>
    <t xml:space="preserve">C271        </t>
  </si>
  <si>
    <t>788. C271(c)</t>
  </si>
  <si>
    <t>789. C271(c)</t>
  </si>
  <si>
    <t>792. C271(c)</t>
  </si>
  <si>
    <t>831. C273(a)</t>
  </si>
  <si>
    <t>126. C213(c)</t>
  </si>
  <si>
    <t>310. C221(a)</t>
  </si>
  <si>
    <t>459. C223(b)</t>
  </si>
  <si>
    <t xml:space="preserve">C232(b)     </t>
  </si>
  <si>
    <t xml:space="preserve">C261        </t>
  </si>
  <si>
    <t>657. C261(a)</t>
  </si>
  <si>
    <t>658. C261(b)</t>
  </si>
  <si>
    <t>791. C271(c)</t>
  </si>
  <si>
    <t xml:space="preserve">C212        </t>
  </si>
  <si>
    <t>158. C221(a)</t>
  </si>
  <si>
    <t>473. C224(h)</t>
  </si>
  <si>
    <t xml:space="preserve">C231        </t>
  </si>
  <si>
    <t xml:space="preserve">C245        </t>
  </si>
  <si>
    <t>678. C262(g)</t>
  </si>
  <si>
    <t xml:space="preserve">C271(c)     </t>
  </si>
  <si>
    <t>Residential driveways</t>
  </si>
  <si>
    <t xml:space="preserve">C320        </t>
  </si>
  <si>
    <t>Excavation for Stormwater Drainage Culverts and structures</t>
  </si>
  <si>
    <t xml:space="preserve">C221(a)     </t>
  </si>
  <si>
    <t>167. C221(a)</t>
  </si>
  <si>
    <t xml:space="preserve">450mm Dia Class 2 Flush Joint </t>
  </si>
  <si>
    <t>297. C221(a)</t>
  </si>
  <si>
    <t>330. C222(b)</t>
  </si>
  <si>
    <t>334. C222(b)</t>
  </si>
  <si>
    <t>335. C222(b)</t>
  </si>
  <si>
    <t>344. C222(b)</t>
  </si>
  <si>
    <t>1800x600</t>
  </si>
  <si>
    <t xml:space="preserve">C223(b)     </t>
  </si>
  <si>
    <t>445. C223(b)</t>
  </si>
  <si>
    <t>448. C223(b)</t>
  </si>
  <si>
    <t xml:space="preserve">C224(h)     </t>
  </si>
  <si>
    <t xml:space="preserve">Special item - Geogrid layer </t>
  </si>
  <si>
    <t xml:space="preserve">C262        </t>
  </si>
  <si>
    <t xml:space="preserve">C265        </t>
  </si>
  <si>
    <t xml:space="preserve">C265(a)     </t>
  </si>
  <si>
    <t>750. C265(a)</t>
  </si>
  <si>
    <t>119. C212(a)</t>
  </si>
  <si>
    <t>333. C222(b)</t>
  </si>
  <si>
    <t>496. C231(b)</t>
  </si>
  <si>
    <t>573. C245(c)</t>
  </si>
  <si>
    <t xml:space="preserve">C273(d)     </t>
  </si>
  <si>
    <t>847. C273(d)</t>
  </si>
  <si>
    <t xml:space="preserve">C306        </t>
  </si>
  <si>
    <t xml:space="preserve">C306(a)     </t>
  </si>
  <si>
    <t>903. C306(a)</t>
  </si>
  <si>
    <t xml:space="preserve">C201(b)     </t>
  </si>
  <si>
    <t>124. C213(a)</t>
  </si>
  <si>
    <t>C443. 223(b)</t>
  </si>
  <si>
    <t>550. C244(a)</t>
  </si>
  <si>
    <t>790. C271(c)</t>
  </si>
  <si>
    <t>793. C271(c)</t>
  </si>
  <si>
    <t>Variations</t>
  </si>
  <si>
    <t xml:space="preserve">Dodd Street_ PV04 - Extend Deep Lift AC at Culvert Crossing Anzac Drive </t>
  </si>
  <si>
    <t>CCC_PV02 - Cultrual Centre Carpark - Install 600m dish Drain</t>
  </si>
  <si>
    <t xml:space="preserve">CCC_PV03   Cultrual Centre Carpark Insitu Stabilising Carpark  -  400m2 completed out 2103m2 </t>
  </si>
  <si>
    <t>Variation Direction to place an additional layer of Geogrid dobbins lane  Ch 190 to Ch 230  -  7.5m widE</t>
  </si>
  <si>
    <t xml:space="preserve">Excavate Unsuitable Subgrade -  Blended  cement into gravel, import place and compact. </t>
  </si>
  <si>
    <t xml:space="preserve">Doherty Street  - Hydromulch 1000m2  Turf 60m2 </t>
  </si>
  <si>
    <t>Remove and Replace Unsuitable Subgrade Faust Street RHS</t>
  </si>
  <si>
    <t>FS03</t>
  </si>
  <si>
    <t xml:space="preserve">Waste Disposal as per Invoices </t>
  </si>
  <si>
    <t>Total, all contract items and variations</t>
  </si>
  <si>
    <t>%C - Oct 11</t>
  </si>
  <si>
    <t>%C - Nov 11</t>
  </si>
  <si>
    <t>%C - Dec-11</t>
  </si>
  <si>
    <t>%C - Jan 12</t>
  </si>
  <si>
    <t>%C Feb 12</t>
  </si>
  <si>
    <t>%C Mar 12</t>
  </si>
  <si>
    <t>%C Apr 12</t>
  </si>
  <si>
    <t>%C May 12</t>
  </si>
  <si>
    <t>%C Jun 12</t>
  </si>
  <si>
    <t>%C Jul 12</t>
  </si>
  <si>
    <t>%C Aug 12</t>
  </si>
  <si>
    <t>%C Sep 12</t>
  </si>
  <si>
    <t>%C Oct 12</t>
  </si>
  <si>
    <t>%C Nov 12</t>
  </si>
  <si>
    <t>Revenue Oct-11</t>
  </si>
  <si>
    <t>Revenue Nov-11</t>
  </si>
  <si>
    <t>Revenue Dc-11</t>
  </si>
  <si>
    <t>Revenue Jan-12</t>
  </si>
  <si>
    <t>Revenue Feb-12</t>
  </si>
  <si>
    <t>Revenue Mar-12</t>
  </si>
  <si>
    <t>Revenue Apr-12</t>
  </si>
  <si>
    <t>Revenue May-12</t>
  </si>
  <si>
    <t>Revenue Jun-12</t>
  </si>
  <si>
    <t>Revenue Jul-12</t>
  </si>
  <si>
    <t>Revenue Aug-12</t>
  </si>
  <si>
    <t>Revenue Sep-12</t>
  </si>
  <si>
    <t>Revenue Oct-12</t>
  </si>
  <si>
    <t>Revenue Nov-12</t>
  </si>
  <si>
    <t>Sterry Street - Area 1 Remove &amp; Replace</t>
  </si>
  <si>
    <t>SS02.A1</t>
  </si>
  <si>
    <t>Sterry Street - Area 2 Remove &amp; Replace</t>
  </si>
  <si>
    <t>SS02.A2</t>
  </si>
  <si>
    <t>VARIATIONS</t>
  </si>
  <si>
    <t>Contract Award</t>
  </si>
  <si>
    <t>Practical Completion</t>
  </si>
  <si>
    <t>Predecessors</t>
  </si>
  <si>
    <t>Successors</t>
  </si>
  <si>
    <t>Budget</t>
  </si>
  <si>
    <t>4,23,51,80,93,118,151,181,211</t>
  </si>
  <si>
    <t>8,11,14</t>
  </si>
  <si>
    <t>16FS+3 days</t>
  </si>
  <si>
    <t>19FS+5 days,22</t>
  </si>
  <si>
    <t>18FS+5 days</t>
  </si>
  <si>
    <t>26SS,44</t>
  </si>
  <si>
    <t>25SS</t>
  </si>
  <si>
    <t>27,29</t>
  </si>
  <si>
    <t>28,33</t>
  </si>
  <si>
    <t>37,41,250</t>
  </si>
  <si>
    <t>38FF,39,41</t>
  </si>
  <si>
    <t>37FF</t>
  </si>
  <si>
    <t>37,42</t>
  </si>
  <si>
    <t>28,37</t>
  </si>
  <si>
    <t>42FF,249</t>
  </si>
  <si>
    <t>41FF</t>
  </si>
  <si>
    <t>40FS+3 days</t>
  </si>
  <si>
    <t>44FS+14 days,45</t>
  </si>
  <si>
    <t>44,48</t>
  </si>
  <si>
    <t>54SS</t>
  </si>
  <si>
    <t>53SS</t>
  </si>
  <si>
    <t>57,64,247</t>
  </si>
  <si>
    <t>65FF,68</t>
  </si>
  <si>
    <t>64FF</t>
  </si>
  <si>
    <t>70FS+3 days</t>
  </si>
  <si>
    <t>69FF</t>
  </si>
  <si>
    <t>68FF</t>
  </si>
  <si>
    <t>66FS+3 days</t>
  </si>
  <si>
    <t>71FS+14 days,74</t>
  </si>
  <si>
    <t>70FS+14 days</t>
  </si>
  <si>
    <t>72FS+7 days</t>
  </si>
  <si>
    <t>71FS+7 days</t>
  </si>
  <si>
    <t>76,78FS+3 days</t>
  </si>
  <si>
    <t>75FS+3 days</t>
  </si>
  <si>
    <t>82FF</t>
  </si>
  <si>
    <t>81FF</t>
  </si>
  <si>
    <t>83FF,88</t>
  </si>
  <si>
    <t>84FF</t>
  </si>
  <si>
    <t>83FF</t>
  </si>
  <si>
    <t>85FF</t>
  </si>
  <si>
    <t>86FF</t>
  </si>
  <si>
    <t>87FF</t>
  </si>
  <si>
    <t>91,90</t>
  </si>
  <si>
    <t>89,90</t>
  </si>
  <si>
    <t>96SS,115SS,117</t>
  </si>
  <si>
    <t>95SS</t>
  </si>
  <si>
    <t>97,98,260</t>
  </si>
  <si>
    <t>108FF,111</t>
  </si>
  <si>
    <t>107FF</t>
  </si>
  <si>
    <t>110FS+3 days,116,264</t>
  </si>
  <si>
    <t>113FS+14 days</t>
  </si>
  <si>
    <t>112FS+14 days</t>
  </si>
  <si>
    <t>114FS+7 days,261</t>
  </si>
  <si>
    <t>113FS+7 days</t>
  </si>
  <si>
    <t>110FF</t>
  </si>
  <si>
    <t>120SS</t>
  </si>
  <si>
    <t>136FF</t>
  </si>
  <si>
    <t>138FF,139</t>
  </si>
  <si>
    <t>137FF</t>
  </si>
  <si>
    <t>135,146FF,255</t>
  </si>
  <si>
    <t>142FS+5 days</t>
  </si>
  <si>
    <t>143FS+14 days,145</t>
  </si>
  <si>
    <t>142FS+14 days</t>
  </si>
  <si>
    <t>154SS,172SS,180</t>
  </si>
  <si>
    <t>153SS</t>
  </si>
  <si>
    <t>163,173FF</t>
  </si>
  <si>
    <t>169FS+5 days</t>
  </si>
  <si>
    <t>167FF</t>
  </si>
  <si>
    <t>170FS+14 days</t>
  </si>
  <si>
    <t>169FS+14 days</t>
  </si>
  <si>
    <t>171FS+5 days,269</t>
  </si>
  <si>
    <t>170FS+5 days</t>
  </si>
  <si>
    <t>166FF,177</t>
  </si>
  <si>
    <t>179SS</t>
  </si>
  <si>
    <t>184SS,210</t>
  </si>
  <si>
    <t>183SS</t>
  </si>
  <si>
    <t>199FF,202,274</t>
  </si>
  <si>
    <t>198FF</t>
  </si>
  <si>
    <t>202FF</t>
  </si>
  <si>
    <t>201FS+5 days</t>
  </si>
  <si>
    <t>205FS+14 days</t>
  </si>
  <si>
    <t>204FS+14 days</t>
  </si>
  <si>
    <t>201FF,207</t>
  </si>
  <si>
    <t>214SS,234SS</t>
  </si>
  <si>
    <t>213SS</t>
  </si>
  <si>
    <t>225FF,227,229</t>
  </si>
  <si>
    <t>224FF</t>
  </si>
  <si>
    <t>223,237FF</t>
  </si>
  <si>
    <t>229FF</t>
  </si>
  <si>
    <t>228,287FS+5 days</t>
  </si>
  <si>
    <t>232FS+5 days</t>
  </si>
  <si>
    <t>231FS+5 days</t>
  </si>
  <si>
    <t>61,68</t>
  </si>
  <si>
    <t>268,271FF</t>
  </si>
  <si>
    <t>279FF</t>
  </si>
  <si>
    <t>278FF</t>
  </si>
  <si>
    <t>2,4,17,80</t>
  </si>
  <si>
    <t>2,4,40</t>
  </si>
  <si>
    <t>2,4,16</t>
  </si>
  <si>
    <t>2,93,110</t>
  </si>
  <si>
    <t>22,50,79,92,117,150,180,210,4,23,51,80,93,118,151,181,211,242,291FF</t>
  </si>
  <si>
    <t>3,23,181,51,5</t>
  </si>
  <si>
    <t>7,14</t>
  </si>
  <si>
    <t>18FS+3 days,20,181</t>
  </si>
  <si>
    <t>16,23</t>
  </si>
  <si>
    <t>13,18,19,21</t>
  </si>
  <si>
    <t>3,24</t>
  </si>
  <si>
    <t>43FS+3 days,51</t>
  </si>
  <si>
    <t>25,43FS+14 days</t>
  </si>
  <si>
    <t>3,52</t>
  </si>
  <si>
    <t>60,67</t>
  </si>
  <si>
    <t>62,67,245</t>
  </si>
  <si>
    <t>63,66</t>
  </si>
  <si>
    <t>73,77,78</t>
  </si>
  <si>
    <t>23,3,81</t>
  </si>
  <si>
    <t>3,211,118,94</t>
  </si>
  <si>
    <t>112FS+3 days,116FF,211,118</t>
  </si>
  <si>
    <t>121SS,144</t>
  </si>
  <si>
    <t>125FF,135</t>
  </si>
  <si>
    <t>140FS+5 days,146,256</t>
  </si>
  <si>
    <t>140FF,142,256</t>
  </si>
  <si>
    <t>165,168FF</t>
  </si>
  <si>
    <t>166FS+5 days,179</t>
  </si>
  <si>
    <t>169,178SS,180,272</t>
  </si>
  <si>
    <t>93,3,182</t>
  </si>
  <si>
    <t>196,206FF</t>
  </si>
  <si>
    <t>204FS+5 days,93</t>
  </si>
  <si>
    <t>200,203FF</t>
  </si>
  <si>
    <t>151,3,212</t>
  </si>
  <si>
    <t>227,230FF</t>
  </si>
  <si>
    <t>228FF,238,289</t>
  </si>
  <si>
    <t>157,267FF</t>
  </si>
  <si>
    <t>132,143,144,145FF,147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</si>
</sst>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-&quot;$&quot;* #,##0.00_-;\-&quot;$&quot;* #,##0.00_-;_-&quot;$&quot;* &quot;-&quot;??_-;_-@_-"/>
    <numFmt numFmtId="43" formatCode="_-* #,##0.00_-;\-* #,##0.00_-;_-* &quot;-&quot;??_-;_-@_-"/>
    <numFmt numFmtId="164" formatCode="#,##0.000;[Red]\-#,##0.000"/>
    <numFmt numFmtId="165" formatCode="dd\ mmm\ yyyy"/>
    <numFmt numFmtId="166" formatCode="yyyy"/>
    <numFmt numFmtId="167" formatCode="ddd"/>
    <numFmt numFmtId="168" formatCode="_-* #,##0.000_-;\-* #,##0.000_-;_-* &quot;-&quot;??_-;_-@_-"/>
    <numFmt numFmtId="169" formatCode="0.000"/>
    <numFmt numFmtId="170" formatCode="#,##0.00_ ;[Red]\-#,##0.00\ "/>
    <numFmt numFmtId="171" formatCode="#,##0.000_ ;[Red]\-#,##0.000\ 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vertAlign val="superscript"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  <fill>
      <patternFill patternType="solid">
        <fgColor rgb="FFFBF5B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</fills>
  <borders count="23">
    <border>
      <left/>
      <right/>
      <top/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ck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double">
        <color indexed="8"/>
      </left>
      <right/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1">
    <xf numFmtId="0" fontId="0" fillId="0" borderId="0" xfId="0"/>
    <xf numFmtId="0" fontId="1" fillId="2" borderId="0" xfId="0" applyFont="1" applyFill="1" applyAlignment="1">
      <alignment vertical="top" wrapText="1"/>
    </xf>
    <xf numFmtId="0" fontId="1" fillId="2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0" fillId="0" borderId="0" xfId="0" applyAlignment="1">
      <alignment vertical="top"/>
    </xf>
    <xf numFmtId="0" fontId="0" fillId="3" borderId="0" xfId="0" applyFill="1" applyAlignment="1">
      <alignment vertical="top" wrapText="1"/>
    </xf>
    <xf numFmtId="0" fontId="0" fillId="0" borderId="0" xfId="0" applyAlignment="1">
      <alignment vertical="top" wrapText="1"/>
    </xf>
    <xf numFmtId="164" fontId="1" fillId="2" borderId="0" xfId="0" applyNumberFormat="1" applyFont="1" applyFill="1" applyAlignment="1">
      <alignment vertical="top"/>
    </xf>
    <xf numFmtId="164" fontId="0" fillId="3" borderId="0" xfId="0" applyNumberFormat="1" applyFill="1" applyAlignment="1">
      <alignment vertical="top"/>
    </xf>
    <xf numFmtId="164" fontId="0" fillId="0" borderId="0" xfId="0" applyNumberFormat="1" applyAlignment="1">
      <alignment vertical="top"/>
    </xf>
    <xf numFmtId="0" fontId="1" fillId="0" borderId="0" xfId="0" applyFont="1"/>
    <xf numFmtId="0" fontId="1" fillId="0" borderId="0" xfId="0" applyFont="1" applyAlignment="1">
      <alignment wrapText="1"/>
    </xf>
    <xf numFmtId="165" fontId="1" fillId="0" borderId="0" xfId="0" applyNumberFormat="1" applyFont="1"/>
    <xf numFmtId="164" fontId="1" fillId="0" borderId="0" xfId="0" applyNumberFormat="1" applyFont="1"/>
    <xf numFmtId="40" fontId="1" fillId="0" borderId="0" xfId="0" applyNumberFormat="1" applyFont="1"/>
    <xf numFmtId="165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40" fontId="0" fillId="0" borderId="0" xfId="0" applyNumberFormat="1"/>
    <xf numFmtId="165" fontId="1" fillId="0" borderId="2" xfId="0" applyNumberFormat="1" applyFont="1" applyBorder="1"/>
    <xf numFmtId="0" fontId="1" fillId="0" borderId="2" xfId="0" applyFont="1" applyBorder="1" applyAlignment="1">
      <alignment wrapText="1"/>
    </xf>
    <xf numFmtId="0" fontId="1" fillId="0" borderId="2" xfId="0" applyFont="1" applyBorder="1"/>
    <xf numFmtId="164" fontId="1" fillId="0" borderId="2" xfId="0" applyNumberFormat="1" applyFont="1" applyBorder="1"/>
    <xf numFmtId="40" fontId="1" fillId="0" borderId="2" xfId="0" applyNumberFormat="1" applyFont="1" applyBorder="1"/>
    <xf numFmtId="165" fontId="1" fillId="0" borderId="1" xfId="0" applyNumberFormat="1" applyFont="1" applyBorder="1"/>
    <xf numFmtId="0" fontId="1" fillId="0" borderId="1" xfId="0" applyFont="1" applyBorder="1" applyAlignment="1">
      <alignment wrapText="1"/>
    </xf>
    <xf numFmtId="0" fontId="1" fillId="0" borderId="1" xfId="0" applyFont="1" applyBorder="1"/>
    <xf numFmtId="164" fontId="1" fillId="0" borderId="1" xfId="0" applyNumberFormat="1" applyFont="1" applyBorder="1"/>
    <xf numFmtId="40" fontId="1" fillId="0" borderId="1" xfId="0" applyNumberFormat="1" applyFont="1" applyBorder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44" fontId="0" fillId="0" borderId="0" xfId="1" applyFont="1"/>
    <xf numFmtId="14" fontId="0" fillId="0" borderId="0" xfId="0" applyNumberFormat="1"/>
    <xf numFmtId="17" fontId="1" fillId="0" borderId="0" xfId="0" applyNumberFormat="1" applyFont="1"/>
    <xf numFmtId="44" fontId="0" fillId="0" borderId="0" xfId="1" applyFont="1" applyAlignment="1">
      <alignment vertical="top"/>
    </xf>
    <xf numFmtId="0" fontId="1" fillId="0" borderId="0" xfId="0" applyFont="1" applyAlignment="1">
      <alignment horizontal="center" vertical="center" textRotation="90"/>
    </xf>
    <xf numFmtId="0" fontId="1" fillId="0" borderId="3" xfId="0" applyFont="1" applyBorder="1" applyAlignment="1">
      <alignment horizontal="center" vertical="center" textRotation="90"/>
    </xf>
    <xf numFmtId="0" fontId="1" fillId="0" borderId="3" xfId="0" applyFont="1" applyBorder="1" applyAlignment="1">
      <alignment vertical="top"/>
    </xf>
    <xf numFmtId="0" fontId="1" fillId="0" borderId="3" xfId="0" applyFont="1" applyBorder="1" applyAlignment="1">
      <alignment vertical="top" wrapText="1"/>
    </xf>
    <xf numFmtId="44" fontId="1" fillId="0" borderId="3" xfId="1" applyFont="1" applyBorder="1" applyAlignment="1">
      <alignment horizontal="right" vertical="top"/>
    </xf>
    <xf numFmtId="0" fontId="0" fillId="4" borderId="3" xfId="0" applyFill="1" applyBorder="1" applyAlignment="1">
      <alignment vertical="top"/>
    </xf>
    <xf numFmtId="0" fontId="0" fillId="4" borderId="3" xfId="0" applyFill="1" applyBorder="1" applyAlignment="1">
      <alignment vertical="top" wrapText="1"/>
    </xf>
    <xf numFmtId="44" fontId="0" fillId="4" borderId="3" xfId="1" applyFont="1" applyFill="1" applyBorder="1" applyAlignment="1">
      <alignment vertical="top"/>
    </xf>
    <xf numFmtId="0" fontId="0" fillId="5" borderId="3" xfId="0" applyFill="1" applyBorder="1" applyAlignment="1">
      <alignment vertical="top"/>
    </xf>
    <xf numFmtId="0" fontId="0" fillId="5" borderId="3" xfId="0" applyFill="1" applyBorder="1" applyAlignment="1">
      <alignment vertical="top" wrapText="1"/>
    </xf>
    <xf numFmtId="44" fontId="0" fillId="5" borderId="3" xfId="1" applyFont="1" applyFill="1" applyBorder="1" applyAlignment="1">
      <alignment vertical="top"/>
    </xf>
    <xf numFmtId="0" fontId="0" fillId="6" borderId="3" xfId="0" applyFill="1" applyBorder="1" applyAlignment="1">
      <alignment vertical="top"/>
    </xf>
    <xf numFmtId="0" fontId="0" fillId="6" borderId="3" xfId="0" applyFill="1" applyBorder="1" applyAlignment="1">
      <alignment vertical="top" wrapText="1"/>
    </xf>
    <xf numFmtId="44" fontId="0" fillId="6" borderId="3" xfId="1" applyFont="1" applyFill="1" applyBorder="1" applyAlignment="1">
      <alignment vertical="top"/>
    </xf>
    <xf numFmtId="0" fontId="0" fillId="7" borderId="3" xfId="0" applyFill="1" applyBorder="1" applyAlignment="1">
      <alignment vertical="top"/>
    </xf>
    <xf numFmtId="0" fontId="0" fillId="7" borderId="3" xfId="0" applyFill="1" applyBorder="1" applyAlignment="1">
      <alignment vertical="top" wrapText="1"/>
    </xf>
    <xf numFmtId="44" fontId="0" fillId="7" borderId="3" xfId="1" applyFont="1" applyFill="1" applyBorder="1" applyAlignment="1">
      <alignment vertical="top"/>
    </xf>
    <xf numFmtId="0" fontId="1" fillId="0" borderId="3" xfId="0" applyFont="1" applyBorder="1" applyAlignment="1">
      <alignment horizontal="center" vertical="top" wrapText="1"/>
    </xf>
    <xf numFmtId="0" fontId="0" fillId="4" borderId="3" xfId="0" applyFill="1" applyBorder="1" applyAlignment="1">
      <alignment horizontal="center" vertical="top" wrapText="1"/>
    </xf>
    <xf numFmtId="0" fontId="0" fillId="5" borderId="3" xfId="0" applyFill="1" applyBorder="1" applyAlignment="1">
      <alignment horizontal="center" vertical="top" wrapText="1"/>
    </xf>
    <xf numFmtId="0" fontId="0" fillId="6" borderId="3" xfId="0" applyFill="1" applyBorder="1" applyAlignment="1">
      <alignment horizontal="center" vertical="top" wrapText="1"/>
    </xf>
    <xf numFmtId="0" fontId="0" fillId="7" borderId="3" xfId="0" applyFill="1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167" fontId="1" fillId="8" borderId="8" xfId="0" applyNumberFormat="1" applyFont="1" applyFill="1" applyBorder="1" applyAlignment="1">
      <alignment horizontal="center"/>
    </xf>
    <xf numFmtId="167" fontId="1" fillId="8" borderId="3" xfId="0" applyNumberFormat="1" applyFont="1" applyFill="1" applyBorder="1" applyAlignment="1">
      <alignment horizontal="center"/>
    </xf>
    <xf numFmtId="167" fontId="1" fillId="0" borderId="3" xfId="0" applyNumberFormat="1" applyFont="1" applyBorder="1" applyAlignment="1">
      <alignment horizontal="center"/>
    </xf>
    <xf numFmtId="167" fontId="1" fillId="8" borderId="9" xfId="0" applyNumberFormat="1" applyFont="1" applyFill="1" applyBorder="1" applyAlignment="1">
      <alignment horizontal="center"/>
    </xf>
    <xf numFmtId="167" fontId="1" fillId="0" borderId="0" xfId="0" applyNumberFormat="1" applyFont="1"/>
    <xf numFmtId="15" fontId="0" fillId="8" borderId="8" xfId="0" applyNumberFormat="1" applyFill="1" applyBorder="1" applyAlignment="1">
      <alignment horizontal="center"/>
    </xf>
    <xf numFmtId="15" fontId="0" fillId="8" borderId="3" xfId="0" applyNumberFormat="1" applyFill="1" applyBorder="1" applyAlignment="1">
      <alignment horizontal="center"/>
    </xf>
    <xf numFmtId="15" fontId="0" fillId="0" borderId="3" xfId="0" applyNumberFormat="1" applyBorder="1" applyAlignment="1">
      <alignment horizontal="center"/>
    </xf>
    <xf numFmtId="15" fontId="0" fillId="8" borderId="9" xfId="0" applyNumberFormat="1" applyFill="1" applyBorder="1" applyAlignment="1">
      <alignment horizontal="center"/>
    </xf>
    <xf numFmtId="15" fontId="0" fillId="8" borderId="10" xfId="0" applyNumberFormat="1" applyFill="1" applyBorder="1" applyAlignment="1">
      <alignment horizontal="center"/>
    </xf>
    <xf numFmtId="15" fontId="0" fillId="8" borderId="11" xfId="0" applyNumberFormat="1" applyFill="1" applyBorder="1" applyAlignment="1">
      <alignment horizontal="center"/>
    </xf>
    <xf numFmtId="15" fontId="0" fillId="0" borderId="11" xfId="0" applyNumberFormat="1" applyBorder="1" applyAlignment="1">
      <alignment horizontal="center"/>
    </xf>
    <xf numFmtId="15" fontId="0" fillId="8" borderId="12" xfId="0" applyNumberFormat="1" applyFill="1" applyBorder="1" applyAlignment="1">
      <alignment horizontal="center"/>
    </xf>
    <xf numFmtId="0" fontId="4" fillId="0" borderId="0" xfId="0" applyFont="1"/>
    <xf numFmtId="15" fontId="0" fillId="8" borderId="13" xfId="0" applyNumberFormat="1" applyFill="1" applyBorder="1" applyAlignment="1">
      <alignment horizontal="center"/>
    </xf>
    <xf numFmtId="15" fontId="0" fillId="8" borderId="14" xfId="0" applyNumberFormat="1" applyFill="1" applyBorder="1" applyAlignment="1">
      <alignment horizontal="center"/>
    </xf>
    <xf numFmtId="15" fontId="0" fillId="0" borderId="14" xfId="0" applyNumberFormat="1" applyBorder="1" applyAlignment="1">
      <alignment horizontal="center"/>
    </xf>
    <xf numFmtId="15" fontId="0" fillId="8" borderId="15" xfId="0" applyNumberFormat="1" applyFill="1" applyBorder="1" applyAlignment="1">
      <alignment horizontal="center"/>
    </xf>
    <xf numFmtId="0" fontId="0" fillId="0" borderId="3" xfId="0" applyBorder="1" applyAlignment="1">
      <alignment horizontal="center"/>
    </xf>
    <xf numFmtId="15" fontId="0" fillId="8" borderId="16" xfId="0" applyNumberFormat="1" applyFill="1" applyBorder="1" applyAlignment="1">
      <alignment horizontal="center"/>
    </xf>
    <xf numFmtId="15" fontId="5" fillId="8" borderId="17" xfId="0" applyNumberFormat="1" applyFont="1" applyFill="1" applyBorder="1" applyAlignment="1">
      <alignment horizontal="center"/>
    </xf>
    <xf numFmtId="15" fontId="0" fillId="0" borderId="17" xfId="0" applyNumberFormat="1" applyBorder="1" applyAlignment="1">
      <alignment horizontal="center"/>
    </xf>
    <xf numFmtId="15" fontId="0" fillId="8" borderId="17" xfId="0" applyNumberFormat="1" applyFill="1" applyBorder="1" applyAlignment="1">
      <alignment horizontal="center"/>
    </xf>
    <xf numFmtId="0" fontId="0" fillId="0" borderId="17" xfId="0" applyBorder="1" applyAlignment="1">
      <alignment horizontal="center"/>
    </xf>
    <xf numFmtId="15" fontId="5" fillId="8" borderId="18" xfId="0" applyNumberFormat="1" applyFont="1" applyFill="1" applyBorder="1" applyAlignment="1">
      <alignment horizontal="center"/>
    </xf>
    <xf numFmtId="15" fontId="0" fillId="0" borderId="0" xfId="0" applyNumberFormat="1" applyAlignment="1">
      <alignment horizontal="center"/>
    </xf>
    <xf numFmtId="0" fontId="6" fillId="0" borderId="0" xfId="0" applyFont="1" applyAlignment="1">
      <alignment horizontal="left"/>
    </xf>
    <xf numFmtId="0" fontId="6" fillId="4" borderId="19" xfId="0" applyFont="1" applyFill="1" applyBorder="1" applyAlignment="1">
      <alignment horizontal="center"/>
    </xf>
    <xf numFmtId="0" fontId="3" fillId="0" borderId="0" xfId="0" applyFont="1"/>
    <xf numFmtId="15" fontId="3" fillId="0" borderId="0" xfId="0" applyNumberFormat="1" applyFont="1" applyAlignment="1">
      <alignment horizontal="center"/>
    </xf>
    <xf numFmtId="0" fontId="1" fillId="0" borderId="3" xfId="0" applyFont="1" applyBorder="1" applyAlignment="1">
      <alignment horizontal="center"/>
    </xf>
    <xf numFmtId="44" fontId="1" fillId="0" borderId="3" xfId="1" applyFont="1" applyBorder="1"/>
    <xf numFmtId="44" fontId="0" fillId="0" borderId="3" xfId="1" applyFont="1" applyBorder="1"/>
    <xf numFmtId="0" fontId="0" fillId="0" borderId="3" xfId="0" applyBorder="1"/>
    <xf numFmtId="0" fontId="1" fillId="0" borderId="3" xfId="0" applyFont="1" applyFill="1" applyBorder="1" applyAlignment="1">
      <alignment horizontal="center"/>
    </xf>
    <xf numFmtId="0" fontId="1" fillId="0" borderId="0" xfId="0" applyFont="1" applyAlignment="1"/>
    <xf numFmtId="0" fontId="0" fillId="0" borderId="0" xfId="0" applyAlignment="1"/>
    <xf numFmtId="0" fontId="1" fillId="2" borderId="0" xfId="0" applyFont="1" applyFill="1" applyAlignment="1">
      <alignment horizontal="center" vertical="top"/>
    </xf>
    <xf numFmtId="0" fontId="0" fillId="3" borderId="0" xfId="0" applyFill="1" applyAlignment="1">
      <alignment horizontal="center" vertical="top"/>
    </xf>
    <xf numFmtId="0" fontId="0" fillId="0" borderId="0" xfId="0" applyAlignment="1">
      <alignment horizontal="center" vertical="top"/>
    </xf>
    <xf numFmtId="164" fontId="0" fillId="9" borderId="0" xfId="0" applyNumberFormat="1" applyFill="1" applyAlignment="1">
      <alignment vertical="top"/>
    </xf>
    <xf numFmtId="164" fontId="1" fillId="9" borderId="0" xfId="0" applyNumberFormat="1" applyFont="1" applyFill="1" applyAlignment="1">
      <alignment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horizontal="center" vertical="top"/>
    </xf>
    <xf numFmtId="44" fontId="1" fillId="0" borderId="0" xfId="1" applyFont="1" applyAlignment="1">
      <alignment horizontal="center"/>
    </xf>
    <xf numFmtId="44" fontId="1" fillId="2" borderId="0" xfId="1" applyFont="1" applyFill="1" applyAlignment="1">
      <alignment vertical="top"/>
    </xf>
    <xf numFmtId="44" fontId="0" fillId="3" borderId="0" xfId="1" applyFont="1" applyFill="1" applyAlignment="1">
      <alignment vertical="top"/>
    </xf>
    <xf numFmtId="44" fontId="1" fillId="0" borderId="0" xfId="1" applyFont="1" applyAlignment="1">
      <alignment vertical="top"/>
    </xf>
    <xf numFmtId="44" fontId="1" fillId="0" borderId="0" xfId="1" applyFont="1" applyAlignment="1">
      <alignment vertical="top" wrapText="1"/>
    </xf>
    <xf numFmtId="44" fontId="1" fillId="0" borderId="0" xfId="1" applyFont="1" applyAlignment="1">
      <alignment horizontal="center" vertical="top"/>
    </xf>
    <xf numFmtId="44" fontId="1" fillId="0" borderId="0" xfId="1" applyFont="1"/>
    <xf numFmtId="0" fontId="1" fillId="2" borderId="0" xfId="0" applyFont="1" applyFill="1" applyAlignment="1">
      <alignment horizontal="center" vertical="top" wrapText="1"/>
    </xf>
    <xf numFmtId="43" fontId="10" fillId="0" borderId="0" xfId="2" applyFont="1"/>
    <xf numFmtId="43" fontId="10" fillId="0" borderId="3" xfId="2" applyFont="1" applyBorder="1"/>
    <xf numFmtId="168" fontId="10" fillId="0" borderId="3" xfId="2" applyNumberFormat="1" applyFont="1" applyBorder="1"/>
    <xf numFmtId="44" fontId="1" fillId="0" borderId="0" xfId="1" applyFont="1" applyAlignment="1">
      <alignment horizontal="right" vertical="top"/>
    </xf>
    <xf numFmtId="0" fontId="1" fillId="0" borderId="0" xfId="0" applyFont="1" applyAlignment="1">
      <alignment horizontal="right"/>
    </xf>
    <xf numFmtId="38" fontId="1" fillId="2" borderId="0" xfId="0" applyNumberFormat="1" applyFont="1" applyFill="1" applyAlignment="1">
      <alignment horizontal="right" vertical="top"/>
    </xf>
    <xf numFmtId="38" fontId="0" fillId="3" borderId="0" xfId="0" applyNumberFormat="1" applyFill="1" applyAlignment="1">
      <alignment horizontal="right" vertical="top"/>
    </xf>
    <xf numFmtId="38" fontId="0" fillId="0" borderId="0" xfId="0" applyNumberFormat="1" applyAlignment="1">
      <alignment horizontal="right" vertical="top"/>
    </xf>
    <xf numFmtId="0" fontId="0" fillId="0" borderId="0" xfId="0" applyAlignment="1">
      <alignment horizontal="right" vertical="top"/>
    </xf>
    <xf numFmtId="0" fontId="1" fillId="0" borderId="0" xfId="0" applyFont="1" applyAlignment="1">
      <alignment horizontal="right" vertical="top"/>
    </xf>
    <xf numFmtId="0" fontId="0" fillId="0" borderId="0" xfId="0" applyAlignment="1">
      <alignment horizontal="right"/>
    </xf>
    <xf numFmtId="0" fontId="1" fillId="3" borderId="0" xfId="0" applyFont="1" applyFill="1" applyAlignment="1">
      <alignment horizontal="center" vertical="top"/>
    </xf>
    <xf numFmtId="0" fontId="1" fillId="3" borderId="0" xfId="0" applyFont="1" applyFill="1" applyAlignment="1">
      <alignment vertical="top"/>
    </xf>
    <xf numFmtId="0" fontId="1" fillId="3" borderId="0" xfId="0" applyFont="1" applyFill="1" applyAlignment="1">
      <alignment vertical="top" wrapText="1"/>
    </xf>
    <xf numFmtId="164" fontId="1" fillId="3" borderId="0" xfId="0" applyNumberFormat="1" applyFont="1" applyFill="1" applyAlignment="1">
      <alignment vertical="top"/>
    </xf>
    <xf numFmtId="44" fontId="1" fillId="3" borderId="0" xfId="1" applyFont="1" applyFill="1" applyAlignment="1">
      <alignment vertical="top"/>
    </xf>
    <xf numFmtId="38" fontId="1" fillId="3" borderId="0" xfId="0" applyNumberFormat="1" applyFont="1" applyFill="1" applyAlignment="1">
      <alignment horizontal="right" vertical="top"/>
    </xf>
    <xf numFmtId="0" fontId="0" fillId="0" borderId="0" xfId="0" applyFill="1" applyAlignment="1">
      <alignment horizontal="center" vertical="top"/>
    </xf>
    <xf numFmtId="0" fontId="0" fillId="0" borderId="0" xfId="0" applyFill="1" applyAlignment="1">
      <alignment vertical="top"/>
    </xf>
    <xf numFmtId="0" fontId="0" fillId="0" borderId="0" xfId="0" applyFill="1" applyAlignment="1">
      <alignment vertical="top" wrapText="1"/>
    </xf>
    <xf numFmtId="164" fontId="0" fillId="0" borderId="0" xfId="0" applyNumberFormat="1" applyFill="1" applyAlignment="1">
      <alignment vertical="top"/>
    </xf>
    <xf numFmtId="44" fontId="0" fillId="0" borderId="0" xfId="1" applyFont="1" applyFill="1" applyAlignment="1">
      <alignment vertical="top"/>
    </xf>
    <xf numFmtId="38" fontId="0" fillId="0" borderId="0" xfId="0" applyNumberFormat="1" applyFill="1" applyAlignment="1">
      <alignment horizontal="right" vertical="top"/>
    </xf>
    <xf numFmtId="0" fontId="0" fillId="0" borderId="0" xfId="0" applyFill="1"/>
    <xf numFmtId="0" fontId="1" fillId="0" borderId="0" xfId="0" applyFont="1" applyFill="1" applyAlignment="1">
      <alignment horizontal="center" vertical="top" wrapText="1"/>
    </xf>
    <xf numFmtId="0" fontId="1" fillId="0" borderId="0" xfId="0" applyFont="1" applyFill="1" applyAlignment="1">
      <alignment vertical="top" wrapText="1"/>
    </xf>
    <xf numFmtId="0" fontId="1" fillId="0" borderId="0" xfId="0" applyFont="1" applyFill="1" applyAlignment="1">
      <alignment vertical="top"/>
    </xf>
    <xf numFmtId="0" fontId="1" fillId="0" borderId="0" xfId="0" applyFont="1" applyFill="1" applyAlignment="1">
      <alignment horizontal="center" vertical="top"/>
    </xf>
    <xf numFmtId="164" fontId="1" fillId="0" borderId="0" xfId="0" applyNumberFormat="1" applyFont="1" applyFill="1" applyAlignment="1">
      <alignment vertical="top"/>
    </xf>
    <xf numFmtId="44" fontId="1" fillId="0" borderId="0" xfId="1" applyFont="1" applyFill="1" applyAlignment="1">
      <alignment vertical="top"/>
    </xf>
    <xf numFmtId="38" fontId="1" fillId="0" borderId="0" xfId="0" applyNumberFormat="1" applyFont="1" applyFill="1" applyAlignment="1">
      <alignment horizontal="right" vertical="top"/>
    </xf>
    <xf numFmtId="169" fontId="0" fillId="0" borderId="0" xfId="0" applyNumberFormat="1"/>
    <xf numFmtId="169" fontId="1" fillId="0" borderId="0" xfId="0" applyNumberFormat="1" applyFont="1"/>
    <xf numFmtId="169" fontId="1" fillId="0" borderId="0" xfId="0" applyNumberFormat="1" applyFont="1" applyFill="1"/>
    <xf numFmtId="0" fontId="4" fillId="0" borderId="0" xfId="0" applyFont="1" applyAlignment="1">
      <alignment horizontal="center" vertical="top"/>
    </xf>
    <xf numFmtId="0" fontId="4" fillId="0" borderId="0" xfId="0" applyFont="1" applyAlignment="1">
      <alignment vertical="top"/>
    </xf>
    <xf numFmtId="0" fontId="4" fillId="0" borderId="0" xfId="0" applyFont="1" applyAlignment="1">
      <alignment vertical="top" wrapText="1"/>
    </xf>
    <xf numFmtId="164" fontId="4" fillId="0" borderId="0" xfId="0" applyNumberFormat="1" applyFont="1" applyAlignment="1">
      <alignment vertical="top"/>
    </xf>
    <xf numFmtId="44" fontId="4" fillId="0" borderId="0" xfId="1" applyFont="1" applyAlignment="1">
      <alignment vertical="top"/>
    </xf>
    <xf numFmtId="38" fontId="4" fillId="0" borderId="0" xfId="0" applyNumberFormat="1" applyFont="1" applyAlignment="1">
      <alignment horizontal="right" vertical="top"/>
    </xf>
    <xf numFmtId="0" fontId="1" fillId="0" borderId="0" xfId="0" applyFont="1" applyFill="1"/>
    <xf numFmtId="0" fontId="4" fillId="0" borderId="0" xfId="0" applyFont="1" applyAlignment="1">
      <alignment horizontal="center"/>
    </xf>
    <xf numFmtId="0" fontId="4" fillId="0" borderId="0" xfId="0" applyFont="1" applyAlignment="1">
      <alignment wrapText="1"/>
    </xf>
    <xf numFmtId="44" fontId="4" fillId="0" borderId="0" xfId="1" applyFont="1"/>
    <xf numFmtId="0" fontId="4" fillId="0" borderId="0" xfId="0" applyFont="1" applyAlignment="1">
      <alignment horizontal="right"/>
    </xf>
    <xf numFmtId="164" fontId="4" fillId="0" borderId="0" xfId="0" applyNumberFormat="1" applyFont="1"/>
    <xf numFmtId="0" fontId="0" fillId="0" borderId="3" xfId="0" applyFont="1" applyBorder="1" applyAlignment="1">
      <alignment horizontal="center"/>
    </xf>
    <xf numFmtId="0" fontId="0" fillId="0" borderId="3" xfId="0" applyFont="1" applyBorder="1"/>
    <xf numFmtId="0" fontId="0" fillId="0" borderId="0" xfId="0" applyFont="1"/>
    <xf numFmtId="43" fontId="2" fillId="0" borderId="0" xfId="2" applyFont="1"/>
    <xf numFmtId="0" fontId="0" fillId="0" borderId="0" xfId="0" applyFont="1" applyAlignment="1">
      <alignment horizontal="center"/>
    </xf>
    <xf numFmtId="168" fontId="2" fillId="0" borderId="0" xfId="2" applyNumberFormat="1" applyFont="1"/>
    <xf numFmtId="0" fontId="10" fillId="0" borderId="3" xfId="0" applyFont="1" applyBorder="1"/>
    <xf numFmtId="4" fontId="0" fillId="0" borderId="0" xfId="0" applyNumberFormat="1"/>
    <xf numFmtId="0" fontId="1" fillId="0" borderId="0" xfId="0" applyFont="1" applyAlignment="1">
      <alignment horizontal="center" wrapText="1"/>
    </xf>
    <xf numFmtId="17" fontId="1" fillId="0" borderId="20" xfId="0" applyNumberFormat="1" applyFont="1" applyBorder="1" applyAlignment="1">
      <alignment wrapText="1"/>
    </xf>
    <xf numFmtId="17" fontId="1" fillId="0" borderId="0" xfId="0" applyNumberFormat="1" applyFont="1" applyAlignment="1">
      <alignment wrapText="1"/>
    </xf>
    <xf numFmtId="164" fontId="1" fillId="0" borderId="1" xfId="0" applyNumberFormat="1" applyFont="1" applyBorder="1" applyAlignment="1">
      <alignment horizontal="center"/>
    </xf>
    <xf numFmtId="38" fontId="1" fillId="0" borderId="1" xfId="0" applyNumberFormat="1" applyFont="1" applyBorder="1"/>
    <xf numFmtId="0" fontId="1" fillId="0" borderId="21" xfId="0" applyFont="1" applyBorder="1" applyAlignment="1">
      <alignment horizontal="center"/>
    </xf>
    <xf numFmtId="38" fontId="1" fillId="0" borderId="1" xfId="0" applyNumberFormat="1" applyFont="1" applyBorder="1" applyAlignment="1">
      <alignment horizontal="center"/>
    </xf>
    <xf numFmtId="38" fontId="1" fillId="0" borderId="21" xfId="0" applyNumberFormat="1" applyFont="1" applyBorder="1" applyAlignment="1">
      <alignment horizontal="center"/>
    </xf>
    <xf numFmtId="0" fontId="0" fillId="0" borderId="0" xfId="0" applyAlignment="1">
      <alignment horizontal="center" wrapText="1"/>
    </xf>
    <xf numFmtId="170" fontId="0" fillId="0" borderId="0" xfId="0" applyNumberFormat="1"/>
    <xf numFmtId="38" fontId="0" fillId="0" borderId="0" xfId="0" applyNumberFormat="1"/>
    <xf numFmtId="38" fontId="0" fillId="0" borderId="0" xfId="0" applyNumberFormat="1" applyAlignment="1">
      <alignment horizontal="right"/>
    </xf>
    <xf numFmtId="170" fontId="0" fillId="0" borderId="20" xfId="0" applyNumberFormat="1" applyBorder="1"/>
    <xf numFmtId="38" fontId="1" fillId="0" borderId="1" xfId="0" applyNumberFormat="1" applyFont="1" applyBorder="1" applyAlignment="1">
      <alignment horizontal="right"/>
    </xf>
    <xf numFmtId="38" fontId="0" fillId="0" borderId="1" xfId="0" applyNumberFormat="1" applyBorder="1"/>
    <xf numFmtId="38" fontId="1" fillId="0" borderId="21" xfId="0" applyNumberFormat="1" applyFont="1" applyBorder="1"/>
    <xf numFmtId="17" fontId="0" fillId="0" borderId="0" xfId="0" applyNumberFormat="1" applyAlignment="1">
      <alignment horizontal="right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38" fontId="3" fillId="0" borderId="0" xfId="0" applyNumberFormat="1" applyFont="1"/>
    <xf numFmtId="44" fontId="1" fillId="0" borderId="3" xfId="1" applyFont="1" applyBorder="1" applyAlignment="1">
      <alignment horizontal="center"/>
    </xf>
    <xf numFmtId="17" fontId="1" fillId="0" borderId="3" xfId="0" applyNumberFormat="1" applyFont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 applyAlignment="1">
      <alignment wrapText="1"/>
    </xf>
    <xf numFmtId="0" fontId="0" fillId="0" borderId="3" xfId="0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17" fontId="1" fillId="0" borderId="3" xfId="0" applyNumberFormat="1" applyFont="1" applyBorder="1" applyAlignment="1">
      <alignment horizontal="center" wrapText="1"/>
    </xf>
    <xf numFmtId="0" fontId="1" fillId="11" borderId="3" xfId="0" applyFont="1" applyFill="1" applyBorder="1" applyAlignment="1">
      <alignment horizontal="center"/>
    </xf>
    <xf numFmtId="0" fontId="1" fillId="11" borderId="3" xfId="0" applyFont="1" applyFill="1" applyBorder="1"/>
    <xf numFmtId="0" fontId="1" fillId="11" borderId="3" xfId="0" applyFont="1" applyFill="1" applyBorder="1" applyAlignment="1">
      <alignment wrapText="1"/>
    </xf>
    <xf numFmtId="164" fontId="1" fillId="11" borderId="3" xfId="0" applyNumberFormat="1" applyFont="1" applyFill="1" applyBorder="1"/>
    <xf numFmtId="40" fontId="1" fillId="11" borderId="3" xfId="0" applyNumberFormat="1" applyFont="1" applyFill="1" applyBorder="1"/>
    <xf numFmtId="0" fontId="0" fillId="0" borderId="3" xfId="0" applyBorder="1" applyAlignment="1">
      <alignment wrapText="1"/>
    </xf>
    <xf numFmtId="164" fontId="0" fillId="0" borderId="3" xfId="0" applyNumberFormat="1" applyBorder="1"/>
    <xf numFmtId="40" fontId="0" fillId="0" borderId="3" xfId="0" applyNumberFormat="1" applyBorder="1"/>
    <xf numFmtId="10" fontId="0" fillId="0" borderId="3" xfId="3" applyNumberFormat="1" applyFont="1" applyBorder="1"/>
    <xf numFmtId="0" fontId="5" fillId="0" borderId="3" xfId="0" applyFont="1" applyBorder="1"/>
    <xf numFmtId="0" fontId="5" fillId="0" borderId="3" xfId="0" applyFont="1" applyBorder="1" applyAlignment="1">
      <alignment wrapText="1"/>
    </xf>
    <xf numFmtId="0" fontId="5" fillId="0" borderId="3" xfId="0" applyFont="1" applyBorder="1" applyAlignment="1">
      <alignment horizontal="center"/>
    </xf>
    <xf numFmtId="164" fontId="5" fillId="0" borderId="3" xfId="0" applyNumberFormat="1" applyFont="1" applyBorder="1"/>
    <xf numFmtId="40" fontId="5" fillId="0" borderId="3" xfId="0" applyNumberFormat="1" applyFont="1" applyBorder="1"/>
    <xf numFmtId="0" fontId="0" fillId="10" borderId="3" xfId="0" applyFill="1" applyBorder="1" applyAlignment="1">
      <alignment horizontal="center"/>
    </xf>
    <xf numFmtId="0" fontId="1" fillId="0" borderId="3" xfId="0" applyFont="1" applyBorder="1"/>
    <xf numFmtId="0" fontId="1" fillId="0" borderId="3" xfId="0" applyFont="1" applyBorder="1" applyAlignment="1">
      <alignment wrapText="1"/>
    </xf>
    <xf numFmtId="164" fontId="1" fillId="0" borderId="3" xfId="0" applyNumberFormat="1" applyFont="1" applyBorder="1"/>
    <xf numFmtId="40" fontId="1" fillId="0" borderId="3" xfId="0" applyNumberFormat="1" applyFont="1" applyBorder="1"/>
    <xf numFmtId="0" fontId="0" fillId="0" borderId="3" xfId="0" applyFill="1" applyBorder="1" applyAlignment="1">
      <alignment horizontal="center"/>
    </xf>
    <xf numFmtId="0" fontId="0" fillId="0" borderId="3" xfId="0" applyFill="1" applyBorder="1" applyAlignment="1">
      <alignment wrapText="1"/>
    </xf>
    <xf numFmtId="44" fontId="0" fillId="0" borderId="3" xfId="1" applyFont="1" applyFill="1" applyBorder="1"/>
    <xf numFmtId="164" fontId="0" fillId="0" borderId="3" xfId="0" applyNumberFormat="1" applyFill="1" applyBorder="1"/>
    <xf numFmtId="40" fontId="0" fillId="0" borderId="3" xfId="0" applyNumberFormat="1" applyFill="1" applyBorder="1"/>
    <xf numFmtId="10" fontId="0" fillId="0" borderId="3" xfId="3" applyNumberFormat="1" applyFont="1" applyFill="1" applyBorder="1"/>
    <xf numFmtId="0" fontId="0" fillId="0" borderId="3" xfId="0" applyFill="1" applyBorder="1"/>
    <xf numFmtId="44" fontId="1" fillId="0" borderId="3" xfId="0" applyNumberFormat="1" applyFont="1" applyBorder="1"/>
    <xf numFmtId="171" fontId="1" fillId="0" borderId="0" xfId="0" applyNumberFormat="1" applyFont="1"/>
    <xf numFmtId="0" fontId="1" fillId="12" borderId="0" xfId="0" applyFont="1" applyFill="1" applyAlignment="1">
      <alignment horizontal="center"/>
    </xf>
    <xf numFmtId="38" fontId="3" fillId="0" borderId="0" xfId="0" applyNumberFormat="1" applyFont="1" applyFill="1"/>
    <xf numFmtId="0" fontId="1" fillId="12" borderId="0" xfId="0" applyFont="1" applyFill="1" applyAlignment="1">
      <alignment horizontal="center" vertical="top"/>
    </xf>
    <xf numFmtId="0" fontId="1" fillId="0" borderId="0" xfId="0" applyFont="1" applyFill="1" applyAlignment="1">
      <alignment horizontal="center"/>
    </xf>
    <xf numFmtId="0" fontId="1" fillId="13" borderId="3" xfId="0" applyFont="1" applyFill="1" applyBorder="1" applyAlignment="1">
      <alignment horizontal="center" vertical="top"/>
    </xf>
    <xf numFmtId="44" fontId="1" fillId="13" borderId="3" xfId="1" applyFont="1" applyFill="1" applyBorder="1" applyAlignment="1">
      <alignment horizontal="center" vertical="top"/>
    </xf>
    <xf numFmtId="0" fontId="0" fillId="0" borderId="0" xfId="0" applyFill="1" applyAlignment="1">
      <alignment horizontal="right"/>
    </xf>
    <xf numFmtId="44" fontId="0" fillId="0" borderId="0" xfId="0" applyNumberFormat="1" applyFill="1"/>
    <xf numFmtId="17" fontId="1" fillId="13" borderId="3" xfId="3" applyNumberFormat="1" applyFont="1" applyFill="1" applyBorder="1" applyAlignment="1">
      <alignment horizontal="center" vertical="top"/>
    </xf>
    <xf numFmtId="0" fontId="0" fillId="14" borderId="3" xfId="0" applyFill="1" applyBorder="1" applyAlignment="1">
      <alignment horizontal="right" vertical="center" wrapText="1"/>
    </xf>
    <xf numFmtId="0" fontId="13" fillId="14" borderId="3" xfId="0" applyFont="1" applyFill="1" applyBorder="1" applyAlignment="1">
      <alignment horizontal="right" vertical="center" wrapText="1"/>
    </xf>
    <xf numFmtId="44" fontId="2" fillId="0" borderId="3" xfId="1" applyFont="1" applyBorder="1"/>
    <xf numFmtId="3" fontId="13" fillId="14" borderId="3" xfId="0" applyNumberFormat="1" applyFont="1" applyFill="1" applyBorder="1" applyAlignment="1">
      <alignment horizontal="right" vertical="center" wrapText="1"/>
    </xf>
    <xf numFmtId="0" fontId="0" fillId="0" borderId="3" xfId="0" applyFill="1" applyBorder="1" applyAlignment="1">
      <alignment horizontal="right"/>
    </xf>
    <xf numFmtId="17" fontId="1" fillId="0" borderId="22" xfId="0" applyNumberFormat="1" applyFont="1" applyBorder="1"/>
    <xf numFmtId="0" fontId="0" fillId="0" borderId="22" xfId="0" applyBorder="1"/>
    <xf numFmtId="44" fontId="0" fillId="0" borderId="22" xfId="1" applyFont="1" applyBorder="1"/>
    <xf numFmtId="44" fontId="1" fillId="0" borderId="22" xfId="1" applyFont="1" applyBorder="1"/>
    <xf numFmtId="17" fontId="1" fillId="0" borderId="0" xfId="0" applyNumberFormat="1" applyFont="1" applyBorder="1"/>
    <xf numFmtId="44" fontId="0" fillId="0" borderId="0" xfId="1" applyFont="1" applyBorder="1"/>
    <xf numFmtId="44" fontId="1" fillId="0" borderId="0" xfId="1" applyFont="1" applyBorder="1"/>
    <xf numFmtId="0" fontId="1" fillId="0" borderId="3" xfId="0" applyFont="1" applyBorder="1" applyAlignment="1">
      <alignment horizontal="center" vertical="center" textRotation="90"/>
    </xf>
    <xf numFmtId="15" fontId="1" fillId="0" borderId="4" xfId="0" applyNumberFormat="1" applyFont="1" applyBorder="1" applyAlignment="1">
      <alignment horizontal="center"/>
    </xf>
    <xf numFmtId="166" fontId="1" fillId="8" borderId="5" xfId="0" applyNumberFormat="1" applyFont="1" applyFill="1" applyBorder="1" applyAlignment="1">
      <alignment horizontal="center"/>
    </xf>
    <xf numFmtId="166" fontId="1" fillId="8" borderId="6" xfId="0" applyNumberFormat="1" applyFont="1" applyFill="1" applyBorder="1" applyAlignment="1">
      <alignment horizontal="center"/>
    </xf>
    <xf numFmtId="166" fontId="1" fillId="0" borderId="6" xfId="0" applyNumberFormat="1" applyFont="1" applyBorder="1" applyAlignment="1">
      <alignment horizontal="center"/>
    </xf>
    <xf numFmtId="166" fontId="1" fillId="8" borderId="7" xfId="0" applyNumberFormat="1" applyFont="1" applyFill="1" applyBorder="1" applyAlignment="1">
      <alignment horizontal="center"/>
    </xf>
  </cellXfs>
  <cellStyles count="4">
    <cellStyle name="Comma" xfId="2" builtinId="3"/>
    <cellStyle name="Currency" xfId="1" builtinId="4"/>
    <cellStyle name="Normal" xfId="0" builtinId="0"/>
    <cellStyle name="Percent" xfId="3" builtinId="5"/>
  </cellStyles>
  <dxfs count="0"/>
  <tableStyles count="0" defaultTableStyle="TableStyleMedium2" defaultPivotStyle="PivotStyleLight16"/>
  <colors>
    <mruColors>
      <color rgb="FFFFFF66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5BACB-72FD-4EE8-AE3A-447E71149A93}">
  <dimension ref="A1:V2349"/>
  <sheetViews>
    <sheetView topLeftCell="B1" zoomScale="70" zoomScaleNormal="70" workbookViewId="0">
      <pane ySplit="2" topLeftCell="A3" activePane="bottomLeft" state="frozen"/>
      <selection pane="bottomLeft" activeCell="X18" sqref="X18"/>
    </sheetView>
  </sheetViews>
  <sheetFormatPr defaultRowHeight="15" x14ac:dyDescent="0.25"/>
  <cols>
    <col min="1" max="1" width="10.28515625" style="30" customWidth="1"/>
    <col min="2" max="2" width="15.42578125" bestFit="1" customWidth="1"/>
    <col min="3" max="3" width="42.42578125" style="16" customWidth="1"/>
    <col min="4" max="4" width="6.28515625" customWidth="1"/>
    <col min="5" max="5" width="5.28515625" customWidth="1"/>
    <col min="6" max="6" width="13.42578125" customWidth="1"/>
    <col min="7" max="8" width="10.7109375" customWidth="1"/>
    <col min="9" max="9" width="10.85546875" style="35" customWidth="1"/>
    <col min="10" max="10" width="20.28515625" style="35" bestFit="1" customWidth="1"/>
    <col min="11" max="11" width="9.28515625" customWidth="1"/>
    <col min="12" max="12" width="11.42578125" bestFit="1" customWidth="1"/>
    <col min="13" max="15" width="18.5703125" style="35" bestFit="1" customWidth="1"/>
    <col min="16" max="16" width="20" style="35" bestFit="1" customWidth="1"/>
    <col min="17" max="17" width="20.28515625" style="35" bestFit="1" customWidth="1"/>
    <col min="18" max="18" width="13.5703125" style="125" bestFit="1" customWidth="1"/>
    <col min="21" max="21" width="10.140625" bestFit="1" customWidth="1"/>
    <col min="22" max="22" width="11.85546875" customWidth="1"/>
  </cols>
  <sheetData>
    <row r="1" spans="1:22" s="113" customFormat="1" x14ac:dyDescent="0.25">
      <c r="A1" s="112"/>
      <c r="B1" s="110"/>
      <c r="C1" s="111"/>
      <c r="D1" s="110"/>
      <c r="E1" s="112" t="str">
        <f>IFERROR(VLOOKUP(C1,Resources!B:D,3,FALSE)," ")</f>
        <v xml:space="preserve"> </v>
      </c>
      <c r="F1" s="110"/>
      <c r="G1" s="110"/>
      <c r="H1" s="110"/>
      <c r="I1" s="110" t="str">
        <f>IFERROR(VLOOKUP(C1,Resources!B:G,6,FALSE)," ")</f>
        <v xml:space="preserve"> </v>
      </c>
      <c r="J1" s="110">
        <f>SUBTOTAL(9,J5:J2346)</f>
        <v>3194691.6814975129</v>
      </c>
      <c r="K1" s="110"/>
      <c r="L1" s="110"/>
      <c r="M1" s="110">
        <f>SUBTOTAL(9,M5:M2346)</f>
        <v>418984.58599145227</v>
      </c>
      <c r="N1" s="110">
        <f>SUBTOTAL(9,N5:N2346)</f>
        <v>518531.05498397932</v>
      </c>
      <c r="O1" s="110">
        <f>SUBTOTAL(9,O5:O2346)</f>
        <v>861068.8567010921</v>
      </c>
      <c r="P1" s="110">
        <f>SUBTOTAL(9,P5:P2346)</f>
        <v>1396107.1838209874</v>
      </c>
      <c r="Q1" s="110">
        <f>SUBTOTAL(9,Q5:Q2346)</f>
        <v>3194691.6814975129</v>
      </c>
      <c r="R1" s="118"/>
      <c r="V1" s="186"/>
    </row>
    <row r="2" spans="1:22" s="98" customFormat="1" ht="17.25" x14ac:dyDescent="0.25">
      <c r="A2" s="29" t="s">
        <v>2397</v>
      </c>
      <c r="B2" s="97" t="s">
        <v>0</v>
      </c>
      <c r="C2" s="11" t="s">
        <v>2</v>
      </c>
      <c r="D2" s="29" t="s">
        <v>3</v>
      </c>
      <c r="E2" s="29" t="s">
        <v>2018</v>
      </c>
      <c r="F2" s="29" t="s">
        <v>4</v>
      </c>
      <c r="G2" s="29" t="s">
        <v>2352</v>
      </c>
      <c r="H2" s="29" t="s">
        <v>6</v>
      </c>
      <c r="I2" s="107" t="s">
        <v>7</v>
      </c>
      <c r="J2" s="107" t="s">
        <v>2349</v>
      </c>
      <c r="K2" s="29" t="s">
        <v>2350</v>
      </c>
      <c r="L2" s="29" t="s">
        <v>2351</v>
      </c>
      <c r="M2" s="107" t="s">
        <v>8</v>
      </c>
      <c r="N2" s="107" t="s">
        <v>9</v>
      </c>
      <c r="O2" s="107" t="s">
        <v>10</v>
      </c>
      <c r="P2" s="107" t="s">
        <v>11</v>
      </c>
      <c r="Q2" s="107" t="s">
        <v>12</v>
      </c>
      <c r="R2" s="119" t="s">
        <v>1851</v>
      </c>
    </row>
    <row r="3" spans="1:22" ht="30" x14ac:dyDescent="0.25">
      <c r="A3" s="114">
        <v>1000</v>
      </c>
      <c r="B3" s="1" t="s">
        <v>13</v>
      </c>
      <c r="C3" s="1" t="s">
        <v>14</v>
      </c>
      <c r="D3" s="2"/>
      <c r="E3" s="99" t="str">
        <f>IFERROR(VLOOKUP(C3,Resources!B:D,3,FALSE)," ")</f>
        <v xml:space="preserve"> </v>
      </c>
      <c r="F3" s="7"/>
      <c r="G3" s="7"/>
      <c r="H3" s="7"/>
      <c r="I3" s="108" t="str">
        <f>IFERROR(VLOOKUP(C3,Resources!B:G,6,FALSE)," ")</f>
        <v xml:space="preserve"> </v>
      </c>
      <c r="J3" s="108"/>
      <c r="K3" s="7"/>
      <c r="L3" s="7"/>
      <c r="M3" s="108"/>
      <c r="N3" s="108"/>
      <c r="O3" s="108"/>
      <c r="P3" s="108"/>
      <c r="Q3" s="108"/>
      <c r="R3" s="120"/>
    </row>
    <row r="4" spans="1:22" ht="30" x14ac:dyDescent="0.25">
      <c r="A4" s="114"/>
      <c r="B4" s="1" t="s">
        <v>16</v>
      </c>
      <c r="C4" s="1" t="s">
        <v>17</v>
      </c>
      <c r="D4" s="2"/>
      <c r="E4" s="99" t="str">
        <f>IFERROR(VLOOKUP(C4,Resources!B:D,3,FALSE)," ")</f>
        <v xml:space="preserve"> </v>
      </c>
      <c r="F4" s="7"/>
      <c r="G4" s="7"/>
      <c r="H4" s="7"/>
      <c r="I4" s="108" t="str">
        <f>IFERROR(VLOOKUP(C4,Resources!B:G,6,FALSE)," ")</f>
        <v xml:space="preserve"> </v>
      </c>
      <c r="J4" s="108"/>
      <c r="K4" s="7"/>
      <c r="L4" s="7"/>
      <c r="M4" s="108"/>
      <c r="N4" s="108"/>
      <c r="O4" s="108"/>
      <c r="P4" s="108"/>
      <c r="Q4" s="108"/>
      <c r="R4" s="120"/>
    </row>
    <row r="5" spans="1:22" ht="30" x14ac:dyDescent="0.25">
      <c r="A5" s="114">
        <v>5</v>
      </c>
      <c r="B5" s="1" t="s">
        <v>18</v>
      </c>
      <c r="C5" s="1" t="s">
        <v>19</v>
      </c>
      <c r="D5" s="2" t="s">
        <v>20</v>
      </c>
      <c r="E5" s="99" t="str">
        <f>IFERROR(VLOOKUP(C5,Resources!B:D,3,FALSE)," ")</f>
        <v xml:space="preserve"> </v>
      </c>
      <c r="F5" s="7"/>
      <c r="G5" s="7"/>
      <c r="H5" s="103">
        <f>VLOOKUP(A5,'Model Inputs'!$A:$D,4,FALSE)</f>
        <v>1</v>
      </c>
      <c r="I5" s="108" t="str">
        <f>IFERROR(VLOOKUP(C5,Resources!B:G,6,FALSE)," ")</f>
        <v xml:space="preserve"> </v>
      </c>
      <c r="J5" s="108">
        <f>SUBTOTAL(9,J7:J8)</f>
        <v>39000</v>
      </c>
      <c r="K5" s="7"/>
      <c r="L5" s="7">
        <v>0</v>
      </c>
      <c r="M5" s="108">
        <f>SUBTOTAL(9,M7:M8)</f>
        <v>39000</v>
      </c>
      <c r="N5" s="108">
        <f>SUBTOTAL(9,N7:N8)</f>
        <v>0</v>
      </c>
      <c r="O5" s="108">
        <f>SUBTOTAL(9,O7:O8)</f>
        <v>0</v>
      </c>
      <c r="P5" s="108">
        <f>SUBTOTAL(9,P7:P8)</f>
        <v>0</v>
      </c>
      <c r="Q5" s="108">
        <f>SUBTOTAL(9,Q7:Q8)</f>
        <v>39000</v>
      </c>
      <c r="R5" s="120"/>
      <c r="T5" s="90"/>
    </row>
    <row r="6" spans="1:22" x14ac:dyDescent="0.25">
      <c r="A6" s="100"/>
      <c r="B6" s="3"/>
      <c r="C6" s="5" t="s">
        <v>2357</v>
      </c>
      <c r="D6" s="3"/>
      <c r="E6" s="100"/>
      <c r="F6" s="8"/>
      <c r="G6" s="8"/>
      <c r="H6" s="8"/>
      <c r="I6" s="109"/>
      <c r="J6" s="109"/>
      <c r="K6" s="8"/>
      <c r="L6" s="8"/>
      <c r="M6" s="109"/>
      <c r="N6" s="109"/>
      <c r="O6" s="109"/>
      <c r="P6" s="109"/>
      <c r="Q6" s="109"/>
      <c r="R6" s="121"/>
      <c r="T6" s="90"/>
    </row>
    <row r="7" spans="1:22" x14ac:dyDescent="0.25">
      <c r="A7" s="100">
        <v>5.0999999999999996</v>
      </c>
      <c r="B7" s="3">
        <v>1</v>
      </c>
      <c r="C7" s="5" t="s">
        <v>21</v>
      </c>
      <c r="D7" s="3" t="s">
        <v>22</v>
      </c>
      <c r="E7" s="100" t="str">
        <f>IFERROR(VLOOKUP(C7,Resources!B:D,3,FALSE)," ")</f>
        <v>L</v>
      </c>
      <c r="F7" s="8">
        <v>1</v>
      </c>
      <c r="G7" s="8">
        <v>1</v>
      </c>
      <c r="H7" s="103">
        <f>VLOOKUP(A7,'Model Inputs'!$A:$D,4,FALSE)</f>
        <v>6</v>
      </c>
      <c r="I7" s="109">
        <f>IFERROR(VLOOKUP(C7,Resources!B:G,6,FALSE)," ")</f>
        <v>3250</v>
      </c>
      <c r="J7" s="109">
        <f>(H7/(G7/F7))*I7</f>
        <v>19500</v>
      </c>
      <c r="K7" s="8">
        <f>L7*F7</f>
        <v>6</v>
      </c>
      <c r="L7" s="8">
        <f>IF(E7="M"," ",H7/G7)</f>
        <v>6</v>
      </c>
      <c r="M7" s="109">
        <f>IF($E7="L",$J7,0)</f>
        <v>19500</v>
      </c>
      <c r="N7" s="109">
        <f>IF($E7="M",$J7,0)</f>
        <v>0</v>
      </c>
      <c r="O7" s="109">
        <f>IF($E7="P",$J7,0)</f>
        <v>0</v>
      </c>
      <c r="P7" s="109">
        <f>IF($E7="S",$J7,0)</f>
        <v>0</v>
      </c>
      <c r="Q7" s="109">
        <f>SUM(M7:P7)</f>
        <v>19500</v>
      </c>
      <c r="R7" s="121">
        <v>901</v>
      </c>
      <c r="T7" s="188"/>
    </row>
    <row r="8" spans="1:22" x14ac:dyDescent="0.25">
      <c r="A8" s="100"/>
      <c r="B8" s="3">
        <v>2</v>
      </c>
      <c r="C8" s="5" t="s">
        <v>2044</v>
      </c>
      <c r="D8" s="3" t="s">
        <v>22</v>
      </c>
      <c r="E8" s="100" t="str">
        <f>IFERROR(VLOOKUP(C8,Resources!B:D,3,FALSE)," ")</f>
        <v>L</v>
      </c>
      <c r="F8" s="8">
        <v>1</v>
      </c>
      <c r="G8" s="8">
        <v>1</v>
      </c>
      <c r="H8" s="8">
        <f>H7</f>
        <v>6</v>
      </c>
      <c r="I8" s="109">
        <f>IFERROR(VLOOKUP(C8,Resources!B:G,6,FALSE)," ")</f>
        <v>3250</v>
      </c>
      <c r="J8" s="109">
        <f>(H8/(G8/F8))*I8</f>
        <v>19500</v>
      </c>
      <c r="K8" s="8">
        <f>L8*F8</f>
        <v>6</v>
      </c>
      <c r="L8" s="8">
        <f>IF(E8="M"," ",H8/G8)</f>
        <v>6</v>
      </c>
      <c r="M8" s="109">
        <f>IF($E8="L",$J8,0)</f>
        <v>19500</v>
      </c>
      <c r="N8" s="109">
        <f>IF($E8="M",$J8,0)</f>
        <v>0</v>
      </c>
      <c r="O8" s="109">
        <f>IF($E8="P",$J8,0)</f>
        <v>0</v>
      </c>
      <c r="P8" s="109">
        <f>IF($E8="S",$J8,0)</f>
        <v>0</v>
      </c>
      <c r="Q8" s="109">
        <f>SUM(M8:P8)</f>
        <v>19500</v>
      </c>
      <c r="R8" s="121">
        <v>901</v>
      </c>
      <c r="T8" s="188"/>
    </row>
    <row r="9" spans="1:22" x14ac:dyDescent="0.25">
      <c r="A9" s="101"/>
      <c r="B9" s="4"/>
      <c r="C9" s="6"/>
      <c r="D9" s="4"/>
      <c r="E9" s="101" t="str">
        <f>IFERROR(VLOOKUP(C9,Resources!B:D,3,FALSE)," ")</f>
        <v xml:space="preserve"> </v>
      </c>
      <c r="F9" s="9"/>
      <c r="G9" s="9"/>
      <c r="H9" s="9"/>
      <c r="I9" s="38" t="str">
        <f>IFERROR(VLOOKUP(C9,Resources!B:G,6,FALSE)," ")</f>
        <v xml:space="preserve"> </v>
      </c>
      <c r="J9" s="38"/>
      <c r="K9" s="9"/>
      <c r="L9" s="9"/>
      <c r="M9" s="38"/>
      <c r="N9" s="38"/>
      <c r="O9" s="38"/>
      <c r="P9" s="38"/>
      <c r="Q9" s="38"/>
      <c r="R9" s="122"/>
      <c r="T9" s="188"/>
    </row>
    <row r="10" spans="1:22" ht="30" x14ac:dyDescent="0.25">
      <c r="A10" s="114"/>
      <c r="B10" s="1" t="s">
        <v>24</v>
      </c>
      <c r="C10" s="1" t="s">
        <v>25</v>
      </c>
      <c r="D10" s="2"/>
      <c r="E10" s="99" t="str">
        <f>IFERROR(VLOOKUP(C10,Resources!B:D,3,FALSE)," ")</f>
        <v xml:space="preserve"> </v>
      </c>
      <c r="F10" s="7"/>
      <c r="G10" s="7"/>
      <c r="H10" s="7"/>
      <c r="I10" s="108" t="str">
        <f>IFERROR(VLOOKUP(C10,Resources!B:G,6,FALSE)," ")</f>
        <v xml:space="preserve"> </v>
      </c>
      <c r="J10" s="108"/>
      <c r="K10" s="7"/>
      <c r="L10" s="7"/>
      <c r="M10" s="108"/>
      <c r="N10" s="108"/>
      <c r="O10" s="108"/>
      <c r="P10" s="108"/>
      <c r="Q10" s="108"/>
      <c r="R10" s="120"/>
      <c r="T10" s="188"/>
    </row>
    <row r="11" spans="1:22" ht="30" x14ac:dyDescent="0.25">
      <c r="A11" s="114">
        <v>6</v>
      </c>
      <c r="B11" s="1" t="s">
        <v>26</v>
      </c>
      <c r="C11" s="1" t="s">
        <v>27</v>
      </c>
      <c r="D11" s="2" t="s">
        <v>20</v>
      </c>
      <c r="E11" s="99" t="str">
        <f>IFERROR(VLOOKUP(C11,Resources!B:D,3,FALSE)," ")</f>
        <v xml:space="preserve"> </v>
      </c>
      <c r="F11" s="7"/>
      <c r="G11" s="7"/>
      <c r="H11" s="103">
        <f>VLOOKUP(A11,'Model Inputs'!$A:$D,4,FALSE)</f>
        <v>1</v>
      </c>
      <c r="I11" s="108" t="str">
        <f>IFERROR(VLOOKUP(C11,Resources!B:G,6,FALSE)," ")</f>
        <v xml:space="preserve"> </v>
      </c>
      <c r="J11" s="108">
        <f>SUBTOTAL(9,J13:J19)</f>
        <v>6460</v>
      </c>
      <c r="K11" s="7"/>
      <c r="L11" s="7">
        <v>0</v>
      </c>
      <c r="M11" s="108">
        <f>SUBTOTAL(9,M13:M19)</f>
        <v>3250</v>
      </c>
      <c r="N11" s="108">
        <f>SUBTOTAL(9,N13:N19)</f>
        <v>0</v>
      </c>
      <c r="O11" s="108">
        <f>SUBTOTAL(9,O13:O19)</f>
        <v>0</v>
      </c>
      <c r="P11" s="108">
        <f>SUBTOTAL(9,P13:P19)</f>
        <v>3210</v>
      </c>
      <c r="Q11" s="108">
        <f>SUBTOTAL(9,Q13:Q19)</f>
        <v>6460</v>
      </c>
      <c r="R11" s="120"/>
      <c r="T11" s="188"/>
    </row>
    <row r="12" spans="1:22" x14ac:dyDescent="0.25">
      <c r="A12" s="100"/>
      <c r="B12" s="3"/>
      <c r="C12" s="5" t="s">
        <v>2357</v>
      </c>
      <c r="D12" s="3"/>
      <c r="E12" s="100"/>
      <c r="F12" s="8"/>
      <c r="G12" s="8"/>
      <c r="H12" s="8"/>
      <c r="I12" s="109"/>
      <c r="J12" s="109"/>
      <c r="K12" s="8"/>
      <c r="L12" s="8"/>
      <c r="M12" s="109"/>
      <c r="N12" s="109"/>
      <c r="O12" s="109"/>
      <c r="P12" s="109"/>
      <c r="Q12" s="109"/>
      <c r="R12" s="121"/>
      <c r="T12" s="188"/>
    </row>
    <row r="13" spans="1:22" x14ac:dyDescent="0.25">
      <c r="A13" s="100"/>
      <c r="B13" s="3">
        <v>1</v>
      </c>
      <c r="C13" s="5" t="s">
        <v>21</v>
      </c>
      <c r="D13" s="3" t="s">
        <v>22</v>
      </c>
      <c r="E13" s="100" t="str">
        <f>IFERROR(VLOOKUP(C13,Resources!B:D,3,FALSE)," ")</f>
        <v>L</v>
      </c>
      <c r="F13" s="8">
        <v>1</v>
      </c>
      <c r="G13" s="8">
        <v>1</v>
      </c>
      <c r="H13" s="8">
        <f>H11</f>
        <v>1</v>
      </c>
      <c r="I13" s="109">
        <f>IFERROR(VLOOKUP(C13,Resources!B:G,6,FALSE)," ")</f>
        <v>3250</v>
      </c>
      <c r="J13" s="109">
        <f>(H13/(G13/F13))*I13</f>
        <v>3250</v>
      </c>
      <c r="K13" s="8">
        <f>L13*F13</f>
        <v>1</v>
      </c>
      <c r="L13" s="8">
        <f>IF(E13="M"," ",H13/G13)</f>
        <v>1</v>
      </c>
      <c r="M13" s="109">
        <f>IF($E13="L",$J13,0)</f>
        <v>3250</v>
      </c>
      <c r="N13" s="109">
        <f>IF($E13="M",$J13,0)</f>
        <v>0</v>
      </c>
      <c r="O13" s="109">
        <f>IF($E13="P",$J13,0)</f>
        <v>0</v>
      </c>
      <c r="P13" s="109">
        <f>IF($E13="S",$J13,0)</f>
        <v>0</v>
      </c>
      <c r="Q13" s="109">
        <f>SUM(M13:P13)</f>
        <v>3250</v>
      </c>
      <c r="R13" s="121">
        <v>901</v>
      </c>
      <c r="T13" s="188"/>
    </row>
    <row r="14" spans="1:22" x14ac:dyDescent="0.25">
      <c r="A14" s="100">
        <v>6.1</v>
      </c>
      <c r="B14" s="3">
        <v>2</v>
      </c>
      <c r="C14" s="5" t="s">
        <v>2353</v>
      </c>
      <c r="D14" s="3"/>
      <c r="E14" s="100" t="str">
        <f>IFERROR(VLOOKUP(C14,Resources!B:D,3,FALSE)," ")</f>
        <v xml:space="preserve"> </v>
      </c>
      <c r="F14" s="8"/>
      <c r="G14" s="8"/>
      <c r="H14" s="103">
        <f>VLOOKUP(A14,'Model Inputs'!$A:$D,4,FALSE)</f>
        <v>12</v>
      </c>
      <c r="I14" s="109" t="str">
        <f>IFERROR(VLOOKUP(C14,Resources!B:G,6,FALSE)," ")</f>
        <v xml:space="preserve"> </v>
      </c>
      <c r="J14" s="109"/>
      <c r="K14" s="8"/>
      <c r="L14" s="8"/>
      <c r="M14" s="109"/>
      <c r="N14" s="109"/>
      <c r="O14" s="109"/>
      <c r="P14" s="109"/>
      <c r="Q14" s="109"/>
      <c r="R14" s="121"/>
      <c r="T14" s="188"/>
    </row>
    <row r="15" spans="1:22" x14ac:dyDescent="0.25">
      <c r="A15" s="100">
        <v>6.2</v>
      </c>
      <c r="B15" s="3">
        <v>3</v>
      </c>
      <c r="C15" s="5" t="s">
        <v>2354</v>
      </c>
      <c r="D15" s="3"/>
      <c r="E15" s="100" t="str">
        <f>IFERROR(VLOOKUP(C15,Resources!B:D,3,FALSE)," ")</f>
        <v xml:space="preserve"> </v>
      </c>
      <c r="F15" s="8"/>
      <c r="G15" s="8"/>
      <c r="H15" s="103">
        <f>VLOOKUP(A15,'Model Inputs'!$A:$D,4,FALSE)</f>
        <v>6</v>
      </c>
      <c r="I15" s="109" t="str">
        <f>IFERROR(VLOOKUP(C15,Resources!B:G,6,FALSE)," ")</f>
        <v xml:space="preserve"> </v>
      </c>
      <c r="J15" s="109"/>
      <c r="K15" s="8"/>
      <c r="L15" s="8"/>
      <c r="M15" s="109"/>
      <c r="N15" s="109"/>
      <c r="O15" s="109"/>
      <c r="P15" s="109"/>
      <c r="Q15" s="109"/>
      <c r="R15" s="121"/>
      <c r="T15" s="188"/>
    </row>
    <row r="16" spans="1:22" x14ac:dyDescent="0.25">
      <c r="A16" s="100"/>
      <c r="B16" s="3">
        <v>4</v>
      </c>
      <c r="C16" s="5" t="s">
        <v>28</v>
      </c>
      <c r="D16" s="3" t="s">
        <v>29</v>
      </c>
      <c r="E16" s="100" t="str">
        <f>IFERROR(VLOOKUP(C16,Resources!B:D,3,FALSE)," ")</f>
        <v>S</v>
      </c>
      <c r="F16" s="8">
        <v>1</v>
      </c>
      <c r="G16" s="8">
        <v>1</v>
      </c>
      <c r="H16" s="8">
        <f>H14</f>
        <v>12</v>
      </c>
      <c r="I16" s="109">
        <f>IFERROR(VLOOKUP(C16,Resources!B:G,6,FALSE)," ")</f>
        <v>45</v>
      </c>
      <c r="J16" s="109">
        <f>(H16/(G16/F16))*I16</f>
        <v>540</v>
      </c>
      <c r="K16" s="8">
        <f>L16*F16</f>
        <v>12</v>
      </c>
      <c r="L16" s="8">
        <f>IF(E16="M"," ",H16/G16)</f>
        <v>12</v>
      </c>
      <c r="M16" s="109">
        <f>IF($E16="L",$J16,0)</f>
        <v>0</v>
      </c>
      <c r="N16" s="109">
        <f>IF($E16="M",$J16,0)</f>
        <v>0</v>
      </c>
      <c r="O16" s="109">
        <f>IF($E16="P",$J16,0)</f>
        <v>0</v>
      </c>
      <c r="P16" s="109">
        <f>IF($E16="S",$J16,0)</f>
        <v>540</v>
      </c>
      <c r="Q16" s="109">
        <f>SUM(M16:P16)</f>
        <v>540</v>
      </c>
      <c r="R16" s="121">
        <v>13</v>
      </c>
      <c r="T16" s="188"/>
    </row>
    <row r="17" spans="1:20" x14ac:dyDescent="0.25">
      <c r="A17" s="100"/>
      <c r="B17" s="3">
        <v>5</v>
      </c>
      <c r="C17" s="5" t="s">
        <v>30</v>
      </c>
      <c r="D17" s="3" t="s">
        <v>29</v>
      </c>
      <c r="E17" s="100" t="str">
        <f>IFERROR(VLOOKUP(C17,Resources!B:D,3,FALSE)," ")</f>
        <v>S</v>
      </c>
      <c r="F17" s="8">
        <v>1</v>
      </c>
      <c r="G17" s="8">
        <v>1</v>
      </c>
      <c r="H17" s="8">
        <v>3</v>
      </c>
      <c r="I17" s="109">
        <f>IFERROR(VLOOKUP(C17,Resources!B:G,6,FALSE)," ")</f>
        <v>390</v>
      </c>
      <c r="J17" s="109">
        <f>(H17/(G17/F17))*I17</f>
        <v>1170</v>
      </c>
      <c r="K17" s="8">
        <f>L17*F17</f>
        <v>3</v>
      </c>
      <c r="L17" s="8">
        <f>IF(E17="M"," ",H17/G17)</f>
        <v>3</v>
      </c>
      <c r="M17" s="109">
        <f>IF($E17="L",$J17,0)</f>
        <v>0</v>
      </c>
      <c r="N17" s="109">
        <f>IF($E17="M",$J17,0)</f>
        <v>0</v>
      </c>
      <c r="O17" s="109">
        <f>IF($E17="P",$J17,0)</f>
        <v>0</v>
      </c>
      <c r="P17" s="109">
        <f>IF($E17="S",$J17,0)</f>
        <v>1170</v>
      </c>
      <c r="Q17" s="109">
        <f>SUM(M17:P17)</f>
        <v>1170</v>
      </c>
      <c r="R17" s="121">
        <v>13</v>
      </c>
      <c r="T17" s="188"/>
    </row>
    <row r="18" spans="1:20" x14ac:dyDescent="0.25">
      <c r="A18" s="100"/>
      <c r="B18" s="3">
        <v>6</v>
      </c>
      <c r="C18" s="5" t="s">
        <v>31</v>
      </c>
      <c r="D18" s="3" t="s">
        <v>29</v>
      </c>
      <c r="E18" s="100" t="str">
        <f>IFERROR(VLOOKUP(C18,Resources!B:D,3,FALSE)," ")</f>
        <v>S</v>
      </c>
      <c r="F18" s="8">
        <v>1</v>
      </c>
      <c r="G18" s="8">
        <v>1</v>
      </c>
      <c r="H18" s="8">
        <f>H15</f>
        <v>6</v>
      </c>
      <c r="I18" s="109">
        <f>IFERROR(VLOOKUP(C18,Resources!B:G,6,FALSE)," ")</f>
        <v>150</v>
      </c>
      <c r="J18" s="109">
        <f>(H18/(G18/F18))*I18</f>
        <v>900</v>
      </c>
      <c r="K18" s="8">
        <f>L18*F18</f>
        <v>6</v>
      </c>
      <c r="L18" s="8">
        <f>IF(E18="M"," ",H18/G18)</f>
        <v>6</v>
      </c>
      <c r="M18" s="109">
        <f>IF($E18="L",$J18,0)</f>
        <v>0</v>
      </c>
      <c r="N18" s="109">
        <f>IF($E18="M",$J18,0)</f>
        <v>0</v>
      </c>
      <c r="O18" s="109">
        <f>IF($E18="P",$J18,0)</f>
        <v>0</v>
      </c>
      <c r="P18" s="109">
        <f>IF($E18="S",$J18,0)</f>
        <v>900</v>
      </c>
      <c r="Q18" s="109">
        <f>SUM(M18:P18)</f>
        <v>900</v>
      </c>
      <c r="R18" s="121">
        <v>13</v>
      </c>
      <c r="T18" s="188"/>
    </row>
    <row r="19" spans="1:20" x14ac:dyDescent="0.25">
      <c r="A19" s="100">
        <v>6.3</v>
      </c>
      <c r="B19" s="3">
        <v>7</v>
      </c>
      <c r="C19" s="5" t="s">
        <v>148</v>
      </c>
      <c r="D19" s="3" t="s">
        <v>33</v>
      </c>
      <c r="E19" s="100" t="str">
        <f>IFERROR(VLOOKUP(C19,Resources!B:D,3,FALSE)," ")</f>
        <v>S</v>
      </c>
      <c r="F19" s="8">
        <v>1</v>
      </c>
      <c r="G19" s="8">
        <v>1</v>
      </c>
      <c r="H19" s="103">
        <f>VLOOKUP(A19,'Model Inputs'!$A:$D,4,FALSE)</f>
        <v>600</v>
      </c>
      <c r="I19" s="109">
        <f>IFERROR(VLOOKUP(C19,Resources!B:G,6,FALSE)," ")</f>
        <v>1</v>
      </c>
      <c r="J19" s="109">
        <f>(H19/(G19/F19))*I19</f>
        <v>600</v>
      </c>
      <c r="K19" s="8"/>
      <c r="L19" s="8">
        <f>IF(E19="M"," ",H19/G19)</f>
        <v>600</v>
      </c>
      <c r="M19" s="109">
        <f>IF($E19="L",$J19,0)</f>
        <v>0</v>
      </c>
      <c r="N19" s="109">
        <f>IF($E19="M",$J19,0)</f>
        <v>0</v>
      </c>
      <c r="O19" s="109">
        <f>IF($E19="P",$J19,0)</f>
        <v>0</v>
      </c>
      <c r="P19" s="109">
        <f>IF($E19="S",$J19,0)</f>
        <v>600</v>
      </c>
      <c r="Q19" s="109">
        <f>SUM(M19:P19)</f>
        <v>600</v>
      </c>
      <c r="R19" s="121">
        <v>11</v>
      </c>
      <c r="T19" s="188"/>
    </row>
    <row r="20" spans="1:20" x14ac:dyDescent="0.25">
      <c r="A20" s="101"/>
      <c r="B20" s="4"/>
      <c r="C20" s="6"/>
      <c r="D20" s="4"/>
      <c r="E20" s="101" t="str">
        <f>IFERROR(VLOOKUP(C20,Resources!B:D,3,FALSE)," ")</f>
        <v xml:space="preserve"> </v>
      </c>
      <c r="F20" s="9"/>
      <c r="G20" s="9"/>
      <c r="H20" s="9"/>
      <c r="I20" s="38" t="str">
        <f>IFERROR(VLOOKUP(C20,Resources!B:G,6,FALSE)," ")</f>
        <v xml:space="preserve"> </v>
      </c>
      <c r="J20" s="38"/>
      <c r="K20" s="9"/>
      <c r="L20" s="9"/>
      <c r="M20" s="38"/>
      <c r="N20" s="38"/>
      <c r="O20" s="38"/>
      <c r="P20" s="38"/>
      <c r="Q20" s="38"/>
      <c r="R20" s="122"/>
      <c r="T20" s="188"/>
    </row>
    <row r="21" spans="1:20" ht="30" x14ac:dyDescent="0.25">
      <c r="A21" s="114"/>
      <c r="B21" s="1" t="s">
        <v>34</v>
      </c>
      <c r="C21" s="1" t="s">
        <v>35</v>
      </c>
      <c r="D21" s="2"/>
      <c r="E21" s="99" t="str">
        <f>IFERROR(VLOOKUP(C21,Resources!B:D,3,FALSE)," ")</f>
        <v xml:space="preserve"> </v>
      </c>
      <c r="F21" s="7"/>
      <c r="G21" s="7"/>
      <c r="H21" s="7"/>
      <c r="I21" s="108" t="str">
        <f>IFERROR(VLOOKUP(C21,Resources!B:G,6,FALSE)," ")</f>
        <v xml:space="preserve"> </v>
      </c>
      <c r="J21" s="108"/>
      <c r="K21" s="7"/>
      <c r="L21" s="7"/>
      <c r="M21" s="108"/>
      <c r="N21" s="108"/>
      <c r="O21" s="108"/>
      <c r="P21" s="108"/>
      <c r="Q21" s="108"/>
      <c r="R21" s="120"/>
      <c r="T21" s="188"/>
    </row>
    <row r="22" spans="1:20" ht="30" x14ac:dyDescent="0.25">
      <c r="A22" s="114">
        <v>7</v>
      </c>
      <c r="B22" s="1" t="s">
        <v>37</v>
      </c>
      <c r="C22" s="1" t="s">
        <v>38</v>
      </c>
      <c r="D22" s="2" t="s">
        <v>20</v>
      </c>
      <c r="E22" s="99" t="str">
        <f>IFERROR(VLOOKUP(C22,Resources!B:D,3,FALSE)," ")</f>
        <v xml:space="preserve"> </v>
      </c>
      <c r="F22" s="7"/>
      <c r="G22" s="7"/>
      <c r="H22" s="103">
        <f>VLOOKUP(A22,'Model Inputs'!$A:$D,4,FALSE)</f>
        <v>1</v>
      </c>
      <c r="I22" s="108" t="str">
        <f>IFERROR(VLOOKUP(C22,Resources!B:G,6,FALSE)," ")</f>
        <v xml:space="preserve"> </v>
      </c>
      <c r="J22" s="108">
        <f>SUBTOTAL(9,J24:J34)</f>
        <v>22050</v>
      </c>
      <c r="K22" s="7"/>
      <c r="L22" s="7">
        <f>ROUNDUP(MAX(L32:L34)/Workhrs,0)</f>
        <v>6</v>
      </c>
      <c r="M22" s="108">
        <f>SUBTOTAL(9,M24:M34)</f>
        <v>9650</v>
      </c>
      <c r="N22" s="108">
        <f>SUBTOTAL(9,N24:N34)</f>
        <v>0</v>
      </c>
      <c r="O22" s="108">
        <f>SUBTOTAL(9,O24:O34)</f>
        <v>12400</v>
      </c>
      <c r="P22" s="108">
        <f>SUBTOTAL(9,P24:P34)</f>
        <v>0</v>
      </c>
      <c r="Q22" s="108">
        <f>SUBTOTAL(9,Q24:Q34)</f>
        <v>22050</v>
      </c>
      <c r="R22" s="120"/>
      <c r="T22" s="188"/>
    </row>
    <row r="23" spans="1:20" ht="75" x14ac:dyDescent="0.25">
      <c r="A23" s="100"/>
      <c r="B23" s="3"/>
      <c r="C23" s="5" t="s">
        <v>2356</v>
      </c>
      <c r="D23" s="3"/>
      <c r="E23" s="100"/>
      <c r="F23" s="8"/>
      <c r="G23" s="8"/>
      <c r="H23" s="8"/>
      <c r="I23" s="109"/>
      <c r="J23" s="109"/>
      <c r="K23" s="8"/>
      <c r="L23" s="8"/>
      <c r="M23" s="109"/>
      <c r="N23" s="109"/>
      <c r="O23" s="109"/>
      <c r="P23" s="109"/>
      <c r="Q23" s="109"/>
      <c r="R23" s="121"/>
      <c r="T23" s="188"/>
    </row>
    <row r="24" spans="1:20" x14ac:dyDescent="0.25">
      <c r="A24" s="100"/>
      <c r="B24" s="3">
        <v>1</v>
      </c>
      <c r="C24" s="5" t="s">
        <v>1039</v>
      </c>
      <c r="D24" s="3" t="s">
        <v>41</v>
      </c>
      <c r="E24" s="100" t="str">
        <f>IFERROR(VLOOKUP(C24,Resources!B:D,3,FALSE)," ")</f>
        <v>P</v>
      </c>
      <c r="F24" s="8">
        <v>600</v>
      </c>
      <c r="G24" s="8">
        <v>1</v>
      </c>
      <c r="H24" s="8">
        <f>H22</f>
        <v>1</v>
      </c>
      <c r="I24" s="109">
        <f>IFERROR(VLOOKUP(C24,Resources!B:G,6,FALSE)," ")</f>
        <v>1</v>
      </c>
      <c r="J24" s="109">
        <f t="shared" ref="J24:J34" si="0">(H24/(G24/F24))*I24</f>
        <v>600</v>
      </c>
      <c r="K24" s="8"/>
      <c r="L24" s="8"/>
      <c r="M24" s="109">
        <f t="shared" ref="M24:M34" si="1">IF($E24="L",$J24,0)</f>
        <v>0</v>
      </c>
      <c r="N24" s="109">
        <f t="shared" ref="N24:N34" si="2">IF($E24="M",$J24,0)</f>
        <v>0</v>
      </c>
      <c r="O24" s="109">
        <f t="shared" ref="O24:O34" si="3">IF($E24="P",$J24,0)</f>
        <v>600</v>
      </c>
      <c r="P24" s="109">
        <f t="shared" ref="P24:P34" si="4">IF($E24="S",$J24,0)</f>
        <v>0</v>
      </c>
      <c r="Q24" s="109">
        <f t="shared" ref="Q24:Q34" si="5">SUM(M24:P24)</f>
        <v>600</v>
      </c>
      <c r="R24" s="121">
        <v>907</v>
      </c>
      <c r="T24" s="188"/>
    </row>
    <row r="25" spans="1:20" x14ac:dyDescent="0.25">
      <c r="A25" s="100"/>
      <c r="B25" s="3">
        <v>2</v>
      </c>
      <c r="C25" s="5" t="s">
        <v>1039</v>
      </c>
      <c r="D25" s="3" t="s">
        <v>41</v>
      </c>
      <c r="E25" s="100" t="str">
        <f>IFERROR(VLOOKUP(C25,Resources!B:D,3,FALSE)," ")</f>
        <v>P</v>
      </c>
      <c r="F25" s="8">
        <v>900</v>
      </c>
      <c r="G25" s="8">
        <v>1</v>
      </c>
      <c r="H25" s="8">
        <f>H22</f>
        <v>1</v>
      </c>
      <c r="I25" s="109">
        <f>IFERROR(VLOOKUP(C25,Resources!B:G,6,FALSE)," ")</f>
        <v>1</v>
      </c>
      <c r="J25" s="109">
        <f t="shared" si="0"/>
        <v>900</v>
      </c>
      <c r="K25" s="8"/>
      <c r="L25" s="8"/>
      <c r="M25" s="109">
        <f t="shared" si="1"/>
        <v>0</v>
      </c>
      <c r="N25" s="109">
        <f t="shared" si="2"/>
        <v>0</v>
      </c>
      <c r="O25" s="109">
        <f t="shared" si="3"/>
        <v>900</v>
      </c>
      <c r="P25" s="109">
        <f t="shared" si="4"/>
        <v>0</v>
      </c>
      <c r="Q25" s="109">
        <f t="shared" si="5"/>
        <v>900</v>
      </c>
      <c r="R25" s="121">
        <v>907</v>
      </c>
      <c r="T25" s="188"/>
    </row>
    <row r="26" spans="1:20" x14ac:dyDescent="0.25">
      <c r="A26" s="100"/>
      <c r="B26" s="3">
        <v>3</v>
      </c>
      <c r="C26" s="5" t="s">
        <v>1039</v>
      </c>
      <c r="D26" s="3" t="s">
        <v>41</v>
      </c>
      <c r="E26" s="100" t="str">
        <f>IFERROR(VLOOKUP(C26,Resources!B:D,3,FALSE)," ")</f>
        <v>P</v>
      </c>
      <c r="F26" s="8">
        <v>900</v>
      </c>
      <c r="G26" s="8">
        <v>1</v>
      </c>
      <c r="H26" s="8">
        <f>H22</f>
        <v>1</v>
      </c>
      <c r="I26" s="109">
        <f>IFERROR(VLOOKUP(C26,Resources!B:G,6,FALSE)," ")</f>
        <v>1</v>
      </c>
      <c r="J26" s="109">
        <f t="shared" si="0"/>
        <v>900</v>
      </c>
      <c r="K26" s="8"/>
      <c r="L26" s="8"/>
      <c r="M26" s="109">
        <f t="shared" si="1"/>
        <v>0</v>
      </c>
      <c r="N26" s="109">
        <f t="shared" si="2"/>
        <v>0</v>
      </c>
      <c r="O26" s="109">
        <f t="shared" si="3"/>
        <v>900</v>
      </c>
      <c r="P26" s="109">
        <f t="shared" si="4"/>
        <v>0</v>
      </c>
      <c r="Q26" s="109">
        <f t="shared" si="5"/>
        <v>900</v>
      </c>
      <c r="R26" s="121">
        <v>907</v>
      </c>
      <c r="T26" s="188"/>
    </row>
    <row r="27" spans="1:20" x14ac:dyDescent="0.25">
      <c r="A27" s="100"/>
      <c r="B27" s="3">
        <v>4</v>
      </c>
      <c r="C27" s="5" t="s">
        <v>1039</v>
      </c>
      <c r="D27" s="3" t="s">
        <v>41</v>
      </c>
      <c r="E27" s="100" t="str">
        <f>IFERROR(VLOOKUP(C27,Resources!B:D,3,FALSE)," ")</f>
        <v>P</v>
      </c>
      <c r="F27" s="8">
        <v>300</v>
      </c>
      <c r="G27" s="8">
        <v>1</v>
      </c>
      <c r="H27" s="8">
        <f>H22</f>
        <v>1</v>
      </c>
      <c r="I27" s="109">
        <f>IFERROR(VLOOKUP(C27,Resources!B:G,6,FALSE)," ")</f>
        <v>1</v>
      </c>
      <c r="J27" s="109">
        <f t="shared" si="0"/>
        <v>300</v>
      </c>
      <c r="K27" s="8"/>
      <c r="L27" s="8"/>
      <c r="M27" s="109">
        <f t="shared" si="1"/>
        <v>0</v>
      </c>
      <c r="N27" s="109">
        <f t="shared" si="2"/>
        <v>0</v>
      </c>
      <c r="O27" s="109">
        <f t="shared" si="3"/>
        <v>300</v>
      </c>
      <c r="P27" s="109">
        <f t="shared" si="4"/>
        <v>0</v>
      </c>
      <c r="Q27" s="109">
        <f t="shared" si="5"/>
        <v>300</v>
      </c>
      <c r="R27" s="121">
        <v>907</v>
      </c>
      <c r="T27" s="188"/>
    </row>
    <row r="28" spans="1:20" x14ac:dyDescent="0.25">
      <c r="A28" s="100"/>
      <c r="B28" s="3">
        <v>5</v>
      </c>
      <c r="C28" s="5" t="s">
        <v>1039</v>
      </c>
      <c r="D28" s="3" t="s">
        <v>41</v>
      </c>
      <c r="E28" s="100" t="str">
        <f>IFERROR(VLOOKUP(C28,Resources!B:D,3,FALSE)," ")</f>
        <v>P</v>
      </c>
      <c r="F28" s="8">
        <v>300</v>
      </c>
      <c r="G28" s="8">
        <v>1</v>
      </c>
      <c r="H28" s="8">
        <f>H22</f>
        <v>1</v>
      </c>
      <c r="I28" s="109">
        <f>IFERROR(VLOOKUP(C28,Resources!B:G,6,FALSE)," ")</f>
        <v>1</v>
      </c>
      <c r="J28" s="109">
        <f t="shared" si="0"/>
        <v>300</v>
      </c>
      <c r="K28" s="8"/>
      <c r="L28" s="8"/>
      <c r="M28" s="109">
        <f t="shared" si="1"/>
        <v>0</v>
      </c>
      <c r="N28" s="109">
        <f t="shared" si="2"/>
        <v>0</v>
      </c>
      <c r="O28" s="109">
        <f t="shared" si="3"/>
        <v>300</v>
      </c>
      <c r="P28" s="109">
        <f t="shared" si="4"/>
        <v>0</v>
      </c>
      <c r="Q28" s="109">
        <f t="shared" si="5"/>
        <v>300</v>
      </c>
      <c r="R28" s="121">
        <v>907</v>
      </c>
      <c r="T28" s="188"/>
    </row>
    <row r="29" spans="1:20" x14ac:dyDescent="0.25">
      <c r="A29" s="100"/>
      <c r="B29" s="3">
        <v>6</v>
      </c>
      <c r="C29" s="5" t="s">
        <v>1039</v>
      </c>
      <c r="D29" s="3" t="s">
        <v>41</v>
      </c>
      <c r="E29" s="100" t="str">
        <f>IFERROR(VLOOKUP(C29,Resources!B:D,3,FALSE)," ")</f>
        <v>P</v>
      </c>
      <c r="F29" s="8">
        <v>600</v>
      </c>
      <c r="G29" s="8">
        <v>1</v>
      </c>
      <c r="H29" s="8">
        <f>H22</f>
        <v>1</v>
      </c>
      <c r="I29" s="109">
        <f>IFERROR(VLOOKUP(C29,Resources!B:G,6,FALSE)," ")</f>
        <v>1</v>
      </c>
      <c r="J29" s="109">
        <f t="shared" si="0"/>
        <v>600</v>
      </c>
      <c r="K29" s="8"/>
      <c r="L29" s="8"/>
      <c r="M29" s="109">
        <f t="shared" si="1"/>
        <v>0</v>
      </c>
      <c r="N29" s="109">
        <f t="shared" si="2"/>
        <v>0</v>
      </c>
      <c r="O29" s="109">
        <f t="shared" si="3"/>
        <v>600</v>
      </c>
      <c r="P29" s="109">
        <f t="shared" si="4"/>
        <v>0</v>
      </c>
      <c r="Q29" s="109">
        <f t="shared" si="5"/>
        <v>600</v>
      </c>
      <c r="R29" s="121">
        <v>907</v>
      </c>
      <c r="T29" s="188"/>
    </row>
    <row r="30" spans="1:20" x14ac:dyDescent="0.25">
      <c r="A30" s="100"/>
      <c r="B30" s="3">
        <v>7</v>
      </c>
      <c r="C30" s="5" t="s">
        <v>1039</v>
      </c>
      <c r="D30" s="3" t="s">
        <v>41</v>
      </c>
      <c r="E30" s="100" t="str">
        <f>IFERROR(VLOOKUP(C30,Resources!B:D,3,FALSE)," ")</f>
        <v>P</v>
      </c>
      <c r="F30" s="8">
        <v>600</v>
      </c>
      <c r="G30" s="8">
        <v>1</v>
      </c>
      <c r="H30" s="8">
        <f>H22</f>
        <v>1</v>
      </c>
      <c r="I30" s="109">
        <f>IFERROR(VLOOKUP(C30,Resources!B:G,6,FALSE)," ")</f>
        <v>1</v>
      </c>
      <c r="J30" s="109">
        <f t="shared" si="0"/>
        <v>600</v>
      </c>
      <c r="K30" s="8"/>
      <c r="L30" s="8"/>
      <c r="M30" s="109">
        <f t="shared" si="1"/>
        <v>0</v>
      </c>
      <c r="N30" s="109">
        <f t="shared" si="2"/>
        <v>0</v>
      </c>
      <c r="O30" s="109">
        <f t="shared" si="3"/>
        <v>600</v>
      </c>
      <c r="P30" s="109">
        <f t="shared" si="4"/>
        <v>0</v>
      </c>
      <c r="Q30" s="109">
        <f t="shared" si="5"/>
        <v>600</v>
      </c>
      <c r="R30" s="121">
        <v>907</v>
      </c>
      <c r="T30" s="188"/>
    </row>
    <row r="31" spans="1:20" x14ac:dyDescent="0.25">
      <c r="A31" s="100"/>
      <c r="B31" s="3">
        <v>8</v>
      </c>
      <c r="C31" s="5" t="s">
        <v>1039</v>
      </c>
      <c r="D31" s="3" t="s">
        <v>41</v>
      </c>
      <c r="E31" s="100" t="str">
        <f>IFERROR(VLOOKUP(C31,Resources!B:D,3,FALSE)," ")</f>
        <v>P</v>
      </c>
      <c r="F31" s="8">
        <v>1200</v>
      </c>
      <c r="G31" s="8">
        <v>1</v>
      </c>
      <c r="H31" s="8">
        <f>H22</f>
        <v>1</v>
      </c>
      <c r="I31" s="109">
        <f>IFERROR(VLOOKUP(C31,Resources!B:G,6,FALSE)," ")</f>
        <v>1</v>
      </c>
      <c r="J31" s="109">
        <f t="shared" si="0"/>
        <v>1200</v>
      </c>
      <c r="K31" s="8"/>
      <c r="L31" s="8"/>
      <c r="M31" s="109">
        <f t="shared" si="1"/>
        <v>0</v>
      </c>
      <c r="N31" s="109">
        <f t="shared" si="2"/>
        <v>0</v>
      </c>
      <c r="O31" s="109">
        <f t="shared" si="3"/>
        <v>1200</v>
      </c>
      <c r="P31" s="109">
        <f t="shared" si="4"/>
        <v>0</v>
      </c>
      <c r="Q31" s="109">
        <f t="shared" si="5"/>
        <v>1200</v>
      </c>
      <c r="R31" s="121">
        <v>907</v>
      </c>
      <c r="T31" s="188"/>
    </row>
    <row r="32" spans="1:20" x14ac:dyDescent="0.25">
      <c r="A32" s="100"/>
      <c r="B32" s="3">
        <v>9</v>
      </c>
      <c r="C32" s="5" t="s">
        <v>46</v>
      </c>
      <c r="D32" s="3" t="s">
        <v>33</v>
      </c>
      <c r="E32" s="100" t="str">
        <f>IFERROR(VLOOKUP(C32,Resources!B:D,3,FALSE)," ")</f>
        <v>P</v>
      </c>
      <c r="F32" s="8">
        <v>1</v>
      </c>
      <c r="G32" s="8">
        <v>1</v>
      </c>
      <c r="H32" s="8">
        <v>1</v>
      </c>
      <c r="I32" s="109">
        <f>IFERROR(VLOOKUP(C32,Resources!B:G,6,FALSE)," ")</f>
        <v>7000</v>
      </c>
      <c r="J32" s="109">
        <f t="shared" si="0"/>
        <v>7000</v>
      </c>
      <c r="K32" s="8">
        <f>L32*F32</f>
        <v>1</v>
      </c>
      <c r="L32" s="8">
        <f>IF(E32="M"," ",H32/G32)</f>
        <v>1</v>
      </c>
      <c r="M32" s="109">
        <f t="shared" si="1"/>
        <v>0</v>
      </c>
      <c r="N32" s="109">
        <f t="shared" si="2"/>
        <v>0</v>
      </c>
      <c r="O32" s="109">
        <f t="shared" si="3"/>
        <v>7000</v>
      </c>
      <c r="P32" s="109">
        <f t="shared" si="4"/>
        <v>0</v>
      </c>
      <c r="Q32" s="109">
        <f t="shared" si="5"/>
        <v>7000</v>
      </c>
      <c r="R32" s="121">
        <v>907</v>
      </c>
      <c r="T32" s="188"/>
    </row>
    <row r="33" spans="1:21" x14ac:dyDescent="0.25">
      <c r="A33" s="100"/>
      <c r="B33" s="3">
        <v>10</v>
      </c>
      <c r="C33" s="5" t="s">
        <v>47</v>
      </c>
      <c r="D33" s="3" t="s">
        <v>22</v>
      </c>
      <c r="E33" s="100" t="str">
        <f>IFERROR(VLOOKUP(C33,Resources!B:D,3,FALSE)," ")</f>
        <v>L</v>
      </c>
      <c r="F33" s="8">
        <v>1</v>
      </c>
      <c r="G33" s="8">
        <v>1</v>
      </c>
      <c r="H33" s="8">
        <v>1</v>
      </c>
      <c r="I33" s="109">
        <f>IFERROR(VLOOKUP(C33,Resources!B:G,6,FALSE)," ")</f>
        <v>3350</v>
      </c>
      <c r="J33" s="109">
        <f t="shared" si="0"/>
        <v>3350</v>
      </c>
      <c r="K33" s="8">
        <f>L33*F33</f>
        <v>1</v>
      </c>
      <c r="L33" s="8">
        <f>IF(E33="M"," ",H33/G33)</f>
        <v>1</v>
      </c>
      <c r="M33" s="109">
        <f t="shared" si="1"/>
        <v>3350</v>
      </c>
      <c r="N33" s="109">
        <f t="shared" si="2"/>
        <v>0</v>
      </c>
      <c r="O33" s="109">
        <f t="shared" si="3"/>
        <v>0</v>
      </c>
      <c r="P33" s="109">
        <f t="shared" si="4"/>
        <v>0</v>
      </c>
      <c r="Q33" s="109">
        <f t="shared" si="5"/>
        <v>3350</v>
      </c>
      <c r="R33" s="121">
        <v>902</v>
      </c>
      <c r="T33" s="188"/>
    </row>
    <row r="34" spans="1:21" x14ac:dyDescent="0.25">
      <c r="A34" s="100"/>
      <c r="B34" s="3">
        <v>11</v>
      </c>
      <c r="C34" s="5" t="s">
        <v>8</v>
      </c>
      <c r="D34" s="3" t="s">
        <v>48</v>
      </c>
      <c r="E34" s="100" t="str">
        <f>IFERROR(VLOOKUP(C34,Resources!B:D,3,FALSE)," ")</f>
        <v>L</v>
      </c>
      <c r="F34" s="8">
        <v>3</v>
      </c>
      <c r="G34" s="8">
        <v>1</v>
      </c>
      <c r="H34" s="8">
        <v>50</v>
      </c>
      <c r="I34" s="109">
        <f>IFERROR(VLOOKUP(C34,Resources!B:G,6,FALSE)," ")</f>
        <v>42</v>
      </c>
      <c r="J34" s="109">
        <f t="shared" si="0"/>
        <v>6300</v>
      </c>
      <c r="K34" s="8">
        <f>L34*F34</f>
        <v>150</v>
      </c>
      <c r="L34" s="8">
        <f>IF(E34="M"," ",H34/G34)</f>
        <v>50</v>
      </c>
      <c r="M34" s="109">
        <f t="shared" si="1"/>
        <v>6300</v>
      </c>
      <c r="N34" s="109">
        <f t="shared" si="2"/>
        <v>0</v>
      </c>
      <c r="O34" s="109">
        <f t="shared" si="3"/>
        <v>0</v>
      </c>
      <c r="P34" s="109">
        <f t="shared" si="4"/>
        <v>0</v>
      </c>
      <c r="Q34" s="109">
        <f t="shared" si="5"/>
        <v>6300</v>
      </c>
      <c r="R34" s="121">
        <v>907</v>
      </c>
      <c r="T34" s="188"/>
    </row>
    <row r="35" spans="1:21" x14ac:dyDescent="0.25">
      <c r="A35" s="101"/>
      <c r="B35" s="4"/>
      <c r="C35" s="6"/>
      <c r="D35" s="4"/>
      <c r="E35" s="101" t="str">
        <f>IFERROR(VLOOKUP(C35,Resources!B:D,3,FALSE)," ")</f>
        <v xml:space="preserve"> </v>
      </c>
      <c r="F35" s="9"/>
      <c r="G35" s="9"/>
      <c r="H35" s="9"/>
      <c r="I35" s="38" t="str">
        <f>IFERROR(VLOOKUP(C35,Resources!B:G,6,FALSE)," ")</f>
        <v xml:space="preserve"> </v>
      </c>
      <c r="J35" s="38"/>
      <c r="K35" s="9"/>
      <c r="L35" s="9"/>
      <c r="M35" s="38"/>
      <c r="N35" s="38"/>
      <c r="O35" s="38"/>
      <c r="P35" s="38"/>
      <c r="Q35" s="38"/>
      <c r="R35" s="122"/>
      <c r="T35" s="188"/>
    </row>
    <row r="36" spans="1:21" ht="30" x14ac:dyDescent="0.25">
      <c r="A36" s="114"/>
      <c r="B36" s="1" t="s">
        <v>49</v>
      </c>
      <c r="C36" s="1" t="s">
        <v>50</v>
      </c>
      <c r="D36" s="2"/>
      <c r="E36" s="99" t="str">
        <f>IFERROR(VLOOKUP(C36,Resources!B:D,3,FALSE)," ")</f>
        <v xml:space="preserve"> </v>
      </c>
      <c r="F36" s="7"/>
      <c r="G36" s="7"/>
      <c r="H36" s="7"/>
      <c r="I36" s="108" t="str">
        <f>IFERROR(VLOOKUP(C36,Resources!B:G,6,FALSE)," ")</f>
        <v xml:space="preserve"> </v>
      </c>
      <c r="J36" s="108"/>
      <c r="K36" s="7"/>
      <c r="L36" s="7"/>
      <c r="M36" s="108"/>
      <c r="N36" s="108"/>
      <c r="O36" s="108"/>
      <c r="P36" s="108"/>
      <c r="Q36" s="108"/>
      <c r="R36" s="120"/>
      <c r="T36" s="188"/>
    </row>
    <row r="37" spans="1:21" ht="30" x14ac:dyDescent="0.25">
      <c r="A37" s="114"/>
      <c r="B37" s="1" t="s">
        <v>51</v>
      </c>
      <c r="C37" s="1" t="s">
        <v>52</v>
      </c>
      <c r="D37" s="2"/>
      <c r="E37" s="99" t="str">
        <f>IFERROR(VLOOKUP(C37,Resources!B:D,3,FALSE)," ")</f>
        <v xml:space="preserve"> </v>
      </c>
      <c r="F37" s="7"/>
      <c r="G37" s="7"/>
      <c r="H37" s="7"/>
      <c r="I37" s="108" t="str">
        <f>IFERROR(VLOOKUP(C37,Resources!B:G,6,FALSE)," ")</f>
        <v xml:space="preserve"> </v>
      </c>
      <c r="J37" s="108"/>
      <c r="K37" s="7"/>
      <c r="L37" s="7"/>
      <c r="M37" s="108"/>
      <c r="N37" s="108"/>
      <c r="O37" s="108"/>
      <c r="P37" s="108"/>
      <c r="Q37" s="108"/>
      <c r="R37" s="120"/>
      <c r="T37" s="188"/>
    </row>
    <row r="38" spans="1:21" ht="30" x14ac:dyDescent="0.25">
      <c r="A38" s="114">
        <v>8</v>
      </c>
      <c r="B38" s="1" t="s">
        <v>53</v>
      </c>
      <c r="C38" s="1" t="s">
        <v>54</v>
      </c>
      <c r="D38" s="2" t="s">
        <v>20</v>
      </c>
      <c r="E38" s="99" t="str">
        <f>IFERROR(VLOOKUP(C38,Resources!B:D,3,FALSE)," ")</f>
        <v xml:space="preserve"> </v>
      </c>
      <c r="F38" s="7"/>
      <c r="G38" s="7"/>
      <c r="H38" s="103">
        <f>VLOOKUP(A38,'Model Inputs'!$A:$D,4,FALSE)</f>
        <v>1</v>
      </c>
      <c r="I38" s="108" t="str">
        <f>IFERROR(VLOOKUP(C38,Resources!B:G,6,FALSE)," ")</f>
        <v xml:space="preserve"> </v>
      </c>
      <c r="J38" s="108">
        <f>SUBTOTAL(9,J40)</f>
        <v>11646.24</v>
      </c>
      <c r="K38" s="7"/>
      <c r="L38" s="7">
        <f>ROUNDUP(L40,0)</f>
        <v>10</v>
      </c>
      <c r="M38" s="108">
        <f t="shared" ref="M38:Q38" si="6">SUBTOTAL(9,M40)</f>
        <v>0</v>
      </c>
      <c r="N38" s="108">
        <f t="shared" si="6"/>
        <v>0</v>
      </c>
      <c r="O38" s="108">
        <f t="shared" si="6"/>
        <v>0</v>
      </c>
      <c r="P38" s="108">
        <f t="shared" si="6"/>
        <v>11646.24</v>
      </c>
      <c r="Q38" s="108">
        <f t="shared" si="6"/>
        <v>11646.24</v>
      </c>
      <c r="R38" s="120"/>
      <c r="T38" s="188"/>
    </row>
    <row r="39" spans="1:21" x14ac:dyDescent="0.25">
      <c r="A39" s="100">
        <v>8.1</v>
      </c>
      <c r="B39" s="3">
        <v>1</v>
      </c>
      <c r="C39" s="5" t="s">
        <v>2355</v>
      </c>
      <c r="D39" s="3"/>
      <c r="E39" s="100" t="str">
        <f>IFERROR(VLOOKUP(C39,Resources!B:D,3,FALSE)," ")</f>
        <v xml:space="preserve"> </v>
      </c>
      <c r="F39" s="8"/>
      <c r="G39" s="8"/>
      <c r="H39" s="103">
        <f>VLOOKUP(A39,'Model Inputs'!$A:$D,4,FALSE)</f>
        <v>2</v>
      </c>
      <c r="I39" s="109" t="str">
        <f>IFERROR(VLOOKUP(C39,Resources!B:G,6,FALSE)," ")</f>
        <v xml:space="preserve"> </v>
      </c>
      <c r="J39" s="109"/>
      <c r="K39" s="8"/>
      <c r="L39" s="8"/>
      <c r="M39" s="109"/>
      <c r="N39" s="109"/>
      <c r="O39" s="109"/>
      <c r="P39" s="109"/>
      <c r="Q39" s="109"/>
      <c r="R39" s="121"/>
      <c r="T39" s="188"/>
    </row>
    <row r="40" spans="1:21" x14ac:dyDescent="0.25">
      <c r="A40" s="100"/>
      <c r="B40" s="3">
        <v>2</v>
      </c>
      <c r="C40" s="5" t="s">
        <v>55</v>
      </c>
      <c r="D40" s="3" t="s">
        <v>48</v>
      </c>
      <c r="E40" s="100" t="str">
        <f>IFERROR(VLOOKUP(C40,Resources!B:D,3,FALSE)," ")</f>
        <v>S</v>
      </c>
      <c r="F40" s="8">
        <v>6</v>
      </c>
      <c r="G40" s="8">
        <f>1/9.5</f>
        <v>0.10526315789473684</v>
      </c>
      <c r="H40" s="8">
        <f>H39*H38</f>
        <v>2</v>
      </c>
      <c r="I40" s="109">
        <f>IFERROR(VLOOKUP(C40,Resources!B:G,6,FALSE)," ")</f>
        <v>102.16</v>
      </c>
      <c r="J40" s="109">
        <f>(H40/(G40/F40))*I40</f>
        <v>11646.24</v>
      </c>
      <c r="K40" s="8">
        <f>L40*F40</f>
        <v>60</v>
      </c>
      <c r="L40" s="8">
        <f>H40*5</f>
        <v>10</v>
      </c>
      <c r="M40" s="109">
        <f>IF($E40="L",$J40,0)</f>
        <v>0</v>
      </c>
      <c r="N40" s="109">
        <f>IF($E40="M",$J40,0)</f>
        <v>0</v>
      </c>
      <c r="O40" s="109">
        <f>IF($E40="P",$J40,0)</f>
        <v>0</v>
      </c>
      <c r="P40" s="109">
        <f>IF($E40="S",$J40,0)</f>
        <v>11646.24</v>
      </c>
      <c r="Q40" s="109">
        <f>SUM(M40:P40)</f>
        <v>11646.24</v>
      </c>
      <c r="R40" s="121">
        <v>141</v>
      </c>
      <c r="T40" s="188"/>
    </row>
    <row r="41" spans="1:21" x14ac:dyDescent="0.25">
      <c r="A41" s="101"/>
      <c r="B41" s="4"/>
      <c r="C41" s="6"/>
      <c r="D41" s="4"/>
      <c r="E41" s="101" t="str">
        <f>IFERROR(VLOOKUP(C41,Resources!B:D,3,FALSE)," ")</f>
        <v xml:space="preserve"> </v>
      </c>
      <c r="F41" s="9"/>
      <c r="G41" s="9"/>
      <c r="H41" s="9"/>
      <c r="I41" s="38" t="str">
        <f>IFERROR(VLOOKUP(C41,Resources!B:G,6,FALSE)," ")</f>
        <v xml:space="preserve"> </v>
      </c>
      <c r="J41" s="38"/>
      <c r="K41" s="9"/>
      <c r="L41" s="9"/>
      <c r="M41" s="38"/>
      <c r="N41" s="38"/>
      <c r="O41" s="38"/>
      <c r="P41" s="38"/>
      <c r="Q41" s="38"/>
      <c r="R41" s="122"/>
      <c r="T41" s="188"/>
    </row>
    <row r="42" spans="1:21" ht="30" x14ac:dyDescent="0.25">
      <c r="A42" s="114"/>
      <c r="B42" s="1" t="s">
        <v>56</v>
      </c>
      <c r="C42" s="1" t="s">
        <v>57</v>
      </c>
      <c r="D42" s="2" t="s">
        <v>20</v>
      </c>
      <c r="E42" s="99" t="str">
        <f>IFERROR(VLOOKUP(C42,Resources!B:D,3,FALSE)," ")</f>
        <v xml:space="preserve"> </v>
      </c>
      <c r="F42" s="7"/>
      <c r="G42" s="7"/>
      <c r="H42" s="7">
        <v>1</v>
      </c>
      <c r="I42" s="108" t="str">
        <f>IFERROR(VLOOKUP(C42,Resources!B:G,6,FALSE)," ")</f>
        <v xml:space="preserve"> </v>
      </c>
      <c r="J42" s="108"/>
      <c r="K42" s="7"/>
      <c r="L42" s="7"/>
      <c r="M42" s="108"/>
      <c r="N42" s="108"/>
      <c r="O42" s="108"/>
      <c r="P42" s="108"/>
      <c r="Q42" s="108"/>
      <c r="R42" s="120"/>
      <c r="T42" s="188"/>
    </row>
    <row r="43" spans="1:21" x14ac:dyDescent="0.25">
      <c r="A43" s="101"/>
      <c r="B43" s="4"/>
      <c r="C43" s="6"/>
      <c r="D43" s="4"/>
      <c r="E43" s="101" t="str">
        <f>IFERROR(VLOOKUP(C43,Resources!B:D,3,FALSE)," ")</f>
        <v xml:space="preserve"> </v>
      </c>
      <c r="F43" s="9"/>
      <c r="G43" s="9"/>
      <c r="H43" s="9"/>
      <c r="I43" s="38" t="str">
        <f>IFERROR(VLOOKUP(C43,Resources!B:G,6,FALSE)," ")</f>
        <v xml:space="preserve"> </v>
      </c>
      <c r="J43" s="38"/>
      <c r="K43" s="9"/>
      <c r="L43" s="9"/>
      <c r="M43" s="38"/>
      <c r="N43" s="38"/>
      <c r="O43" s="38"/>
      <c r="P43" s="38"/>
      <c r="Q43" s="38"/>
      <c r="R43" s="122"/>
      <c r="T43" s="188"/>
    </row>
    <row r="44" spans="1:21" ht="30" x14ac:dyDescent="0.25">
      <c r="A44" s="114"/>
      <c r="B44" s="1" t="s">
        <v>58</v>
      </c>
      <c r="C44" s="1" t="s">
        <v>59</v>
      </c>
      <c r="D44" s="2"/>
      <c r="E44" s="99" t="str">
        <f>IFERROR(VLOOKUP(C44,Resources!B:D,3,FALSE)," ")</f>
        <v xml:space="preserve"> </v>
      </c>
      <c r="F44" s="7"/>
      <c r="G44" s="7"/>
      <c r="H44" s="7"/>
      <c r="I44" s="108" t="str">
        <f>IFERROR(VLOOKUP(C44,Resources!B:G,6,FALSE)," ")</f>
        <v xml:space="preserve"> </v>
      </c>
      <c r="J44" s="108"/>
      <c r="K44" s="7"/>
      <c r="L44" s="7"/>
      <c r="M44" s="108"/>
      <c r="N44" s="108"/>
      <c r="O44" s="108"/>
      <c r="P44" s="108"/>
      <c r="Q44" s="108"/>
      <c r="R44" s="120"/>
      <c r="T44" s="188"/>
    </row>
    <row r="45" spans="1:21" ht="30" x14ac:dyDescent="0.25">
      <c r="A45" s="114">
        <v>9</v>
      </c>
      <c r="B45" s="1" t="s">
        <v>60</v>
      </c>
      <c r="C45" s="1" t="s">
        <v>61</v>
      </c>
      <c r="D45" s="2" t="s">
        <v>62</v>
      </c>
      <c r="E45" s="99" t="str">
        <f>IFERROR(VLOOKUP(C45,Resources!B:D,3,FALSE)," ")</f>
        <v xml:space="preserve"> </v>
      </c>
      <c r="F45" s="7"/>
      <c r="G45" s="7"/>
      <c r="H45" s="103">
        <f>VLOOKUP($A45,'Model Inputs'!$A:$D,4,FALSE)</f>
        <v>60</v>
      </c>
      <c r="I45" s="108" t="str">
        <f>IFERROR(VLOOKUP(C45,Resources!B:G,6,FALSE)," ")</f>
        <v xml:space="preserve"> </v>
      </c>
      <c r="J45" s="108">
        <f>SUBTOTAL(9,J46:J49)</f>
        <v>2268</v>
      </c>
      <c r="K45" s="7"/>
      <c r="L45" s="7">
        <f>ROUNDUP(MAX(L46:L49)/Workhrs,0)</f>
        <v>1</v>
      </c>
      <c r="M45" s="108">
        <f t="shared" ref="M45:Q45" si="7">SUBTOTAL(9,M46:M49)</f>
        <v>168</v>
      </c>
      <c r="N45" s="108">
        <f t="shared" si="7"/>
        <v>0</v>
      </c>
      <c r="O45" s="108">
        <f t="shared" si="7"/>
        <v>2100</v>
      </c>
      <c r="P45" s="108">
        <f t="shared" si="7"/>
        <v>0</v>
      </c>
      <c r="Q45" s="108">
        <f t="shared" si="7"/>
        <v>2268</v>
      </c>
      <c r="R45" s="120"/>
      <c r="T45" s="188"/>
      <c r="U45" s="187"/>
    </row>
    <row r="46" spans="1:21" x14ac:dyDescent="0.25">
      <c r="A46" s="100">
        <v>9.1</v>
      </c>
      <c r="B46" s="3">
        <v>1</v>
      </c>
      <c r="C46" s="5" t="s">
        <v>63</v>
      </c>
      <c r="D46" s="3" t="s">
        <v>48</v>
      </c>
      <c r="E46" s="100" t="str">
        <f>IFERROR(VLOOKUP(C46,Resources!B:D,3,FALSE)," ")</f>
        <v>P</v>
      </c>
      <c r="F46" s="8">
        <v>1</v>
      </c>
      <c r="G46" s="103">
        <f>VLOOKUP($A46,'Model Inputs'!$A:$D,4,FALSE)</f>
        <v>15</v>
      </c>
      <c r="H46" s="8">
        <f>H45</f>
        <v>60</v>
      </c>
      <c r="I46" s="109">
        <f>IFERROR(VLOOKUP(C46,Resources!B:G,6,FALSE)," ")</f>
        <v>135</v>
      </c>
      <c r="J46" s="109">
        <f>(H46/(G46/F46))*I46</f>
        <v>540</v>
      </c>
      <c r="K46" s="8">
        <f>L46*F46</f>
        <v>4</v>
      </c>
      <c r="L46" s="8">
        <f>IF(E46="M"," ",H46/G46)</f>
        <v>4</v>
      </c>
      <c r="M46" s="109">
        <f>IF($E46="L",$J46,0)</f>
        <v>0</v>
      </c>
      <c r="N46" s="109">
        <f>IF($E46="M",$J46,0)</f>
        <v>0</v>
      </c>
      <c r="O46" s="109">
        <f>IF($E46="P",$J46,0)</f>
        <v>540</v>
      </c>
      <c r="P46" s="109">
        <f>IF($E46="S",$J46,0)</f>
        <v>0</v>
      </c>
      <c r="Q46" s="109">
        <f>SUM(M46:P46)</f>
        <v>540</v>
      </c>
      <c r="R46" s="121">
        <v>53</v>
      </c>
      <c r="T46" s="188"/>
    </row>
    <row r="47" spans="1:21" x14ac:dyDescent="0.25">
      <c r="A47" s="100">
        <v>9.1999999999999993</v>
      </c>
      <c r="B47" s="3">
        <v>2</v>
      </c>
      <c r="C47" s="5" t="s">
        <v>44</v>
      </c>
      <c r="D47" s="3" t="s">
        <v>48</v>
      </c>
      <c r="E47" s="100" t="str">
        <f>IFERROR(VLOOKUP(C47,Resources!B:D,3,FALSE)," ")</f>
        <v>P</v>
      </c>
      <c r="F47" s="103">
        <f>VLOOKUP($A47,'Model Inputs'!$A:$D,4,FALSE)</f>
        <v>2</v>
      </c>
      <c r="G47" s="8">
        <f>G46</f>
        <v>15</v>
      </c>
      <c r="H47" s="8">
        <f>H45</f>
        <v>60</v>
      </c>
      <c r="I47" s="109">
        <f>IFERROR(VLOOKUP(C47,Resources!B:G,6,FALSE)," ")</f>
        <v>145</v>
      </c>
      <c r="J47" s="109">
        <f t="shared" ref="J47:J49" si="8">(H47/(G47/F47))*I47</f>
        <v>1160</v>
      </c>
      <c r="K47" s="8">
        <f t="shared" ref="K47:K49" si="9">L47*F47</f>
        <v>8</v>
      </c>
      <c r="L47" s="8">
        <f t="shared" ref="L47:L49" si="10">IF(E47="M"," ",H47/G47)</f>
        <v>4</v>
      </c>
      <c r="M47" s="109">
        <f t="shared" ref="M47:M49" si="11">IF($E47="L",$J47,0)</f>
        <v>0</v>
      </c>
      <c r="N47" s="109">
        <f t="shared" ref="N47:N49" si="12">IF($E47="M",$J47,0)</f>
        <v>0</v>
      </c>
      <c r="O47" s="109">
        <f t="shared" ref="O47:O49" si="13">IF($E47="P",$J47,0)</f>
        <v>1160</v>
      </c>
      <c r="P47" s="109">
        <f t="shared" ref="P47:P49" si="14">IF($E47="S",$J47,0)</f>
        <v>0</v>
      </c>
      <c r="Q47" s="109">
        <f t="shared" ref="Q47:Q49" si="15">SUM(M47:P47)</f>
        <v>1160</v>
      </c>
      <c r="R47" s="121">
        <v>53</v>
      </c>
      <c r="T47" s="188"/>
    </row>
    <row r="48" spans="1:21" x14ac:dyDescent="0.25">
      <c r="A48" s="100"/>
      <c r="B48" s="3">
        <v>3</v>
      </c>
      <c r="C48" s="5" t="s">
        <v>64</v>
      </c>
      <c r="D48" s="3" t="s">
        <v>48</v>
      </c>
      <c r="E48" s="100" t="str">
        <f>IFERROR(VLOOKUP(C48,Resources!B:D,3,FALSE)," ")</f>
        <v>P</v>
      </c>
      <c r="F48" s="8">
        <v>1</v>
      </c>
      <c r="G48" s="8">
        <f>G46</f>
        <v>15</v>
      </c>
      <c r="H48" s="8">
        <f>H45</f>
        <v>60</v>
      </c>
      <c r="I48" s="109">
        <f>IFERROR(VLOOKUP(C48,Resources!B:G,6,FALSE)," ")</f>
        <v>100</v>
      </c>
      <c r="J48" s="109">
        <f t="shared" si="8"/>
        <v>400</v>
      </c>
      <c r="K48" s="8">
        <f t="shared" si="9"/>
        <v>4</v>
      </c>
      <c r="L48" s="8">
        <f t="shared" si="10"/>
        <v>4</v>
      </c>
      <c r="M48" s="109">
        <f t="shared" si="11"/>
        <v>0</v>
      </c>
      <c r="N48" s="109">
        <f t="shared" si="12"/>
        <v>0</v>
      </c>
      <c r="O48" s="109">
        <f t="shared" si="13"/>
        <v>400</v>
      </c>
      <c r="P48" s="109">
        <f t="shared" si="14"/>
        <v>0</v>
      </c>
      <c r="Q48" s="109">
        <f t="shared" si="15"/>
        <v>400</v>
      </c>
      <c r="R48" s="121">
        <v>53</v>
      </c>
      <c r="T48" s="188"/>
    </row>
    <row r="49" spans="1:20" x14ac:dyDescent="0.25">
      <c r="A49" s="100">
        <v>9.3000000000000007</v>
      </c>
      <c r="B49" s="3">
        <v>4</v>
      </c>
      <c r="C49" s="5" t="s">
        <v>8</v>
      </c>
      <c r="D49" s="3" t="s">
        <v>48</v>
      </c>
      <c r="E49" s="100" t="str">
        <f>IFERROR(VLOOKUP(C49,Resources!B:D,3,FALSE)," ")</f>
        <v>L</v>
      </c>
      <c r="F49" s="103">
        <f>VLOOKUP($A49,'Model Inputs'!$A:$D,4,FALSE)</f>
        <v>1</v>
      </c>
      <c r="G49" s="8">
        <f>G46</f>
        <v>15</v>
      </c>
      <c r="H49" s="8">
        <f>H45</f>
        <v>60</v>
      </c>
      <c r="I49" s="109">
        <f>IFERROR(VLOOKUP(C49,Resources!B:G,6,FALSE)," ")</f>
        <v>42</v>
      </c>
      <c r="J49" s="109">
        <f t="shared" si="8"/>
        <v>168</v>
      </c>
      <c r="K49" s="8">
        <f t="shared" si="9"/>
        <v>4</v>
      </c>
      <c r="L49" s="8">
        <f t="shared" si="10"/>
        <v>4</v>
      </c>
      <c r="M49" s="109">
        <f t="shared" si="11"/>
        <v>168</v>
      </c>
      <c r="N49" s="109">
        <f t="shared" si="12"/>
        <v>0</v>
      </c>
      <c r="O49" s="109">
        <f t="shared" si="13"/>
        <v>0</v>
      </c>
      <c r="P49" s="109">
        <f t="shared" si="14"/>
        <v>0</v>
      </c>
      <c r="Q49" s="109">
        <f t="shared" si="15"/>
        <v>168</v>
      </c>
      <c r="R49" s="121">
        <v>53</v>
      </c>
      <c r="T49" s="188"/>
    </row>
    <row r="50" spans="1:20" x14ac:dyDescent="0.25">
      <c r="A50" s="101"/>
      <c r="B50" s="4"/>
      <c r="C50" s="6"/>
      <c r="D50" s="4"/>
      <c r="E50" s="101" t="str">
        <f>IFERROR(VLOOKUP(C50,Resources!B:D,3,FALSE)," ")</f>
        <v xml:space="preserve"> </v>
      </c>
      <c r="F50" s="9"/>
      <c r="G50" s="9"/>
      <c r="H50" s="9"/>
      <c r="I50" s="38" t="str">
        <f>IFERROR(VLOOKUP(C50,Resources!B:G,6,FALSE)," ")</f>
        <v xml:space="preserve"> </v>
      </c>
      <c r="J50" s="38"/>
      <c r="K50" s="9"/>
      <c r="L50" s="9"/>
      <c r="M50" s="38"/>
      <c r="N50" s="38"/>
      <c r="O50" s="38"/>
      <c r="P50" s="38"/>
      <c r="Q50" s="38"/>
      <c r="R50" s="122"/>
      <c r="T50" s="188"/>
    </row>
    <row r="51" spans="1:20" ht="45" x14ac:dyDescent="0.25">
      <c r="A51" s="114">
        <v>10</v>
      </c>
      <c r="B51" s="1" t="s">
        <v>66</v>
      </c>
      <c r="C51" s="1" t="s">
        <v>67</v>
      </c>
      <c r="D51" s="2" t="s">
        <v>62</v>
      </c>
      <c r="E51" s="99" t="str">
        <f>IFERROR(VLOOKUP(C51,Resources!B:D,3,FALSE)," ")</f>
        <v xml:space="preserve"> </v>
      </c>
      <c r="F51" s="7"/>
      <c r="G51" s="7"/>
      <c r="H51" s="103">
        <f>VLOOKUP($A51,'Model Inputs'!$A:$D,4,FALSE)</f>
        <v>10</v>
      </c>
      <c r="I51" s="108" t="str">
        <f>IFERROR(VLOOKUP(C51,Resources!B:G,6,FALSE)," ")</f>
        <v xml:space="preserve"> </v>
      </c>
      <c r="J51" s="108">
        <f>SUBTOTAL(9,J52:J60)</f>
        <v>655.33333333333337</v>
      </c>
      <c r="K51" s="7"/>
      <c r="L51" s="7">
        <f>ROUNDUP((MAX(L52:L55)+MAX(L57:L60))/Workhrs,0)</f>
        <v>1</v>
      </c>
      <c r="M51" s="108">
        <f>SUBTOTAL(9,M52:M60)</f>
        <v>112</v>
      </c>
      <c r="N51" s="108">
        <f t="shared" ref="N51:Q51" si="16">SUBTOTAL(9,N52:N60)</f>
        <v>0</v>
      </c>
      <c r="O51" s="108">
        <f t="shared" si="16"/>
        <v>543.33333333333337</v>
      </c>
      <c r="P51" s="108">
        <f t="shared" si="16"/>
        <v>0</v>
      </c>
      <c r="Q51" s="108">
        <f t="shared" si="16"/>
        <v>655.33333333333337</v>
      </c>
      <c r="R51" s="120"/>
      <c r="T51" s="188"/>
    </row>
    <row r="52" spans="1:20" x14ac:dyDescent="0.25">
      <c r="A52" s="100">
        <v>10.1</v>
      </c>
      <c r="B52" s="3">
        <v>1</v>
      </c>
      <c r="C52" s="5" t="s">
        <v>63</v>
      </c>
      <c r="D52" s="3" t="s">
        <v>48</v>
      </c>
      <c r="E52" s="100" t="str">
        <f>IFERROR(VLOOKUP(C52,Resources!B:D,3,FALSE)," ")</f>
        <v>P</v>
      </c>
      <c r="F52" s="8">
        <v>1</v>
      </c>
      <c r="G52" s="103">
        <f>VLOOKUP($A52,'Model Inputs'!$A:$D,4,FALSE)</f>
        <v>15</v>
      </c>
      <c r="H52" s="8">
        <f>H51</f>
        <v>10</v>
      </c>
      <c r="I52" s="109">
        <f>IFERROR(VLOOKUP(C52,Resources!B:G,6,FALSE)," ")</f>
        <v>135</v>
      </c>
      <c r="J52" s="109">
        <f>(H52/(G52/F52))*I52</f>
        <v>90</v>
      </c>
      <c r="K52" s="8">
        <f>L52*F52</f>
        <v>0.66666666666666663</v>
      </c>
      <c r="L52" s="8">
        <f>IF(E52="M"," ",H52/G52)</f>
        <v>0.66666666666666663</v>
      </c>
      <c r="M52" s="109">
        <f>IF($E52="L",$J52,0)</f>
        <v>0</v>
      </c>
      <c r="N52" s="109">
        <f>IF($E52="M",$J52,0)</f>
        <v>0</v>
      </c>
      <c r="O52" s="109">
        <f>IF($E52="P",$J52,0)</f>
        <v>90</v>
      </c>
      <c r="P52" s="109">
        <f>IF($E52="S",$J52,0)</f>
        <v>0</v>
      </c>
      <c r="Q52" s="109">
        <f>SUM(M52:P52)</f>
        <v>90</v>
      </c>
      <c r="R52" s="121">
        <v>57</v>
      </c>
      <c r="T52" s="188"/>
    </row>
    <row r="53" spans="1:20" x14ac:dyDescent="0.25">
      <c r="A53" s="100">
        <v>10.199999999999999</v>
      </c>
      <c r="B53" s="3">
        <v>2</v>
      </c>
      <c r="C53" s="5" t="s">
        <v>44</v>
      </c>
      <c r="D53" s="3" t="s">
        <v>48</v>
      </c>
      <c r="E53" s="100" t="str">
        <f>IFERROR(VLOOKUP(C53,Resources!B:D,3,FALSE)," ")</f>
        <v>P</v>
      </c>
      <c r="F53" s="103">
        <f>VLOOKUP($A53,'Model Inputs'!$A:$D,4,FALSE)</f>
        <v>2</v>
      </c>
      <c r="G53" s="8">
        <f>G52</f>
        <v>15</v>
      </c>
      <c r="H53" s="8">
        <f>H51</f>
        <v>10</v>
      </c>
      <c r="I53" s="109">
        <f>IFERROR(VLOOKUP(C53,Resources!B:G,6,FALSE)," ")</f>
        <v>145</v>
      </c>
      <c r="J53" s="109">
        <f t="shared" ref="J53:J55" si="17">(H53/(G53/F53))*I53</f>
        <v>193.33333333333331</v>
      </c>
      <c r="K53" s="8">
        <f t="shared" ref="K53:K55" si="18">L53*F53</f>
        <v>1.3333333333333333</v>
      </c>
      <c r="L53" s="8">
        <f t="shared" ref="L53:L55" si="19">IF(E53="M"," ",H53/G53)</f>
        <v>0.66666666666666663</v>
      </c>
      <c r="M53" s="109">
        <f t="shared" ref="M53:M55" si="20">IF($E53="L",$J53,0)</f>
        <v>0</v>
      </c>
      <c r="N53" s="109">
        <f t="shared" ref="N53:N55" si="21">IF($E53="M",$J53,0)</f>
        <v>0</v>
      </c>
      <c r="O53" s="109">
        <f t="shared" ref="O53:O55" si="22">IF($E53="P",$J53,0)</f>
        <v>193.33333333333331</v>
      </c>
      <c r="P53" s="109">
        <f t="shared" ref="P53:P55" si="23">IF($E53="S",$J53,0)</f>
        <v>0</v>
      </c>
      <c r="Q53" s="109">
        <f t="shared" ref="Q53:Q55" si="24">SUM(M53:P53)</f>
        <v>193.33333333333331</v>
      </c>
      <c r="R53" s="121">
        <v>57</v>
      </c>
      <c r="T53" s="188"/>
    </row>
    <row r="54" spans="1:20" x14ac:dyDescent="0.25">
      <c r="A54" s="100"/>
      <c r="B54" s="3">
        <v>3</v>
      </c>
      <c r="C54" s="5" t="s">
        <v>64</v>
      </c>
      <c r="D54" s="3" t="s">
        <v>48</v>
      </c>
      <c r="E54" s="100" t="str">
        <f>IFERROR(VLOOKUP(C54,Resources!B:D,3,FALSE)," ")</f>
        <v>P</v>
      </c>
      <c r="F54" s="8">
        <v>1</v>
      </c>
      <c r="G54" s="8">
        <f>G52</f>
        <v>15</v>
      </c>
      <c r="H54" s="8">
        <f>H51</f>
        <v>10</v>
      </c>
      <c r="I54" s="109">
        <f>IFERROR(VLOOKUP(C54,Resources!B:G,6,FALSE)," ")</f>
        <v>100</v>
      </c>
      <c r="J54" s="109">
        <f t="shared" si="17"/>
        <v>66.666666666666657</v>
      </c>
      <c r="K54" s="8">
        <f t="shared" si="18"/>
        <v>0.66666666666666663</v>
      </c>
      <c r="L54" s="8">
        <f t="shared" si="19"/>
        <v>0.66666666666666663</v>
      </c>
      <c r="M54" s="109">
        <f t="shared" si="20"/>
        <v>0</v>
      </c>
      <c r="N54" s="109">
        <f t="shared" si="21"/>
        <v>0</v>
      </c>
      <c r="O54" s="109">
        <f t="shared" si="22"/>
        <v>66.666666666666657</v>
      </c>
      <c r="P54" s="109">
        <f t="shared" si="23"/>
        <v>0</v>
      </c>
      <c r="Q54" s="109">
        <f t="shared" si="24"/>
        <v>66.666666666666657</v>
      </c>
      <c r="R54" s="121">
        <v>57</v>
      </c>
      <c r="T54" s="188"/>
    </row>
    <row r="55" spans="1:20" x14ac:dyDescent="0.25">
      <c r="A55" s="100"/>
      <c r="B55" s="3">
        <v>4</v>
      </c>
      <c r="C55" s="5" t="s">
        <v>8</v>
      </c>
      <c r="D55" s="3" t="s">
        <v>48</v>
      </c>
      <c r="E55" s="100" t="str">
        <f>IFERROR(VLOOKUP(C55,Resources!B:D,3,FALSE)," ")</f>
        <v>L</v>
      </c>
      <c r="F55" s="8">
        <v>1</v>
      </c>
      <c r="G55" s="8">
        <f>G52</f>
        <v>15</v>
      </c>
      <c r="H55" s="8">
        <f>H51</f>
        <v>10</v>
      </c>
      <c r="I55" s="109">
        <f>IFERROR(VLOOKUP(C55,Resources!B:G,6,FALSE)," ")</f>
        <v>42</v>
      </c>
      <c r="J55" s="109">
        <f t="shared" si="17"/>
        <v>28</v>
      </c>
      <c r="K55" s="8">
        <f t="shared" si="18"/>
        <v>0.66666666666666663</v>
      </c>
      <c r="L55" s="8">
        <f t="shared" si="19"/>
        <v>0.66666666666666663</v>
      </c>
      <c r="M55" s="109">
        <f t="shared" si="20"/>
        <v>28</v>
      </c>
      <c r="N55" s="109">
        <f t="shared" si="21"/>
        <v>0</v>
      </c>
      <c r="O55" s="109">
        <f t="shared" si="22"/>
        <v>0</v>
      </c>
      <c r="P55" s="109">
        <f t="shared" si="23"/>
        <v>0</v>
      </c>
      <c r="Q55" s="109">
        <f t="shared" si="24"/>
        <v>28</v>
      </c>
      <c r="R55" s="121">
        <v>57</v>
      </c>
      <c r="T55" s="188"/>
    </row>
    <row r="56" spans="1:20" x14ac:dyDescent="0.25">
      <c r="A56" s="101"/>
      <c r="B56" s="4">
        <v>5</v>
      </c>
      <c r="C56" s="6" t="s">
        <v>68</v>
      </c>
      <c r="D56" s="4"/>
      <c r="E56" s="101" t="str">
        <f>IFERROR(VLOOKUP(C56,Resources!B:D,3,FALSE)," ")</f>
        <v xml:space="preserve"> </v>
      </c>
      <c r="F56" s="9"/>
      <c r="G56" s="9"/>
      <c r="H56" s="9"/>
      <c r="I56" s="38" t="str">
        <f>IFERROR(VLOOKUP(C56,Resources!B:G,6,FALSE)," ")</f>
        <v xml:space="preserve"> </v>
      </c>
      <c r="J56" s="38"/>
      <c r="K56" s="9"/>
      <c r="L56" s="9"/>
      <c r="M56" s="38"/>
      <c r="N56" s="38"/>
      <c r="O56" s="38"/>
      <c r="P56" s="38"/>
      <c r="Q56" s="38"/>
      <c r="R56" s="122"/>
      <c r="T56" s="188"/>
    </row>
    <row r="57" spans="1:20" x14ac:dyDescent="0.25">
      <c r="A57" s="100">
        <v>10.3</v>
      </c>
      <c r="B57" s="3">
        <v>6</v>
      </c>
      <c r="C57" s="5" t="s">
        <v>63</v>
      </c>
      <c r="D57" s="3" t="s">
        <v>48</v>
      </c>
      <c r="E57" s="100" t="str">
        <f>IFERROR(VLOOKUP(C57,Resources!B:D,3,FALSE)," ")</f>
        <v>P</v>
      </c>
      <c r="F57" s="8">
        <v>1</v>
      </c>
      <c r="G57" s="103">
        <f>VLOOKUP($A57,'Model Inputs'!$A:$D,4,FALSE)</f>
        <v>15</v>
      </c>
      <c r="H57" s="8">
        <f>H51</f>
        <v>10</v>
      </c>
      <c r="I57" s="109">
        <f>IFERROR(VLOOKUP(C57,Resources!B:G,6,FALSE)," ")</f>
        <v>135</v>
      </c>
      <c r="J57" s="109">
        <f>(H57/(G57/F57))*I57</f>
        <v>90</v>
      </c>
      <c r="K57" s="8">
        <f>L57*F57</f>
        <v>0.66666666666666663</v>
      </c>
      <c r="L57" s="8">
        <f>IF(E57="M"," ",H57/G57)</f>
        <v>0.66666666666666663</v>
      </c>
      <c r="M57" s="109">
        <f>IF($E57="L",$J57,0)</f>
        <v>0</v>
      </c>
      <c r="N57" s="109">
        <f>IF($E57="M",$J57,0)</f>
        <v>0</v>
      </c>
      <c r="O57" s="109">
        <f>IF($E57="P",$J57,0)</f>
        <v>90</v>
      </c>
      <c r="P57" s="109">
        <f>IF($E57="S",$J57,0)</f>
        <v>0</v>
      </c>
      <c r="Q57" s="109">
        <f>SUM(M57:P57)</f>
        <v>90</v>
      </c>
      <c r="R57" s="121">
        <v>57</v>
      </c>
      <c r="T57" s="188"/>
    </row>
    <row r="58" spans="1:20" x14ac:dyDescent="0.25">
      <c r="A58" s="100"/>
      <c r="B58" s="3">
        <v>7</v>
      </c>
      <c r="C58" s="5" t="s">
        <v>69</v>
      </c>
      <c r="D58" s="3" t="s">
        <v>48</v>
      </c>
      <c r="E58" s="100" t="str">
        <f>IFERROR(VLOOKUP(C58,Resources!B:D,3,FALSE)," ")</f>
        <v>P</v>
      </c>
      <c r="F58" s="8">
        <v>1</v>
      </c>
      <c r="G58" s="8">
        <f>G57</f>
        <v>15</v>
      </c>
      <c r="H58" s="8">
        <f>H51</f>
        <v>10</v>
      </c>
      <c r="I58" s="109">
        <f>IFERROR(VLOOKUP(C58,Resources!B:G,6,FALSE)," ")</f>
        <v>55</v>
      </c>
      <c r="J58" s="109">
        <f t="shared" ref="J58:J60" si="25">(H58/(G58/F58))*I58</f>
        <v>36.666666666666664</v>
      </c>
      <c r="K58" s="8">
        <f t="shared" ref="K58:K60" si="26">L58*F58</f>
        <v>0.66666666666666663</v>
      </c>
      <c r="L58" s="8">
        <f t="shared" ref="L58:L60" si="27">IF(E58="M"," ",H58/G58)</f>
        <v>0.66666666666666663</v>
      </c>
      <c r="M58" s="109">
        <f t="shared" ref="M58:M60" si="28">IF($E58="L",$J58,0)</f>
        <v>0</v>
      </c>
      <c r="N58" s="109">
        <f t="shared" ref="N58:N60" si="29">IF($E58="M",$J58,0)</f>
        <v>0</v>
      </c>
      <c r="O58" s="109">
        <f t="shared" ref="O58:O60" si="30">IF($E58="P",$J58,0)</f>
        <v>36.666666666666664</v>
      </c>
      <c r="P58" s="109">
        <f t="shared" ref="P58:P60" si="31">IF($E58="S",$J58,0)</f>
        <v>0</v>
      </c>
      <c r="Q58" s="109">
        <f t="shared" ref="Q58:Q60" si="32">SUM(M58:P58)</f>
        <v>36.666666666666664</v>
      </c>
      <c r="R58" s="121">
        <v>57</v>
      </c>
      <c r="T58" s="188"/>
    </row>
    <row r="59" spans="1:20" x14ac:dyDescent="0.25">
      <c r="A59" s="100"/>
      <c r="B59" s="3">
        <v>8</v>
      </c>
      <c r="C59" s="5" t="s">
        <v>64</v>
      </c>
      <c r="D59" s="3" t="s">
        <v>48</v>
      </c>
      <c r="E59" s="100" t="str">
        <f>IFERROR(VLOOKUP(C59,Resources!B:D,3,FALSE)," ")</f>
        <v>P</v>
      </c>
      <c r="F59" s="8">
        <v>1</v>
      </c>
      <c r="G59" s="8">
        <f>G57</f>
        <v>15</v>
      </c>
      <c r="H59" s="8">
        <f>H51</f>
        <v>10</v>
      </c>
      <c r="I59" s="109">
        <f>IFERROR(VLOOKUP(C59,Resources!B:G,6,FALSE)," ")</f>
        <v>100</v>
      </c>
      <c r="J59" s="109">
        <f t="shared" si="25"/>
        <v>66.666666666666657</v>
      </c>
      <c r="K59" s="8">
        <f t="shared" si="26"/>
        <v>0.66666666666666663</v>
      </c>
      <c r="L59" s="8">
        <f t="shared" si="27"/>
        <v>0.66666666666666663</v>
      </c>
      <c r="M59" s="109">
        <f t="shared" si="28"/>
        <v>0</v>
      </c>
      <c r="N59" s="109">
        <f t="shared" si="29"/>
        <v>0</v>
      </c>
      <c r="O59" s="109">
        <f t="shared" si="30"/>
        <v>66.666666666666657</v>
      </c>
      <c r="P59" s="109">
        <f t="shared" si="31"/>
        <v>0</v>
      </c>
      <c r="Q59" s="109">
        <f t="shared" si="32"/>
        <v>66.666666666666657</v>
      </c>
      <c r="R59" s="121">
        <v>57</v>
      </c>
      <c r="T59" s="188"/>
    </row>
    <row r="60" spans="1:20" x14ac:dyDescent="0.25">
      <c r="A60" s="100">
        <v>10.4</v>
      </c>
      <c r="B60" s="3">
        <v>9</v>
      </c>
      <c r="C60" s="5" t="s">
        <v>8</v>
      </c>
      <c r="D60" s="3" t="s">
        <v>48</v>
      </c>
      <c r="E60" s="100" t="str">
        <f>IFERROR(VLOOKUP(C60,Resources!B:D,3,FALSE)," ")</f>
        <v>L</v>
      </c>
      <c r="F60" s="103">
        <f>VLOOKUP($A60,'Model Inputs'!$A:$D,4,FALSE)</f>
        <v>3</v>
      </c>
      <c r="G60" s="8">
        <f>G57</f>
        <v>15</v>
      </c>
      <c r="H60" s="8">
        <f>H51</f>
        <v>10</v>
      </c>
      <c r="I60" s="109">
        <f>IFERROR(VLOOKUP(C60,Resources!B:G,6,FALSE)," ")</f>
        <v>42</v>
      </c>
      <c r="J60" s="109">
        <f t="shared" si="25"/>
        <v>84</v>
      </c>
      <c r="K60" s="8">
        <f t="shared" si="26"/>
        <v>2</v>
      </c>
      <c r="L60" s="8">
        <f t="shared" si="27"/>
        <v>0.66666666666666663</v>
      </c>
      <c r="M60" s="109">
        <f t="shared" si="28"/>
        <v>84</v>
      </c>
      <c r="N60" s="109">
        <f t="shared" si="29"/>
        <v>0</v>
      </c>
      <c r="O60" s="109">
        <f t="shared" si="30"/>
        <v>0</v>
      </c>
      <c r="P60" s="109">
        <f t="shared" si="31"/>
        <v>0</v>
      </c>
      <c r="Q60" s="109">
        <f t="shared" si="32"/>
        <v>84</v>
      </c>
      <c r="R60" s="121">
        <v>57</v>
      </c>
      <c r="T60" s="188"/>
    </row>
    <row r="61" spans="1:20" x14ac:dyDescent="0.25">
      <c r="A61" s="101"/>
      <c r="B61" s="4"/>
      <c r="C61" s="6"/>
      <c r="D61" s="4"/>
      <c r="E61" s="101" t="str">
        <f>IFERROR(VLOOKUP(C61,Resources!B:D,3,FALSE)," ")</f>
        <v xml:space="preserve"> </v>
      </c>
      <c r="F61" s="9"/>
      <c r="G61" s="9"/>
      <c r="H61" s="9"/>
      <c r="I61" s="38" t="str">
        <f>IFERROR(VLOOKUP(C61,Resources!B:G,6,FALSE)," ")</f>
        <v xml:space="preserve"> </v>
      </c>
      <c r="J61" s="38"/>
      <c r="K61" s="9"/>
      <c r="L61" s="9"/>
      <c r="M61" s="38"/>
      <c r="N61" s="38"/>
      <c r="O61" s="38"/>
      <c r="P61" s="38"/>
      <c r="Q61" s="38"/>
      <c r="R61" s="122"/>
      <c r="T61" s="188"/>
    </row>
    <row r="62" spans="1:20" ht="30" x14ac:dyDescent="0.25">
      <c r="A62" s="114"/>
      <c r="B62" s="1" t="s">
        <v>70</v>
      </c>
      <c r="C62" s="1" t="s">
        <v>71</v>
      </c>
      <c r="D62" s="2"/>
      <c r="E62" s="99" t="str">
        <f>IFERROR(VLOOKUP(C62,Resources!B:D,3,FALSE)," ")</f>
        <v xml:space="preserve"> </v>
      </c>
      <c r="F62" s="7"/>
      <c r="G62" s="7"/>
      <c r="H62" s="7"/>
      <c r="I62" s="108" t="str">
        <f>IFERROR(VLOOKUP(C62,Resources!B:G,6,FALSE)," ")</f>
        <v xml:space="preserve"> </v>
      </c>
      <c r="J62" s="108"/>
      <c r="K62" s="7"/>
      <c r="L62" s="7"/>
      <c r="M62" s="108"/>
      <c r="N62" s="108"/>
      <c r="O62" s="108"/>
      <c r="P62" s="108"/>
      <c r="Q62" s="108"/>
      <c r="R62" s="120"/>
      <c r="T62" s="188"/>
    </row>
    <row r="63" spans="1:20" ht="30" x14ac:dyDescent="0.25">
      <c r="A63" s="114"/>
      <c r="B63" s="1" t="s">
        <v>72</v>
      </c>
      <c r="C63" s="1" t="s">
        <v>73</v>
      </c>
      <c r="D63" s="2"/>
      <c r="E63" s="99" t="str">
        <f>IFERROR(VLOOKUP(C63,Resources!B:D,3,FALSE)," ")</f>
        <v xml:space="preserve"> </v>
      </c>
      <c r="F63" s="7"/>
      <c r="G63" s="7"/>
      <c r="H63" s="7"/>
      <c r="I63" s="108" t="str">
        <f>IFERROR(VLOOKUP(C63,Resources!B:G,6,FALSE)," ")</f>
        <v xml:space="preserve"> </v>
      </c>
      <c r="J63" s="108"/>
      <c r="K63" s="7"/>
      <c r="L63" s="7"/>
      <c r="M63" s="108"/>
      <c r="N63" s="108"/>
      <c r="O63" s="108"/>
      <c r="P63" s="108"/>
      <c r="Q63" s="108"/>
      <c r="R63" s="120"/>
      <c r="T63" s="188"/>
    </row>
    <row r="64" spans="1:20" ht="30" x14ac:dyDescent="0.25">
      <c r="A64" s="114"/>
      <c r="B64" s="1" t="s">
        <v>74</v>
      </c>
      <c r="C64" s="1" t="s">
        <v>75</v>
      </c>
      <c r="D64" s="2"/>
      <c r="E64" s="99" t="str">
        <f>IFERROR(VLOOKUP(C64,Resources!B:D,3,FALSE)," ")</f>
        <v xml:space="preserve"> </v>
      </c>
      <c r="F64" s="7"/>
      <c r="G64" s="7"/>
      <c r="H64" s="7"/>
      <c r="I64" s="108" t="str">
        <f>IFERROR(VLOOKUP(C64,Resources!B:G,6,FALSE)," ")</f>
        <v xml:space="preserve"> </v>
      </c>
      <c r="J64" s="108"/>
      <c r="K64" s="7"/>
      <c r="L64" s="7"/>
      <c r="M64" s="108"/>
      <c r="N64" s="108"/>
      <c r="O64" s="108"/>
      <c r="P64" s="108"/>
      <c r="Q64" s="108"/>
      <c r="R64" s="120"/>
      <c r="T64" s="188"/>
    </row>
    <row r="65" spans="1:20" ht="30" x14ac:dyDescent="0.25">
      <c r="A65" s="114"/>
      <c r="B65" s="1" t="s">
        <v>76</v>
      </c>
      <c r="C65" s="1" t="s">
        <v>77</v>
      </c>
      <c r="D65" s="2"/>
      <c r="E65" s="99" t="str">
        <f>IFERROR(VLOOKUP(C65,Resources!B:D,3,FALSE)," ")</f>
        <v xml:space="preserve"> </v>
      </c>
      <c r="F65" s="7"/>
      <c r="G65" s="7"/>
      <c r="H65" s="7"/>
      <c r="I65" s="108" t="str">
        <f>IFERROR(VLOOKUP(C65,Resources!B:G,6,FALSE)," ")</f>
        <v xml:space="preserve"> </v>
      </c>
      <c r="J65" s="108"/>
      <c r="K65" s="7"/>
      <c r="L65" s="7"/>
      <c r="M65" s="108"/>
      <c r="N65" s="108"/>
      <c r="O65" s="108"/>
      <c r="P65" s="108"/>
      <c r="Q65" s="108"/>
      <c r="R65" s="120"/>
      <c r="T65" s="188"/>
    </row>
    <row r="66" spans="1:20" ht="30" x14ac:dyDescent="0.25">
      <c r="A66" s="114">
        <v>11</v>
      </c>
      <c r="B66" s="1" t="s">
        <v>78</v>
      </c>
      <c r="C66" s="1" t="s">
        <v>79</v>
      </c>
      <c r="D66" s="2" t="s">
        <v>62</v>
      </c>
      <c r="E66" s="99" t="str">
        <f>IFERROR(VLOOKUP(C66,Resources!B:D,3,FALSE)," ")</f>
        <v xml:space="preserve"> </v>
      </c>
      <c r="F66" s="7"/>
      <c r="G66" s="7"/>
      <c r="H66" s="103">
        <f>VLOOKUP($A66,'Model Inputs'!$A:$D,4,FALSE)</f>
        <v>4</v>
      </c>
      <c r="I66" s="108" t="str">
        <f>IFERROR(VLOOKUP(C66,Resources!B:G,6,FALSE)," ")</f>
        <v xml:space="preserve"> </v>
      </c>
      <c r="J66" s="108">
        <f>SUBTOTAL(9,J69:J73)</f>
        <v>2604.1777777777779</v>
      </c>
      <c r="K66" s="7"/>
      <c r="L66" s="7">
        <f>ROUNDUP(L73/25,0)+1</f>
        <v>2</v>
      </c>
      <c r="M66" s="108">
        <f t="shared" ref="M66:Q66" si="33">SUBTOTAL(9,M69:M73)</f>
        <v>0</v>
      </c>
      <c r="N66" s="108">
        <f t="shared" si="33"/>
        <v>1304.1777777777779</v>
      </c>
      <c r="O66" s="108">
        <f t="shared" si="33"/>
        <v>0</v>
      </c>
      <c r="P66" s="108">
        <f t="shared" si="33"/>
        <v>1300</v>
      </c>
      <c r="Q66" s="108">
        <f t="shared" si="33"/>
        <v>2604.1777777777779</v>
      </c>
      <c r="R66" s="120"/>
      <c r="T66" s="188"/>
    </row>
    <row r="67" spans="1:20" x14ac:dyDescent="0.25">
      <c r="A67" s="101"/>
      <c r="B67" s="4">
        <v>1</v>
      </c>
      <c r="C67" s="6" t="s">
        <v>80</v>
      </c>
      <c r="D67" s="4"/>
      <c r="E67" s="101" t="str">
        <f>IFERROR(VLOOKUP(C67,Resources!B:D,3,FALSE)," ")</f>
        <v xml:space="preserve"> </v>
      </c>
      <c r="F67" s="9"/>
      <c r="G67" s="9"/>
      <c r="H67" s="9"/>
      <c r="I67" s="38" t="str">
        <f>IFERROR(VLOOKUP(C67,Resources!B:G,6,FALSE)," ")</f>
        <v xml:space="preserve"> </v>
      </c>
      <c r="J67" s="38"/>
      <c r="K67" s="9"/>
      <c r="L67" s="9"/>
      <c r="M67" s="38"/>
      <c r="N67" s="38"/>
      <c r="O67" s="38"/>
      <c r="P67" s="38"/>
      <c r="Q67" s="38"/>
      <c r="R67" s="122"/>
      <c r="T67" s="188"/>
    </row>
    <row r="68" spans="1:20" x14ac:dyDescent="0.25">
      <c r="A68" s="100"/>
      <c r="B68" s="3">
        <v>2</v>
      </c>
      <c r="C68" s="5" t="s">
        <v>2358</v>
      </c>
      <c r="D68" s="3"/>
      <c r="E68" s="100" t="str">
        <f>IFERROR(VLOOKUP(C68,Resources!B:D,3,FALSE)," ")</f>
        <v xml:space="preserve"> </v>
      </c>
      <c r="F68" s="8"/>
      <c r="G68" s="8"/>
      <c r="H68" s="8">
        <f>H66/0.2</f>
        <v>20</v>
      </c>
      <c r="I68" s="109" t="str">
        <f>IFERROR(VLOOKUP(C68,Resources!B:G,6,FALSE)," ")</f>
        <v xml:space="preserve"> </v>
      </c>
      <c r="J68" s="109"/>
      <c r="K68" s="8"/>
      <c r="L68" s="8"/>
      <c r="M68" s="109"/>
      <c r="N68" s="109"/>
      <c r="O68" s="109"/>
      <c r="P68" s="109"/>
      <c r="Q68" s="109"/>
      <c r="R68" s="121"/>
      <c r="T68" s="188"/>
    </row>
    <row r="69" spans="1:20" x14ac:dyDescent="0.25">
      <c r="A69" s="100"/>
      <c r="B69" s="3">
        <v>3</v>
      </c>
      <c r="C69" s="5" t="s">
        <v>81</v>
      </c>
      <c r="D69" s="3" t="s">
        <v>82</v>
      </c>
      <c r="E69" s="100" t="str">
        <f>IFERROR(VLOOKUP(C69,Resources!B:D,3,FALSE)," ")</f>
        <v>M</v>
      </c>
      <c r="F69" s="8">
        <v>1</v>
      </c>
      <c r="G69" s="8">
        <v>1</v>
      </c>
      <c r="H69" s="8">
        <f>H68*0.1</f>
        <v>2</v>
      </c>
      <c r="I69" s="109">
        <f>IFERROR(VLOOKUP(C69,Resources!B:G,6,FALSE)," ")</f>
        <v>24</v>
      </c>
      <c r="J69" s="109">
        <f t="shared" ref="J69" si="34">(H69/(G69/F69))*I69</f>
        <v>48</v>
      </c>
      <c r="K69" s="8"/>
      <c r="L69" s="8" t="str">
        <f t="shared" ref="L69" si="35">IF(E69="M"," ",H69/G69)</f>
        <v xml:space="preserve"> </v>
      </c>
      <c r="M69" s="109">
        <f t="shared" ref="M69:M73" si="36">IF($E69="L",$J69,0)</f>
        <v>0</v>
      </c>
      <c r="N69" s="109">
        <f t="shared" ref="N69:N73" si="37">IF($E69="M",$J69,0)</f>
        <v>48</v>
      </c>
      <c r="O69" s="109">
        <f t="shared" ref="O69:O73" si="38">IF($E69="P",$J69,0)</f>
        <v>0</v>
      </c>
      <c r="P69" s="109">
        <f t="shared" ref="P69:P73" si="39">IF($E69="S",$J69,0)</f>
        <v>0</v>
      </c>
      <c r="Q69" s="109">
        <f t="shared" ref="Q69" si="40">SUM(M69:P69)</f>
        <v>48</v>
      </c>
      <c r="R69" s="121" t="s">
        <v>2341</v>
      </c>
      <c r="T69" s="188"/>
    </row>
    <row r="70" spans="1:20" x14ac:dyDescent="0.25">
      <c r="A70" s="100"/>
      <c r="B70" s="3">
        <v>4</v>
      </c>
      <c r="C70" s="5" t="s">
        <v>2168</v>
      </c>
      <c r="D70" s="3" t="s">
        <v>83</v>
      </c>
      <c r="E70" s="100" t="str">
        <f>IFERROR(VLOOKUP(C70,Resources!B:D,3,FALSE)," ")</f>
        <v>M</v>
      </c>
      <c r="F70" s="8">
        <v>1</v>
      </c>
      <c r="G70" s="8">
        <v>1</v>
      </c>
      <c r="H70" s="8">
        <f>H68*1.2</f>
        <v>24</v>
      </c>
      <c r="I70" s="109">
        <f>IFERROR(VLOOKUP(C70,Resources!B:G,6,FALSE)," ")</f>
        <v>18</v>
      </c>
      <c r="J70" s="109">
        <f t="shared" ref="J70:J73" si="41">(H70/(G70/F70))*I70</f>
        <v>432</v>
      </c>
      <c r="K70" s="8"/>
      <c r="L70" s="8" t="str">
        <f t="shared" ref="L70:L73" si="42">IF(E70="M"," ",H70/G70)</f>
        <v xml:space="preserve"> </v>
      </c>
      <c r="M70" s="109">
        <f t="shared" si="36"/>
        <v>0</v>
      </c>
      <c r="N70" s="109">
        <f t="shared" si="37"/>
        <v>432</v>
      </c>
      <c r="O70" s="109">
        <f t="shared" si="38"/>
        <v>0</v>
      </c>
      <c r="P70" s="109">
        <f t="shared" si="39"/>
        <v>0</v>
      </c>
      <c r="Q70" s="109">
        <f t="shared" ref="Q70:Q73" si="43">SUM(M70:P70)</f>
        <v>432</v>
      </c>
      <c r="R70" s="121" t="s">
        <v>2343</v>
      </c>
      <c r="T70" s="188"/>
    </row>
    <row r="71" spans="1:20" x14ac:dyDescent="0.25">
      <c r="A71" s="100"/>
      <c r="B71" s="3">
        <v>5</v>
      </c>
      <c r="C71" s="5" t="s">
        <v>84</v>
      </c>
      <c r="D71" s="3" t="s">
        <v>29</v>
      </c>
      <c r="E71" s="100" t="str">
        <f>IFERROR(VLOOKUP(C71,Resources!B:D,3,FALSE)," ")</f>
        <v>M</v>
      </c>
      <c r="F71" s="8">
        <v>1</v>
      </c>
      <c r="G71" s="8">
        <v>1</v>
      </c>
      <c r="H71" s="8">
        <f>H68/0.9</f>
        <v>22.222222222222221</v>
      </c>
      <c r="I71" s="109">
        <f>IFERROR(VLOOKUP(C71,Resources!B:G,6,FALSE)," ")</f>
        <v>0.8</v>
      </c>
      <c r="J71" s="109">
        <f t="shared" si="41"/>
        <v>17.777777777777779</v>
      </c>
      <c r="K71" s="8"/>
      <c r="L71" s="8" t="str">
        <f t="shared" si="42"/>
        <v xml:space="preserve"> </v>
      </c>
      <c r="M71" s="109">
        <f t="shared" si="36"/>
        <v>0</v>
      </c>
      <c r="N71" s="109">
        <f t="shared" si="37"/>
        <v>17.777777777777779</v>
      </c>
      <c r="O71" s="109">
        <f t="shared" si="38"/>
        <v>0</v>
      </c>
      <c r="P71" s="109">
        <f t="shared" si="39"/>
        <v>0</v>
      </c>
      <c r="Q71" s="109">
        <f t="shared" si="43"/>
        <v>17.777777777777779</v>
      </c>
      <c r="R71" s="121" t="s">
        <v>2343</v>
      </c>
      <c r="T71" s="188"/>
    </row>
    <row r="72" spans="1:20" x14ac:dyDescent="0.25">
      <c r="A72" s="100"/>
      <c r="B72" s="3">
        <v>6</v>
      </c>
      <c r="C72" s="5" t="s">
        <v>85</v>
      </c>
      <c r="D72" s="3" t="s">
        <v>86</v>
      </c>
      <c r="E72" s="100" t="str">
        <f>IFERROR(VLOOKUP(C72,Resources!B:D,3,FALSE)," ")</f>
        <v>M</v>
      </c>
      <c r="F72" s="8">
        <v>1</v>
      </c>
      <c r="G72" s="8">
        <v>1</v>
      </c>
      <c r="H72" s="8">
        <f>H66*1.05</f>
        <v>4.2</v>
      </c>
      <c r="I72" s="109">
        <f>IFERROR(VLOOKUP(C72,Resources!B:G,6,FALSE)," ")</f>
        <v>192</v>
      </c>
      <c r="J72" s="109">
        <f t="shared" si="41"/>
        <v>806.40000000000009</v>
      </c>
      <c r="K72" s="8"/>
      <c r="L72" s="8" t="str">
        <f t="shared" si="42"/>
        <v xml:space="preserve"> </v>
      </c>
      <c r="M72" s="109">
        <f t="shared" si="36"/>
        <v>0</v>
      </c>
      <c r="N72" s="109">
        <f t="shared" si="37"/>
        <v>806.40000000000009</v>
      </c>
      <c r="O72" s="109">
        <f t="shared" si="38"/>
        <v>0</v>
      </c>
      <c r="P72" s="109">
        <f t="shared" si="39"/>
        <v>0</v>
      </c>
      <c r="Q72" s="109">
        <f t="shared" si="43"/>
        <v>806.40000000000009</v>
      </c>
      <c r="R72" s="121" t="s">
        <v>2335</v>
      </c>
      <c r="T72" s="188"/>
    </row>
    <row r="73" spans="1:20" x14ac:dyDescent="0.25">
      <c r="A73" s="100"/>
      <c r="B73" s="3">
        <v>7</v>
      </c>
      <c r="C73" s="5" t="s">
        <v>2259</v>
      </c>
      <c r="D73" s="3" t="s">
        <v>83</v>
      </c>
      <c r="E73" s="100" t="str">
        <f>IFERROR(VLOOKUP(C73,Resources!B:D,3,FALSE)," ")</f>
        <v>S</v>
      </c>
      <c r="F73" s="8">
        <v>1</v>
      </c>
      <c r="G73" s="8">
        <v>1</v>
      </c>
      <c r="H73" s="8">
        <f>H68</f>
        <v>20</v>
      </c>
      <c r="I73" s="109">
        <f>IFERROR(VLOOKUP(C73,Resources!B:G,6,FALSE)," ")</f>
        <v>65</v>
      </c>
      <c r="J73" s="109">
        <f t="shared" si="41"/>
        <v>1300</v>
      </c>
      <c r="K73" s="8">
        <f t="shared" ref="K73" si="44">L73*F73</f>
        <v>20</v>
      </c>
      <c r="L73" s="8">
        <f t="shared" si="42"/>
        <v>20</v>
      </c>
      <c r="M73" s="109">
        <f t="shared" si="36"/>
        <v>0</v>
      </c>
      <c r="N73" s="109">
        <f t="shared" si="37"/>
        <v>0</v>
      </c>
      <c r="O73" s="109">
        <f t="shared" si="38"/>
        <v>0</v>
      </c>
      <c r="P73" s="109">
        <f t="shared" si="39"/>
        <v>1300</v>
      </c>
      <c r="Q73" s="109">
        <f t="shared" si="43"/>
        <v>1300</v>
      </c>
      <c r="R73" s="121">
        <v>72</v>
      </c>
      <c r="T73" s="188"/>
    </row>
    <row r="74" spans="1:20" x14ac:dyDescent="0.25">
      <c r="A74" s="101"/>
      <c r="B74" s="4"/>
      <c r="C74" s="6"/>
      <c r="D74" s="4"/>
      <c r="E74" s="101" t="str">
        <f>IFERROR(VLOOKUP(C74,Resources!B:D,3,FALSE)," ")</f>
        <v xml:space="preserve"> </v>
      </c>
      <c r="F74" s="9"/>
      <c r="G74" s="9"/>
      <c r="H74" s="9"/>
      <c r="I74" s="38" t="str">
        <f>IFERROR(VLOOKUP(C74,Resources!B:G,6,FALSE)," ")</f>
        <v xml:space="preserve"> </v>
      </c>
      <c r="J74" s="38"/>
      <c r="K74" s="9"/>
      <c r="L74" s="9"/>
      <c r="M74" s="38"/>
      <c r="N74" s="38"/>
      <c r="O74" s="38"/>
      <c r="P74" s="38"/>
      <c r="Q74" s="38"/>
      <c r="R74" s="122"/>
      <c r="T74" s="188"/>
    </row>
    <row r="75" spans="1:20" ht="30" x14ac:dyDescent="0.25">
      <c r="A75" s="114">
        <v>12</v>
      </c>
      <c r="B75" s="1" t="s">
        <v>87</v>
      </c>
      <c r="C75" s="1" t="s">
        <v>88</v>
      </c>
      <c r="D75" s="2" t="s">
        <v>89</v>
      </c>
      <c r="E75" s="99" t="str">
        <f>IFERROR(VLOOKUP(C75,Resources!B:D,3,FALSE)," ")</f>
        <v xml:space="preserve"> </v>
      </c>
      <c r="F75" s="7"/>
      <c r="G75" s="7"/>
      <c r="H75" s="103">
        <f>VLOOKUP($A75,'Model Inputs'!$A:$D,4,FALSE)</f>
        <v>12</v>
      </c>
      <c r="I75" s="108" t="str">
        <f>IFERROR(VLOOKUP(C75,Resources!B:G,6,FALSE)," ")</f>
        <v xml:space="preserve"> </v>
      </c>
      <c r="J75" s="108">
        <f>SUBTOTAL(9,J78:J85)</f>
        <v>7902.5</v>
      </c>
      <c r="K75" s="7"/>
      <c r="L75" s="7">
        <f>ROUNDUP((MAX(L79:L80)+MAX(L82:L85))/Workhrs,0)</f>
        <v>2</v>
      </c>
      <c r="M75" s="108">
        <f t="shared" ref="M75:Q75" si="45">SUBTOTAL(9,M78:M85)</f>
        <v>1260</v>
      </c>
      <c r="N75" s="108">
        <f t="shared" si="45"/>
        <v>4975</v>
      </c>
      <c r="O75" s="108">
        <f t="shared" si="45"/>
        <v>1667.5</v>
      </c>
      <c r="P75" s="108">
        <f t="shared" si="45"/>
        <v>0</v>
      </c>
      <c r="Q75" s="108">
        <f t="shared" si="45"/>
        <v>7902.5</v>
      </c>
      <c r="R75" s="120"/>
      <c r="T75" s="188"/>
    </row>
    <row r="76" spans="1:20" x14ac:dyDescent="0.25">
      <c r="A76" s="100"/>
      <c r="B76" s="3">
        <v>1</v>
      </c>
      <c r="C76" s="5" t="s">
        <v>2359</v>
      </c>
      <c r="D76" s="3"/>
      <c r="E76" s="100" t="str">
        <f>IFERROR(VLOOKUP(C76,Resources!B:D,3,FALSE)," ")</f>
        <v xml:space="preserve"> </v>
      </c>
      <c r="F76" s="8"/>
      <c r="G76" s="8"/>
      <c r="H76" s="8">
        <f>H75/1.2</f>
        <v>10</v>
      </c>
      <c r="I76" s="109" t="str">
        <f>IFERROR(VLOOKUP(C76,Resources!B:G,6,FALSE)," ")</f>
        <v xml:space="preserve"> </v>
      </c>
      <c r="J76" s="109"/>
      <c r="K76" s="8"/>
      <c r="L76" s="8"/>
      <c r="M76" s="109"/>
      <c r="N76" s="109"/>
      <c r="O76" s="109"/>
      <c r="P76" s="109"/>
      <c r="Q76" s="109"/>
      <c r="R76" s="121"/>
      <c r="T76" s="188"/>
    </row>
    <row r="77" spans="1:20" x14ac:dyDescent="0.25">
      <c r="A77" s="100"/>
      <c r="B77" s="3">
        <v>2</v>
      </c>
      <c r="C77" s="5" t="s">
        <v>2360</v>
      </c>
      <c r="D77" s="3"/>
      <c r="E77" s="100" t="str">
        <f>IFERROR(VLOOKUP(C77,Resources!B:D,3,FALSE)," ")</f>
        <v xml:space="preserve"> </v>
      </c>
      <c r="F77" s="8"/>
      <c r="G77" s="8"/>
      <c r="H77" s="8">
        <f>H75*1.25</f>
        <v>15</v>
      </c>
      <c r="I77" s="109" t="str">
        <f>IFERROR(VLOOKUP(C77,Resources!B:G,6,FALSE)," ")</f>
        <v xml:space="preserve"> </v>
      </c>
      <c r="J77" s="109"/>
      <c r="K77" s="8"/>
      <c r="L77" s="8"/>
      <c r="M77" s="109"/>
      <c r="N77" s="109"/>
      <c r="O77" s="109"/>
      <c r="P77" s="109"/>
      <c r="Q77" s="109"/>
      <c r="R77" s="121"/>
      <c r="T77" s="188"/>
    </row>
    <row r="78" spans="1:20" x14ac:dyDescent="0.25">
      <c r="A78" s="100"/>
      <c r="B78" s="3">
        <v>3</v>
      </c>
      <c r="C78" s="5" t="s">
        <v>2161</v>
      </c>
      <c r="D78" s="3" t="s">
        <v>89</v>
      </c>
      <c r="E78" s="100" t="str">
        <f>IFERROR(VLOOKUP(C78,Resources!B:D,3,FALSE)," ")</f>
        <v>M</v>
      </c>
      <c r="F78" s="8">
        <v>1</v>
      </c>
      <c r="G78" s="8">
        <v>1</v>
      </c>
      <c r="H78" s="8">
        <f>H75</f>
        <v>12</v>
      </c>
      <c r="I78" s="109">
        <f>IFERROR(VLOOKUP(C78,Resources!B:G,6,FALSE)," ")</f>
        <v>400</v>
      </c>
      <c r="J78" s="109">
        <f t="shared" ref="J78" si="46">(H78/(G78/F78))*I78</f>
        <v>4800</v>
      </c>
      <c r="K78" s="8"/>
      <c r="L78" s="8" t="str">
        <f t="shared" ref="L78" si="47">IF(E78="M"," ",H78/G78)</f>
        <v xml:space="preserve"> </v>
      </c>
      <c r="M78" s="109">
        <f t="shared" ref="M78:M85" si="48">IF($E78="L",$J78,0)</f>
        <v>0</v>
      </c>
      <c r="N78" s="109">
        <f t="shared" ref="N78:N85" si="49">IF($E78="M",$J78,0)</f>
        <v>4800</v>
      </c>
      <c r="O78" s="109">
        <f t="shared" ref="O78:O85" si="50">IF($E78="P",$J78,0)</f>
        <v>0</v>
      </c>
      <c r="P78" s="109">
        <f t="shared" ref="P78:P85" si="51">IF($E78="S",$J78,0)</f>
        <v>0</v>
      </c>
      <c r="Q78" s="109">
        <f t="shared" ref="Q78" si="52">SUM(M78:P78)</f>
        <v>4800</v>
      </c>
      <c r="R78" s="121" t="s">
        <v>2344</v>
      </c>
      <c r="T78" s="188"/>
    </row>
    <row r="79" spans="1:20" x14ac:dyDescent="0.25">
      <c r="A79" s="100"/>
      <c r="B79" s="3">
        <v>4</v>
      </c>
      <c r="C79" s="5" t="s">
        <v>63</v>
      </c>
      <c r="D79" s="3" t="s">
        <v>48</v>
      </c>
      <c r="E79" s="100" t="str">
        <f>IFERROR(VLOOKUP(C79,Resources!B:D,3,FALSE)," ")</f>
        <v>P</v>
      </c>
      <c r="F79" s="8">
        <v>1</v>
      </c>
      <c r="G79" s="8">
        <v>2</v>
      </c>
      <c r="H79" s="8">
        <f>H76</f>
        <v>10</v>
      </c>
      <c r="I79" s="109">
        <f>IFERROR(VLOOKUP(C79,Resources!B:G,6,FALSE)," ")</f>
        <v>135</v>
      </c>
      <c r="J79" s="109">
        <f t="shared" ref="J79:J85" si="53">(H79/(G79/F79))*I79</f>
        <v>675</v>
      </c>
      <c r="K79" s="8">
        <f t="shared" ref="K79:K85" si="54">L79*F79</f>
        <v>5</v>
      </c>
      <c r="L79" s="8">
        <f t="shared" ref="L79:L85" si="55">IF(E79="M"," ",H79/G79)</f>
        <v>5</v>
      </c>
      <c r="M79" s="109">
        <f t="shared" si="48"/>
        <v>0</v>
      </c>
      <c r="N79" s="109">
        <f t="shared" si="49"/>
        <v>0</v>
      </c>
      <c r="O79" s="109">
        <f t="shared" si="50"/>
        <v>675</v>
      </c>
      <c r="P79" s="109">
        <f t="shared" si="51"/>
        <v>0</v>
      </c>
      <c r="Q79" s="109">
        <f t="shared" ref="Q79:Q85" si="56">SUM(M79:P79)</f>
        <v>675</v>
      </c>
      <c r="R79" s="121">
        <v>181</v>
      </c>
      <c r="T79" s="188"/>
    </row>
    <row r="80" spans="1:20" x14ac:dyDescent="0.25">
      <c r="A80" s="100">
        <v>12.1</v>
      </c>
      <c r="B80" s="3">
        <v>5</v>
      </c>
      <c r="C80" s="5" t="s">
        <v>8</v>
      </c>
      <c r="D80" s="3" t="s">
        <v>48</v>
      </c>
      <c r="E80" s="100" t="str">
        <f>IFERROR(VLOOKUP(C80,Resources!B:D,3,FALSE)," ")</f>
        <v>L</v>
      </c>
      <c r="F80" s="103">
        <f>VLOOKUP($A80,'Model Inputs'!$A:$D,4,FALSE)</f>
        <v>3</v>
      </c>
      <c r="G80" s="8">
        <v>2</v>
      </c>
      <c r="H80" s="8">
        <f>H76</f>
        <v>10</v>
      </c>
      <c r="I80" s="109">
        <f>IFERROR(VLOOKUP(C80,Resources!B:G,6,FALSE)," ")</f>
        <v>42</v>
      </c>
      <c r="J80" s="109">
        <f t="shared" si="53"/>
        <v>630</v>
      </c>
      <c r="K80" s="8">
        <f t="shared" si="54"/>
        <v>15</v>
      </c>
      <c r="L80" s="8">
        <f t="shared" si="55"/>
        <v>5</v>
      </c>
      <c r="M80" s="109">
        <f t="shared" si="48"/>
        <v>630</v>
      </c>
      <c r="N80" s="109">
        <f t="shared" si="49"/>
        <v>0</v>
      </c>
      <c r="O80" s="109">
        <f t="shared" si="50"/>
        <v>0</v>
      </c>
      <c r="P80" s="109">
        <f t="shared" si="51"/>
        <v>0</v>
      </c>
      <c r="Q80" s="109">
        <f t="shared" si="56"/>
        <v>630</v>
      </c>
      <c r="R80" s="121">
        <v>181</v>
      </c>
      <c r="T80" s="188"/>
    </row>
    <row r="81" spans="1:20" x14ac:dyDescent="0.25">
      <c r="A81" s="100"/>
      <c r="B81" s="3">
        <v>6</v>
      </c>
      <c r="C81" s="5" t="s">
        <v>91</v>
      </c>
      <c r="D81" s="3" t="s">
        <v>89</v>
      </c>
      <c r="E81" s="100" t="str">
        <f>IFERROR(VLOOKUP(C81,Resources!B:D,3,FALSE)," ")</f>
        <v>M</v>
      </c>
      <c r="F81" s="8">
        <v>1</v>
      </c>
      <c r="G81" s="8">
        <v>1</v>
      </c>
      <c r="H81" s="8">
        <f>H76*3.5</f>
        <v>35</v>
      </c>
      <c r="I81" s="109">
        <f>IFERROR(VLOOKUP(C81,Resources!B:G,6,FALSE)," ")</f>
        <v>5</v>
      </c>
      <c r="J81" s="109">
        <f t="shared" si="53"/>
        <v>175</v>
      </c>
      <c r="K81" s="8"/>
      <c r="L81" s="8" t="str">
        <f t="shared" si="55"/>
        <v xml:space="preserve"> </v>
      </c>
      <c r="M81" s="109">
        <f t="shared" si="48"/>
        <v>0</v>
      </c>
      <c r="N81" s="109">
        <f t="shared" si="49"/>
        <v>175</v>
      </c>
      <c r="O81" s="109">
        <f t="shared" si="50"/>
        <v>0</v>
      </c>
      <c r="P81" s="109">
        <f t="shared" si="51"/>
        <v>0</v>
      </c>
      <c r="Q81" s="109">
        <f t="shared" si="56"/>
        <v>175</v>
      </c>
      <c r="R81" s="121">
        <v>181</v>
      </c>
      <c r="T81" s="188"/>
    </row>
    <row r="82" spans="1:20" x14ac:dyDescent="0.25">
      <c r="A82" s="100">
        <v>12.2</v>
      </c>
      <c r="B82" s="3">
        <v>7</v>
      </c>
      <c r="C82" s="5" t="s">
        <v>45</v>
      </c>
      <c r="D82" s="3" t="s">
        <v>48</v>
      </c>
      <c r="E82" s="100" t="str">
        <f>IFERROR(VLOOKUP(C82,Resources!B:D,3,FALSE)," ")</f>
        <v>P</v>
      </c>
      <c r="F82" s="8">
        <v>1</v>
      </c>
      <c r="G82" s="103">
        <f>VLOOKUP($A82,'Model Inputs'!$A:$D,4,FALSE)</f>
        <v>3</v>
      </c>
      <c r="H82" s="8">
        <f>H77</f>
        <v>15</v>
      </c>
      <c r="I82" s="109">
        <f>IFERROR(VLOOKUP(C82,Resources!B:G,6,FALSE)," ")</f>
        <v>95</v>
      </c>
      <c r="J82" s="109">
        <f t="shared" si="53"/>
        <v>475</v>
      </c>
      <c r="K82" s="8">
        <f t="shared" si="54"/>
        <v>5</v>
      </c>
      <c r="L82" s="8">
        <f t="shared" si="55"/>
        <v>5</v>
      </c>
      <c r="M82" s="109">
        <f t="shared" si="48"/>
        <v>0</v>
      </c>
      <c r="N82" s="109">
        <f t="shared" si="49"/>
        <v>0</v>
      </c>
      <c r="O82" s="109">
        <f t="shared" si="50"/>
        <v>475</v>
      </c>
      <c r="P82" s="109">
        <f t="shared" si="51"/>
        <v>0</v>
      </c>
      <c r="Q82" s="109">
        <f t="shared" si="56"/>
        <v>475</v>
      </c>
      <c r="R82" s="121">
        <v>181</v>
      </c>
      <c r="T82" s="188"/>
    </row>
    <row r="83" spans="1:20" x14ac:dyDescent="0.25">
      <c r="A83" s="100">
        <v>12.3</v>
      </c>
      <c r="B83" s="3">
        <v>8</v>
      </c>
      <c r="C83" s="5" t="s">
        <v>8</v>
      </c>
      <c r="D83" s="3" t="s">
        <v>48</v>
      </c>
      <c r="E83" s="100" t="str">
        <f>IFERROR(VLOOKUP(C83,Resources!B:D,3,FALSE)," ")</f>
        <v>L</v>
      </c>
      <c r="F83" s="103">
        <f>VLOOKUP($A83,'Model Inputs'!$A:$D,4,FALSE)</f>
        <v>3</v>
      </c>
      <c r="G83" s="8">
        <f>G82</f>
        <v>3</v>
      </c>
      <c r="H83" s="8">
        <f>H77</f>
        <v>15</v>
      </c>
      <c r="I83" s="109">
        <f>IFERROR(VLOOKUP(C83,Resources!B:G,6,FALSE)," ")</f>
        <v>42</v>
      </c>
      <c r="J83" s="109">
        <f t="shared" si="53"/>
        <v>630</v>
      </c>
      <c r="K83" s="8">
        <f t="shared" si="54"/>
        <v>15</v>
      </c>
      <c r="L83" s="8">
        <f t="shared" si="55"/>
        <v>5</v>
      </c>
      <c r="M83" s="109">
        <f t="shared" si="48"/>
        <v>630</v>
      </c>
      <c r="N83" s="109">
        <f t="shared" si="49"/>
        <v>0</v>
      </c>
      <c r="O83" s="109">
        <f t="shared" si="50"/>
        <v>0</v>
      </c>
      <c r="P83" s="109">
        <f t="shared" si="51"/>
        <v>0</v>
      </c>
      <c r="Q83" s="109">
        <f t="shared" si="56"/>
        <v>630</v>
      </c>
      <c r="R83" s="121">
        <v>181</v>
      </c>
      <c r="T83" s="188"/>
    </row>
    <row r="84" spans="1:20" x14ac:dyDescent="0.25">
      <c r="A84" s="100"/>
      <c r="B84" s="3">
        <v>9</v>
      </c>
      <c r="C84" s="5" t="s">
        <v>92</v>
      </c>
      <c r="D84" s="3" t="s">
        <v>48</v>
      </c>
      <c r="E84" s="100" t="str">
        <f>IFERROR(VLOOKUP(C84,Resources!B:D,3,FALSE)," ")</f>
        <v>P</v>
      </c>
      <c r="F84" s="8">
        <v>1</v>
      </c>
      <c r="G84" s="8">
        <f>G82</f>
        <v>3</v>
      </c>
      <c r="H84" s="8">
        <f>H77</f>
        <v>15</v>
      </c>
      <c r="I84" s="109">
        <f>IFERROR(VLOOKUP(C84,Resources!B:G,6,FALSE)," ")</f>
        <v>3.5</v>
      </c>
      <c r="J84" s="109">
        <f t="shared" si="53"/>
        <v>17.5</v>
      </c>
      <c r="K84" s="8">
        <f t="shared" si="54"/>
        <v>5</v>
      </c>
      <c r="L84" s="8">
        <f t="shared" si="55"/>
        <v>5</v>
      </c>
      <c r="M84" s="109">
        <f t="shared" si="48"/>
        <v>0</v>
      </c>
      <c r="N84" s="109">
        <f t="shared" si="49"/>
        <v>0</v>
      </c>
      <c r="O84" s="109">
        <f t="shared" si="50"/>
        <v>17.5</v>
      </c>
      <c r="P84" s="109">
        <f t="shared" si="51"/>
        <v>0</v>
      </c>
      <c r="Q84" s="109">
        <f t="shared" si="56"/>
        <v>17.5</v>
      </c>
      <c r="R84" s="121">
        <v>181</v>
      </c>
      <c r="T84" s="188"/>
    </row>
    <row r="85" spans="1:20" x14ac:dyDescent="0.25">
      <c r="A85" s="100"/>
      <c r="B85" s="3">
        <v>10</v>
      </c>
      <c r="C85" s="5" t="s">
        <v>64</v>
      </c>
      <c r="D85" s="3" t="s">
        <v>48</v>
      </c>
      <c r="E85" s="100" t="str">
        <f>IFERROR(VLOOKUP(C85,Resources!B:D,3,FALSE)," ")</f>
        <v>P</v>
      </c>
      <c r="F85" s="8">
        <v>1</v>
      </c>
      <c r="G85" s="8">
        <f>G82</f>
        <v>3</v>
      </c>
      <c r="H85" s="8">
        <f>H77</f>
        <v>15</v>
      </c>
      <c r="I85" s="109">
        <f>IFERROR(VLOOKUP(C85,Resources!B:G,6,FALSE)," ")</f>
        <v>100</v>
      </c>
      <c r="J85" s="109">
        <f t="shared" si="53"/>
        <v>500</v>
      </c>
      <c r="K85" s="8">
        <f t="shared" si="54"/>
        <v>5</v>
      </c>
      <c r="L85" s="8">
        <f t="shared" si="55"/>
        <v>5</v>
      </c>
      <c r="M85" s="109">
        <f t="shared" si="48"/>
        <v>0</v>
      </c>
      <c r="N85" s="109">
        <f t="shared" si="49"/>
        <v>0</v>
      </c>
      <c r="O85" s="109">
        <f t="shared" si="50"/>
        <v>500</v>
      </c>
      <c r="P85" s="109">
        <f t="shared" si="51"/>
        <v>0</v>
      </c>
      <c r="Q85" s="109">
        <f t="shared" si="56"/>
        <v>500</v>
      </c>
      <c r="R85" s="121">
        <v>181</v>
      </c>
      <c r="T85" s="188"/>
    </row>
    <row r="86" spans="1:20" x14ac:dyDescent="0.25">
      <c r="A86" s="101"/>
      <c r="B86" s="4"/>
      <c r="C86" s="6"/>
      <c r="D86" s="4"/>
      <c r="E86" s="101" t="str">
        <f>IFERROR(VLOOKUP(C86,Resources!B:D,3,FALSE)," ")</f>
        <v xml:space="preserve"> </v>
      </c>
      <c r="F86" s="9"/>
      <c r="G86" s="9"/>
      <c r="H86" s="9"/>
      <c r="I86" s="38" t="str">
        <f>IFERROR(VLOOKUP(C86,Resources!B:G,6,FALSE)," ")</f>
        <v xml:space="preserve"> </v>
      </c>
      <c r="J86" s="38"/>
      <c r="K86" s="9"/>
      <c r="L86" s="9"/>
      <c r="M86" s="38"/>
      <c r="N86" s="38"/>
      <c r="O86" s="38"/>
      <c r="P86" s="38"/>
      <c r="Q86" s="38"/>
      <c r="R86" s="122"/>
      <c r="T86" s="188"/>
    </row>
    <row r="87" spans="1:20" ht="30" x14ac:dyDescent="0.25">
      <c r="A87" s="114"/>
      <c r="B87" s="1" t="s">
        <v>93</v>
      </c>
      <c r="C87" s="1" t="s">
        <v>94</v>
      </c>
      <c r="D87" s="2"/>
      <c r="E87" s="99" t="str">
        <f>IFERROR(VLOOKUP(C87,Resources!B:D,3,FALSE)," ")</f>
        <v xml:space="preserve"> </v>
      </c>
      <c r="F87" s="7"/>
      <c r="G87" s="7"/>
      <c r="H87" s="7"/>
      <c r="I87" s="108" t="str">
        <f>IFERROR(VLOOKUP(C87,Resources!B:G,6,FALSE)," ")</f>
        <v xml:space="preserve"> </v>
      </c>
      <c r="J87" s="108"/>
      <c r="K87" s="7"/>
      <c r="L87" s="7"/>
      <c r="M87" s="108"/>
      <c r="N87" s="108"/>
      <c r="O87" s="108"/>
      <c r="P87" s="108"/>
      <c r="Q87" s="108"/>
      <c r="R87" s="120"/>
      <c r="T87" s="188"/>
    </row>
    <row r="88" spans="1:20" ht="30" x14ac:dyDescent="0.25">
      <c r="A88" s="114">
        <v>13</v>
      </c>
      <c r="B88" s="1" t="s">
        <v>95</v>
      </c>
      <c r="C88" s="1" t="s">
        <v>96</v>
      </c>
      <c r="D88" s="2" t="s">
        <v>62</v>
      </c>
      <c r="E88" s="99" t="str">
        <f>IFERROR(VLOOKUP(C88,Resources!B:D,3,FALSE)," ")</f>
        <v xml:space="preserve"> </v>
      </c>
      <c r="F88" s="7"/>
      <c r="G88" s="7"/>
      <c r="H88" s="103">
        <f>VLOOKUP($A88,'Model Inputs'!$A:$D,4,FALSE)</f>
        <v>3</v>
      </c>
      <c r="I88" s="108" t="str">
        <f>IFERROR(VLOOKUP(C88,Resources!B:G,6,FALSE)," ")</f>
        <v xml:space="preserve"> </v>
      </c>
      <c r="J88" s="108">
        <f>SUBTOTAL(9,J89:J90)</f>
        <v>2733.6</v>
      </c>
      <c r="K88" s="7"/>
      <c r="L88" s="7">
        <f>ROUNDUP(L90/Workhrs,0)+1</f>
        <v>2</v>
      </c>
      <c r="M88" s="108">
        <f t="shared" ref="M88:Q88" si="57">SUBTOTAL(9,M89:M90)</f>
        <v>0</v>
      </c>
      <c r="N88" s="108">
        <f t="shared" si="57"/>
        <v>633.6</v>
      </c>
      <c r="O88" s="108">
        <f t="shared" si="57"/>
        <v>0</v>
      </c>
      <c r="P88" s="108">
        <f t="shared" si="57"/>
        <v>2100</v>
      </c>
      <c r="Q88" s="108">
        <f t="shared" si="57"/>
        <v>2733.6</v>
      </c>
      <c r="R88" s="120"/>
      <c r="T88" s="188"/>
    </row>
    <row r="89" spans="1:20" x14ac:dyDescent="0.25">
      <c r="A89" s="100"/>
      <c r="B89" s="3">
        <v>1</v>
      </c>
      <c r="C89" s="5" t="s">
        <v>85</v>
      </c>
      <c r="D89" s="3" t="s">
        <v>86</v>
      </c>
      <c r="E89" s="100" t="str">
        <f>IFERROR(VLOOKUP(C89,Resources!B:D,3,FALSE)," ")</f>
        <v>M</v>
      </c>
      <c r="F89" s="8">
        <v>1</v>
      </c>
      <c r="G89" s="8">
        <v>1</v>
      </c>
      <c r="H89" s="8">
        <f>H88*1.1</f>
        <v>3.3000000000000003</v>
      </c>
      <c r="I89" s="109">
        <f>IFERROR(VLOOKUP(C89,Resources!B:G,6,FALSE)," ")</f>
        <v>192</v>
      </c>
      <c r="J89" s="109">
        <f t="shared" ref="J89" si="58">(H89/(G89/F89))*I89</f>
        <v>633.6</v>
      </c>
      <c r="K89" s="8"/>
      <c r="L89" s="8" t="str">
        <f t="shared" ref="L89" si="59">IF(E89="M"," ",H89/G89)</f>
        <v xml:space="preserve"> </v>
      </c>
      <c r="M89" s="109">
        <f t="shared" ref="M89:M90" si="60">IF($E89="L",$J89,0)</f>
        <v>0</v>
      </c>
      <c r="N89" s="109">
        <f t="shared" ref="N89:N90" si="61">IF($E89="M",$J89,0)</f>
        <v>633.6</v>
      </c>
      <c r="O89" s="109">
        <f t="shared" ref="O89:O90" si="62">IF($E89="P",$J89,0)</f>
        <v>0</v>
      </c>
      <c r="P89" s="109">
        <f t="shared" ref="P89:P90" si="63">IF($E89="S",$J89,0)</f>
        <v>0</v>
      </c>
      <c r="Q89" s="109">
        <f t="shared" ref="Q89" si="64">SUM(M89:P89)</f>
        <v>633.6</v>
      </c>
      <c r="R89" s="121" t="s">
        <v>2335</v>
      </c>
      <c r="T89" s="188"/>
    </row>
    <row r="90" spans="1:20" x14ac:dyDescent="0.25">
      <c r="A90" s="100"/>
      <c r="B90" s="3">
        <v>2</v>
      </c>
      <c r="C90" s="5" t="s">
        <v>2232</v>
      </c>
      <c r="D90" s="3" t="s">
        <v>83</v>
      </c>
      <c r="E90" s="100" t="str">
        <f>IFERROR(VLOOKUP(C90,Resources!B:D,3,FALSE)," ")</f>
        <v>S</v>
      </c>
      <c r="F90" s="8">
        <v>1</v>
      </c>
      <c r="G90" s="8">
        <v>1</v>
      </c>
      <c r="H90" s="8">
        <f>H88</f>
        <v>3</v>
      </c>
      <c r="I90" s="109">
        <f>IFERROR(VLOOKUP(C90,Resources!B:G,6,FALSE)," ")</f>
        <v>700</v>
      </c>
      <c r="J90" s="109">
        <f t="shared" ref="J90" si="65">(H90/(G90/F90))*I90</f>
        <v>2100</v>
      </c>
      <c r="K90" s="8">
        <f t="shared" ref="K90" si="66">L90*F90</f>
        <v>3</v>
      </c>
      <c r="L90" s="8">
        <f t="shared" ref="L90" si="67">IF(E90="M"," ",H90/G90)</f>
        <v>3</v>
      </c>
      <c r="M90" s="109">
        <f t="shared" si="60"/>
        <v>0</v>
      </c>
      <c r="N90" s="109">
        <f t="shared" si="61"/>
        <v>0</v>
      </c>
      <c r="O90" s="109">
        <f t="shared" si="62"/>
        <v>0</v>
      </c>
      <c r="P90" s="109">
        <f t="shared" si="63"/>
        <v>2100</v>
      </c>
      <c r="Q90" s="109">
        <f t="shared" ref="Q90" si="68">SUM(M90:P90)</f>
        <v>2100</v>
      </c>
      <c r="R90" s="121">
        <v>181</v>
      </c>
      <c r="T90" s="188"/>
    </row>
    <row r="91" spans="1:20" x14ac:dyDescent="0.25">
      <c r="A91" s="101"/>
      <c r="B91" s="4"/>
      <c r="C91" s="6"/>
      <c r="D91" s="4"/>
      <c r="E91" s="101" t="str">
        <f>IFERROR(VLOOKUP(C91,Resources!B:D,3,FALSE)," ")</f>
        <v xml:space="preserve"> </v>
      </c>
      <c r="F91" s="9"/>
      <c r="G91" s="9"/>
      <c r="H91" s="9"/>
      <c r="I91" s="38" t="str">
        <f>IFERROR(VLOOKUP(C91,Resources!B:G,6,FALSE)," ")</f>
        <v xml:space="preserve"> </v>
      </c>
      <c r="J91" s="38"/>
      <c r="K91" s="9"/>
      <c r="L91" s="9"/>
      <c r="M91" s="38"/>
      <c r="N91" s="38"/>
      <c r="O91" s="38"/>
      <c r="P91" s="38"/>
      <c r="Q91" s="38"/>
      <c r="R91" s="122"/>
      <c r="T91" s="188"/>
    </row>
    <row r="92" spans="1:20" ht="30" x14ac:dyDescent="0.25">
      <c r="A92" s="114"/>
      <c r="B92" s="1" t="s">
        <v>97</v>
      </c>
      <c r="C92" s="1" t="s">
        <v>98</v>
      </c>
      <c r="D92" s="2"/>
      <c r="E92" s="99" t="str">
        <f>IFERROR(VLOOKUP(C92,Resources!B:D,3,FALSE)," ")</f>
        <v xml:space="preserve"> </v>
      </c>
      <c r="F92" s="7"/>
      <c r="G92" s="7"/>
      <c r="H92" s="7"/>
      <c r="I92" s="108" t="str">
        <f>IFERROR(VLOOKUP(C92,Resources!B:G,6,FALSE)," ")</f>
        <v xml:space="preserve"> </v>
      </c>
      <c r="J92" s="108"/>
      <c r="K92" s="7"/>
      <c r="L92" s="7"/>
      <c r="M92" s="108"/>
      <c r="N92" s="108"/>
      <c r="O92" s="108"/>
      <c r="P92" s="108"/>
      <c r="Q92" s="108"/>
      <c r="R92" s="120"/>
      <c r="T92" s="188"/>
    </row>
    <row r="93" spans="1:20" ht="30" x14ac:dyDescent="0.25">
      <c r="A93" s="114">
        <v>14</v>
      </c>
      <c r="B93" s="1" t="s">
        <v>99</v>
      </c>
      <c r="C93" s="1" t="s">
        <v>100</v>
      </c>
      <c r="D93" s="2" t="s">
        <v>62</v>
      </c>
      <c r="E93" s="99" t="str">
        <f>IFERROR(VLOOKUP(C93,Resources!B:D,3,FALSE)," ")</f>
        <v xml:space="preserve"> </v>
      </c>
      <c r="F93" s="7"/>
      <c r="G93" s="7"/>
      <c r="H93" s="103">
        <f>VLOOKUP($A93,'Model Inputs'!$A:$D,4,FALSE)</f>
        <v>60</v>
      </c>
      <c r="I93" s="108" t="str">
        <f>IFERROR(VLOOKUP(C93,Resources!B:G,6,FALSE)," ")</f>
        <v xml:space="preserve"> </v>
      </c>
      <c r="J93" s="108">
        <f>SUBTOTAL(9,J94:J97)</f>
        <v>2268</v>
      </c>
      <c r="K93" s="7"/>
      <c r="L93" s="7">
        <f>ROUNDUP(MAX(L94:L97)/Workhrs,0)</f>
        <v>1</v>
      </c>
      <c r="M93" s="108">
        <f t="shared" ref="M93:Q93" si="69">SUBTOTAL(9,M94:M97)</f>
        <v>168</v>
      </c>
      <c r="N93" s="108">
        <f t="shared" si="69"/>
        <v>0</v>
      </c>
      <c r="O93" s="108">
        <f t="shared" si="69"/>
        <v>2100</v>
      </c>
      <c r="P93" s="108">
        <f t="shared" si="69"/>
        <v>0</v>
      </c>
      <c r="Q93" s="108">
        <f t="shared" si="69"/>
        <v>2268</v>
      </c>
      <c r="R93" s="120"/>
      <c r="T93" s="188"/>
    </row>
    <row r="94" spans="1:20" x14ac:dyDescent="0.25">
      <c r="A94" s="100">
        <v>14.1</v>
      </c>
      <c r="B94" s="3">
        <v>1</v>
      </c>
      <c r="C94" s="5" t="s">
        <v>63</v>
      </c>
      <c r="D94" s="3" t="s">
        <v>48</v>
      </c>
      <c r="E94" s="100" t="str">
        <f>IFERROR(VLOOKUP(C94,Resources!B:D,3,FALSE)," ")</f>
        <v>P</v>
      </c>
      <c r="F94" s="8">
        <v>1</v>
      </c>
      <c r="G94" s="103">
        <f>VLOOKUP($A94,'Model Inputs'!$A:$D,4,FALSE)</f>
        <v>15</v>
      </c>
      <c r="H94" s="8">
        <f>H93</f>
        <v>60</v>
      </c>
      <c r="I94" s="109">
        <f>IFERROR(VLOOKUP(C94,Resources!B:G,6,FALSE)," ")</f>
        <v>135</v>
      </c>
      <c r="J94" s="109">
        <f t="shared" ref="J94" si="70">(H94/(G94/F94))*I94</f>
        <v>540</v>
      </c>
      <c r="K94" s="8">
        <f t="shared" ref="K94" si="71">L94*F94</f>
        <v>4</v>
      </c>
      <c r="L94" s="8">
        <f t="shared" ref="L94" si="72">IF(E94="M"," ",H94/G94)</f>
        <v>4</v>
      </c>
      <c r="M94" s="109">
        <f t="shared" ref="M94:M97" si="73">IF($E94="L",$J94,0)</f>
        <v>0</v>
      </c>
      <c r="N94" s="109">
        <f t="shared" ref="N94:N97" si="74">IF($E94="M",$J94,0)</f>
        <v>0</v>
      </c>
      <c r="O94" s="109">
        <f t="shared" ref="O94:O97" si="75">IF($E94="P",$J94,0)</f>
        <v>540</v>
      </c>
      <c r="P94" s="109">
        <f t="shared" ref="P94:P97" si="76">IF($E94="S",$J94,0)</f>
        <v>0</v>
      </c>
      <c r="Q94" s="109">
        <f t="shared" ref="Q94" si="77">SUM(M94:P94)</f>
        <v>540</v>
      </c>
      <c r="R94" s="121">
        <v>53</v>
      </c>
      <c r="T94" s="188"/>
    </row>
    <row r="95" spans="1:20" x14ac:dyDescent="0.25">
      <c r="A95" s="100">
        <v>14.2</v>
      </c>
      <c r="B95" s="3">
        <v>2</v>
      </c>
      <c r="C95" s="5" t="s">
        <v>44</v>
      </c>
      <c r="D95" s="3" t="s">
        <v>48</v>
      </c>
      <c r="E95" s="100" t="str">
        <f>IFERROR(VLOOKUP(C95,Resources!B:D,3,FALSE)," ")</f>
        <v>P</v>
      </c>
      <c r="F95" s="103">
        <f>VLOOKUP($A95,'Model Inputs'!$A:$D,4,FALSE)</f>
        <v>2</v>
      </c>
      <c r="G95" s="8">
        <f>G94</f>
        <v>15</v>
      </c>
      <c r="H95" s="8">
        <f>H93</f>
        <v>60</v>
      </c>
      <c r="I95" s="109">
        <f>IFERROR(VLOOKUP(C95,Resources!B:G,6,FALSE)," ")</f>
        <v>145</v>
      </c>
      <c r="J95" s="109">
        <f t="shared" ref="J95:J97" si="78">(H95/(G95/F95))*I95</f>
        <v>1160</v>
      </c>
      <c r="K95" s="8">
        <f t="shared" ref="K95:K97" si="79">L95*F95</f>
        <v>8</v>
      </c>
      <c r="L95" s="8">
        <f t="shared" ref="L95:L97" si="80">IF(E95="M"," ",H95/G95)</f>
        <v>4</v>
      </c>
      <c r="M95" s="109">
        <f t="shared" si="73"/>
        <v>0</v>
      </c>
      <c r="N95" s="109">
        <f t="shared" si="74"/>
        <v>0</v>
      </c>
      <c r="O95" s="109">
        <f t="shared" si="75"/>
        <v>1160</v>
      </c>
      <c r="P95" s="109">
        <f t="shared" si="76"/>
        <v>0</v>
      </c>
      <c r="Q95" s="109">
        <f t="shared" ref="Q95:Q97" si="81">SUM(M95:P95)</f>
        <v>1160</v>
      </c>
      <c r="R95" s="121">
        <v>53</v>
      </c>
      <c r="T95" s="188"/>
    </row>
    <row r="96" spans="1:20" x14ac:dyDescent="0.25">
      <c r="A96" s="100"/>
      <c r="B96" s="3">
        <v>3</v>
      </c>
      <c r="C96" s="5" t="s">
        <v>64</v>
      </c>
      <c r="D96" s="3" t="s">
        <v>48</v>
      </c>
      <c r="E96" s="100" t="str">
        <f>IFERROR(VLOOKUP(C96,Resources!B:D,3,FALSE)," ")</f>
        <v>P</v>
      </c>
      <c r="F96" s="8">
        <v>1</v>
      </c>
      <c r="G96" s="8">
        <f>G94</f>
        <v>15</v>
      </c>
      <c r="H96" s="8">
        <f>H93</f>
        <v>60</v>
      </c>
      <c r="I96" s="109">
        <f>IFERROR(VLOOKUP(C96,Resources!B:G,6,FALSE)," ")</f>
        <v>100</v>
      </c>
      <c r="J96" s="109">
        <f t="shared" si="78"/>
        <v>400</v>
      </c>
      <c r="K96" s="8">
        <f t="shared" si="79"/>
        <v>4</v>
      </c>
      <c r="L96" s="8">
        <f t="shared" si="80"/>
        <v>4</v>
      </c>
      <c r="M96" s="109">
        <f t="shared" si="73"/>
        <v>0</v>
      </c>
      <c r="N96" s="109">
        <f t="shared" si="74"/>
        <v>0</v>
      </c>
      <c r="O96" s="109">
        <f t="shared" si="75"/>
        <v>400</v>
      </c>
      <c r="P96" s="109">
        <f t="shared" si="76"/>
        <v>0</v>
      </c>
      <c r="Q96" s="109">
        <f t="shared" si="81"/>
        <v>400</v>
      </c>
      <c r="R96" s="121">
        <v>53</v>
      </c>
      <c r="T96" s="188"/>
    </row>
    <row r="97" spans="1:20" x14ac:dyDescent="0.25">
      <c r="A97" s="100"/>
      <c r="B97" s="3">
        <v>4</v>
      </c>
      <c r="C97" s="5" t="s">
        <v>8</v>
      </c>
      <c r="D97" s="3" t="s">
        <v>48</v>
      </c>
      <c r="E97" s="100" t="str">
        <f>IFERROR(VLOOKUP(C97,Resources!B:D,3,FALSE)," ")</f>
        <v>L</v>
      </c>
      <c r="F97" s="8">
        <v>1</v>
      </c>
      <c r="G97" s="8">
        <f>G94</f>
        <v>15</v>
      </c>
      <c r="H97" s="8">
        <f>H93</f>
        <v>60</v>
      </c>
      <c r="I97" s="109">
        <f>IFERROR(VLOOKUP(C97,Resources!B:G,6,FALSE)," ")</f>
        <v>42</v>
      </c>
      <c r="J97" s="109">
        <f t="shared" si="78"/>
        <v>168</v>
      </c>
      <c r="K97" s="8">
        <f t="shared" si="79"/>
        <v>4</v>
      </c>
      <c r="L97" s="8">
        <f t="shared" si="80"/>
        <v>4</v>
      </c>
      <c r="M97" s="109">
        <f t="shared" si="73"/>
        <v>168</v>
      </c>
      <c r="N97" s="109">
        <f t="shared" si="74"/>
        <v>0</v>
      </c>
      <c r="O97" s="109">
        <f t="shared" si="75"/>
        <v>0</v>
      </c>
      <c r="P97" s="109">
        <f t="shared" si="76"/>
        <v>0</v>
      </c>
      <c r="Q97" s="109">
        <f t="shared" si="81"/>
        <v>168</v>
      </c>
      <c r="R97" s="121">
        <v>53</v>
      </c>
      <c r="T97" s="188"/>
    </row>
    <row r="98" spans="1:20" x14ac:dyDescent="0.25">
      <c r="A98" s="101"/>
      <c r="B98" s="4"/>
      <c r="C98" s="6"/>
      <c r="D98" s="4"/>
      <c r="E98" s="101" t="str">
        <f>IFERROR(VLOOKUP(C98,Resources!B:D,3,FALSE)," ")</f>
        <v xml:space="preserve"> </v>
      </c>
      <c r="F98" s="9"/>
      <c r="G98" s="9"/>
      <c r="H98" s="9"/>
      <c r="I98" s="38" t="str">
        <f>IFERROR(VLOOKUP(C98,Resources!B:G,6,FALSE)," ")</f>
        <v xml:space="preserve"> </v>
      </c>
      <c r="J98" s="38"/>
      <c r="K98" s="9"/>
      <c r="L98" s="9"/>
      <c r="M98" s="38"/>
      <c r="N98" s="38"/>
      <c r="O98" s="38"/>
      <c r="P98" s="38"/>
      <c r="Q98" s="38"/>
      <c r="R98" s="122"/>
      <c r="T98" s="188"/>
    </row>
    <row r="99" spans="1:20" ht="30" x14ac:dyDescent="0.25">
      <c r="A99" s="114"/>
      <c r="B99" s="1" t="s">
        <v>101</v>
      </c>
      <c r="C99" s="1" t="s">
        <v>102</v>
      </c>
      <c r="D99" s="2"/>
      <c r="E99" s="99" t="str">
        <f>IFERROR(VLOOKUP(C99,Resources!B:D,3,FALSE)," ")</f>
        <v xml:space="preserve"> </v>
      </c>
      <c r="F99" s="7"/>
      <c r="G99" s="7"/>
      <c r="H99" s="7"/>
      <c r="I99" s="108" t="str">
        <f>IFERROR(VLOOKUP(C99,Resources!B:G,6,FALSE)," ")</f>
        <v xml:space="preserve"> </v>
      </c>
      <c r="J99" s="108"/>
      <c r="K99" s="7"/>
      <c r="L99" s="7"/>
      <c r="M99" s="108"/>
      <c r="N99" s="108"/>
      <c r="O99" s="108"/>
      <c r="P99" s="108"/>
      <c r="Q99" s="108"/>
      <c r="R99" s="120"/>
      <c r="T99" s="188"/>
    </row>
    <row r="100" spans="1:20" ht="30" x14ac:dyDescent="0.25">
      <c r="A100" s="114"/>
      <c r="B100" s="1" t="s">
        <v>103</v>
      </c>
      <c r="C100" s="1" t="s">
        <v>104</v>
      </c>
      <c r="D100" s="2"/>
      <c r="E100" s="99" t="str">
        <f>IFERROR(VLOOKUP(C100,Resources!B:D,3,FALSE)," ")</f>
        <v xml:space="preserve"> </v>
      </c>
      <c r="F100" s="7"/>
      <c r="G100" s="7"/>
      <c r="H100" s="7"/>
      <c r="I100" s="108" t="str">
        <f>IFERROR(VLOOKUP(C100,Resources!B:G,6,FALSE)," ")</f>
        <v xml:space="preserve"> </v>
      </c>
      <c r="J100" s="108"/>
      <c r="K100" s="7"/>
      <c r="L100" s="7"/>
      <c r="M100" s="108"/>
      <c r="N100" s="108"/>
      <c r="O100" s="108"/>
      <c r="P100" s="108"/>
      <c r="Q100" s="108"/>
      <c r="R100" s="120"/>
      <c r="T100" s="188"/>
    </row>
    <row r="101" spans="1:20" ht="30" x14ac:dyDescent="0.25">
      <c r="A101" s="114">
        <v>15</v>
      </c>
      <c r="B101" s="1" t="s">
        <v>105</v>
      </c>
      <c r="C101" s="1" t="s">
        <v>106</v>
      </c>
      <c r="D101" s="2" t="s">
        <v>107</v>
      </c>
      <c r="E101" s="99" t="str">
        <f>IFERROR(VLOOKUP(C101,Resources!B:D,3,FALSE)," ")</f>
        <v xml:space="preserve"> </v>
      </c>
      <c r="F101" s="7"/>
      <c r="G101" s="7"/>
      <c r="H101" s="103">
        <f>VLOOKUP($A101,'Model Inputs'!$A:$D,4,FALSE)</f>
        <v>170</v>
      </c>
      <c r="I101" s="108" t="str">
        <f>IFERROR(VLOOKUP(C101,Resources!B:G,6,FALSE)," ")</f>
        <v xml:space="preserve"> </v>
      </c>
      <c r="J101" s="108">
        <f>SUBTOTAL(9,J103:J109)</f>
        <v>5918.8258337744837</v>
      </c>
      <c r="K101" s="7"/>
      <c r="L101" s="7">
        <f>ROUNDUP(MAX(L103:L108)/Workhrs,0)</f>
        <v>1</v>
      </c>
      <c r="M101" s="108">
        <f t="shared" ref="M101:Q101" si="82">SUBTOTAL(9,M103:M109)</f>
        <v>1511.9110640550555</v>
      </c>
      <c r="N101" s="108">
        <f t="shared" si="82"/>
        <v>918</v>
      </c>
      <c r="O101" s="108">
        <f t="shared" si="82"/>
        <v>3488.914769719428</v>
      </c>
      <c r="P101" s="108">
        <f t="shared" si="82"/>
        <v>0</v>
      </c>
      <c r="Q101" s="108">
        <f t="shared" si="82"/>
        <v>5918.8258337744837</v>
      </c>
      <c r="R101" s="120"/>
      <c r="T101" s="188"/>
    </row>
    <row r="102" spans="1:20" x14ac:dyDescent="0.25">
      <c r="A102" s="100"/>
      <c r="B102" s="3">
        <v>1</v>
      </c>
      <c r="C102" s="5" t="s">
        <v>108</v>
      </c>
      <c r="D102" s="3"/>
      <c r="E102" s="100" t="str">
        <f>IFERROR(VLOOKUP(C102,Resources!B:D,3,FALSE)," ")</f>
        <v xml:space="preserve"> </v>
      </c>
      <c r="F102" s="8"/>
      <c r="G102" s="8"/>
      <c r="H102" s="8"/>
      <c r="I102" s="109"/>
      <c r="J102" s="109"/>
      <c r="K102" s="8"/>
      <c r="L102" s="8"/>
      <c r="M102" s="109"/>
      <c r="N102" s="109"/>
      <c r="O102" s="109"/>
      <c r="P102" s="109"/>
      <c r="Q102" s="109"/>
      <c r="R102" s="121"/>
      <c r="T102" s="188"/>
    </row>
    <row r="103" spans="1:20" x14ac:dyDescent="0.25">
      <c r="A103" s="100">
        <v>15.1</v>
      </c>
      <c r="B103" s="3">
        <v>1</v>
      </c>
      <c r="C103" s="5" t="s">
        <v>2197</v>
      </c>
      <c r="D103" s="100" t="s">
        <v>48</v>
      </c>
      <c r="E103" s="100" t="str">
        <f>IFERROR(VLOOKUP(C103,Resources!B:D,3,FALSE)," ")</f>
        <v>P</v>
      </c>
      <c r="F103" s="8">
        <v>1</v>
      </c>
      <c r="G103" s="103">
        <f>VLOOKUP($A103,'Model Inputs'!$A:$D,4,FALSE)</f>
        <v>18.89</v>
      </c>
      <c r="H103" s="8">
        <f>H101</f>
        <v>170</v>
      </c>
      <c r="I103" s="109">
        <f>IFERROR(VLOOKUP(C103,Resources!B:G,6,FALSE)," ")</f>
        <v>66.069999999999993</v>
      </c>
      <c r="J103" s="109">
        <f t="shared" ref="J103:J108" si="83">(H103/(G103/F103))*I103</f>
        <v>594.59502382212804</v>
      </c>
      <c r="K103" s="8">
        <f t="shared" ref="K103:K108" si="84">L103*F103</f>
        <v>8.9994706193753302</v>
      </c>
      <c r="L103" s="8">
        <f t="shared" ref="L103:L108" si="85">IF(E103="M"," ",H103/G103)</f>
        <v>8.9994706193753302</v>
      </c>
      <c r="M103" s="109">
        <f t="shared" ref="M103:M108" si="86">IF($E103="L",$J103,0)</f>
        <v>0</v>
      </c>
      <c r="N103" s="109">
        <f t="shared" ref="N103:N108" si="87">IF($E103="M",$J103,0)</f>
        <v>0</v>
      </c>
      <c r="O103" s="109">
        <f t="shared" ref="O103:O108" si="88">IF($E103="P",$J103,0)</f>
        <v>594.59502382212804</v>
      </c>
      <c r="P103" s="109">
        <f t="shared" ref="P103:P108" si="89">IF($E103="S",$J103,0)</f>
        <v>0</v>
      </c>
      <c r="Q103" s="109">
        <f t="shared" ref="Q103:Q108" si="90">SUM(M103:P103)</f>
        <v>594.59502382212804</v>
      </c>
      <c r="R103" s="121">
        <v>68</v>
      </c>
      <c r="T103" s="188"/>
    </row>
    <row r="104" spans="1:20" x14ac:dyDescent="0.25">
      <c r="A104" s="100"/>
      <c r="B104" s="3">
        <v>2</v>
      </c>
      <c r="C104" s="5" t="s">
        <v>39</v>
      </c>
      <c r="D104" s="100" t="s">
        <v>48</v>
      </c>
      <c r="E104" s="100" t="str">
        <f>IFERROR(VLOOKUP(C104,Resources!B:D,3,FALSE)," ")</f>
        <v>P</v>
      </c>
      <c r="F104" s="8">
        <v>1</v>
      </c>
      <c r="G104" s="8">
        <f>G103</f>
        <v>18.89</v>
      </c>
      <c r="H104" s="8">
        <f>H101</f>
        <v>170</v>
      </c>
      <c r="I104" s="109">
        <f>IFERROR(VLOOKUP(C104,Resources!B:G,6,FALSE)," ")</f>
        <v>145</v>
      </c>
      <c r="J104" s="109">
        <f t="shared" si="83"/>
        <v>1304.923239809423</v>
      </c>
      <c r="K104" s="8">
        <f t="shared" si="84"/>
        <v>8.9994706193753302</v>
      </c>
      <c r="L104" s="8">
        <f t="shared" si="85"/>
        <v>8.9994706193753302</v>
      </c>
      <c r="M104" s="109">
        <f t="shared" si="86"/>
        <v>0</v>
      </c>
      <c r="N104" s="109">
        <f t="shared" si="87"/>
        <v>0</v>
      </c>
      <c r="O104" s="109">
        <f t="shared" si="88"/>
        <v>1304.923239809423</v>
      </c>
      <c r="P104" s="109">
        <f t="shared" si="89"/>
        <v>0</v>
      </c>
      <c r="Q104" s="109">
        <f t="shared" si="90"/>
        <v>1304.923239809423</v>
      </c>
      <c r="R104" s="121">
        <v>68</v>
      </c>
      <c r="T104" s="188"/>
    </row>
    <row r="105" spans="1:20" x14ac:dyDescent="0.25">
      <c r="A105" s="100"/>
      <c r="B105" s="3">
        <v>3</v>
      </c>
      <c r="C105" s="5" t="s">
        <v>64</v>
      </c>
      <c r="D105" s="100" t="s">
        <v>48</v>
      </c>
      <c r="E105" s="100" t="str">
        <f>IFERROR(VLOOKUP(C105,Resources!B:D,3,FALSE)," ")</f>
        <v>P</v>
      </c>
      <c r="F105" s="8">
        <v>1</v>
      </c>
      <c r="G105" s="8">
        <f>G103</f>
        <v>18.89</v>
      </c>
      <c r="H105" s="8">
        <f>H101</f>
        <v>170</v>
      </c>
      <c r="I105" s="109">
        <f>IFERROR(VLOOKUP(C105,Resources!B:G,6,FALSE)," ")</f>
        <v>100</v>
      </c>
      <c r="J105" s="109">
        <f t="shared" si="83"/>
        <v>899.94706193753302</v>
      </c>
      <c r="K105" s="8">
        <f t="shared" si="84"/>
        <v>8.9994706193753302</v>
      </c>
      <c r="L105" s="8">
        <f t="shared" si="85"/>
        <v>8.9994706193753302</v>
      </c>
      <c r="M105" s="109">
        <f t="shared" si="86"/>
        <v>0</v>
      </c>
      <c r="N105" s="109">
        <f t="shared" si="87"/>
        <v>0</v>
      </c>
      <c r="O105" s="109">
        <f t="shared" si="88"/>
        <v>899.94706193753302</v>
      </c>
      <c r="P105" s="109">
        <f t="shared" si="89"/>
        <v>0</v>
      </c>
      <c r="Q105" s="109">
        <f t="shared" si="90"/>
        <v>899.94706193753302</v>
      </c>
      <c r="R105" s="121">
        <v>68</v>
      </c>
      <c r="T105" s="188"/>
    </row>
    <row r="106" spans="1:20" x14ac:dyDescent="0.25">
      <c r="A106" s="100"/>
      <c r="B106" s="3">
        <v>4</v>
      </c>
      <c r="C106" s="5" t="s">
        <v>69</v>
      </c>
      <c r="D106" s="100" t="s">
        <v>48</v>
      </c>
      <c r="E106" s="100" t="str">
        <f>IFERROR(VLOOKUP(C106,Resources!B:D,3,FALSE)," ")</f>
        <v>P</v>
      </c>
      <c r="F106" s="8">
        <v>1</v>
      </c>
      <c r="G106" s="8">
        <f>G103</f>
        <v>18.89</v>
      </c>
      <c r="H106" s="8">
        <f>H101</f>
        <v>170</v>
      </c>
      <c r="I106" s="109">
        <f>IFERROR(VLOOKUP(C106,Resources!B:G,6,FALSE)," ")</f>
        <v>55</v>
      </c>
      <c r="J106" s="109">
        <f t="shared" si="83"/>
        <v>494.97088406564319</v>
      </c>
      <c r="K106" s="8">
        <f t="shared" si="84"/>
        <v>8.9994706193753302</v>
      </c>
      <c r="L106" s="8">
        <f t="shared" si="85"/>
        <v>8.9994706193753302</v>
      </c>
      <c r="M106" s="109">
        <f t="shared" si="86"/>
        <v>0</v>
      </c>
      <c r="N106" s="109">
        <f t="shared" si="87"/>
        <v>0</v>
      </c>
      <c r="O106" s="109">
        <f t="shared" si="88"/>
        <v>494.97088406564319</v>
      </c>
      <c r="P106" s="109">
        <f t="shared" si="89"/>
        <v>0</v>
      </c>
      <c r="Q106" s="109">
        <f t="shared" si="90"/>
        <v>494.97088406564319</v>
      </c>
      <c r="R106" s="121">
        <v>68</v>
      </c>
      <c r="T106" s="188"/>
    </row>
    <row r="107" spans="1:20" x14ac:dyDescent="0.25">
      <c r="A107" s="100"/>
      <c r="B107" s="3">
        <v>5</v>
      </c>
      <c r="C107" s="5" t="s">
        <v>2222</v>
      </c>
      <c r="D107" s="100" t="s">
        <v>48</v>
      </c>
      <c r="E107" s="100" t="str">
        <f>IFERROR(VLOOKUP(C107,Resources!B:D,3,FALSE)," ")</f>
        <v>P</v>
      </c>
      <c r="F107" s="8">
        <v>1</v>
      </c>
      <c r="G107" s="8">
        <f>G103</f>
        <v>18.89</v>
      </c>
      <c r="H107" s="8">
        <f>H101</f>
        <v>170</v>
      </c>
      <c r="I107" s="109">
        <f>IFERROR(VLOOKUP(C107,Resources!B:G,6,FALSE)," ")</f>
        <v>21.61</v>
      </c>
      <c r="J107" s="109">
        <f t="shared" si="83"/>
        <v>194.47856008470089</v>
      </c>
      <c r="K107" s="8">
        <f t="shared" si="84"/>
        <v>8.9994706193753302</v>
      </c>
      <c r="L107" s="8">
        <f t="shared" si="85"/>
        <v>8.9994706193753302</v>
      </c>
      <c r="M107" s="109">
        <f t="shared" si="86"/>
        <v>0</v>
      </c>
      <c r="N107" s="109">
        <f t="shared" si="87"/>
        <v>0</v>
      </c>
      <c r="O107" s="109">
        <f t="shared" si="88"/>
        <v>194.47856008470089</v>
      </c>
      <c r="P107" s="109">
        <f t="shared" si="89"/>
        <v>0</v>
      </c>
      <c r="Q107" s="109">
        <f t="shared" si="90"/>
        <v>194.47856008470089</v>
      </c>
      <c r="R107" s="121">
        <v>68</v>
      </c>
      <c r="T107" s="188"/>
    </row>
    <row r="108" spans="1:20" x14ac:dyDescent="0.25">
      <c r="A108" s="100">
        <v>15.2</v>
      </c>
      <c r="B108" s="3">
        <v>6</v>
      </c>
      <c r="C108" s="5" t="s">
        <v>8</v>
      </c>
      <c r="D108" s="100" t="s">
        <v>48</v>
      </c>
      <c r="E108" s="100" t="str">
        <f>IFERROR(VLOOKUP(C108,Resources!B:D,3,FALSE)," ")</f>
        <v>L</v>
      </c>
      <c r="F108" s="103">
        <f>VLOOKUP($A108,'Model Inputs'!$A:$D,4,FALSE)</f>
        <v>4</v>
      </c>
      <c r="G108" s="8">
        <f>G103</f>
        <v>18.89</v>
      </c>
      <c r="H108" s="8">
        <f>H101</f>
        <v>170</v>
      </c>
      <c r="I108" s="109">
        <f>IFERROR(VLOOKUP(C108,Resources!B:G,6,FALSE)," ")</f>
        <v>42</v>
      </c>
      <c r="J108" s="109">
        <f t="shared" si="83"/>
        <v>1511.9110640550555</v>
      </c>
      <c r="K108" s="8">
        <f t="shared" si="84"/>
        <v>35.997882477501321</v>
      </c>
      <c r="L108" s="8">
        <f t="shared" si="85"/>
        <v>8.9994706193753302</v>
      </c>
      <c r="M108" s="109">
        <f t="shared" si="86"/>
        <v>1511.9110640550555</v>
      </c>
      <c r="N108" s="109">
        <f t="shared" si="87"/>
        <v>0</v>
      </c>
      <c r="O108" s="109">
        <f t="shared" si="88"/>
        <v>0</v>
      </c>
      <c r="P108" s="109">
        <f t="shared" si="89"/>
        <v>0</v>
      </c>
      <c r="Q108" s="109">
        <f t="shared" si="90"/>
        <v>1511.9110640550555</v>
      </c>
      <c r="R108" s="121">
        <v>68</v>
      </c>
      <c r="T108" s="188"/>
    </row>
    <row r="109" spans="1:20" x14ac:dyDescent="0.25">
      <c r="A109" s="100">
        <v>15.3</v>
      </c>
      <c r="B109" s="3">
        <v>2</v>
      </c>
      <c r="C109" s="5" t="s">
        <v>109</v>
      </c>
      <c r="D109" s="3" t="s">
        <v>82</v>
      </c>
      <c r="E109" s="100" t="str">
        <f>IFERROR(VLOOKUP(C109,Resources!B:D,3,FALSE)," ")</f>
        <v>M</v>
      </c>
      <c r="F109" s="103">
        <f>VLOOKUP($A109,'Model Inputs'!$A:$D,4,FALSE)</f>
        <v>1.2E-2</v>
      </c>
      <c r="G109" s="8">
        <v>1</v>
      </c>
      <c r="H109" s="8">
        <f>H101*F109</f>
        <v>2.04</v>
      </c>
      <c r="I109" s="109">
        <f>IFERROR(VLOOKUP(C109,Resources!B:G,6,FALSE)," ")</f>
        <v>450</v>
      </c>
      <c r="J109" s="109">
        <f>H109*I109</f>
        <v>918</v>
      </c>
      <c r="K109" s="8"/>
      <c r="L109" s="8" t="str">
        <f t="shared" ref="L109" si="91">IF(E109="M"," ",H109/G109)</f>
        <v xml:space="preserve"> </v>
      </c>
      <c r="M109" s="109">
        <f t="shared" ref="M109" si="92">IF($E109="L",$J109,0)</f>
        <v>0</v>
      </c>
      <c r="N109" s="109">
        <f t="shared" ref="N109" si="93">IF($E109="M",$J109,0)</f>
        <v>918</v>
      </c>
      <c r="O109" s="109">
        <f t="shared" ref="O109" si="94">IF($E109="P",$J109,0)</f>
        <v>0</v>
      </c>
      <c r="P109" s="109">
        <f t="shared" ref="P109" si="95">IF($E109="S",$J109,0)</f>
        <v>0</v>
      </c>
      <c r="Q109" s="109">
        <f t="shared" ref="Q109" si="96">SUM(M109:P109)</f>
        <v>918</v>
      </c>
      <c r="R109" s="121" t="s">
        <v>2338</v>
      </c>
      <c r="T109" s="188"/>
    </row>
    <row r="110" spans="1:20" x14ac:dyDescent="0.25">
      <c r="A110" s="101"/>
      <c r="B110" s="4"/>
      <c r="C110" s="6"/>
      <c r="D110" s="4"/>
      <c r="E110" s="101" t="str">
        <f>IFERROR(VLOOKUP(C110,Resources!B:D,3,FALSE)," ")</f>
        <v xml:space="preserve"> </v>
      </c>
      <c r="F110" s="9"/>
      <c r="G110" s="9"/>
      <c r="H110" s="9"/>
      <c r="I110" s="38" t="str">
        <f>IFERROR(VLOOKUP(C110,Resources!B:G,6,FALSE)," ")</f>
        <v xml:space="preserve"> </v>
      </c>
      <c r="J110" s="38"/>
      <c r="K110" s="9"/>
      <c r="L110" s="9"/>
      <c r="M110" s="38"/>
      <c r="N110" s="38"/>
      <c r="O110" s="38"/>
      <c r="P110" s="38"/>
      <c r="Q110" s="38"/>
      <c r="R110" s="122"/>
      <c r="T110" s="188"/>
    </row>
    <row r="111" spans="1:20" ht="30" x14ac:dyDescent="0.25">
      <c r="A111" s="114"/>
      <c r="B111" s="1" t="s">
        <v>110</v>
      </c>
      <c r="C111" s="1" t="s">
        <v>111</v>
      </c>
      <c r="D111" s="2"/>
      <c r="E111" s="99" t="str">
        <f>IFERROR(VLOOKUP(C111,Resources!B:D,3,FALSE)," ")</f>
        <v xml:space="preserve"> </v>
      </c>
      <c r="F111" s="7"/>
      <c r="G111" s="7"/>
      <c r="H111" s="7"/>
      <c r="I111" s="108" t="str">
        <f>IFERROR(VLOOKUP(C111,Resources!B:G,6,FALSE)," ")</f>
        <v xml:space="preserve"> </v>
      </c>
      <c r="J111" s="108"/>
      <c r="K111" s="7"/>
      <c r="L111" s="7"/>
      <c r="M111" s="108"/>
      <c r="N111" s="108"/>
      <c r="O111" s="108"/>
      <c r="P111" s="108"/>
      <c r="Q111" s="108"/>
      <c r="R111" s="120"/>
      <c r="T111" s="188"/>
    </row>
    <row r="112" spans="1:20" ht="30" x14ac:dyDescent="0.25">
      <c r="A112" s="114">
        <v>16</v>
      </c>
      <c r="B112" s="1" t="s">
        <v>112</v>
      </c>
      <c r="C112" s="1" t="s">
        <v>113</v>
      </c>
      <c r="D112" s="2" t="s">
        <v>62</v>
      </c>
      <c r="E112" s="99" t="str">
        <f>IFERROR(VLOOKUP(C112,Resources!B:D,3,FALSE)," ")</f>
        <v xml:space="preserve"> </v>
      </c>
      <c r="F112" s="7"/>
      <c r="G112" s="7"/>
      <c r="H112" s="103">
        <f>VLOOKUP($A112,'Model Inputs'!$A:$D,4,FALSE)</f>
        <v>20</v>
      </c>
      <c r="I112" s="108" t="str">
        <f>IFERROR(VLOOKUP(C112,Resources!B:G,6,FALSE)," ")</f>
        <v xml:space="preserve"> </v>
      </c>
      <c r="J112" s="108">
        <f>SUBTOTAL(9,J114:J125)</f>
        <v>3798.8715790497968</v>
      </c>
      <c r="K112" s="7"/>
      <c r="L112" s="7">
        <f>ROUNDUP((MAX((L114+2),MAX(L116:L120))+MAX(L122:L125))/Workhrs,0)</f>
        <v>1</v>
      </c>
      <c r="M112" s="108">
        <f t="shared" ref="M112:Q112" si="97">SUBTOTAL(9,M114:M125)</f>
        <v>796.37443744374434</v>
      </c>
      <c r="N112" s="108">
        <f t="shared" si="97"/>
        <v>0</v>
      </c>
      <c r="O112" s="108">
        <f t="shared" si="97"/>
        <v>3002.4971416060525</v>
      </c>
      <c r="P112" s="108">
        <f t="shared" si="97"/>
        <v>0</v>
      </c>
      <c r="Q112" s="108">
        <f t="shared" si="97"/>
        <v>3798.8715790497968</v>
      </c>
      <c r="R112" s="120"/>
      <c r="T112" s="188"/>
    </row>
    <row r="113" spans="1:20" x14ac:dyDescent="0.25">
      <c r="A113" s="100">
        <v>16.100000000000001</v>
      </c>
      <c r="B113" s="3">
        <v>1</v>
      </c>
      <c r="C113" s="5" t="s">
        <v>2361</v>
      </c>
      <c r="D113" s="3"/>
      <c r="E113" s="100" t="str">
        <f>IFERROR(VLOOKUP(C113,Resources!B:D,3,FALSE)," ")</f>
        <v xml:space="preserve"> </v>
      </c>
      <c r="F113" s="103">
        <f>VLOOKUP($A113,'Model Inputs'!$A:$D,4,FALSE)</f>
        <v>2.4</v>
      </c>
      <c r="G113" s="8"/>
      <c r="H113" s="8">
        <f>H112*F113</f>
        <v>48</v>
      </c>
      <c r="I113" s="109" t="str">
        <f>IFERROR(VLOOKUP(C113,Resources!B:G,6,FALSE)," ")</f>
        <v xml:space="preserve"> </v>
      </c>
      <c r="J113" s="109"/>
      <c r="K113" s="8"/>
      <c r="L113" s="8"/>
      <c r="M113" s="109"/>
      <c r="N113" s="109"/>
      <c r="O113" s="109"/>
      <c r="P113" s="109"/>
      <c r="Q113" s="109"/>
      <c r="R113" s="121"/>
      <c r="T113" s="188"/>
    </row>
    <row r="114" spans="1:20" x14ac:dyDescent="0.25">
      <c r="A114" s="100">
        <v>16.2</v>
      </c>
      <c r="B114" s="3">
        <v>2</v>
      </c>
      <c r="C114" s="5" t="s">
        <v>44</v>
      </c>
      <c r="D114" s="3" t="s">
        <v>48</v>
      </c>
      <c r="E114" s="100" t="str">
        <f>IFERROR(VLOOKUP(C114,Resources!B:D,3,FALSE)," ")</f>
        <v>P</v>
      </c>
      <c r="F114" s="103">
        <f>VLOOKUP($A114,'Model Inputs'!$A:$D,4,FALSE)</f>
        <v>3</v>
      </c>
      <c r="G114" s="8">
        <v>37</v>
      </c>
      <c r="H114" s="8">
        <f>H113</f>
        <v>48</v>
      </c>
      <c r="I114" s="109">
        <f>IFERROR(VLOOKUP(C114,Resources!B:G,6,FALSE)," ")</f>
        <v>145</v>
      </c>
      <c r="J114" s="109">
        <f t="shared" ref="J114" si="98">(H114/(G114/F114))*I114</f>
        <v>564.32432432432427</v>
      </c>
      <c r="K114" s="8">
        <f t="shared" ref="K114" si="99">L114*F114</f>
        <v>3.8918918918918921</v>
      </c>
      <c r="L114" s="8">
        <f t="shared" ref="L114" si="100">IF(E114="M"," ",H114/G114)</f>
        <v>1.2972972972972974</v>
      </c>
      <c r="M114" s="109">
        <f t="shared" ref="M114" si="101">IF($E114="L",$J114,0)</f>
        <v>0</v>
      </c>
      <c r="N114" s="109">
        <f t="shared" ref="N114" si="102">IF($E114="M",$J114,0)</f>
        <v>0</v>
      </c>
      <c r="O114" s="109">
        <f t="shared" ref="O114" si="103">IF($E114="P",$J114,0)</f>
        <v>564.32432432432427</v>
      </c>
      <c r="P114" s="109">
        <f t="shared" ref="P114" si="104">IF($E114="S",$J114,0)</f>
        <v>0</v>
      </c>
      <c r="Q114" s="109">
        <f t="shared" ref="Q114" si="105">SUM(M114:P114)</f>
        <v>564.32432432432427</v>
      </c>
      <c r="R114" s="121">
        <v>62</v>
      </c>
      <c r="T114" s="188"/>
    </row>
    <row r="115" spans="1:20" x14ac:dyDescent="0.25">
      <c r="A115" s="101"/>
      <c r="B115" s="4">
        <v>3</v>
      </c>
      <c r="C115" s="6" t="s">
        <v>114</v>
      </c>
      <c r="D115" s="4"/>
      <c r="E115" s="101" t="str">
        <f>IFERROR(VLOOKUP(C115,Resources!B:D,3,FALSE)," ")</f>
        <v xml:space="preserve"> </v>
      </c>
      <c r="F115" s="9"/>
      <c r="G115" s="9"/>
      <c r="H115" s="9"/>
      <c r="I115" s="38" t="str">
        <f>IFERROR(VLOOKUP(C115,Resources!B:G,6,FALSE)," ")</f>
        <v xml:space="preserve"> </v>
      </c>
      <c r="J115" s="38"/>
      <c r="K115" s="9"/>
      <c r="L115" s="9"/>
      <c r="M115" s="38"/>
      <c r="N115" s="38"/>
      <c r="O115" s="38"/>
      <c r="P115" s="38"/>
      <c r="Q115" s="38"/>
      <c r="R115" s="122"/>
      <c r="T115" s="188"/>
    </row>
    <row r="116" spans="1:20" x14ac:dyDescent="0.25">
      <c r="A116" s="100">
        <v>16.25</v>
      </c>
      <c r="B116" s="3">
        <v>4</v>
      </c>
      <c r="C116" s="5" t="s">
        <v>39</v>
      </c>
      <c r="D116" s="3" t="s">
        <v>48</v>
      </c>
      <c r="E116" s="100" t="str">
        <f>IFERROR(VLOOKUP(C116,Resources!B:D,3,FALSE)," ")</f>
        <v>P</v>
      </c>
      <c r="F116" s="8">
        <v>1</v>
      </c>
      <c r="G116" s="103">
        <f>VLOOKUP($A116,'Model Inputs'!$A:$D,4,FALSE)</f>
        <v>11.11</v>
      </c>
      <c r="H116" s="8">
        <f>H113</f>
        <v>48</v>
      </c>
      <c r="I116" s="109">
        <f>IFERROR(VLOOKUP(C116,Resources!B:G,6,FALSE)," ")</f>
        <v>145</v>
      </c>
      <c r="J116" s="109">
        <f t="shared" ref="J116" si="106">(H116/(G116/F116))*I116</f>
        <v>626.46264626462641</v>
      </c>
      <c r="K116" s="8">
        <f t="shared" ref="K116" si="107">L116*F116</f>
        <v>4.3204320432043204</v>
      </c>
      <c r="L116" s="8">
        <f t="shared" ref="L116" si="108">IF(E116="M"," ",H116/G116)</f>
        <v>4.3204320432043204</v>
      </c>
      <c r="M116" s="109">
        <f t="shared" ref="M116:M120" si="109">IF($E116="L",$J116,0)</f>
        <v>0</v>
      </c>
      <c r="N116" s="109">
        <f t="shared" ref="N116:N120" si="110">IF($E116="M",$J116,0)</f>
        <v>0</v>
      </c>
      <c r="O116" s="109">
        <f t="shared" ref="O116:O120" si="111">IF($E116="P",$J116,0)</f>
        <v>626.46264626462641</v>
      </c>
      <c r="P116" s="109">
        <f t="shared" ref="P116:P120" si="112">IF($E116="S",$J116,0)</f>
        <v>0</v>
      </c>
      <c r="Q116" s="109">
        <f t="shared" ref="Q116" si="113">SUM(M116:P116)</f>
        <v>626.46264626462641</v>
      </c>
      <c r="R116" s="121">
        <v>62</v>
      </c>
      <c r="T116" s="188"/>
    </row>
    <row r="117" spans="1:20" x14ac:dyDescent="0.25">
      <c r="A117" s="100"/>
      <c r="B117" s="3">
        <v>5</v>
      </c>
      <c r="C117" s="5" t="s">
        <v>64</v>
      </c>
      <c r="D117" s="3" t="s">
        <v>48</v>
      </c>
      <c r="E117" s="100" t="str">
        <f>IFERROR(VLOOKUP(C117,Resources!B:D,3,FALSE)," ")</f>
        <v>P</v>
      </c>
      <c r="F117" s="8">
        <v>1</v>
      </c>
      <c r="G117" s="8">
        <f>G116</f>
        <v>11.11</v>
      </c>
      <c r="H117" s="8">
        <f>H113</f>
        <v>48</v>
      </c>
      <c r="I117" s="109">
        <f>IFERROR(VLOOKUP(C117,Resources!B:G,6,FALSE)," ")</f>
        <v>100</v>
      </c>
      <c r="J117" s="109">
        <f t="shared" ref="J117:J120" si="114">(H117/(G117/F117))*I117</f>
        <v>432.04320432043204</v>
      </c>
      <c r="K117" s="8">
        <f t="shared" ref="K117:K120" si="115">L117*F117</f>
        <v>4.3204320432043204</v>
      </c>
      <c r="L117" s="8">
        <f t="shared" ref="L117:L120" si="116">IF(E117="M"," ",H117/G117)</f>
        <v>4.3204320432043204</v>
      </c>
      <c r="M117" s="109">
        <f t="shared" si="109"/>
        <v>0</v>
      </c>
      <c r="N117" s="109">
        <f t="shared" si="110"/>
        <v>0</v>
      </c>
      <c r="O117" s="109">
        <f t="shared" si="111"/>
        <v>432.04320432043204</v>
      </c>
      <c r="P117" s="109">
        <f t="shared" si="112"/>
        <v>0</v>
      </c>
      <c r="Q117" s="109">
        <f t="shared" ref="Q117:Q120" si="117">SUM(M117:P117)</f>
        <v>432.04320432043204</v>
      </c>
      <c r="R117" s="121">
        <v>62</v>
      </c>
      <c r="T117" s="188"/>
    </row>
    <row r="118" spans="1:20" x14ac:dyDescent="0.25">
      <c r="A118" s="100"/>
      <c r="B118" s="3">
        <v>6</v>
      </c>
      <c r="C118" s="5" t="s">
        <v>69</v>
      </c>
      <c r="D118" s="3" t="s">
        <v>48</v>
      </c>
      <c r="E118" s="100" t="str">
        <f>IFERROR(VLOOKUP(C118,Resources!B:D,3,FALSE)," ")</f>
        <v>P</v>
      </c>
      <c r="F118" s="8">
        <v>1</v>
      </c>
      <c r="G118" s="8">
        <f>G116</f>
        <v>11.11</v>
      </c>
      <c r="H118" s="8">
        <f>H113</f>
        <v>48</v>
      </c>
      <c r="I118" s="109">
        <f>IFERROR(VLOOKUP(C118,Resources!B:G,6,FALSE)," ")</f>
        <v>55</v>
      </c>
      <c r="J118" s="109">
        <f t="shared" si="114"/>
        <v>237.62376237623761</v>
      </c>
      <c r="K118" s="8">
        <f t="shared" si="115"/>
        <v>4.3204320432043204</v>
      </c>
      <c r="L118" s="8">
        <f t="shared" si="116"/>
        <v>4.3204320432043204</v>
      </c>
      <c r="M118" s="109">
        <f t="shared" si="109"/>
        <v>0</v>
      </c>
      <c r="N118" s="109">
        <f t="shared" si="110"/>
        <v>0</v>
      </c>
      <c r="O118" s="109">
        <f t="shared" si="111"/>
        <v>237.62376237623761</v>
      </c>
      <c r="P118" s="109">
        <f t="shared" si="112"/>
        <v>0</v>
      </c>
      <c r="Q118" s="109">
        <f t="shared" si="117"/>
        <v>237.62376237623761</v>
      </c>
      <c r="R118" s="121">
        <v>62</v>
      </c>
      <c r="T118" s="188"/>
    </row>
    <row r="119" spans="1:20" x14ac:dyDescent="0.25">
      <c r="A119" s="100"/>
      <c r="B119" s="3">
        <v>7</v>
      </c>
      <c r="C119" s="5" t="s">
        <v>8</v>
      </c>
      <c r="D119" s="3" t="s">
        <v>48</v>
      </c>
      <c r="E119" s="100" t="str">
        <f>IFERROR(VLOOKUP(C119,Resources!B:D,3,FALSE)," ")</f>
        <v>L</v>
      </c>
      <c r="F119" s="8">
        <v>3</v>
      </c>
      <c r="G119" s="8">
        <f>G116</f>
        <v>11.11</v>
      </c>
      <c r="H119" s="8">
        <f>H113</f>
        <v>48</v>
      </c>
      <c r="I119" s="109">
        <f>IFERROR(VLOOKUP(C119,Resources!B:G,6,FALSE)," ")</f>
        <v>42</v>
      </c>
      <c r="J119" s="109">
        <f t="shared" si="114"/>
        <v>544.37443744374434</v>
      </c>
      <c r="K119" s="8">
        <f t="shared" si="115"/>
        <v>12.961296129612961</v>
      </c>
      <c r="L119" s="8">
        <f t="shared" si="116"/>
        <v>4.3204320432043204</v>
      </c>
      <c r="M119" s="109">
        <f t="shared" si="109"/>
        <v>544.37443744374434</v>
      </c>
      <c r="N119" s="109">
        <f t="shared" si="110"/>
        <v>0</v>
      </c>
      <c r="O119" s="109">
        <f t="shared" si="111"/>
        <v>0</v>
      </c>
      <c r="P119" s="109">
        <f t="shared" si="112"/>
        <v>0</v>
      </c>
      <c r="Q119" s="109">
        <f t="shared" si="117"/>
        <v>544.37443744374434</v>
      </c>
      <c r="R119" s="121">
        <v>62</v>
      </c>
      <c r="T119" s="188"/>
    </row>
    <row r="120" spans="1:20" x14ac:dyDescent="0.25">
      <c r="A120" s="100"/>
      <c r="B120" s="3">
        <v>8</v>
      </c>
      <c r="C120" s="5" t="s">
        <v>115</v>
      </c>
      <c r="D120" s="3" t="s">
        <v>48</v>
      </c>
      <c r="E120" s="100" t="str">
        <f>IFERROR(VLOOKUP(C120,Resources!B:D,3,FALSE)," ")</f>
        <v>P</v>
      </c>
      <c r="F120" s="8">
        <v>1</v>
      </c>
      <c r="G120" s="8">
        <f>G116</f>
        <v>11.11</v>
      </c>
      <c r="H120" s="8">
        <f>H113</f>
        <v>48</v>
      </c>
      <c r="I120" s="109">
        <f>IFERROR(VLOOKUP(C120,Resources!B:G,6,FALSE)," ")</f>
        <v>100</v>
      </c>
      <c r="J120" s="109">
        <f t="shared" si="114"/>
        <v>432.04320432043204</v>
      </c>
      <c r="K120" s="8">
        <f t="shared" si="115"/>
        <v>4.3204320432043204</v>
      </c>
      <c r="L120" s="8">
        <f t="shared" si="116"/>
        <v>4.3204320432043204</v>
      </c>
      <c r="M120" s="109">
        <f t="shared" si="109"/>
        <v>0</v>
      </c>
      <c r="N120" s="109">
        <f t="shared" si="110"/>
        <v>0</v>
      </c>
      <c r="O120" s="109">
        <f t="shared" si="111"/>
        <v>432.04320432043204</v>
      </c>
      <c r="P120" s="109">
        <f t="shared" si="112"/>
        <v>0</v>
      </c>
      <c r="Q120" s="109">
        <f t="shared" si="117"/>
        <v>432.04320432043204</v>
      </c>
      <c r="R120" s="121">
        <v>62</v>
      </c>
      <c r="T120" s="188"/>
    </row>
    <row r="121" spans="1:20" x14ac:dyDescent="0.25">
      <c r="A121" s="101"/>
      <c r="B121" s="4">
        <v>9</v>
      </c>
      <c r="C121" s="6" t="s">
        <v>116</v>
      </c>
      <c r="D121" s="4"/>
      <c r="E121" s="101" t="str">
        <f>IFERROR(VLOOKUP(C121,Resources!B:D,3,FALSE)," ")</f>
        <v xml:space="preserve"> </v>
      </c>
      <c r="F121" s="9"/>
      <c r="G121" s="9"/>
      <c r="H121" s="9"/>
      <c r="I121" s="38" t="str">
        <f>IFERROR(VLOOKUP(C121,Resources!B:G,6,FALSE)," ")</f>
        <v xml:space="preserve"> </v>
      </c>
      <c r="J121" s="38"/>
      <c r="K121" s="9"/>
      <c r="L121" s="9"/>
      <c r="M121" s="38"/>
      <c r="N121" s="38"/>
      <c r="O121" s="38"/>
      <c r="P121" s="38"/>
      <c r="Q121" s="38"/>
      <c r="R121" s="122"/>
      <c r="T121" s="188"/>
    </row>
    <row r="122" spans="1:20" x14ac:dyDescent="0.25">
      <c r="A122" s="100">
        <v>16.3</v>
      </c>
      <c r="B122" s="3">
        <v>10</v>
      </c>
      <c r="C122" s="5" t="s">
        <v>39</v>
      </c>
      <c r="D122" s="3" t="s">
        <v>48</v>
      </c>
      <c r="E122" s="100" t="str">
        <f>IFERROR(VLOOKUP(C122,Resources!B:D,3,FALSE)," ")</f>
        <v>P</v>
      </c>
      <c r="F122" s="8">
        <v>1</v>
      </c>
      <c r="G122" s="103">
        <f>VLOOKUP($A122,'Model Inputs'!$A:$D,4,FALSE)</f>
        <v>100</v>
      </c>
      <c r="H122" s="8">
        <f>H112/0.1</f>
        <v>200</v>
      </c>
      <c r="I122" s="109">
        <f>IFERROR(VLOOKUP(C122,Resources!B:G,6,FALSE)," ")</f>
        <v>145</v>
      </c>
      <c r="J122" s="109">
        <f t="shared" ref="J122" si="118">(H122/(G122/F122))*I122</f>
        <v>290</v>
      </c>
      <c r="K122" s="8">
        <f t="shared" ref="K122" si="119">L122*F122</f>
        <v>2</v>
      </c>
      <c r="L122" s="8">
        <f t="shared" ref="L122" si="120">IF(E122="M"," ",H122/G122)</f>
        <v>2</v>
      </c>
      <c r="M122" s="109">
        <f t="shared" ref="M122:M125" si="121">IF($E122="L",$J122,0)</f>
        <v>0</v>
      </c>
      <c r="N122" s="109">
        <f t="shared" ref="N122:N125" si="122">IF($E122="M",$J122,0)</f>
        <v>0</v>
      </c>
      <c r="O122" s="109">
        <f t="shared" ref="O122:O125" si="123">IF($E122="P",$J122,0)</f>
        <v>290</v>
      </c>
      <c r="P122" s="109">
        <f t="shared" ref="P122:P125" si="124">IF($E122="S",$J122,0)</f>
        <v>0</v>
      </c>
      <c r="Q122" s="109">
        <f t="shared" ref="Q122" si="125">SUM(M122:P122)</f>
        <v>290</v>
      </c>
      <c r="R122" s="121">
        <v>63</v>
      </c>
      <c r="T122" s="188"/>
    </row>
    <row r="123" spans="1:20" x14ac:dyDescent="0.25">
      <c r="A123" s="100"/>
      <c r="B123" s="3">
        <v>11</v>
      </c>
      <c r="C123" s="5" t="s">
        <v>64</v>
      </c>
      <c r="D123" s="3" t="s">
        <v>48</v>
      </c>
      <c r="E123" s="100" t="str">
        <f>IFERROR(VLOOKUP(C123,Resources!B:D,3,FALSE)," ")</f>
        <v>P</v>
      </c>
      <c r="F123" s="8">
        <v>1</v>
      </c>
      <c r="G123" s="8">
        <f>G122</f>
        <v>100</v>
      </c>
      <c r="H123" s="8">
        <f>H122</f>
        <v>200</v>
      </c>
      <c r="I123" s="109">
        <f>IFERROR(VLOOKUP(C123,Resources!B:G,6,FALSE)," ")</f>
        <v>100</v>
      </c>
      <c r="J123" s="109">
        <f t="shared" ref="J123:J125" si="126">(H123/(G123/F123))*I123</f>
        <v>200</v>
      </c>
      <c r="K123" s="8">
        <f t="shared" ref="K123:K125" si="127">L123*F123</f>
        <v>2</v>
      </c>
      <c r="L123" s="8">
        <f t="shared" ref="L123:L125" si="128">IF(E123="M"," ",H123/G123)</f>
        <v>2</v>
      </c>
      <c r="M123" s="109">
        <f t="shared" si="121"/>
        <v>0</v>
      </c>
      <c r="N123" s="109">
        <f t="shared" si="122"/>
        <v>0</v>
      </c>
      <c r="O123" s="109">
        <f t="shared" si="123"/>
        <v>200</v>
      </c>
      <c r="P123" s="109">
        <f t="shared" si="124"/>
        <v>0</v>
      </c>
      <c r="Q123" s="109">
        <f t="shared" ref="Q123:Q125" si="129">SUM(M123:P123)</f>
        <v>200</v>
      </c>
      <c r="R123" s="121">
        <v>63</v>
      </c>
      <c r="T123" s="188"/>
    </row>
    <row r="124" spans="1:20" x14ac:dyDescent="0.25">
      <c r="A124" s="100"/>
      <c r="B124" s="3">
        <v>12</v>
      </c>
      <c r="C124" s="5" t="s">
        <v>43</v>
      </c>
      <c r="D124" s="3" t="s">
        <v>48</v>
      </c>
      <c r="E124" s="100" t="str">
        <f>IFERROR(VLOOKUP(C124,Resources!B:D,3,FALSE)," ")</f>
        <v>P</v>
      </c>
      <c r="F124" s="8">
        <v>1</v>
      </c>
      <c r="G124" s="8">
        <f>G122/2</f>
        <v>50</v>
      </c>
      <c r="H124" s="8">
        <f>H122</f>
        <v>200</v>
      </c>
      <c r="I124" s="109">
        <f>IFERROR(VLOOKUP(C124,Resources!B:G,6,FALSE)," ")</f>
        <v>55</v>
      </c>
      <c r="J124" s="109">
        <f t="shared" si="126"/>
        <v>220</v>
      </c>
      <c r="K124" s="8">
        <f t="shared" si="127"/>
        <v>4</v>
      </c>
      <c r="L124" s="8">
        <f t="shared" si="128"/>
        <v>4</v>
      </c>
      <c r="M124" s="109">
        <f t="shared" si="121"/>
        <v>0</v>
      </c>
      <c r="N124" s="109">
        <f t="shared" si="122"/>
        <v>0</v>
      </c>
      <c r="O124" s="109">
        <f t="shared" si="123"/>
        <v>220</v>
      </c>
      <c r="P124" s="109">
        <f t="shared" si="124"/>
        <v>0</v>
      </c>
      <c r="Q124" s="109">
        <f t="shared" si="129"/>
        <v>220</v>
      </c>
      <c r="R124" s="121">
        <v>63</v>
      </c>
      <c r="T124" s="188"/>
    </row>
    <row r="125" spans="1:20" x14ac:dyDescent="0.25">
      <c r="A125" s="100">
        <v>16.399999999999999</v>
      </c>
      <c r="B125" s="3">
        <v>13</v>
      </c>
      <c r="C125" s="5" t="s">
        <v>8</v>
      </c>
      <c r="D125" s="3" t="s">
        <v>48</v>
      </c>
      <c r="E125" s="100" t="str">
        <f>IFERROR(VLOOKUP(C125,Resources!B:D,3,FALSE)," ")</f>
        <v>L</v>
      </c>
      <c r="F125" s="103">
        <f>VLOOKUP($A125,'Model Inputs'!$A:$D,4,FALSE)</f>
        <v>3</v>
      </c>
      <c r="G125" s="8">
        <f>G122</f>
        <v>100</v>
      </c>
      <c r="H125" s="8">
        <f>H122</f>
        <v>200</v>
      </c>
      <c r="I125" s="109">
        <f>IFERROR(VLOOKUP(C125,Resources!B:G,6,FALSE)," ")</f>
        <v>42</v>
      </c>
      <c r="J125" s="109">
        <f t="shared" si="126"/>
        <v>252</v>
      </c>
      <c r="K125" s="8">
        <f t="shared" si="127"/>
        <v>6</v>
      </c>
      <c r="L125" s="8">
        <f t="shared" si="128"/>
        <v>2</v>
      </c>
      <c r="M125" s="109">
        <f t="shared" si="121"/>
        <v>252</v>
      </c>
      <c r="N125" s="109">
        <f t="shared" si="122"/>
        <v>0</v>
      </c>
      <c r="O125" s="109">
        <f t="shared" si="123"/>
        <v>0</v>
      </c>
      <c r="P125" s="109">
        <f t="shared" si="124"/>
        <v>0</v>
      </c>
      <c r="Q125" s="109">
        <f t="shared" si="129"/>
        <v>252</v>
      </c>
      <c r="R125" s="121">
        <v>63</v>
      </c>
      <c r="T125" s="188"/>
    </row>
    <row r="126" spans="1:20" x14ac:dyDescent="0.25">
      <c r="A126" s="101"/>
      <c r="B126" s="4"/>
      <c r="C126" s="6"/>
      <c r="D126" s="4"/>
      <c r="E126" s="101" t="str">
        <f>IFERROR(VLOOKUP(C126,Resources!B:D,3,FALSE)," ")</f>
        <v xml:space="preserve"> </v>
      </c>
      <c r="F126" s="9"/>
      <c r="G126" s="9"/>
      <c r="H126" s="9"/>
      <c r="I126" s="38" t="str">
        <f>IFERROR(VLOOKUP(C126,Resources!B:G,6,FALSE)," ")</f>
        <v xml:space="preserve"> </v>
      </c>
      <c r="J126" s="38"/>
      <c r="K126" s="9"/>
      <c r="L126" s="9"/>
      <c r="M126" s="38"/>
      <c r="N126" s="38"/>
      <c r="O126" s="38"/>
      <c r="P126" s="38"/>
      <c r="Q126" s="38"/>
      <c r="R126" s="122"/>
      <c r="T126" s="188"/>
    </row>
    <row r="127" spans="1:20" ht="30" x14ac:dyDescent="0.25">
      <c r="A127" s="114">
        <v>17</v>
      </c>
      <c r="B127" s="1" t="s">
        <v>117</v>
      </c>
      <c r="C127" s="1" t="s">
        <v>118</v>
      </c>
      <c r="D127" s="2" t="s">
        <v>62</v>
      </c>
      <c r="E127" s="99" t="str">
        <f>IFERROR(VLOOKUP(C127,Resources!B:D,3,FALSE)," ")</f>
        <v xml:space="preserve"> </v>
      </c>
      <c r="F127" s="7"/>
      <c r="G127" s="7"/>
      <c r="H127" s="103">
        <f>VLOOKUP($A127,'Model Inputs'!$A:$D,4,FALSE)</f>
        <v>20</v>
      </c>
      <c r="I127" s="108" t="str">
        <f>IFERROR(VLOOKUP(C127,Resources!B:G,6,FALSE)," ")</f>
        <v xml:space="preserve"> </v>
      </c>
      <c r="J127" s="108">
        <f>SUBTOTAL(9,J129:J135)</f>
        <v>2836.8715790497968</v>
      </c>
      <c r="K127" s="7"/>
      <c r="L127" s="7">
        <f>ROUNDUP(MAX(L129+2,MAX(L131:L135))/Workhrs,0)</f>
        <v>1</v>
      </c>
      <c r="M127" s="108">
        <f t="shared" ref="M127:Q127" si="130">SUBTOTAL(9,M129:M135)</f>
        <v>544.37443744374434</v>
      </c>
      <c r="N127" s="108">
        <f t="shared" si="130"/>
        <v>0</v>
      </c>
      <c r="O127" s="108">
        <f t="shared" si="130"/>
        <v>2292.4971416060525</v>
      </c>
      <c r="P127" s="108">
        <f t="shared" si="130"/>
        <v>0</v>
      </c>
      <c r="Q127" s="108">
        <f t="shared" si="130"/>
        <v>2836.8715790497968</v>
      </c>
      <c r="R127" s="120"/>
      <c r="T127" s="188"/>
    </row>
    <row r="128" spans="1:20" x14ac:dyDescent="0.25">
      <c r="A128" s="100">
        <v>17.100000000000001</v>
      </c>
      <c r="B128" s="3">
        <v>1</v>
      </c>
      <c r="C128" s="5" t="s">
        <v>2361</v>
      </c>
      <c r="D128" s="3"/>
      <c r="E128" s="100" t="str">
        <f>IFERROR(VLOOKUP(C128,Resources!B:D,3,FALSE)," ")</f>
        <v xml:space="preserve"> </v>
      </c>
      <c r="F128" s="103">
        <f>VLOOKUP($A128,'Model Inputs'!$A:$D,4,FALSE)</f>
        <v>2.4</v>
      </c>
      <c r="G128" s="8"/>
      <c r="H128" s="8">
        <f>H127*F128</f>
        <v>48</v>
      </c>
      <c r="I128" s="109" t="str">
        <f>IFERROR(VLOOKUP(C128,Resources!B:G,6,FALSE)," ")</f>
        <v xml:space="preserve"> </v>
      </c>
      <c r="J128" s="109"/>
      <c r="K128" s="8"/>
      <c r="L128" s="8"/>
      <c r="M128" s="109"/>
      <c r="N128" s="109"/>
      <c r="O128" s="109"/>
      <c r="P128" s="109"/>
      <c r="Q128" s="109"/>
      <c r="R128" s="121"/>
      <c r="T128" s="188"/>
    </row>
    <row r="129" spans="1:20" x14ac:dyDescent="0.25">
      <c r="A129" s="100">
        <v>17.2</v>
      </c>
      <c r="B129" s="3">
        <v>2</v>
      </c>
      <c r="C129" s="5" t="s">
        <v>44</v>
      </c>
      <c r="D129" s="3" t="s">
        <v>48</v>
      </c>
      <c r="E129" s="100" t="str">
        <f>IFERROR(VLOOKUP(C129,Resources!B:D,3,FALSE)," ")</f>
        <v>P</v>
      </c>
      <c r="F129" s="103">
        <f>VLOOKUP($A129,'Model Inputs'!$A:$D,4,FALSE)</f>
        <v>3</v>
      </c>
      <c r="G129" s="8">
        <v>37</v>
      </c>
      <c r="H129" s="8">
        <f>H128</f>
        <v>48</v>
      </c>
      <c r="I129" s="109">
        <f>IFERROR(VLOOKUP(C129,Resources!B:G,6,FALSE)," ")</f>
        <v>145</v>
      </c>
      <c r="J129" s="109">
        <f t="shared" ref="J129" si="131">(H129/(G129/F129))*I129</f>
        <v>564.32432432432427</v>
      </c>
      <c r="K129" s="8">
        <f t="shared" ref="K129" si="132">L129*F129</f>
        <v>3.8918918918918921</v>
      </c>
      <c r="L129" s="8">
        <f t="shared" ref="L129" si="133">IF(E129="M"," ",H129/G129)</f>
        <v>1.2972972972972974</v>
      </c>
      <c r="M129" s="109">
        <f t="shared" ref="M129" si="134">IF($E129="L",$J129,0)</f>
        <v>0</v>
      </c>
      <c r="N129" s="109">
        <f t="shared" ref="N129" si="135">IF($E129="M",$J129,0)</f>
        <v>0</v>
      </c>
      <c r="O129" s="109">
        <f t="shared" ref="O129" si="136">IF($E129="P",$J129,0)</f>
        <v>564.32432432432427</v>
      </c>
      <c r="P129" s="109">
        <f t="shared" ref="P129" si="137">IF($E129="S",$J129,0)</f>
        <v>0</v>
      </c>
      <c r="Q129" s="109">
        <f t="shared" ref="Q129" si="138">SUM(M129:P129)</f>
        <v>564.32432432432427</v>
      </c>
      <c r="R129" s="121">
        <v>62</v>
      </c>
      <c r="T129" s="188"/>
    </row>
    <row r="130" spans="1:20" x14ac:dyDescent="0.25">
      <c r="A130" s="101"/>
      <c r="B130" s="4">
        <v>3</v>
      </c>
      <c r="C130" s="6" t="s">
        <v>114</v>
      </c>
      <c r="D130" s="4"/>
      <c r="E130" s="101" t="str">
        <f>IFERROR(VLOOKUP(C130,Resources!B:D,3,FALSE)," ")</f>
        <v xml:space="preserve"> </v>
      </c>
      <c r="F130" s="9"/>
      <c r="G130" s="9"/>
      <c r="H130" s="9"/>
      <c r="I130" s="38" t="str">
        <f>IFERROR(VLOOKUP(C130,Resources!B:G,6,FALSE)," ")</f>
        <v xml:space="preserve"> </v>
      </c>
      <c r="J130" s="38"/>
      <c r="K130" s="9"/>
      <c r="L130" s="9"/>
      <c r="M130" s="38"/>
      <c r="N130" s="38"/>
      <c r="O130" s="38"/>
      <c r="P130" s="38"/>
      <c r="Q130" s="38"/>
      <c r="R130" s="122"/>
      <c r="T130" s="188"/>
    </row>
    <row r="131" spans="1:20" x14ac:dyDescent="0.25">
      <c r="A131" s="100">
        <v>17.3</v>
      </c>
      <c r="B131" s="3">
        <v>4</v>
      </c>
      <c r="C131" s="5" t="s">
        <v>39</v>
      </c>
      <c r="D131" s="3" t="s">
        <v>48</v>
      </c>
      <c r="E131" s="100" t="str">
        <f>IFERROR(VLOOKUP(C131,Resources!B:D,3,FALSE)," ")</f>
        <v>P</v>
      </c>
      <c r="F131" s="8">
        <v>1</v>
      </c>
      <c r="G131" s="103">
        <f>VLOOKUP($A131,'Model Inputs'!$A:$D,4,FALSE)</f>
        <v>11.11</v>
      </c>
      <c r="H131" s="8">
        <f>H128</f>
        <v>48</v>
      </c>
      <c r="I131" s="109">
        <f>IFERROR(VLOOKUP(C131,Resources!B:G,6,FALSE)," ")</f>
        <v>145</v>
      </c>
      <c r="J131" s="109">
        <f t="shared" ref="J131" si="139">(H131/(G131/F131))*I131</f>
        <v>626.46264626462641</v>
      </c>
      <c r="K131" s="8">
        <f t="shared" ref="K131" si="140">L131*F131</f>
        <v>4.3204320432043204</v>
      </c>
      <c r="L131" s="8">
        <f t="shared" ref="L131" si="141">IF(E131="M"," ",H131/G131)</f>
        <v>4.3204320432043204</v>
      </c>
      <c r="M131" s="109">
        <f t="shared" ref="M131:M135" si="142">IF($E131="L",$J131,0)</f>
        <v>0</v>
      </c>
      <c r="N131" s="109">
        <f t="shared" ref="N131:N135" si="143">IF($E131="M",$J131,0)</f>
        <v>0</v>
      </c>
      <c r="O131" s="109">
        <f t="shared" ref="O131:O135" si="144">IF($E131="P",$J131,0)</f>
        <v>626.46264626462641</v>
      </c>
      <c r="P131" s="109">
        <f t="shared" ref="P131:P135" si="145">IF($E131="S",$J131,0)</f>
        <v>0</v>
      </c>
      <c r="Q131" s="109">
        <f t="shared" ref="Q131" si="146">SUM(M131:P131)</f>
        <v>626.46264626462641</v>
      </c>
      <c r="R131" s="121">
        <v>62</v>
      </c>
      <c r="T131" s="188"/>
    </row>
    <row r="132" spans="1:20" x14ac:dyDescent="0.25">
      <c r="A132" s="100"/>
      <c r="B132" s="3">
        <v>5</v>
      </c>
      <c r="C132" s="5" t="s">
        <v>64</v>
      </c>
      <c r="D132" s="3" t="s">
        <v>48</v>
      </c>
      <c r="E132" s="100" t="str">
        <f>IFERROR(VLOOKUP(C132,Resources!B:D,3,FALSE)," ")</f>
        <v>P</v>
      </c>
      <c r="F132" s="8">
        <v>1</v>
      </c>
      <c r="G132" s="8">
        <f>G131</f>
        <v>11.11</v>
      </c>
      <c r="H132" s="8">
        <f>H128</f>
        <v>48</v>
      </c>
      <c r="I132" s="109">
        <f>IFERROR(VLOOKUP(C132,Resources!B:G,6,FALSE)," ")</f>
        <v>100</v>
      </c>
      <c r="J132" s="109">
        <f t="shared" ref="J132:J135" si="147">(H132/(G132/F132))*I132</f>
        <v>432.04320432043204</v>
      </c>
      <c r="K132" s="8">
        <f t="shared" ref="K132:K135" si="148">L132*F132</f>
        <v>4.3204320432043204</v>
      </c>
      <c r="L132" s="8">
        <f t="shared" ref="L132:L135" si="149">IF(E132="M"," ",H132/G132)</f>
        <v>4.3204320432043204</v>
      </c>
      <c r="M132" s="109">
        <f t="shared" si="142"/>
        <v>0</v>
      </c>
      <c r="N132" s="109">
        <f t="shared" si="143"/>
        <v>0</v>
      </c>
      <c r="O132" s="109">
        <f t="shared" si="144"/>
        <v>432.04320432043204</v>
      </c>
      <c r="P132" s="109">
        <f t="shared" si="145"/>
        <v>0</v>
      </c>
      <c r="Q132" s="109">
        <f t="shared" ref="Q132:Q135" si="150">SUM(M132:P132)</f>
        <v>432.04320432043204</v>
      </c>
      <c r="R132" s="121">
        <v>62</v>
      </c>
      <c r="T132" s="188"/>
    </row>
    <row r="133" spans="1:20" x14ac:dyDescent="0.25">
      <c r="A133" s="100"/>
      <c r="B133" s="3">
        <v>6</v>
      </c>
      <c r="C133" s="5" t="s">
        <v>69</v>
      </c>
      <c r="D133" s="3" t="s">
        <v>48</v>
      </c>
      <c r="E133" s="100" t="str">
        <f>IFERROR(VLOOKUP(C133,Resources!B:D,3,FALSE)," ")</f>
        <v>P</v>
      </c>
      <c r="F133" s="8">
        <v>1</v>
      </c>
      <c r="G133" s="8">
        <f>G131</f>
        <v>11.11</v>
      </c>
      <c r="H133" s="8">
        <f>H128</f>
        <v>48</v>
      </c>
      <c r="I133" s="109">
        <f>IFERROR(VLOOKUP(C133,Resources!B:G,6,FALSE)," ")</f>
        <v>55</v>
      </c>
      <c r="J133" s="109">
        <f t="shared" si="147"/>
        <v>237.62376237623761</v>
      </c>
      <c r="K133" s="8">
        <f t="shared" si="148"/>
        <v>4.3204320432043204</v>
      </c>
      <c r="L133" s="8">
        <f t="shared" si="149"/>
        <v>4.3204320432043204</v>
      </c>
      <c r="M133" s="109">
        <f t="shared" si="142"/>
        <v>0</v>
      </c>
      <c r="N133" s="109">
        <f t="shared" si="143"/>
        <v>0</v>
      </c>
      <c r="O133" s="109">
        <f t="shared" si="144"/>
        <v>237.62376237623761</v>
      </c>
      <c r="P133" s="109">
        <f t="shared" si="145"/>
        <v>0</v>
      </c>
      <c r="Q133" s="109">
        <f t="shared" si="150"/>
        <v>237.62376237623761</v>
      </c>
      <c r="R133" s="121">
        <v>62</v>
      </c>
      <c r="T133" s="188"/>
    </row>
    <row r="134" spans="1:20" x14ac:dyDescent="0.25">
      <c r="A134" s="100">
        <v>17.399999999999999</v>
      </c>
      <c r="B134" s="3">
        <v>7</v>
      </c>
      <c r="C134" s="5" t="s">
        <v>8</v>
      </c>
      <c r="D134" s="3" t="s">
        <v>48</v>
      </c>
      <c r="E134" s="100" t="str">
        <f>IFERROR(VLOOKUP(C134,Resources!B:D,3,FALSE)," ")</f>
        <v>L</v>
      </c>
      <c r="F134" s="103">
        <f>VLOOKUP($A134,'Model Inputs'!$A:$D,4,FALSE)</f>
        <v>3</v>
      </c>
      <c r="G134" s="8">
        <f>G131</f>
        <v>11.11</v>
      </c>
      <c r="H134" s="8">
        <f>H128</f>
        <v>48</v>
      </c>
      <c r="I134" s="109">
        <f>IFERROR(VLOOKUP(C134,Resources!B:G,6,FALSE)," ")</f>
        <v>42</v>
      </c>
      <c r="J134" s="109">
        <f t="shared" si="147"/>
        <v>544.37443744374434</v>
      </c>
      <c r="K134" s="8">
        <f t="shared" si="148"/>
        <v>12.961296129612961</v>
      </c>
      <c r="L134" s="8">
        <f t="shared" si="149"/>
        <v>4.3204320432043204</v>
      </c>
      <c r="M134" s="109">
        <f t="shared" si="142"/>
        <v>544.37443744374434</v>
      </c>
      <c r="N134" s="109">
        <f t="shared" si="143"/>
        <v>0</v>
      </c>
      <c r="O134" s="109">
        <f t="shared" si="144"/>
        <v>0</v>
      </c>
      <c r="P134" s="109">
        <f t="shared" si="145"/>
        <v>0</v>
      </c>
      <c r="Q134" s="109">
        <f t="shared" si="150"/>
        <v>544.37443744374434</v>
      </c>
      <c r="R134" s="121">
        <v>62</v>
      </c>
      <c r="T134" s="188"/>
    </row>
    <row r="135" spans="1:20" x14ac:dyDescent="0.25">
      <c r="A135" s="100"/>
      <c r="B135" s="3">
        <v>8</v>
      </c>
      <c r="C135" s="5" t="s">
        <v>115</v>
      </c>
      <c r="D135" s="3" t="s">
        <v>48</v>
      </c>
      <c r="E135" s="100" t="str">
        <f>IFERROR(VLOOKUP(C135,Resources!B:D,3,FALSE)," ")</f>
        <v>P</v>
      </c>
      <c r="F135" s="8">
        <v>1</v>
      </c>
      <c r="G135" s="8">
        <f>G131</f>
        <v>11.11</v>
      </c>
      <c r="H135" s="8">
        <f>H128</f>
        <v>48</v>
      </c>
      <c r="I135" s="109">
        <f>IFERROR(VLOOKUP(C135,Resources!B:G,6,FALSE)," ")</f>
        <v>100</v>
      </c>
      <c r="J135" s="109">
        <f t="shared" si="147"/>
        <v>432.04320432043204</v>
      </c>
      <c r="K135" s="8">
        <f t="shared" si="148"/>
        <v>4.3204320432043204</v>
      </c>
      <c r="L135" s="8">
        <f t="shared" si="149"/>
        <v>4.3204320432043204</v>
      </c>
      <c r="M135" s="109">
        <f t="shared" si="142"/>
        <v>0</v>
      </c>
      <c r="N135" s="109">
        <f t="shared" si="143"/>
        <v>0</v>
      </c>
      <c r="O135" s="109">
        <f t="shared" si="144"/>
        <v>432.04320432043204</v>
      </c>
      <c r="P135" s="109">
        <f t="shared" si="145"/>
        <v>0</v>
      </c>
      <c r="Q135" s="109">
        <f t="shared" si="150"/>
        <v>432.04320432043204</v>
      </c>
      <c r="R135" s="121">
        <v>62</v>
      </c>
      <c r="T135" s="188"/>
    </row>
    <row r="136" spans="1:20" x14ac:dyDescent="0.25">
      <c r="A136" s="101"/>
      <c r="B136" s="4"/>
      <c r="C136" s="6"/>
      <c r="D136" s="4"/>
      <c r="E136" s="101" t="str">
        <f>IFERROR(VLOOKUP(C136,Resources!B:D,3,FALSE)," ")</f>
        <v xml:space="preserve"> </v>
      </c>
      <c r="F136" s="9"/>
      <c r="G136" s="9"/>
      <c r="H136" s="9"/>
      <c r="I136" s="38" t="str">
        <f>IFERROR(VLOOKUP(C136,Resources!B:G,6,FALSE)," ")</f>
        <v xml:space="preserve"> </v>
      </c>
      <c r="J136" s="38"/>
      <c r="K136" s="9"/>
      <c r="L136" s="9"/>
      <c r="M136" s="38"/>
      <c r="N136" s="38"/>
      <c r="O136" s="38"/>
      <c r="P136" s="38"/>
      <c r="Q136" s="38"/>
      <c r="R136" s="122"/>
      <c r="T136" s="188"/>
    </row>
    <row r="137" spans="1:20" ht="30" x14ac:dyDescent="0.25">
      <c r="A137" s="114"/>
      <c r="B137" s="1" t="s">
        <v>119</v>
      </c>
      <c r="C137" s="1" t="s">
        <v>120</v>
      </c>
      <c r="D137" s="2"/>
      <c r="E137" s="99" t="str">
        <f>IFERROR(VLOOKUP(C137,Resources!B:D,3,FALSE)," ")</f>
        <v xml:space="preserve"> </v>
      </c>
      <c r="F137" s="7"/>
      <c r="G137" s="7"/>
      <c r="H137" s="7"/>
      <c r="I137" s="108" t="str">
        <f>IFERROR(VLOOKUP(C137,Resources!B:G,6,FALSE)," ")</f>
        <v xml:space="preserve"> </v>
      </c>
      <c r="J137" s="108"/>
      <c r="K137" s="7"/>
      <c r="L137" s="7"/>
      <c r="M137" s="108"/>
      <c r="N137" s="108"/>
      <c r="O137" s="108"/>
      <c r="P137" s="108"/>
      <c r="Q137" s="108"/>
      <c r="R137" s="120"/>
      <c r="T137" s="188"/>
    </row>
    <row r="138" spans="1:20" ht="45" x14ac:dyDescent="0.25">
      <c r="A138" s="114"/>
      <c r="B138" s="1" t="s">
        <v>121</v>
      </c>
      <c r="C138" s="1" t="s">
        <v>122</v>
      </c>
      <c r="D138" s="2"/>
      <c r="E138" s="99" t="str">
        <f>IFERROR(VLOOKUP(C138,Resources!B:D,3,FALSE)," ")</f>
        <v xml:space="preserve"> </v>
      </c>
      <c r="F138" s="7"/>
      <c r="G138" s="7"/>
      <c r="H138" s="7"/>
      <c r="I138" s="108" t="str">
        <f>IFERROR(VLOOKUP(C138,Resources!B:G,6,FALSE)," ")</f>
        <v xml:space="preserve"> </v>
      </c>
      <c r="J138" s="108"/>
      <c r="K138" s="7"/>
      <c r="L138" s="7"/>
      <c r="M138" s="108"/>
      <c r="N138" s="108"/>
      <c r="O138" s="108"/>
      <c r="P138" s="108"/>
      <c r="Q138" s="108"/>
      <c r="R138" s="120"/>
      <c r="T138" s="188"/>
    </row>
    <row r="139" spans="1:20" ht="30" x14ac:dyDescent="0.25">
      <c r="A139" s="114">
        <v>18</v>
      </c>
      <c r="B139" s="1" t="s">
        <v>123</v>
      </c>
      <c r="C139" s="1" t="s">
        <v>124</v>
      </c>
      <c r="D139" s="2" t="s">
        <v>107</v>
      </c>
      <c r="E139" s="99" t="str">
        <f>IFERROR(VLOOKUP(C139,Resources!B:D,3,FALSE)," ")</f>
        <v xml:space="preserve"> </v>
      </c>
      <c r="F139" s="7"/>
      <c r="G139" s="7"/>
      <c r="H139" s="103">
        <f>VLOOKUP($A139,'Model Inputs'!$A:$D,4,FALSE)</f>
        <v>200</v>
      </c>
      <c r="I139" s="108" t="str">
        <f>IFERROR(VLOOKUP(C139,Resources!B:G,6,FALSE)," ")</f>
        <v xml:space="preserve"> </v>
      </c>
      <c r="J139" s="108">
        <f>SUBTOTAL(9,J140)</f>
        <v>10878</v>
      </c>
      <c r="K139" s="7"/>
      <c r="L139" s="7">
        <f>ROUNDUP(L140/2000,0)</f>
        <v>1</v>
      </c>
      <c r="M139" s="108">
        <f t="shared" ref="M139:Q139" si="151">SUBTOTAL(9,M140)</f>
        <v>0</v>
      </c>
      <c r="N139" s="108">
        <f t="shared" si="151"/>
        <v>0</v>
      </c>
      <c r="O139" s="108">
        <f t="shared" si="151"/>
        <v>0</v>
      </c>
      <c r="P139" s="108">
        <f t="shared" si="151"/>
        <v>10878</v>
      </c>
      <c r="Q139" s="108">
        <f t="shared" si="151"/>
        <v>10878</v>
      </c>
      <c r="R139" s="120"/>
      <c r="T139" s="188"/>
    </row>
    <row r="140" spans="1:20" x14ac:dyDescent="0.25">
      <c r="A140" s="100">
        <v>18.100000000000001</v>
      </c>
      <c r="B140" s="3">
        <v>1</v>
      </c>
      <c r="C140" s="5" t="s">
        <v>125</v>
      </c>
      <c r="D140" s="3" t="s">
        <v>83</v>
      </c>
      <c r="E140" s="100" t="str">
        <f>IFERROR(VLOOKUP(C140,Resources!B:D,3,FALSE)," ")</f>
        <v>S</v>
      </c>
      <c r="F140" s="103">
        <f>VLOOKUP($A140,'Model Inputs'!$A:$D,4,FALSE)</f>
        <v>1.05</v>
      </c>
      <c r="G140" s="8">
        <v>1</v>
      </c>
      <c r="H140" s="8">
        <f>H139*F140</f>
        <v>210</v>
      </c>
      <c r="I140" s="109">
        <f>IFERROR(VLOOKUP(C140,Resources!B:G,6,FALSE)," ")</f>
        <v>51.8</v>
      </c>
      <c r="J140" s="109">
        <f>I140*H140</f>
        <v>10878</v>
      </c>
      <c r="K140" s="8"/>
      <c r="L140" s="8">
        <f t="shared" ref="L140" si="152">IF(E140="M"," ",H140/G140)</f>
        <v>210</v>
      </c>
      <c r="M140" s="109">
        <f t="shared" ref="M140" si="153">IF($E140="L",$J140,0)</f>
        <v>0</v>
      </c>
      <c r="N140" s="109">
        <f t="shared" ref="N140" si="154">IF($E140="M",$J140,0)</f>
        <v>0</v>
      </c>
      <c r="O140" s="109">
        <f t="shared" ref="O140" si="155">IF($E140="P",$J140,0)</f>
        <v>0</v>
      </c>
      <c r="P140" s="109">
        <f t="shared" ref="P140" si="156">IF($E140="S",$J140,0)</f>
        <v>10878</v>
      </c>
      <c r="Q140" s="109">
        <f t="shared" ref="Q140" si="157">SUM(M140:P140)</f>
        <v>10878</v>
      </c>
      <c r="R140" s="121">
        <v>64</v>
      </c>
      <c r="T140" s="188"/>
    </row>
    <row r="141" spans="1:20" x14ac:dyDescent="0.25">
      <c r="A141" s="101"/>
      <c r="B141" s="4"/>
      <c r="C141" s="6"/>
      <c r="D141" s="4"/>
      <c r="E141" s="101" t="str">
        <f>IFERROR(VLOOKUP(C141,Resources!B:D,3,FALSE)," ")</f>
        <v xml:space="preserve"> </v>
      </c>
      <c r="F141" s="9"/>
      <c r="G141" s="9"/>
      <c r="H141" s="9"/>
      <c r="I141" s="38" t="str">
        <f>IFERROR(VLOOKUP(C141,Resources!B:G,6,FALSE)," ")</f>
        <v xml:space="preserve"> </v>
      </c>
      <c r="J141" s="38"/>
      <c r="K141" s="9"/>
      <c r="L141" s="9"/>
      <c r="M141" s="38"/>
      <c r="N141" s="38"/>
      <c r="O141" s="38"/>
      <c r="P141" s="38"/>
      <c r="Q141" s="38"/>
      <c r="R141" s="122"/>
      <c r="T141" s="188"/>
    </row>
    <row r="142" spans="1:20" ht="60" x14ac:dyDescent="0.25">
      <c r="A142" s="114">
        <v>19</v>
      </c>
      <c r="B142" s="1" t="s">
        <v>126</v>
      </c>
      <c r="C142" s="1" t="s">
        <v>127</v>
      </c>
      <c r="D142" s="2" t="s">
        <v>107</v>
      </c>
      <c r="E142" s="99" t="str">
        <f>IFERROR(VLOOKUP(C142,Resources!B:D,3,FALSE)," ")</f>
        <v xml:space="preserve"> </v>
      </c>
      <c r="F142" s="7"/>
      <c r="G142" s="7"/>
      <c r="H142" s="103">
        <f>VLOOKUP($A142,'Model Inputs'!$A:$D,4,FALSE)</f>
        <v>200</v>
      </c>
      <c r="I142" s="108" t="str">
        <f>IFERROR(VLOOKUP(C142,Resources!B:G,6,FALSE)," ")</f>
        <v xml:space="preserve"> </v>
      </c>
      <c r="J142" s="108">
        <f>SUBTOTAL(9,J143)</f>
        <v>10878</v>
      </c>
      <c r="K142" s="7"/>
      <c r="L142" s="7">
        <f>ROUNDUP(L143/2000,0)</f>
        <v>1</v>
      </c>
      <c r="M142" s="108">
        <f t="shared" ref="M142" si="158">SUBTOTAL(9,M143)</f>
        <v>0</v>
      </c>
      <c r="N142" s="108">
        <f t="shared" ref="N142" si="159">SUBTOTAL(9,N143)</f>
        <v>0</v>
      </c>
      <c r="O142" s="108">
        <f t="shared" ref="O142" si="160">SUBTOTAL(9,O143)</f>
        <v>0</v>
      </c>
      <c r="P142" s="108">
        <f t="shared" ref="P142" si="161">SUBTOTAL(9,P143)</f>
        <v>10878</v>
      </c>
      <c r="Q142" s="108">
        <f t="shared" ref="Q142" si="162">SUBTOTAL(9,Q143)</f>
        <v>10878</v>
      </c>
      <c r="R142" s="120"/>
      <c r="T142" s="188"/>
    </row>
    <row r="143" spans="1:20" x14ac:dyDescent="0.25">
      <c r="A143" s="100">
        <v>19.100000000000001</v>
      </c>
      <c r="B143" s="3">
        <v>1</v>
      </c>
      <c r="C143" s="5" t="s">
        <v>125</v>
      </c>
      <c r="D143" s="3" t="s">
        <v>83</v>
      </c>
      <c r="E143" s="100" t="str">
        <f>IFERROR(VLOOKUP(C143,Resources!B:D,3,FALSE)," ")</f>
        <v>S</v>
      </c>
      <c r="F143" s="103">
        <f>VLOOKUP($A143,'Model Inputs'!$A:$D,4,FALSE)</f>
        <v>1.05</v>
      </c>
      <c r="G143" s="8">
        <v>1</v>
      </c>
      <c r="H143" s="8">
        <f>H142*F143</f>
        <v>210</v>
      </c>
      <c r="I143" s="109">
        <f>IFERROR(VLOOKUP(C143,Resources!B:G,6,FALSE)," ")</f>
        <v>51.8</v>
      </c>
      <c r="J143" s="109">
        <f>I143*H143</f>
        <v>10878</v>
      </c>
      <c r="K143" s="8"/>
      <c r="L143" s="8">
        <f t="shared" ref="L143" si="163">IF(E143="M"," ",H143/G143)</f>
        <v>210</v>
      </c>
      <c r="M143" s="109">
        <f t="shared" ref="M143" si="164">IF($E143="L",$J143,0)</f>
        <v>0</v>
      </c>
      <c r="N143" s="109">
        <f t="shared" ref="N143" si="165">IF($E143="M",$J143,0)</f>
        <v>0</v>
      </c>
      <c r="O143" s="109">
        <f t="shared" ref="O143" si="166">IF($E143="P",$J143,0)</f>
        <v>0</v>
      </c>
      <c r="P143" s="109">
        <f t="shared" ref="P143" si="167">IF($E143="S",$J143,0)</f>
        <v>10878</v>
      </c>
      <c r="Q143" s="109">
        <f t="shared" ref="Q143" si="168">SUM(M143:P143)</f>
        <v>10878</v>
      </c>
      <c r="R143" s="121">
        <v>64</v>
      </c>
      <c r="T143" s="188"/>
    </row>
    <row r="144" spans="1:20" x14ac:dyDescent="0.25">
      <c r="A144" s="101"/>
      <c r="B144" s="4"/>
      <c r="C144" s="6"/>
      <c r="D144" s="4"/>
      <c r="E144" s="101" t="str">
        <f>IFERROR(VLOOKUP(C144,Resources!B:D,3,FALSE)," ")</f>
        <v xml:space="preserve"> </v>
      </c>
      <c r="F144" s="9"/>
      <c r="G144" s="9"/>
      <c r="H144" s="9"/>
      <c r="I144" s="38" t="str">
        <f>IFERROR(VLOOKUP(C144,Resources!B:G,6,FALSE)," ")</f>
        <v xml:space="preserve"> </v>
      </c>
      <c r="J144" s="38"/>
      <c r="K144" s="9"/>
      <c r="L144" s="9"/>
      <c r="M144" s="38"/>
      <c r="N144" s="38"/>
      <c r="O144" s="38"/>
      <c r="P144" s="38"/>
      <c r="Q144" s="38"/>
      <c r="R144" s="122"/>
      <c r="T144" s="188"/>
    </row>
    <row r="145" spans="1:20" ht="30" x14ac:dyDescent="0.25">
      <c r="A145" s="114"/>
      <c r="B145" s="1" t="s">
        <v>128</v>
      </c>
      <c r="C145" s="1" t="s">
        <v>129</v>
      </c>
      <c r="D145" s="2"/>
      <c r="E145" s="99" t="str">
        <f>IFERROR(VLOOKUP(C145,Resources!B:D,3,FALSE)," ")</f>
        <v xml:space="preserve"> </v>
      </c>
      <c r="F145" s="7"/>
      <c r="G145" s="7"/>
      <c r="H145" s="7"/>
      <c r="I145" s="108" t="str">
        <f>IFERROR(VLOOKUP(C145,Resources!B:G,6,FALSE)," ")</f>
        <v xml:space="preserve"> </v>
      </c>
      <c r="J145" s="108"/>
      <c r="K145" s="7"/>
      <c r="L145" s="7"/>
      <c r="M145" s="108"/>
      <c r="N145" s="108"/>
      <c r="O145" s="108"/>
      <c r="P145" s="108"/>
      <c r="Q145" s="108"/>
      <c r="R145" s="120"/>
      <c r="T145" s="188"/>
    </row>
    <row r="146" spans="1:20" ht="30" x14ac:dyDescent="0.25">
      <c r="A146" s="114"/>
      <c r="B146" s="1" t="s">
        <v>130</v>
      </c>
      <c r="C146" s="1" t="s">
        <v>131</v>
      </c>
      <c r="D146" s="2"/>
      <c r="E146" s="99" t="str">
        <f>IFERROR(VLOOKUP(C146,Resources!B:D,3,FALSE)," ")</f>
        <v xml:space="preserve"> </v>
      </c>
      <c r="F146" s="7"/>
      <c r="G146" s="7"/>
      <c r="H146" s="7"/>
      <c r="I146" s="108" t="str">
        <f>IFERROR(VLOOKUP(C146,Resources!B:G,6,FALSE)," ")</f>
        <v xml:space="preserve"> </v>
      </c>
      <c r="J146" s="108"/>
      <c r="K146" s="7"/>
      <c r="L146" s="7"/>
      <c r="M146" s="108"/>
      <c r="N146" s="108"/>
      <c r="O146" s="108"/>
      <c r="P146" s="108"/>
      <c r="Q146" s="108"/>
      <c r="R146" s="120"/>
      <c r="T146" s="188"/>
    </row>
    <row r="147" spans="1:20" ht="30" x14ac:dyDescent="0.25">
      <c r="A147" s="114">
        <v>20</v>
      </c>
      <c r="B147" s="1" t="s">
        <v>132</v>
      </c>
      <c r="C147" s="1" t="s">
        <v>133</v>
      </c>
      <c r="D147" s="2" t="s">
        <v>29</v>
      </c>
      <c r="E147" s="99" t="str">
        <f>IFERROR(VLOOKUP(C147,Resources!B:D,3,FALSE)," ")</f>
        <v xml:space="preserve"> </v>
      </c>
      <c r="F147" s="7"/>
      <c r="G147" s="7"/>
      <c r="H147" s="103">
        <f>VLOOKUP($A147,'Model Inputs'!$A:$D,4,FALSE)</f>
        <v>4</v>
      </c>
      <c r="I147" s="108" t="str">
        <f>IFERROR(VLOOKUP(C147,Resources!B:G,6,FALSE)," ")</f>
        <v xml:space="preserve"> </v>
      </c>
      <c r="J147" s="108">
        <f>SUBTOTAL(9,J148)</f>
        <v>140</v>
      </c>
      <c r="K147" s="7"/>
      <c r="L147" s="7">
        <v>1</v>
      </c>
      <c r="M147" s="108">
        <f t="shared" ref="M147" si="169">SUBTOTAL(9,M148)</f>
        <v>0</v>
      </c>
      <c r="N147" s="108">
        <f t="shared" ref="N147" si="170">SUBTOTAL(9,N148)</f>
        <v>140</v>
      </c>
      <c r="O147" s="108">
        <f t="shared" ref="O147" si="171">SUBTOTAL(9,O148)</f>
        <v>0</v>
      </c>
      <c r="P147" s="108">
        <f t="shared" ref="P147" si="172">SUBTOTAL(9,P148)</f>
        <v>0</v>
      </c>
      <c r="Q147" s="108">
        <f t="shared" ref="Q147" si="173">SUBTOTAL(9,Q148)</f>
        <v>140</v>
      </c>
      <c r="R147" s="120"/>
      <c r="T147" s="188"/>
    </row>
    <row r="148" spans="1:20" x14ac:dyDescent="0.25">
      <c r="A148" s="100"/>
      <c r="B148" s="3">
        <v>1</v>
      </c>
      <c r="C148" s="5" t="s">
        <v>134</v>
      </c>
      <c r="D148" s="3" t="s">
        <v>29</v>
      </c>
      <c r="E148" s="100" t="str">
        <f>IFERROR(VLOOKUP(C148,Resources!B:D,3,FALSE)," ")</f>
        <v>M</v>
      </c>
      <c r="F148" s="8">
        <v>1</v>
      </c>
      <c r="G148" s="8">
        <v>1</v>
      </c>
      <c r="H148" s="8">
        <f>H147</f>
        <v>4</v>
      </c>
      <c r="I148" s="109">
        <f>IFERROR(VLOOKUP(C148,Resources!B:G,6,FALSE)," ")</f>
        <v>35</v>
      </c>
      <c r="J148" s="109">
        <f>I148*H148</f>
        <v>140</v>
      </c>
      <c r="K148" s="8"/>
      <c r="L148" s="8" t="str">
        <f t="shared" ref="L148" si="174">IF(E148="M"," ",H148/G148)</f>
        <v xml:space="preserve"> </v>
      </c>
      <c r="M148" s="109">
        <f t="shared" ref="M148" si="175">IF($E148="L",$J148,0)</f>
        <v>0</v>
      </c>
      <c r="N148" s="109">
        <f t="shared" ref="N148" si="176">IF($E148="M",$J148,0)</f>
        <v>140</v>
      </c>
      <c r="O148" s="109">
        <f t="shared" ref="O148" si="177">IF($E148="P",$J148,0)</f>
        <v>0</v>
      </c>
      <c r="P148" s="109">
        <f t="shared" ref="P148" si="178">IF($E148="S",$J148,0)</f>
        <v>0</v>
      </c>
      <c r="Q148" s="109">
        <f t="shared" ref="Q148" si="179">SUM(M148:P148)</f>
        <v>140</v>
      </c>
      <c r="R148" s="121">
        <v>67</v>
      </c>
      <c r="T148" s="188"/>
    </row>
    <row r="149" spans="1:20" x14ac:dyDescent="0.25">
      <c r="A149" s="101"/>
      <c r="B149" s="4"/>
      <c r="C149" s="6"/>
      <c r="D149" s="4"/>
      <c r="E149" s="101" t="str">
        <f>IFERROR(VLOOKUP(C149,Resources!B:D,3,FALSE)," ")</f>
        <v xml:space="preserve"> </v>
      </c>
      <c r="F149" s="9"/>
      <c r="G149" s="9"/>
      <c r="H149" s="9"/>
      <c r="I149" s="38" t="str">
        <f>IFERROR(VLOOKUP(C149,Resources!B:G,6,FALSE)," ")</f>
        <v xml:space="preserve"> </v>
      </c>
      <c r="J149" s="38"/>
      <c r="K149" s="9"/>
      <c r="L149" s="9"/>
      <c r="M149" s="38"/>
      <c r="N149" s="38"/>
      <c r="O149" s="38"/>
      <c r="P149" s="38"/>
      <c r="Q149" s="38"/>
      <c r="R149" s="122"/>
      <c r="T149" s="188"/>
    </row>
    <row r="150" spans="1:20" ht="30" x14ac:dyDescent="0.25">
      <c r="A150" s="114"/>
      <c r="B150" s="1" t="s">
        <v>135</v>
      </c>
      <c r="C150" s="1" t="s">
        <v>136</v>
      </c>
      <c r="D150" s="2"/>
      <c r="E150" s="99" t="str">
        <f>IFERROR(VLOOKUP(C150,Resources!B:D,3,FALSE)," ")</f>
        <v xml:space="preserve"> </v>
      </c>
      <c r="F150" s="7"/>
      <c r="G150" s="7"/>
      <c r="H150" s="7"/>
      <c r="I150" s="108" t="str">
        <f>IFERROR(VLOOKUP(C150,Resources!B:G,6,FALSE)," ")</f>
        <v xml:space="preserve"> </v>
      </c>
      <c r="J150" s="108"/>
      <c r="K150" s="7"/>
      <c r="L150" s="7"/>
      <c r="M150" s="108"/>
      <c r="N150" s="108"/>
      <c r="O150" s="108"/>
      <c r="P150" s="108"/>
      <c r="Q150" s="108"/>
      <c r="R150" s="120"/>
      <c r="T150" s="188"/>
    </row>
    <row r="151" spans="1:20" ht="30" x14ac:dyDescent="0.25">
      <c r="A151" s="114"/>
      <c r="B151" s="1" t="s">
        <v>137</v>
      </c>
      <c r="C151" s="1" t="s">
        <v>138</v>
      </c>
      <c r="D151" s="2"/>
      <c r="E151" s="99" t="str">
        <f>IFERROR(VLOOKUP(C151,Resources!B:D,3,FALSE)," ")</f>
        <v xml:space="preserve"> </v>
      </c>
      <c r="F151" s="7"/>
      <c r="G151" s="7"/>
      <c r="H151" s="7"/>
      <c r="I151" s="108" t="str">
        <f>IFERROR(VLOOKUP(C151,Resources!B:G,6,FALSE)," ")</f>
        <v xml:space="preserve"> </v>
      </c>
      <c r="J151" s="108"/>
      <c r="K151" s="7"/>
      <c r="L151" s="7"/>
      <c r="M151" s="108"/>
      <c r="N151" s="108"/>
      <c r="O151" s="108"/>
      <c r="P151" s="108"/>
      <c r="Q151" s="108"/>
      <c r="R151" s="120"/>
      <c r="T151" s="188"/>
    </row>
    <row r="152" spans="1:20" ht="30" x14ac:dyDescent="0.25">
      <c r="A152" s="114"/>
      <c r="B152" s="1" t="s">
        <v>139</v>
      </c>
      <c r="C152" s="1" t="s">
        <v>140</v>
      </c>
      <c r="D152" s="2"/>
      <c r="E152" s="99" t="str">
        <f>IFERROR(VLOOKUP(C152,Resources!B:D,3,FALSE)," ")</f>
        <v xml:space="preserve"> </v>
      </c>
      <c r="F152" s="7"/>
      <c r="G152" s="7"/>
      <c r="H152" s="7"/>
      <c r="I152" s="108" t="str">
        <f>IFERROR(VLOOKUP(C152,Resources!B:G,6,FALSE)," ")</f>
        <v xml:space="preserve"> </v>
      </c>
      <c r="J152" s="108"/>
      <c r="K152" s="7"/>
      <c r="L152" s="7"/>
      <c r="M152" s="108"/>
      <c r="N152" s="108"/>
      <c r="O152" s="108"/>
      <c r="P152" s="108"/>
      <c r="Q152" s="108"/>
      <c r="R152" s="120"/>
      <c r="T152" s="188"/>
    </row>
    <row r="153" spans="1:20" ht="30" x14ac:dyDescent="0.25">
      <c r="A153" s="114">
        <v>21</v>
      </c>
      <c r="B153" s="1" t="s">
        <v>141</v>
      </c>
      <c r="C153" s="1" t="s">
        <v>142</v>
      </c>
      <c r="D153" s="2" t="s">
        <v>107</v>
      </c>
      <c r="E153" s="99" t="str">
        <f>IFERROR(VLOOKUP(C153,Resources!B:D,3,FALSE)," ")</f>
        <v xml:space="preserve"> </v>
      </c>
      <c r="F153" s="7"/>
      <c r="G153" s="7"/>
      <c r="H153" s="103">
        <f>VLOOKUP($A153,'Model Inputs'!$A:$D,4,FALSE)</f>
        <v>100</v>
      </c>
      <c r="I153" s="108" t="str">
        <f>IFERROR(VLOOKUP(C153,Resources!B:G,6,FALSE)," ")</f>
        <v xml:space="preserve"> </v>
      </c>
      <c r="J153" s="108">
        <f>SUBTOTAL(9,J154)</f>
        <v>269.50000000000006</v>
      </c>
      <c r="K153" s="7"/>
      <c r="L153" s="7"/>
      <c r="M153" s="108">
        <f t="shared" ref="M153:Q153" si="180">SUBTOTAL(9,M154)</f>
        <v>0</v>
      </c>
      <c r="N153" s="108">
        <f t="shared" si="180"/>
        <v>0</v>
      </c>
      <c r="O153" s="108">
        <f t="shared" si="180"/>
        <v>0</v>
      </c>
      <c r="P153" s="108">
        <f t="shared" si="180"/>
        <v>269.50000000000006</v>
      </c>
      <c r="Q153" s="108">
        <f t="shared" si="180"/>
        <v>269.50000000000006</v>
      </c>
      <c r="R153" s="120"/>
      <c r="T153" s="188"/>
    </row>
    <row r="154" spans="1:20" x14ac:dyDescent="0.25">
      <c r="A154" s="100">
        <v>21.1</v>
      </c>
      <c r="B154" s="3">
        <v>1</v>
      </c>
      <c r="C154" s="5" t="s">
        <v>143</v>
      </c>
      <c r="D154" s="3" t="s">
        <v>83</v>
      </c>
      <c r="E154" s="100" t="str">
        <f>IFERROR(VLOOKUP(C154,Resources!B:D,3,FALSE)," ")</f>
        <v>S</v>
      </c>
      <c r="F154" s="103">
        <f>VLOOKUP($A154,'Model Inputs'!$A:$D,4,FALSE)</f>
        <v>1.1000000000000001</v>
      </c>
      <c r="G154" s="8">
        <v>1</v>
      </c>
      <c r="H154" s="8">
        <f>H153*F154</f>
        <v>110.00000000000001</v>
      </c>
      <c r="I154" s="109">
        <f>IFERROR(VLOOKUP(C154,Resources!B:G,6,FALSE)," ")</f>
        <v>2.4500000000000002</v>
      </c>
      <c r="J154" s="109">
        <f>I154*H154</f>
        <v>269.50000000000006</v>
      </c>
      <c r="K154" s="8"/>
      <c r="L154" s="8">
        <f t="shared" ref="L154" si="181">IF(E154="M"," ",H154/G154)</f>
        <v>110.00000000000001</v>
      </c>
      <c r="M154" s="109">
        <f t="shared" ref="M154" si="182">IF($E154="L",$J154,0)</f>
        <v>0</v>
      </c>
      <c r="N154" s="109">
        <f t="shared" ref="N154" si="183">IF($E154="M",$J154,0)</f>
        <v>0</v>
      </c>
      <c r="O154" s="109">
        <f t="shared" ref="O154" si="184">IF($E154="P",$J154,0)</f>
        <v>0</v>
      </c>
      <c r="P154" s="109">
        <f t="shared" ref="P154" si="185">IF($E154="S",$J154,0)</f>
        <v>269.50000000000006</v>
      </c>
      <c r="Q154" s="109">
        <f t="shared" ref="Q154" si="186">SUM(M154:P154)</f>
        <v>269.50000000000006</v>
      </c>
      <c r="R154" s="121">
        <v>121</v>
      </c>
      <c r="T154" s="188"/>
    </row>
    <row r="155" spans="1:20" x14ac:dyDescent="0.25">
      <c r="A155" s="101"/>
      <c r="B155" s="4"/>
      <c r="C155" s="6"/>
      <c r="D155" s="4"/>
      <c r="E155" s="101" t="str">
        <f>IFERROR(VLOOKUP(C155,Resources!B:D,3,FALSE)," ")</f>
        <v xml:space="preserve"> </v>
      </c>
      <c r="F155" s="9"/>
      <c r="G155" s="9"/>
      <c r="H155" s="9"/>
      <c r="I155" s="38" t="str">
        <f>IFERROR(VLOOKUP(C155,Resources!B:G,6,FALSE)," ")</f>
        <v xml:space="preserve"> </v>
      </c>
      <c r="J155" s="38"/>
      <c r="K155" s="9"/>
      <c r="L155" s="9"/>
      <c r="M155" s="38"/>
      <c r="N155" s="38"/>
      <c r="O155" s="38"/>
      <c r="P155" s="38"/>
      <c r="Q155" s="38"/>
      <c r="R155" s="122"/>
      <c r="T155" s="188"/>
    </row>
    <row r="156" spans="1:20" ht="30" x14ac:dyDescent="0.25">
      <c r="A156" s="114"/>
      <c r="B156" s="1" t="s">
        <v>144</v>
      </c>
      <c r="C156" s="1" t="s">
        <v>145</v>
      </c>
      <c r="D156" s="2"/>
      <c r="E156" s="99" t="str">
        <f>IFERROR(VLOOKUP(C156,Resources!B:D,3,FALSE)," ")</f>
        <v xml:space="preserve"> </v>
      </c>
      <c r="F156" s="7"/>
      <c r="G156" s="7"/>
      <c r="H156" s="7"/>
      <c r="I156" s="108" t="str">
        <f>IFERROR(VLOOKUP(C156,Resources!B:G,6,FALSE)," ")</f>
        <v xml:space="preserve"> </v>
      </c>
      <c r="J156" s="108"/>
      <c r="K156" s="7"/>
      <c r="L156" s="7"/>
      <c r="M156" s="108" t="s">
        <v>15</v>
      </c>
      <c r="N156" s="108"/>
      <c r="O156" s="108"/>
      <c r="P156" s="108"/>
      <c r="Q156" s="108"/>
      <c r="R156" s="120"/>
      <c r="T156" s="188"/>
    </row>
    <row r="157" spans="1:20" ht="30" x14ac:dyDescent="0.25">
      <c r="A157" s="114">
        <v>22</v>
      </c>
      <c r="B157" s="1" t="s">
        <v>146</v>
      </c>
      <c r="C157" s="1" t="s">
        <v>147</v>
      </c>
      <c r="D157" s="2" t="s">
        <v>20</v>
      </c>
      <c r="E157" s="99" t="str">
        <f>IFERROR(VLOOKUP(C157,Resources!B:D,3,FALSE)," ")</f>
        <v xml:space="preserve"> </v>
      </c>
      <c r="F157" s="7"/>
      <c r="G157" s="7"/>
      <c r="H157" s="103">
        <f>VLOOKUP($A157,'Model Inputs'!$A:$D,4,FALSE)</f>
        <v>1</v>
      </c>
      <c r="I157" s="108" t="str">
        <f>IFERROR(VLOOKUP(C157,Resources!B:G,6,FALSE)," ")</f>
        <v xml:space="preserve"> </v>
      </c>
      <c r="J157" s="108">
        <f>SUBTOTAL(9,J158)</f>
        <v>800</v>
      </c>
      <c r="K157" s="7"/>
      <c r="L157" s="7">
        <f>ROUNDUP(L158/Workhrs,0)</f>
        <v>1</v>
      </c>
      <c r="M157" s="108">
        <f t="shared" ref="M157" si="187">SUBTOTAL(9,M158)</f>
        <v>0</v>
      </c>
      <c r="N157" s="108">
        <f t="shared" ref="N157" si="188">SUBTOTAL(9,N158)</f>
        <v>0</v>
      </c>
      <c r="O157" s="108">
        <f t="shared" ref="O157" si="189">SUBTOTAL(9,O158)</f>
        <v>0</v>
      </c>
      <c r="P157" s="108">
        <f t="shared" ref="P157" si="190">SUBTOTAL(9,P158)</f>
        <v>800</v>
      </c>
      <c r="Q157" s="108">
        <f t="shared" ref="Q157" si="191">SUBTOTAL(9,Q158)</f>
        <v>800</v>
      </c>
      <c r="R157" s="120"/>
      <c r="T157" s="188"/>
    </row>
    <row r="158" spans="1:20" x14ac:dyDescent="0.25">
      <c r="A158" s="100"/>
      <c r="B158" s="3">
        <v>1</v>
      </c>
      <c r="C158" s="5" t="s">
        <v>148</v>
      </c>
      <c r="D158" s="3" t="s">
        <v>33</v>
      </c>
      <c r="E158" s="100" t="str">
        <f>IFERROR(VLOOKUP(C158,Resources!B:D,3,FALSE)," ")</f>
        <v>S</v>
      </c>
      <c r="F158" s="8">
        <v>1</v>
      </c>
      <c r="G158" s="8">
        <v>1</v>
      </c>
      <c r="H158" s="8">
        <f>H157*800</f>
        <v>800</v>
      </c>
      <c r="I158" s="109">
        <f>IFERROR(VLOOKUP(C158,Resources!B:G,6,FALSE)," ")</f>
        <v>1</v>
      </c>
      <c r="J158" s="109">
        <f>I158*H158</f>
        <v>800</v>
      </c>
      <c r="K158" s="8"/>
      <c r="L158" s="8">
        <f>H158/125</f>
        <v>6.4</v>
      </c>
      <c r="M158" s="109">
        <f t="shared" ref="M158" si="192">IF($E158="L",$J158,0)</f>
        <v>0</v>
      </c>
      <c r="N158" s="109">
        <f t="shared" ref="N158" si="193">IF($E158="M",$J158,0)</f>
        <v>0</v>
      </c>
      <c r="O158" s="109">
        <f t="shared" ref="O158" si="194">IF($E158="P",$J158,0)</f>
        <v>0</v>
      </c>
      <c r="P158" s="109">
        <f t="shared" ref="P158" si="195">IF($E158="S",$J158,0)</f>
        <v>800</v>
      </c>
      <c r="Q158" s="109">
        <f t="shared" ref="Q158" si="196">SUM(M158:P158)</f>
        <v>800</v>
      </c>
      <c r="R158" s="121">
        <v>12</v>
      </c>
      <c r="T158" s="188"/>
    </row>
    <row r="159" spans="1:20" x14ac:dyDescent="0.25">
      <c r="A159" s="101"/>
      <c r="B159" s="4"/>
      <c r="C159" s="6"/>
      <c r="D159" s="4"/>
      <c r="E159" s="101" t="str">
        <f>IFERROR(VLOOKUP(C159,Resources!B:D,3,FALSE)," ")</f>
        <v xml:space="preserve"> </v>
      </c>
      <c r="F159" s="9"/>
      <c r="G159" s="9"/>
      <c r="H159" s="9"/>
      <c r="I159" s="38" t="str">
        <f>IFERROR(VLOOKUP(C159,Resources!B:G,6,FALSE)," ")</f>
        <v xml:space="preserve"> </v>
      </c>
      <c r="J159" s="38"/>
      <c r="K159" s="9"/>
      <c r="L159" s="9"/>
      <c r="M159" s="38"/>
      <c r="N159" s="38"/>
      <c r="O159" s="38"/>
      <c r="P159" s="38"/>
      <c r="Q159" s="38"/>
      <c r="R159" s="122"/>
      <c r="T159" s="188"/>
    </row>
    <row r="160" spans="1:20" ht="30" x14ac:dyDescent="0.25">
      <c r="A160" s="114">
        <v>2000</v>
      </c>
      <c r="B160" s="1" t="s">
        <v>149</v>
      </c>
      <c r="C160" s="1" t="s">
        <v>150</v>
      </c>
      <c r="D160" s="2"/>
      <c r="E160" s="99" t="str">
        <f>IFERROR(VLOOKUP(C160,Resources!B:D,3,FALSE)," ")</f>
        <v xml:space="preserve"> </v>
      </c>
      <c r="F160" s="7"/>
      <c r="G160" s="7"/>
      <c r="H160" s="7"/>
      <c r="I160" s="108" t="str">
        <f>IFERROR(VLOOKUP(C160,Resources!B:G,6,FALSE)," ")</f>
        <v xml:space="preserve"> </v>
      </c>
      <c r="J160" s="108"/>
      <c r="K160" s="7"/>
      <c r="L160" s="7"/>
      <c r="M160" s="108"/>
      <c r="N160" s="108"/>
      <c r="O160" s="108"/>
      <c r="P160" s="108"/>
      <c r="Q160" s="108"/>
      <c r="R160" s="120"/>
      <c r="T160" s="188"/>
    </row>
    <row r="161" spans="1:20" ht="30" x14ac:dyDescent="0.25">
      <c r="A161" s="114"/>
      <c r="B161" s="1" t="s">
        <v>151</v>
      </c>
      <c r="C161" s="1" t="s">
        <v>17</v>
      </c>
      <c r="D161" s="2"/>
      <c r="E161" s="99" t="str">
        <f>IFERROR(VLOOKUP(C161,Resources!B:D,3,FALSE)," ")</f>
        <v xml:space="preserve"> </v>
      </c>
      <c r="F161" s="7"/>
      <c r="G161" s="7"/>
      <c r="H161" s="7"/>
      <c r="I161" s="108" t="str">
        <f>IFERROR(VLOOKUP(C161,Resources!B:G,6,FALSE)," ")</f>
        <v xml:space="preserve"> </v>
      </c>
      <c r="J161" s="108"/>
      <c r="K161" s="7"/>
      <c r="L161" s="7"/>
      <c r="M161" s="108"/>
      <c r="N161" s="108"/>
      <c r="O161" s="108"/>
      <c r="P161" s="108"/>
      <c r="Q161" s="108"/>
      <c r="R161" s="120"/>
      <c r="T161" s="188"/>
    </row>
    <row r="162" spans="1:20" ht="30" x14ac:dyDescent="0.25">
      <c r="A162" s="114"/>
      <c r="B162" s="1" t="s">
        <v>152</v>
      </c>
      <c r="C162" s="1" t="s">
        <v>25</v>
      </c>
      <c r="D162" s="2"/>
      <c r="E162" s="99" t="str">
        <f>IFERROR(VLOOKUP(C162,Resources!B:D,3,FALSE)," ")</f>
        <v xml:space="preserve"> </v>
      </c>
      <c r="F162" s="7"/>
      <c r="G162" s="7"/>
      <c r="H162" s="7"/>
      <c r="I162" s="108" t="str">
        <f>IFERROR(VLOOKUP(C162,Resources!B:G,6,FALSE)," ")</f>
        <v xml:space="preserve"> </v>
      </c>
      <c r="J162" s="108"/>
      <c r="K162" s="7"/>
      <c r="L162" s="7"/>
      <c r="M162" s="108"/>
      <c r="N162" s="108"/>
      <c r="O162" s="108"/>
      <c r="P162" s="108"/>
      <c r="Q162" s="108"/>
      <c r="R162" s="120"/>
      <c r="T162" s="188"/>
    </row>
    <row r="163" spans="1:20" ht="30" x14ac:dyDescent="0.25">
      <c r="A163" s="114">
        <v>23</v>
      </c>
      <c r="B163" s="1" t="s">
        <v>153</v>
      </c>
      <c r="C163" s="1" t="s">
        <v>27</v>
      </c>
      <c r="D163" s="2" t="s">
        <v>20</v>
      </c>
      <c r="E163" s="99" t="str">
        <f>IFERROR(VLOOKUP(C163,Resources!B:D,3,FALSE)," ")</f>
        <v xml:space="preserve"> </v>
      </c>
      <c r="F163" s="7"/>
      <c r="G163" s="7"/>
      <c r="H163" s="103">
        <f>VLOOKUP($A163,'Model Inputs'!$A:$D,4,FALSE)</f>
        <v>1</v>
      </c>
      <c r="I163" s="108" t="str">
        <f>IFERROR(VLOOKUP(C163,Resources!B:G,6,FALSE)," ")</f>
        <v xml:space="preserve"> </v>
      </c>
      <c r="J163" s="108">
        <f>SUBTOTAL(9,J165:J171)</f>
        <v>11795</v>
      </c>
      <c r="K163" s="7"/>
      <c r="L163" s="7"/>
      <c r="M163" s="108">
        <f t="shared" ref="M163:Q163" si="197">SUBTOTAL(9,M165:M171)</f>
        <v>3250</v>
      </c>
      <c r="N163" s="108">
        <f t="shared" si="197"/>
        <v>0</v>
      </c>
      <c r="O163" s="108">
        <f t="shared" si="197"/>
        <v>0</v>
      </c>
      <c r="P163" s="108">
        <f t="shared" si="197"/>
        <v>8545</v>
      </c>
      <c r="Q163" s="108">
        <f t="shared" si="197"/>
        <v>11795</v>
      </c>
      <c r="R163" s="120"/>
      <c r="T163" s="188"/>
    </row>
    <row r="164" spans="1:20" x14ac:dyDescent="0.25">
      <c r="A164" s="100"/>
      <c r="B164" s="3"/>
      <c r="C164" s="5" t="s">
        <v>2357</v>
      </c>
      <c r="D164" s="3"/>
      <c r="E164" s="100"/>
      <c r="F164" s="8"/>
      <c r="G164" s="8"/>
      <c r="H164" s="8"/>
      <c r="I164" s="109"/>
      <c r="J164" s="109"/>
      <c r="K164" s="8"/>
      <c r="L164" s="8"/>
      <c r="M164" s="109"/>
      <c r="N164" s="109"/>
      <c r="O164" s="109"/>
      <c r="P164" s="109"/>
      <c r="Q164" s="109"/>
      <c r="R164" s="121"/>
      <c r="T164" s="188"/>
    </row>
    <row r="165" spans="1:20" x14ac:dyDescent="0.25">
      <c r="A165" s="100"/>
      <c r="B165" s="3">
        <v>1</v>
      </c>
      <c r="C165" s="5" t="s">
        <v>21</v>
      </c>
      <c r="D165" s="3" t="s">
        <v>22</v>
      </c>
      <c r="E165" s="100" t="str">
        <f>IFERROR(VLOOKUP(C165,Resources!B:D,3,FALSE)," ")</f>
        <v>L</v>
      </c>
      <c r="F165" s="8">
        <v>1</v>
      </c>
      <c r="G165" s="8">
        <v>1</v>
      </c>
      <c r="H165" s="8">
        <f>H163</f>
        <v>1</v>
      </c>
      <c r="I165" s="109">
        <f>IFERROR(VLOOKUP(C165,Resources!B:G,6,FALSE)," ")</f>
        <v>3250</v>
      </c>
      <c r="J165" s="109">
        <f>(H165/(G165/F165))*I165</f>
        <v>3250</v>
      </c>
      <c r="K165" s="8">
        <f>L165*F165</f>
        <v>1</v>
      </c>
      <c r="L165" s="8">
        <f>IF(E165="M"," ",H165/G165)</f>
        <v>1</v>
      </c>
      <c r="M165" s="109">
        <f>IF($E165="L",$J165,0)</f>
        <v>3250</v>
      </c>
      <c r="N165" s="109">
        <f>IF($E165="M",$J165,0)</f>
        <v>0</v>
      </c>
      <c r="O165" s="109">
        <f>IF($E165="P",$J165,0)</f>
        <v>0</v>
      </c>
      <c r="P165" s="109">
        <f>IF($E165="S",$J165,0)</f>
        <v>0</v>
      </c>
      <c r="Q165" s="109">
        <f>SUM(M165:P165)</f>
        <v>3250</v>
      </c>
      <c r="R165" s="121">
        <v>901</v>
      </c>
      <c r="T165" s="188"/>
    </row>
    <row r="166" spans="1:20" x14ac:dyDescent="0.25">
      <c r="A166" s="100">
        <v>23.1</v>
      </c>
      <c r="B166" s="3">
        <v>2</v>
      </c>
      <c r="C166" s="5" t="s">
        <v>2362</v>
      </c>
      <c r="D166" s="3"/>
      <c r="E166" s="100" t="str">
        <f>IFERROR(VLOOKUP(C166,Resources!B:D,3,FALSE)," ")</f>
        <v xml:space="preserve"> </v>
      </c>
      <c r="F166" s="8"/>
      <c r="G166" s="8"/>
      <c r="H166" s="103">
        <f>VLOOKUP($A166,'Model Inputs'!$A:$D,4,FALSE)</f>
        <v>15</v>
      </c>
      <c r="I166" s="109" t="str">
        <f>IFERROR(VLOOKUP(C166,Resources!B:G,6,FALSE)," ")</f>
        <v xml:space="preserve"> </v>
      </c>
      <c r="J166" s="109"/>
      <c r="K166" s="8"/>
      <c r="L166" s="8"/>
      <c r="M166" s="109"/>
      <c r="N166" s="109"/>
      <c r="O166" s="109"/>
      <c r="P166" s="109"/>
      <c r="Q166" s="109"/>
      <c r="R166" s="121"/>
      <c r="T166" s="188"/>
    </row>
    <row r="167" spans="1:20" x14ac:dyDescent="0.25">
      <c r="A167" s="100">
        <v>23.2</v>
      </c>
      <c r="B167" s="3">
        <v>3</v>
      </c>
      <c r="C167" s="5" t="s">
        <v>2363</v>
      </c>
      <c r="D167" s="3"/>
      <c r="E167" s="100" t="str">
        <f>IFERROR(VLOOKUP(C167,Resources!B:D,3,FALSE)," ")</f>
        <v xml:space="preserve"> </v>
      </c>
      <c r="F167" s="8"/>
      <c r="G167" s="8"/>
      <c r="H167" s="103">
        <f>VLOOKUP($A167,'Model Inputs'!$A:$D,4,FALSE)</f>
        <v>6</v>
      </c>
      <c r="I167" s="109" t="str">
        <f>IFERROR(VLOOKUP(C167,Resources!B:G,6,FALSE)," ")</f>
        <v xml:space="preserve"> </v>
      </c>
      <c r="J167" s="109"/>
      <c r="K167" s="8"/>
      <c r="L167" s="8"/>
      <c r="M167" s="109"/>
      <c r="N167" s="109"/>
      <c r="O167" s="109"/>
      <c r="P167" s="109"/>
      <c r="Q167" s="109"/>
      <c r="R167" s="121"/>
      <c r="T167" s="188"/>
    </row>
    <row r="168" spans="1:20" x14ac:dyDescent="0.25">
      <c r="A168" s="100"/>
      <c r="B168" s="3">
        <v>4</v>
      </c>
      <c r="C168" s="5" t="s">
        <v>28</v>
      </c>
      <c r="D168" s="3" t="s">
        <v>29</v>
      </c>
      <c r="E168" s="100" t="str">
        <f>IFERROR(VLOOKUP(C168,Resources!B:D,3,FALSE)," ")</f>
        <v>S</v>
      </c>
      <c r="F168" s="8">
        <v>1</v>
      </c>
      <c r="G168" s="8">
        <v>1</v>
      </c>
      <c r="H168" s="8">
        <f>H166</f>
        <v>15</v>
      </c>
      <c r="I168" s="109">
        <f>IFERROR(VLOOKUP(C168,Resources!B:G,6,FALSE)," ")</f>
        <v>45</v>
      </c>
      <c r="J168" s="109">
        <f>(H168/(G168/F168))*I168</f>
        <v>675</v>
      </c>
      <c r="K168" s="8">
        <f>L168*F168</f>
        <v>15</v>
      </c>
      <c r="L168" s="8">
        <f>IF(E168="M"," ",H168/G168)</f>
        <v>15</v>
      </c>
      <c r="M168" s="109">
        <f>IF($E168="L",$J168,0)</f>
        <v>0</v>
      </c>
      <c r="N168" s="109">
        <f>IF($E168="M",$J168,0)</f>
        <v>0</v>
      </c>
      <c r="O168" s="109">
        <f>IF($E168="P",$J168,0)</f>
        <v>0</v>
      </c>
      <c r="P168" s="109">
        <f>IF($E168="S",$J168,0)</f>
        <v>675</v>
      </c>
      <c r="Q168" s="109">
        <f>SUM(M168:P168)</f>
        <v>675</v>
      </c>
      <c r="R168" s="121">
        <v>13</v>
      </c>
      <c r="T168" s="188"/>
    </row>
    <row r="169" spans="1:20" x14ac:dyDescent="0.25">
      <c r="A169" s="100"/>
      <c r="B169" s="3">
        <v>5</v>
      </c>
      <c r="C169" s="5" t="s">
        <v>30</v>
      </c>
      <c r="D169" s="3" t="s">
        <v>29</v>
      </c>
      <c r="E169" s="100" t="str">
        <f>IFERROR(VLOOKUP(C169,Resources!B:D,3,FALSE)," ")</f>
        <v>S</v>
      </c>
      <c r="F169" s="8">
        <v>1</v>
      </c>
      <c r="G169" s="8">
        <v>1</v>
      </c>
      <c r="H169" s="8">
        <v>3</v>
      </c>
      <c r="I169" s="109">
        <f>IFERROR(VLOOKUP(C169,Resources!B:G,6,FALSE)," ")</f>
        <v>390</v>
      </c>
      <c r="J169" s="109">
        <f>(H169/(G169/F169))*I169</f>
        <v>1170</v>
      </c>
      <c r="K169" s="8">
        <f>L169*F169</f>
        <v>3</v>
      </c>
      <c r="L169" s="8">
        <f>IF(E169="M"," ",H169/G169)</f>
        <v>3</v>
      </c>
      <c r="M169" s="109">
        <f>IF($E169="L",$J169,0)</f>
        <v>0</v>
      </c>
      <c r="N169" s="109">
        <f>IF($E169="M",$J169,0)</f>
        <v>0</v>
      </c>
      <c r="O169" s="109">
        <f>IF($E169="P",$J169,0)</f>
        <v>0</v>
      </c>
      <c r="P169" s="109">
        <f>IF($E169="S",$J169,0)</f>
        <v>1170</v>
      </c>
      <c r="Q169" s="109">
        <f>SUM(M169:P169)</f>
        <v>1170</v>
      </c>
      <c r="R169" s="121">
        <v>13</v>
      </c>
      <c r="T169" s="188"/>
    </row>
    <row r="170" spans="1:20" x14ac:dyDescent="0.25">
      <c r="A170" s="100"/>
      <c r="B170" s="3">
        <v>6</v>
      </c>
      <c r="C170" s="5" t="s">
        <v>31</v>
      </c>
      <c r="D170" s="3" t="s">
        <v>29</v>
      </c>
      <c r="E170" s="100" t="str">
        <f>IFERROR(VLOOKUP(C170,Resources!B:D,3,FALSE)," ")</f>
        <v>S</v>
      </c>
      <c r="F170" s="8">
        <v>1</v>
      </c>
      <c r="G170" s="8">
        <v>1</v>
      </c>
      <c r="H170" s="8">
        <f>H167</f>
        <v>6</v>
      </c>
      <c r="I170" s="109">
        <f>IFERROR(VLOOKUP(C170,Resources!B:G,6,FALSE)," ")</f>
        <v>150</v>
      </c>
      <c r="J170" s="109">
        <f>(H170/(G170/F170))*I170</f>
        <v>900</v>
      </c>
      <c r="K170" s="8">
        <f>L170*F170</f>
        <v>6</v>
      </c>
      <c r="L170" s="8">
        <f>IF(E170="M"," ",H170/G170)</f>
        <v>6</v>
      </c>
      <c r="M170" s="109">
        <f>IF($E170="L",$J170,0)</f>
        <v>0</v>
      </c>
      <c r="N170" s="109">
        <f>IF($E170="M",$J170,0)</f>
        <v>0</v>
      </c>
      <c r="O170" s="109">
        <f>IF($E170="P",$J170,0)</f>
        <v>0</v>
      </c>
      <c r="P170" s="109">
        <f>IF($E170="S",$J170,0)</f>
        <v>900</v>
      </c>
      <c r="Q170" s="109">
        <f>SUM(M170:P170)</f>
        <v>900</v>
      </c>
      <c r="R170" s="121">
        <v>13</v>
      </c>
      <c r="T170" s="188"/>
    </row>
    <row r="171" spans="1:20" x14ac:dyDescent="0.25">
      <c r="A171" s="100">
        <v>23.4</v>
      </c>
      <c r="B171" s="3">
        <v>7</v>
      </c>
      <c r="C171" s="5" t="s">
        <v>148</v>
      </c>
      <c r="D171" s="3" t="s">
        <v>33</v>
      </c>
      <c r="E171" s="100" t="str">
        <f>IFERROR(VLOOKUP(C171,Resources!B:D,3,FALSE)," ")</f>
        <v>S</v>
      </c>
      <c r="F171" s="8">
        <v>1</v>
      </c>
      <c r="G171" s="8">
        <v>1</v>
      </c>
      <c r="H171" s="103">
        <f>VLOOKUP($A171,'Model Inputs'!$A:$D,4,FALSE)</f>
        <v>5800</v>
      </c>
      <c r="I171" s="109">
        <f>IFERROR(VLOOKUP(C171,Resources!B:G,6,FALSE)," ")</f>
        <v>1</v>
      </c>
      <c r="J171" s="109">
        <f>(H171/(G171/F171))*I171</f>
        <v>5800</v>
      </c>
      <c r="K171" s="8"/>
      <c r="L171" s="8">
        <f>H171/125</f>
        <v>46.4</v>
      </c>
      <c r="M171" s="109">
        <f>IF($E171="L",$J171,0)</f>
        <v>0</v>
      </c>
      <c r="N171" s="109">
        <f>IF($E171="M",$J171,0)</f>
        <v>0</v>
      </c>
      <c r="O171" s="109">
        <f>IF($E171="P",$J171,0)</f>
        <v>0</v>
      </c>
      <c r="P171" s="109">
        <f>IF($E171="S",$J171,0)</f>
        <v>5800</v>
      </c>
      <c r="Q171" s="109">
        <f>SUM(M171:P171)</f>
        <v>5800</v>
      </c>
      <c r="R171" s="121">
        <v>11</v>
      </c>
      <c r="T171" s="188"/>
    </row>
    <row r="172" spans="1:20" x14ac:dyDescent="0.25">
      <c r="A172" s="101"/>
      <c r="B172" s="4"/>
      <c r="C172" s="6"/>
      <c r="D172" s="4"/>
      <c r="E172" s="101" t="str">
        <f>IFERROR(VLOOKUP(C172,Resources!B:D,3,FALSE)," ")</f>
        <v xml:space="preserve"> </v>
      </c>
      <c r="F172" s="9"/>
      <c r="G172" s="9"/>
      <c r="H172" s="9"/>
      <c r="I172" s="38" t="str">
        <f>IFERROR(VLOOKUP(C172,Resources!B:G,6,FALSE)," ")</f>
        <v xml:space="preserve"> </v>
      </c>
      <c r="J172" s="38"/>
      <c r="K172" s="9"/>
      <c r="L172" s="9"/>
      <c r="M172" s="38"/>
      <c r="N172" s="38"/>
      <c r="O172" s="38"/>
      <c r="P172" s="38"/>
      <c r="Q172" s="38"/>
      <c r="R172" s="122"/>
      <c r="T172" s="188"/>
    </row>
    <row r="173" spans="1:20" ht="30" x14ac:dyDescent="0.25">
      <c r="A173" s="114"/>
      <c r="B173" s="1" t="s">
        <v>154</v>
      </c>
      <c r="C173" s="1" t="s">
        <v>35</v>
      </c>
      <c r="D173" s="2"/>
      <c r="E173" s="99" t="str">
        <f>IFERROR(VLOOKUP(C173,Resources!B:D,3,FALSE)," ")</f>
        <v xml:space="preserve"> </v>
      </c>
      <c r="F173" s="7"/>
      <c r="G173" s="7"/>
      <c r="H173" s="7"/>
      <c r="I173" s="108" t="str">
        <f>IFERROR(VLOOKUP(C173,Resources!B:G,6,FALSE)," ")</f>
        <v xml:space="preserve"> </v>
      </c>
      <c r="J173" s="108"/>
      <c r="K173" s="7"/>
      <c r="L173" s="7"/>
      <c r="M173" s="108"/>
      <c r="N173" s="108"/>
      <c r="O173" s="108"/>
      <c r="P173" s="108"/>
      <c r="Q173" s="108"/>
      <c r="R173" s="120"/>
      <c r="T173" s="188"/>
    </row>
    <row r="174" spans="1:20" ht="30" x14ac:dyDescent="0.25">
      <c r="A174" s="114"/>
      <c r="B174" s="1" t="s">
        <v>155</v>
      </c>
      <c r="C174" s="1" t="s">
        <v>36</v>
      </c>
      <c r="D174" s="2"/>
      <c r="E174" s="99" t="str">
        <f>IFERROR(VLOOKUP(C174,Resources!B:D,3,FALSE)," ")</f>
        <v xml:space="preserve"> </v>
      </c>
      <c r="F174" s="7"/>
      <c r="G174" s="7"/>
      <c r="H174" s="7"/>
      <c r="I174" s="108" t="str">
        <f>IFERROR(VLOOKUP(C174,Resources!B:G,6,FALSE)," ")</f>
        <v xml:space="preserve"> </v>
      </c>
      <c r="J174" s="108"/>
      <c r="K174" s="7"/>
      <c r="L174" s="7"/>
      <c r="M174" s="108"/>
      <c r="N174" s="108"/>
      <c r="O174" s="108"/>
      <c r="P174" s="108"/>
      <c r="Q174" s="108"/>
      <c r="R174" s="120"/>
      <c r="T174" s="188"/>
    </row>
    <row r="175" spans="1:20" ht="30" x14ac:dyDescent="0.25">
      <c r="A175" s="114"/>
      <c r="B175" s="1" t="s">
        <v>156</v>
      </c>
      <c r="C175" s="1" t="s">
        <v>38</v>
      </c>
      <c r="D175" s="2" t="s">
        <v>20</v>
      </c>
      <c r="E175" s="99" t="str">
        <f>IFERROR(VLOOKUP(C175,Resources!B:D,3,FALSE)," ")</f>
        <v xml:space="preserve"> </v>
      </c>
      <c r="F175" s="7"/>
      <c r="G175" s="7"/>
      <c r="H175" s="7">
        <v>1</v>
      </c>
      <c r="I175" s="108" t="str">
        <f>IFERROR(VLOOKUP(C175,Resources!B:G,6,FALSE)," ")</f>
        <v xml:space="preserve"> </v>
      </c>
      <c r="J175" s="108"/>
      <c r="K175" s="7"/>
      <c r="L175" s="7"/>
      <c r="M175" s="108" t="s">
        <v>15</v>
      </c>
      <c r="N175" s="108"/>
      <c r="O175" s="108"/>
      <c r="P175" s="108"/>
      <c r="Q175" s="108"/>
      <c r="R175" s="120"/>
      <c r="T175" s="188"/>
    </row>
    <row r="176" spans="1:20" x14ac:dyDescent="0.25">
      <c r="A176" s="101"/>
      <c r="B176" s="4"/>
      <c r="C176" s="6"/>
      <c r="D176" s="4"/>
      <c r="E176" s="101" t="str">
        <f>IFERROR(VLOOKUP(C176,Resources!B:D,3,FALSE)," ")</f>
        <v xml:space="preserve"> </v>
      </c>
      <c r="F176" s="9"/>
      <c r="G176" s="9"/>
      <c r="H176" s="9"/>
      <c r="I176" s="38" t="str">
        <f>IFERROR(VLOOKUP(C176,Resources!B:G,6,FALSE)," ")</f>
        <v xml:space="preserve"> </v>
      </c>
      <c r="J176" s="38"/>
      <c r="K176" s="9"/>
      <c r="L176" s="9"/>
      <c r="M176" s="38"/>
      <c r="N176" s="38"/>
      <c r="O176" s="38"/>
      <c r="P176" s="38"/>
      <c r="Q176" s="38"/>
      <c r="R176" s="122"/>
      <c r="T176" s="188"/>
    </row>
    <row r="177" spans="1:20" ht="30" x14ac:dyDescent="0.25">
      <c r="A177" s="114"/>
      <c r="B177" s="1" t="s">
        <v>157</v>
      </c>
      <c r="C177" s="1" t="s">
        <v>50</v>
      </c>
      <c r="D177" s="2"/>
      <c r="E177" s="99" t="str">
        <f>IFERROR(VLOOKUP(C177,Resources!B:D,3,FALSE)," ")</f>
        <v xml:space="preserve"> </v>
      </c>
      <c r="F177" s="7"/>
      <c r="G177" s="7"/>
      <c r="H177" s="7"/>
      <c r="I177" s="108" t="str">
        <f>IFERROR(VLOOKUP(C177,Resources!B:G,6,FALSE)," ")</f>
        <v xml:space="preserve"> </v>
      </c>
      <c r="J177" s="108"/>
      <c r="K177" s="7"/>
      <c r="L177" s="7"/>
      <c r="M177" s="108"/>
      <c r="N177" s="108"/>
      <c r="O177" s="108"/>
      <c r="P177" s="108"/>
      <c r="Q177" s="108"/>
      <c r="R177" s="120"/>
      <c r="T177" s="188"/>
    </row>
    <row r="178" spans="1:20" ht="30" x14ac:dyDescent="0.25">
      <c r="A178" s="114"/>
      <c r="B178" s="1" t="s">
        <v>158</v>
      </c>
      <c r="C178" s="1" t="s">
        <v>52</v>
      </c>
      <c r="D178" s="2"/>
      <c r="E178" s="99" t="str">
        <f>IFERROR(VLOOKUP(C178,Resources!B:D,3,FALSE)," ")</f>
        <v xml:space="preserve"> </v>
      </c>
      <c r="F178" s="7"/>
      <c r="G178" s="7"/>
      <c r="H178" s="7"/>
      <c r="I178" s="108" t="str">
        <f>IFERROR(VLOOKUP(C178,Resources!B:G,6,FALSE)," ")</f>
        <v xml:space="preserve"> </v>
      </c>
      <c r="J178" s="108"/>
      <c r="K178" s="7"/>
      <c r="L178" s="7"/>
      <c r="M178" s="108"/>
      <c r="N178" s="108"/>
      <c r="O178" s="108"/>
      <c r="P178" s="108"/>
      <c r="Q178" s="108"/>
      <c r="R178" s="120"/>
      <c r="T178" s="188"/>
    </row>
    <row r="179" spans="1:20" ht="30" x14ac:dyDescent="0.25">
      <c r="A179" s="114">
        <v>25</v>
      </c>
      <c r="B179" s="1" t="s">
        <v>159</v>
      </c>
      <c r="C179" s="1" t="s">
        <v>54</v>
      </c>
      <c r="D179" s="2" t="s">
        <v>20</v>
      </c>
      <c r="E179" s="99" t="str">
        <f>IFERROR(VLOOKUP(C179,Resources!B:D,3,FALSE)," ")</f>
        <v xml:space="preserve"> </v>
      </c>
      <c r="F179" s="7"/>
      <c r="G179" s="7"/>
      <c r="H179" s="103">
        <f>VLOOKUP($A179,'Model Inputs'!$A:$D,4,FALSE)</f>
        <v>1</v>
      </c>
      <c r="I179" s="108" t="str">
        <f>IFERROR(VLOOKUP(C179,Resources!B:G,6,FALSE)," ")</f>
        <v xml:space="preserve"> </v>
      </c>
      <c r="J179" s="108">
        <f>SUBTOTAL(9,J181)</f>
        <v>34938.720000000001</v>
      </c>
      <c r="K179" s="7"/>
      <c r="L179" s="7">
        <f>ROUNDUP(L181,0)</f>
        <v>30</v>
      </c>
      <c r="M179" s="108">
        <f t="shared" ref="M179:Q179" si="198">SUBTOTAL(9,M181)</f>
        <v>0</v>
      </c>
      <c r="N179" s="108">
        <f t="shared" si="198"/>
        <v>0</v>
      </c>
      <c r="O179" s="108">
        <f t="shared" si="198"/>
        <v>0</v>
      </c>
      <c r="P179" s="108">
        <f t="shared" si="198"/>
        <v>34938.720000000001</v>
      </c>
      <c r="Q179" s="108">
        <f t="shared" si="198"/>
        <v>34938.720000000001</v>
      </c>
      <c r="R179" s="120"/>
      <c r="T179" s="188"/>
    </row>
    <row r="180" spans="1:20" x14ac:dyDescent="0.25">
      <c r="A180" s="100"/>
      <c r="B180" s="3">
        <v>1</v>
      </c>
      <c r="C180" s="5" t="s">
        <v>2364</v>
      </c>
      <c r="D180" s="3"/>
      <c r="E180" s="100" t="str">
        <f>IFERROR(VLOOKUP(C180,Resources!B:D,3,FALSE)," ")</f>
        <v xml:space="preserve"> </v>
      </c>
      <c r="F180" s="8">
        <v>6</v>
      </c>
      <c r="G180" s="8"/>
      <c r="H180" s="8">
        <f>H179*F180</f>
        <v>6</v>
      </c>
      <c r="I180" s="109" t="str">
        <f>IFERROR(VLOOKUP(C180,Resources!B:G,6,FALSE)," ")</f>
        <v xml:space="preserve"> </v>
      </c>
      <c r="J180" s="109"/>
      <c r="K180" s="8"/>
      <c r="L180" s="8"/>
      <c r="M180" s="109"/>
      <c r="N180" s="109"/>
      <c r="O180" s="109"/>
      <c r="P180" s="109"/>
      <c r="Q180" s="109"/>
      <c r="R180" s="121"/>
      <c r="T180" s="188"/>
    </row>
    <row r="181" spans="1:20" x14ac:dyDescent="0.25">
      <c r="A181" s="100"/>
      <c r="B181" s="3">
        <v>2</v>
      </c>
      <c r="C181" s="5" t="s">
        <v>55</v>
      </c>
      <c r="D181" s="3" t="s">
        <v>48</v>
      </c>
      <c r="E181" s="100" t="str">
        <f>IFERROR(VLOOKUP(C181,Resources!B:D,3,FALSE)," ")</f>
        <v>S</v>
      </c>
      <c r="F181" s="8">
        <v>6</v>
      </c>
      <c r="G181" s="8">
        <f>1/9.5</f>
        <v>0.10526315789473684</v>
      </c>
      <c r="H181" s="8">
        <f>H180*H179</f>
        <v>6</v>
      </c>
      <c r="I181" s="109">
        <f>IFERROR(VLOOKUP(C181,Resources!B:G,6,FALSE)," ")</f>
        <v>102.16</v>
      </c>
      <c r="J181" s="109">
        <f>(H181/(G181/F181))*I181</f>
        <v>34938.720000000001</v>
      </c>
      <c r="K181" s="8">
        <f>L181*F181</f>
        <v>180</v>
      </c>
      <c r="L181" s="8">
        <f>H181*5</f>
        <v>30</v>
      </c>
      <c r="M181" s="109">
        <f>IF($E181="L",$J181,0)</f>
        <v>0</v>
      </c>
      <c r="N181" s="109">
        <f>IF($E181="M",$J181,0)</f>
        <v>0</v>
      </c>
      <c r="O181" s="109">
        <f>IF($E181="P",$J181,0)</f>
        <v>0</v>
      </c>
      <c r="P181" s="109">
        <f>IF($E181="S",$J181,0)</f>
        <v>34938.720000000001</v>
      </c>
      <c r="Q181" s="109">
        <f>SUM(M181:P181)</f>
        <v>34938.720000000001</v>
      </c>
      <c r="R181" s="121">
        <v>141</v>
      </c>
      <c r="T181" s="188"/>
    </row>
    <row r="182" spans="1:20" x14ac:dyDescent="0.25">
      <c r="A182" s="101"/>
      <c r="B182" s="4"/>
      <c r="C182" s="6"/>
      <c r="D182" s="4"/>
      <c r="E182" s="101" t="str">
        <f>IFERROR(VLOOKUP(C182,Resources!B:D,3,FALSE)," ")</f>
        <v xml:space="preserve"> </v>
      </c>
      <c r="F182" s="9"/>
      <c r="G182" s="9"/>
      <c r="H182" s="9"/>
      <c r="I182" s="38" t="str">
        <f>IFERROR(VLOOKUP(C182,Resources!B:G,6,FALSE)," ")</f>
        <v xml:space="preserve"> </v>
      </c>
      <c r="J182" s="38"/>
      <c r="K182" s="9"/>
      <c r="L182" s="9"/>
      <c r="M182" s="38"/>
      <c r="N182" s="38"/>
      <c r="O182" s="38"/>
      <c r="P182" s="38"/>
      <c r="Q182" s="38"/>
      <c r="R182" s="122"/>
      <c r="T182" s="188"/>
    </row>
    <row r="183" spans="1:20" ht="30" x14ac:dyDescent="0.25">
      <c r="A183" s="114"/>
      <c r="B183" s="1" t="s">
        <v>160</v>
      </c>
      <c r="C183" s="1" t="s">
        <v>161</v>
      </c>
      <c r="D183" s="2"/>
      <c r="E183" s="99" t="str">
        <f>IFERROR(VLOOKUP(C183,Resources!B:D,3,FALSE)," ")</f>
        <v xml:space="preserve"> </v>
      </c>
      <c r="F183" s="7"/>
      <c r="G183" s="7"/>
      <c r="H183" s="7"/>
      <c r="I183" s="108" t="str">
        <f>IFERROR(VLOOKUP(C183,Resources!B:G,6,FALSE)," ")</f>
        <v xml:space="preserve"> </v>
      </c>
      <c r="J183" s="108"/>
      <c r="K183" s="7"/>
      <c r="L183" s="7"/>
      <c r="M183" s="108"/>
      <c r="N183" s="108"/>
      <c r="O183" s="108"/>
      <c r="P183" s="108"/>
      <c r="Q183" s="108"/>
      <c r="R183" s="120"/>
      <c r="T183" s="188"/>
    </row>
    <row r="184" spans="1:20" ht="45" x14ac:dyDescent="0.25">
      <c r="A184" s="114">
        <v>26</v>
      </c>
      <c r="B184" s="1" t="s">
        <v>162</v>
      </c>
      <c r="C184" s="1" t="s">
        <v>163</v>
      </c>
      <c r="D184" s="2" t="s">
        <v>20</v>
      </c>
      <c r="E184" s="99" t="str">
        <f>IFERROR(VLOOKUP(C184,Resources!B:D,3,FALSE)," ")</f>
        <v xml:space="preserve"> </v>
      </c>
      <c r="F184" s="7"/>
      <c r="G184" s="7"/>
      <c r="H184" s="103">
        <f>VLOOKUP($A184,'Model Inputs'!$A:$D,4,FALSE)</f>
        <v>1</v>
      </c>
      <c r="I184" s="108" t="str">
        <f>IFERROR(VLOOKUP(C184,Resources!B:G,6,FALSE)," ")</f>
        <v xml:space="preserve"> </v>
      </c>
      <c r="J184" s="108">
        <f>SUBTOTAL(9,J185:J186)</f>
        <v>11050</v>
      </c>
      <c r="K184" s="7"/>
      <c r="L184" s="7">
        <f>ROUNDUP(MAX(L185:L186)/Workhrs,0)</f>
        <v>6</v>
      </c>
      <c r="M184" s="108">
        <f t="shared" ref="M184:Q184" si="199">SUBTOTAL(9,M185:M186)</f>
        <v>6300</v>
      </c>
      <c r="N184" s="108">
        <f t="shared" si="199"/>
        <v>0</v>
      </c>
      <c r="O184" s="108">
        <f t="shared" si="199"/>
        <v>4750</v>
      </c>
      <c r="P184" s="108">
        <f t="shared" si="199"/>
        <v>0</v>
      </c>
      <c r="Q184" s="108">
        <f t="shared" si="199"/>
        <v>11050</v>
      </c>
      <c r="R184" s="120"/>
      <c r="T184" s="188"/>
    </row>
    <row r="185" spans="1:20" x14ac:dyDescent="0.25">
      <c r="A185" s="100">
        <v>26.1</v>
      </c>
      <c r="B185" s="3">
        <v>1</v>
      </c>
      <c r="C185" s="5" t="s">
        <v>8</v>
      </c>
      <c r="D185" s="3" t="s">
        <v>48</v>
      </c>
      <c r="E185" s="100" t="str">
        <f>IFERROR(VLOOKUP(C185,Resources!B:D,3,FALSE)," ")</f>
        <v>L</v>
      </c>
      <c r="F185" s="103">
        <f>VLOOKUP($A185,'Model Inputs'!$A:$D,4,FALSE)</f>
        <v>3</v>
      </c>
      <c r="G185" s="8">
        <v>1</v>
      </c>
      <c r="H185" s="8">
        <f>H184*50</f>
        <v>50</v>
      </c>
      <c r="I185" s="109">
        <f>IFERROR(VLOOKUP(C185,Resources!B:G,6,FALSE)," ")</f>
        <v>42</v>
      </c>
      <c r="J185" s="109">
        <f t="shared" ref="J185:J186" si="200">(H185/(G185/F185))*I185</f>
        <v>6300</v>
      </c>
      <c r="K185" s="8">
        <f t="shared" ref="K185:K186" si="201">L185*F185</f>
        <v>150</v>
      </c>
      <c r="L185" s="8">
        <f t="shared" ref="L185:L186" si="202">IF(E185="M"," ",H185/G185)</f>
        <v>50</v>
      </c>
      <c r="M185" s="109">
        <f t="shared" ref="M185:M186" si="203">IF($E185="L",$J185,0)</f>
        <v>6300</v>
      </c>
      <c r="N185" s="109">
        <f t="shared" ref="N185:N186" si="204">IF($E185="M",$J185,0)</f>
        <v>0</v>
      </c>
      <c r="O185" s="109">
        <f t="shared" ref="O185:O186" si="205">IF($E185="P",$J185,0)</f>
        <v>0</v>
      </c>
      <c r="P185" s="109">
        <f t="shared" ref="P185:P186" si="206">IF($E185="S",$J185,0)</f>
        <v>0</v>
      </c>
      <c r="Q185" s="109">
        <f t="shared" ref="Q185:Q186" si="207">SUM(M185:P185)</f>
        <v>6300</v>
      </c>
      <c r="R185" s="121">
        <v>151</v>
      </c>
      <c r="T185" s="188"/>
    </row>
    <row r="186" spans="1:20" x14ac:dyDescent="0.25">
      <c r="A186" s="100"/>
      <c r="B186" s="3">
        <v>2</v>
      </c>
      <c r="C186" s="5" t="s">
        <v>45</v>
      </c>
      <c r="D186" s="3" t="s">
        <v>48</v>
      </c>
      <c r="E186" s="100" t="str">
        <f>IFERROR(VLOOKUP(C186,Resources!B:D,3,FALSE)," ")</f>
        <v>P</v>
      </c>
      <c r="F186" s="8">
        <v>1</v>
      </c>
      <c r="G186" s="8">
        <v>1</v>
      </c>
      <c r="H186" s="8">
        <f>H185</f>
        <v>50</v>
      </c>
      <c r="I186" s="109">
        <f>IFERROR(VLOOKUP(C186,Resources!B:G,6,FALSE)," ")</f>
        <v>95</v>
      </c>
      <c r="J186" s="109">
        <f t="shared" si="200"/>
        <v>4750</v>
      </c>
      <c r="K186" s="8">
        <f t="shared" si="201"/>
        <v>50</v>
      </c>
      <c r="L186" s="8">
        <f t="shared" si="202"/>
        <v>50</v>
      </c>
      <c r="M186" s="109">
        <f t="shared" si="203"/>
        <v>0</v>
      </c>
      <c r="N186" s="109">
        <f t="shared" si="204"/>
        <v>0</v>
      </c>
      <c r="O186" s="109">
        <f t="shared" si="205"/>
        <v>4750</v>
      </c>
      <c r="P186" s="109">
        <f t="shared" si="206"/>
        <v>0</v>
      </c>
      <c r="Q186" s="109">
        <f t="shared" si="207"/>
        <v>4750</v>
      </c>
      <c r="R186" s="121">
        <v>151</v>
      </c>
      <c r="T186" s="188"/>
    </row>
    <row r="187" spans="1:20" x14ac:dyDescent="0.25">
      <c r="A187" s="101"/>
      <c r="B187" s="4"/>
      <c r="C187" s="6"/>
      <c r="D187" s="4"/>
      <c r="E187" s="101" t="str">
        <f>IFERROR(VLOOKUP(C187,Resources!B:D,3,FALSE)," ")</f>
        <v xml:space="preserve"> </v>
      </c>
      <c r="F187" s="9"/>
      <c r="G187" s="9"/>
      <c r="H187" s="9"/>
      <c r="I187" s="38" t="str">
        <f>IFERROR(VLOOKUP(C187,Resources!B:G,6,FALSE)," ")</f>
        <v xml:space="preserve"> </v>
      </c>
      <c r="J187" s="38"/>
      <c r="K187" s="9"/>
      <c r="L187" s="9"/>
      <c r="M187" s="38"/>
      <c r="N187" s="38"/>
      <c r="O187" s="38"/>
      <c r="P187" s="38"/>
      <c r="Q187" s="38"/>
      <c r="R187" s="122"/>
      <c r="T187" s="188"/>
    </row>
    <row r="188" spans="1:20" ht="30" x14ac:dyDescent="0.25">
      <c r="A188" s="114"/>
      <c r="B188" s="1" t="s">
        <v>164</v>
      </c>
      <c r="C188" s="1" t="s">
        <v>59</v>
      </c>
      <c r="D188" s="2"/>
      <c r="E188" s="99" t="str">
        <f>IFERROR(VLOOKUP(C188,Resources!B:D,3,FALSE)," ")</f>
        <v xml:space="preserve"> </v>
      </c>
      <c r="F188" s="7"/>
      <c r="G188" s="7"/>
      <c r="H188" s="7"/>
      <c r="I188" s="108" t="str">
        <f>IFERROR(VLOOKUP(C188,Resources!B:G,6,FALSE)," ")</f>
        <v xml:space="preserve"> </v>
      </c>
      <c r="J188" s="108"/>
      <c r="K188" s="7"/>
      <c r="L188" s="7"/>
      <c r="M188" s="108"/>
      <c r="N188" s="108"/>
      <c r="O188" s="108"/>
      <c r="P188" s="108"/>
      <c r="Q188" s="108"/>
      <c r="R188" s="120"/>
      <c r="T188" s="188"/>
    </row>
    <row r="189" spans="1:20" ht="30" x14ac:dyDescent="0.25">
      <c r="A189" s="114">
        <v>27</v>
      </c>
      <c r="B189" s="1" t="s">
        <v>165</v>
      </c>
      <c r="C189" s="1" t="s">
        <v>61</v>
      </c>
      <c r="D189" s="2" t="s">
        <v>62</v>
      </c>
      <c r="E189" s="99" t="str">
        <f>IFERROR(VLOOKUP(C189,Resources!B:D,3,FALSE)," ")</f>
        <v xml:space="preserve"> </v>
      </c>
      <c r="F189" s="7"/>
      <c r="G189" s="7"/>
      <c r="H189" s="103">
        <f>VLOOKUP($A189,'Model Inputs'!$A:$D,4,FALSE)</f>
        <v>998</v>
      </c>
      <c r="I189" s="108" t="str">
        <f>IFERROR(VLOOKUP(C189,Resources!B:G,6,FALSE)," ")</f>
        <v xml:space="preserve"> </v>
      </c>
      <c r="J189" s="108">
        <f>SUBTOTAL(9,J190:J198)</f>
        <v>20828.529729729729</v>
      </c>
      <c r="K189" s="7"/>
      <c r="L189" s="7">
        <f>ROUNDUP((MAX(L190:L193)+MAX(L195:L198))/Workhrs,0)</f>
        <v>4</v>
      </c>
      <c r="M189" s="108">
        <f t="shared" ref="M189:Q189" si="208">SUBTOTAL(9,M190:M198)</f>
        <v>1954.1918918918918</v>
      </c>
      <c r="N189" s="108">
        <f t="shared" si="208"/>
        <v>0</v>
      </c>
      <c r="O189" s="108">
        <f t="shared" si="208"/>
        <v>18874.337837837837</v>
      </c>
      <c r="P189" s="108">
        <f t="shared" si="208"/>
        <v>0</v>
      </c>
      <c r="Q189" s="108">
        <f t="shared" si="208"/>
        <v>20828.529729729729</v>
      </c>
      <c r="R189" s="120"/>
      <c r="T189" s="188"/>
    </row>
    <row r="190" spans="1:20" x14ac:dyDescent="0.25">
      <c r="A190" s="100"/>
      <c r="B190" s="3">
        <v>1</v>
      </c>
      <c r="C190" s="5" t="s">
        <v>63</v>
      </c>
      <c r="D190" s="3" t="s">
        <v>48</v>
      </c>
      <c r="E190" s="100" t="str">
        <f>IFERROR(VLOOKUP(C190,Resources!B:D,3,FALSE)," ")</f>
        <v>P</v>
      </c>
      <c r="F190" s="8">
        <v>1</v>
      </c>
      <c r="G190" s="8">
        <v>40</v>
      </c>
      <c r="H190" s="8">
        <f>H189</f>
        <v>998</v>
      </c>
      <c r="I190" s="109">
        <f>IFERROR(VLOOKUP(C190,Resources!B:G,6,FALSE)," ")</f>
        <v>135</v>
      </c>
      <c r="J190" s="109">
        <f t="shared" ref="J190" si="209">(H190/(G190/F190))*I190</f>
        <v>3368.25</v>
      </c>
      <c r="K190" s="8">
        <f t="shared" ref="K190" si="210">L190*F190</f>
        <v>24.95</v>
      </c>
      <c r="L190" s="8">
        <f t="shared" ref="L190" si="211">IF(E190="M"," ",H190/G190)</f>
        <v>24.95</v>
      </c>
      <c r="M190" s="109">
        <f t="shared" ref="M190:M193" si="212">IF($E190="L",$J190,0)</f>
        <v>0</v>
      </c>
      <c r="N190" s="109">
        <f t="shared" ref="N190:N193" si="213">IF($E190="M",$J190,0)</f>
        <v>0</v>
      </c>
      <c r="O190" s="109">
        <f t="shared" ref="O190:O193" si="214">IF($E190="P",$J190,0)</f>
        <v>3368.25</v>
      </c>
      <c r="P190" s="109">
        <f t="shared" ref="P190:P193" si="215">IF($E190="S",$J190,0)</f>
        <v>0</v>
      </c>
      <c r="Q190" s="109">
        <f t="shared" ref="Q190" si="216">SUM(M190:P190)</f>
        <v>3368.25</v>
      </c>
      <c r="R190" s="121">
        <v>53</v>
      </c>
      <c r="T190" s="188"/>
    </row>
    <row r="191" spans="1:20" x14ac:dyDescent="0.25">
      <c r="A191" s="100"/>
      <c r="B191" s="3">
        <v>2</v>
      </c>
      <c r="C191" s="5" t="s">
        <v>44</v>
      </c>
      <c r="D191" s="3" t="s">
        <v>48</v>
      </c>
      <c r="E191" s="100" t="str">
        <f>IFERROR(VLOOKUP(C191,Resources!B:D,3,FALSE)," ")</f>
        <v>P</v>
      </c>
      <c r="F191" s="8">
        <v>3</v>
      </c>
      <c r="G191" s="8">
        <v>40</v>
      </c>
      <c r="H191" s="8">
        <f>H189</f>
        <v>998</v>
      </c>
      <c r="I191" s="109">
        <f>IFERROR(VLOOKUP(C191,Resources!B:G,6,FALSE)," ")</f>
        <v>145</v>
      </c>
      <c r="J191" s="109">
        <f t="shared" ref="J191:J193" si="217">(H191/(G191/F191))*I191</f>
        <v>10853.25</v>
      </c>
      <c r="K191" s="8">
        <f t="shared" ref="K191:K193" si="218">L191*F191</f>
        <v>74.849999999999994</v>
      </c>
      <c r="L191" s="8">
        <f t="shared" ref="L191:L193" si="219">IF(E191="M"," ",H191/G191)</f>
        <v>24.95</v>
      </c>
      <c r="M191" s="109">
        <f t="shared" si="212"/>
        <v>0</v>
      </c>
      <c r="N191" s="109">
        <f t="shared" si="213"/>
        <v>0</v>
      </c>
      <c r="O191" s="109">
        <f t="shared" si="214"/>
        <v>10853.25</v>
      </c>
      <c r="P191" s="109">
        <f t="shared" si="215"/>
        <v>0</v>
      </c>
      <c r="Q191" s="109">
        <f t="shared" ref="Q191:Q193" si="220">SUM(M191:P191)</f>
        <v>10853.25</v>
      </c>
      <c r="R191" s="121">
        <v>53</v>
      </c>
      <c r="T191" s="188"/>
    </row>
    <row r="192" spans="1:20" x14ac:dyDescent="0.25">
      <c r="A192" s="100"/>
      <c r="B192" s="3">
        <v>3</v>
      </c>
      <c r="C192" s="5" t="s">
        <v>64</v>
      </c>
      <c r="D192" s="3" t="s">
        <v>48</v>
      </c>
      <c r="E192" s="100" t="str">
        <f>IFERROR(VLOOKUP(C192,Resources!B:D,3,FALSE)," ")</f>
        <v>P</v>
      </c>
      <c r="F192" s="8">
        <v>1</v>
      </c>
      <c r="G192" s="8">
        <v>40</v>
      </c>
      <c r="H192" s="8">
        <f>H189</f>
        <v>998</v>
      </c>
      <c r="I192" s="109">
        <f>IFERROR(VLOOKUP(C192,Resources!B:G,6,FALSE)," ")</f>
        <v>100</v>
      </c>
      <c r="J192" s="109">
        <f t="shared" si="217"/>
        <v>2495</v>
      </c>
      <c r="K192" s="8">
        <f t="shared" si="218"/>
        <v>24.95</v>
      </c>
      <c r="L192" s="8">
        <f t="shared" si="219"/>
        <v>24.95</v>
      </c>
      <c r="M192" s="109">
        <f t="shared" si="212"/>
        <v>0</v>
      </c>
      <c r="N192" s="109">
        <f t="shared" si="213"/>
        <v>0</v>
      </c>
      <c r="O192" s="109">
        <f t="shared" si="214"/>
        <v>2495</v>
      </c>
      <c r="P192" s="109">
        <f t="shared" si="215"/>
        <v>0</v>
      </c>
      <c r="Q192" s="109">
        <f t="shared" si="220"/>
        <v>2495</v>
      </c>
      <c r="R192" s="121">
        <v>53</v>
      </c>
      <c r="T192" s="188"/>
    </row>
    <row r="193" spans="1:20" x14ac:dyDescent="0.25">
      <c r="A193" s="100"/>
      <c r="B193" s="3">
        <v>4</v>
      </c>
      <c r="C193" s="5" t="s">
        <v>8</v>
      </c>
      <c r="D193" s="3" t="s">
        <v>48</v>
      </c>
      <c r="E193" s="100" t="str">
        <f>IFERROR(VLOOKUP(C193,Resources!B:D,3,FALSE)," ")</f>
        <v>L</v>
      </c>
      <c r="F193" s="8">
        <v>1</v>
      </c>
      <c r="G193" s="8">
        <v>40</v>
      </c>
      <c r="H193" s="8">
        <f>H189</f>
        <v>998</v>
      </c>
      <c r="I193" s="109">
        <f>IFERROR(VLOOKUP(C193,Resources!B:G,6,FALSE)," ")</f>
        <v>42</v>
      </c>
      <c r="J193" s="109">
        <f t="shared" si="217"/>
        <v>1047.8999999999999</v>
      </c>
      <c r="K193" s="8">
        <f t="shared" si="218"/>
        <v>24.95</v>
      </c>
      <c r="L193" s="8">
        <f t="shared" si="219"/>
        <v>24.95</v>
      </c>
      <c r="M193" s="109">
        <f t="shared" si="212"/>
        <v>1047.8999999999999</v>
      </c>
      <c r="N193" s="109">
        <f t="shared" si="213"/>
        <v>0</v>
      </c>
      <c r="O193" s="109">
        <f t="shared" si="214"/>
        <v>0</v>
      </c>
      <c r="P193" s="109">
        <f t="shared" si="215"/>
        <v>0</v>
      </c>
      <c r="Q193" s="109">
        <f t="shared" si="220"/>
        <v>1047.8999999999999</v>
      </c>
      <c r="R193" s="121">
        <v>53</v>
      </c>
      <c r="T193" s="188"/>
    </row>
    <row r="194" spans="1:20" x14ac:dyDescent="0.25">
      <c r="A194" s="101"/>
      <c r="B194" s="4">
        <v>5</v>
      </c>
      <c r="C194" s="6" t="s">
        <v>65</v>
      </c>
      <c r="D194" s="4"/>
      <c r="E194" s="101" t="str">
        <f>IFERROR(VLOOKUP(C194,Resources!B:D,3,FALSE)," ")</f>
        <v xml:space="preserve"> </v>
      </c>
      <c r="F194" s="9"/>
      <c r="G194" s="9"/>
      <c r="H194" s="9"/>
      <c r="I194" s="38" t="str">
        <f>IFERROR(VLOOKUP(C194,Resources!B:G,6,FALSE)," ")</f>
        <v xml:space="preserve"> </v>
      </c>
      <c r="J194" s="38"/>
      <c r="K194" s="9"/>
      <c r="L194" s="9"/>
      <c r="M194" s="38"/>
      <c r="N194" s="38"/>
      <c r="O194" s="38"/>
      <c r="P194" s="38"/>
      <c r="Q194" s="38"/>
      <c r="R194" s="122"/>
      <c r="T194" s="188"/>
    </row>
    <row r="195" spans="1:20" x14ac:dyDescent="0.25">
      <c r="A195" s="100">
        <v>27.1</v>
      </c>
      <c r="B195" s="3">
        <v>6</v>
      </c>
      <c r="C195" s="5" t="s">
        <v>39</v>
      </c>
      <c r="D195" s="3" t="s">
        <v>48</v>
      </c>
      <c r="E195" s="100" t="str">
        <f>IFERROR(VLOOKUP(C195,Resources!B:D,3,FALSE)," ")</f>
        <v>P</v>
      </c>
      <c r="F195" s="8">
        <v>1</v>
      </c>
      <c r="G195" s="103">
        <f>VLOOKUP($A195,'Model Inputs'!$A:$D,4,FALSE)</f>
        <v>250</v>
      </c>
      <c r="H195" s="8">
        <f>H189/0.555</f>
        <v>1798.198198198198</v>
      </c>
      <c r="I195" s="109">
        <f>IFERROR(VLOOKUP(C195,Resources!B:G,6,FALSE)," ")</f>
        <v>145</v>
      </c>
      <c r="J195" s="109">
        <f t="shared" ref="J195" si="221">(H195/(G195/F195))*I195</f>
        <v>1042.9549549549549</v>
      </c>
      <c r="K195" s="8">
        <f t="shared" ref="K195" si="222">L195*F195</f>
        <v>7.1927927927927922</v>
      </c>
      <c r="L195" s="8">
        <f t="shared" ref="L195" si="223">IF(E195="M"," ",H195/G195)</f>
        <v>7.1927927927927922</v>
      </c>
      <c r="M195" s="109">
        <f t="shared" ref="M195:M198" si="224">IF($E195="L",$J195,0)</f>
        <v>0</v>
      </c>
      <c r="N195" s="109">
        <f t="shared" ref="N195:N198" si="225">IF($E195="M",$J195,0)</f>
        <v>0</v>
      </c>
      <c r="O195" s="109">
        <f t="shared" ref="O195:O198" si="226">IF($E195="P",$J195,0)</f>
        <v>1042.9549549549549</v>
      </c>
      <c r="P195" s="109">
        <f t="shared" ref="P195:P198" si="227">IF($E195="S",$J195,0)</f>
        <v>0</v>
      </c>
      <c r="Q195" s="109">
        <f t="shared" ref="Q195" si="228">SUM(M195:P195)</f>
        <v>1042.9549549549549</v>
      </c>
      <c r="R195" s="121">
        <v>61</v>
      </c>
      <c r="T195" s="188"/>
    </row>
    <row r="196" spans="1:20" x14ac:dyDescent="0.25">
      <c r="A196" s="100"/>
      <c r="B196" s="3">
        <v>7</v>
      </c>
      <c r="C196" s="5" t="s">
        <v>64</v>
      </c>
      <c r="D196" s="3" t="s">
        <v>48</v>
      </c>
      <c r="E196" s="100" t="str">
        <f>IFERROR(VLOOKUP(C196,Resources!B:D,3,FALSE)," ")</f>
        <v>P</v>
      </c>
      <c r="F196" s="8">
        <v>1</v>
      </c>
      <c r="G196" s="8">
        <f>G195</f>
        <v>250</v>
      </c>
      <c r="H196" s="8">
        <f>H195</f>
        <v>1798.198198198198</v>
      </c>
      <c r="I196" s="109">
        <f>IFERROR(VLOOKUP(C196,Resources!B:G,6,FALSE)," ")</f>
        <v>100</v>
      </c>
      <c r="J196" s="109">
        <f t="shared" ref="J196:J198" si="229">(H196/(G196/F196))*I196</f>
        <v>719.27927927927919</v>
      </c>
      <c r="K196" s="8">
        <f t="shared" ref="K196:K198" si="230">L196*F196</f>
        <v>7.1927927927927922</v>
      </c>
      <c r="L196" s="8">
        <f t="shared" ref="L196:L198" si="231">IF(E196="M"," ",H196/G196)</f>
        <v>7.1927927927927922</v>
      </c>
      <c r="M196" s="109">
        <f t="shared" si="224"/>
        <v>0</v>
      </c>
      <c r="N196" s="109">
        <f t="shared" si="225"/>
        <v>0</v>
      </c>
      <c r="O196" s="109">
        <f t="shared" si="226"/>
        <v>719.27927927927919</v>
      </c>
      <c r="P196" s="109">
        <f t="shared" si="227"/>
        <v>0</v>
      </c>
      <c r="Q196" s="109">
        <f t="shared" ref="Q196:Q198" si="232">SUM(M196:P196)</f>
        <v>719.27927927927919</v>
      </c>
      <c r="R196" s="121">
        <v>61</v>
      </c>
      <c r="T196" s="188"/>
    </row>
    <row r="197" spans="1:20" x14ac:dyDescent="0.25">
      <c r="A197" s="100"/>
      <c r="B197" s="3">
        <v>8</v>
      </c>
      <c r="C197" s="5" t="s">
        <v>69</v>
      </c>
      <c r="D197" s="3" t="s">
        <v>48</v>
      </c>
      <c r="E197" s="100" t="str">
        <f>IFERROR(VLOOKUP(C197,Resources!B:D,3,FALSE)," ")</f>
        <v>P</v>
      </c>
      <c r="F197" s="8">
        <v>1</v>
      </c>
      <c r="G197" s="8">
        <f>G195</f>
        <v>250</v>
      </c>
      <c r="H197" s="8">
        <f>H195</f>
        <v>1798.198198198198</v>
      </c>
      <c r="I197" s="109">
        <f>IFERROR(VLOOKUP(C197,Resources!B:G,6,FALSE)," ")</f>
        <v>55</v>
      </c>
      <c r="J197" s="109">
        <f t="shared" si="229"/>
        <v>395.60360360360357</v>
      </c>
      <c r="K197" s="8">
        <f t="shared" si="230"/>
        <v>7.1927927927927922</v>
      </c>
      <c r="L197" s="8">
        <f t="shared" si="231"/>
        <v>7.1927927927927922</v>
      </c>
      <c r="M197" s="109">
        <f t="shared" si="224"/>
        <v>0</v>
      </c>
      <c r="N197" s="109">
        <f t="shared" si="225"/>
        <v>0</v>
      </c>
      <c r="O197" s="109">
        <f t="shared" si="226"/>
        <v>395.60360360360357</v>
      </c>
      <c r="P197" s="109">
        <f t="shared" si="227"/>
        <v>0</v>
      </c>
      <c r="Q197" s="109">
        <f t="shared" si="232"/>
        <v>395.60360360360357</v>
      </c>
      <c r="R197" s="121">
        <v>61</v>
      </c>
      <c r="T197" s="188"/>
    </row>
    <row r="198" spans="1:20" x14ac:dyDescent="0.25">
      <c r="A198" s="100">
        <v>27.2</v>
      </c>
      <c r="B198" s="3">
        <v>9</v>
      </c>
      <c r="C198" s="5" t="s">
        <v>8</v>
      </c>
      <c r="D198" s="3" t="s">
        <v>48</v>
      </c>
      <c r="E198" s="100" t="str">
        <f>IFERROR(VLOOKUP(C198,Resources!B:D,3,FALSE)," ")</f>
        <v>L</v>
      </c>
      <c r="F198" s="103">
        <f>VLOOKUP($A198,'Model Inputs'!$A:$D,4,FALSE)</f>
        <v>3</v>
      </c>
      <c r="G198" s="8">
        <f>G195</f>
        <v>250</v>
      </c>
      <c r="H198" s="8">
        <f>H195</f>
        <v>1798.198198198198</v>
      </c>
      <c r="I198" s="109">
        <f>IFERROR(VLOOKUP(C198,Resources!B:G,6,FALSE)," ")</f>
        <v>42</v>
      </c>
      <c r="J198" s="109">
        <f t="shared" si="229"/>
        <v>906.29189189189185</v>
      </c>
      <c r="K198" s="8">
        <f t="shared" si="230"/>
        <v>21.578378378378375</v>
      </c>
      <c r="L198" s="8">
        <f t="shared" si="231"/>
        <v>7.1927927927927922</v>
      </c>
      <c r="M198" s="109">
        <f t="shared" si="224"/>
        <v>906.29189189189185</v>
      </c>
      <c r="N198" s="109">
        <f t="shared" si="225"/>
        <v>0</v>
      </c>
      <c r="O198" s="109">
        <f t="shared" si="226"/>
        <v>0</v>
      </c>
      <c r="P198" s="109">
        <f t="shared" si="227"/>
        <v>0</v>
      </c>
      <c r="Q198" s="109">
        <f t="shared" si="232"/>
        <v>906.29189189189185</v>
      </c>
      <c r="R198" s="121">
        <v>61</v>
      </c>
      <c r="T198" s="188"/>
    </row>
    <row r="199" spans="1:20" x14ac:dyDescent="0.25">
      <c r="A199" s="101"/>
      <c r="B199" s="4"/>
      <c r="C199" s="6"/>
      <c r="D199" s="4"/>
      <c r="E199" s="101" t="str">
        <f>IFERROR(VLOOKUP(C199,Resources!B:D,3,FALSE)," ")</f>
        <v xml:space="preserve"> </v>
      </c>
      <c r="F199" s="9"/>
      <c r="G199" s="9"/>
      <c r="H199" s="9"/>
      <c r="I199" s="38" t="str">
        <f>IFERROR(VLOOKUP(C199,Resources!B:G,6,FALSE)," ")</f>
        <v xml:space="preserve"> </v>
      </c>
      <c r="J199" s="38"/>
      <c r="K199" s="9"/>
      <c r="L199" s="9"/>
      <c r="M199" s="38"/>
      <c r="N199" s="38"/>
      <c r="O199" s="38"/>
      <c r="P199" s="38"/>
      <c r="Q199" s="38"/>
      <c r="R199" s="122"/>
      <c r="T199" s="188"/>
    </row>
    <row r="200" spans="1:20" ht="45" x14ac:dyDescent="0.25">
      <c r="A200" s="114">
        <v>28</v>
      </c>
      <c r="B200" s="1" t="s">
        <v>166</v>
      </c>
      <c r="C200" s="1" t="s">
        <v>167</v>
      </c>
      <c r="D200" s="2" t="s">
        <v>62</v>
      </c>
      <c r="E200" s="99" t="str">
        <f>IFERROR(VLOOKUP(C200,Resources!B:D,3,FALSE)," ")</f>
        <v xml:space="preserve"> </v>
      </c>
      <c r="F200" s="7"/>
      <c r="G200" s="7"/>
      <c r="H200" s="103">
        <f>VLOOKUP($A200,'Model Inputs'!$A:$D,4,FALSE)</f>
        <v>10</v>
      </c>
      <c r="I200" s="108" t="str">
        <f>IFERROR(VLOOKUP(C200,Resources!B:G,6,FALSE)," ")</f>
        <v xml:space="preserve"> </v>
      </c>
      <c r="J200" s="108">
        <f>SUBTOTAL(9,J201:J209)</f>
        <v>655.33333333333337</v>
      </c>
      <c r="K200" s="7"/>
      <c r="L200" s="7">
        <f>ROUNDUP((MAX(L201:L204)+MAX(L206:L209))/Workhrs,0)</f>
        <v>1</v>
      </c>
      <c r="M200" s="108">
        <f t="shared" ref="M200:Q200" si="233">SUBTOTAL(9,M201:M209)</f>
        <v>112</v>
      </c>
      <c r="N200" s="108">
        <f t="shared" si="233"/>
        <v>0</v>
      </c>
      <c r="O200" s="108">
        <f t="shared" si="233"/>
        <v>543.33333333333337</v>
      </c>
      <c r="P200" s="108">
        <f t="shared" si="233"/>
        <v>0</v>
      </c>
      <c r="Q200" s="108">
        <f t="shared" si="233"/>
        <v>655.33333333333337</v>
      </c>
      <c r="R200" s="120"/>
      <c r="T200" s="188"/>
    </row>
    <row r="201" spans="1:20" x14ac:dyDescent="0.25">
      <c r="A201" s="100">
        <v>28.1</v>
      </c>
      <c r="B201" s="3">
        <v>1</v>
      </c>
      <c r="C201" s="5" t="s">
        <v>63</v>
      </c>
      <c r="D201" s="3" t="s">
        <v>48</v>
      </c>
      <c r="E201" s="100" t="str">
        <f>IFERROR(VLOOKUP(C201,Resources!B:D,3,FALSE)," ")</f>
        <v>P</v>
      </c>
      <c r="F201" s="8">
        <v>1</v>
      </c>
      <c r="G201" s="103">
        <f>VLOOKUP($A201,'Model Inputs'!$A:$D,4,FALSE)</f>
        <v>15</v>
      </c>
      <c r="H201" s="8">
        <f>H200</f>
        <v>10</v>
      </c>
      <c r="I201" s="109">
        <f>IFERROR(VLOOKUP(C201,Resources!B:G,6,FALSE)," ")</f>
        <v>135</v>
      </c>
      <c r="J201" s="109">
        <f t="shared" ref="J201" si="234">(H201/(G201/F201))*I201</f>
        <v>90</v>
      </c>
      <c r="K201" s="8">
        <f t="shared" ref="K201" si="235">L201*F201</f>
        <v>0.66666666666666663</v>
      </c>
      <c r="L201" s="8">
        <f t="shared" ref="L201" si="236">IF(E201="M"," ",H201/G201)</f>
        <v>0.66666666666666663</v>
      </c>
      <c r="M201" s="109">
        <f t="shared" ref="M201:M204" si="237">IF($E201="L",$J201,0)</f>
        <v>0</v>
      </c>
      <c r="N201" s="109">
        <f t="shared" ref="N201:N204" si="238">IF($E201="M",$J201,0)</f>
        <v>0</v>
      </c>
      <c r="O201" s="109">
        <f t="shared" ref="O201:O204" si="239">IF($E201="P",$J201,0)</f>
        <v>90</v>
      </c>
      <c r="P201" s="109">
        <f t="shared" ref="P201:P204" si="240">IF($E201="S",$J201,0)</f>
        <v>0</v>
      </c>
      <c r="Q201" s="109">
        <f t="shared" ref="Q201" si="241">SUM(M201:P201)</f>
        <v>90</v>
      </c>
      <c r="R201" s="121">
        <v>57</v>
      </c>
      <c r="T201" s="188"/>
    </row>
    <row r="202" spans="1:20" x14ac:dyDescent="0.25">
      <c r="A202" s="100"/>
      <c r="B202" s="3">
        <v>2</v>
      </c>
      <c r="C202" s="5" t="s">
        <v>44</v>
      </c>
      <c r="D202" s="3" t="s">
        <v>48</v>
      </c>
      <c r="E202" s="100" t="str">
        <f>IFERROR(VLOOKUP(C202,Resources!B:D,3,FALSE)," ")</f>
        <v>P</v>
      </c>
      <c r="F202" s="8">
        <v>2</v>
      </c>
      <c r="G202" s="8">
        <f>G201</f>
        <v>15</v>
      </c>
      <c r="H202" s="8">
        <f>H200</f>
        <v>10</v>
      </c>
      <c r="I202" s="109">
        <f>IFERROR(VLOOKUP(C202,Resources!B:G,6,FALSE)," ")</f>
        <v>145</v>
      </c>
      <c r="J202" s="109">
        <f t="shared" ref="J202:J204" si="242">(H202/(G202/F202))*I202</f>
        <v>193.33333333333331</v>
      </c>
      <c r="K202" s="8">
        <f t="shared" ref="K202:K204" si="243">L202*F202</f>
        <v>1.3333333333333333</v>
      </c>
      <c r="L202" s="8">
        <f t="shared" ref="L202:L204" si="244">IF(E202="M"," ",H202/G202)</f>
        <v>0.66666666666666663</v>
      </c>
      <c r="M202" s="109">
        <f t="shared" si="237"/>
        <v>0</v>
      </c>
      <c r="N202" s="109">
        <f t="shared" si="238"/>
        <v>0</v>
      </c>
      <c r="O202" s="109">
        <f t="shared" si="239"/>
        <v>193.33333333333331</v>
      </c>
      <c r="P202" s="109">
        <f t="shared" si="240"/>
        <v>0</v>
      </c>
      <c r="Q202" s="109">
        <f t="shared" ref="Q202:Q204" si="245">SUM(M202:P202)</f>
        <v>193.33333333333331</v>
      </c>
      <c r="R202" s="121">
        <v>57</v>
      </c>
      <c r="T202" s="188"/>
    </row>
    <row r="203" spans="1:20" x14ac:dyDescent="0.25">
      <c r="A203" s="100"/>
      <c r="B203" s="3">
        <v>3</v>
      </c>
      <c r="C203" s="5" t="s">
        <v>64</v>
      </c>
      <c r="D203" s="3" t="s">
        <v>48</v>
      </c>
      <c r="E203" s="100" t="str">
        <f>IFERROR(VLOOKUP(C203,Resources!B:D,3,FALSE)," ")</f>
        <v>P</v>
      </c>
      <c r="F203" s="8">
        <v>1</v>
      </c>
      <c r="G203" s="8">
        <f>G201</f>
        <v>15</v>
      </c>
      <c r="H203" s="8">
        <f>H200</f>
        <v>10</v>
      </c>
      <c r="I203" s="109">
        <f>IFERROR(VLOOKUP(C203,Resources!B:G,6,FALSE)," ")</f>
        <v>100</v>
      </c>
      <c r="J203" s="109">
        <f t="shared" si="242"/>
        <v>66.666666666666657</v>
      </c>
      <c r="K203" s="8">
        <f t="shared" si="243"/>
        <v>0.66666666666666663</v>
      </c>
      <c r="L203" s="8">
        <f t="shared" si="244"/>
        <v>0.66666666666666663</v>
      </c>
      <c r="M203" s="109">
        <f t="shared" si="237"/>
        <v>0</v>
      </c>
      <c r="N203" s="109">
        <f t="shared" si="238"/>
        <v>0</v>
      </c>
      <c r="O203" s="109">
        <f t="shared" si="239"/>
        <v>66.666666666666657</v>
      </c>
      <c r="P203" s="109">
        <f t="shared" si="240"/>
        <v>0</v>
      </c>
      <c r="Q203" s="109">
        <f t="shared" si="245"/>
        <v>66.666666666666657</v>
      </c>
      <c r="R203" s="121">
        <v>57</v>
      </c>
      <c r="T203" s="188"/>
    </row>
    <row r="204" spans="1:20" x14ac:dyDescent="0.25">
      <c r="A204" s="100"/>
      <c r="B204" s="3">
        <v>4</v>
      </c>
      <c r="C204" s="5" t="s">
        <v>8</v>
      </c>
      <c r="D204" s="3" t="s">
        <v>48</v>
      </c>
      <c r="E204" s="100" t="str">
        <f>IFERROR(VLOOKUP(C204,Resources!B:D,3,FALSE)," ")</f>
        <v>L</v>
      </c>
      <c r="F204" s="8">
        <v>1</v>
      </c>
      <c r="G204" s="8">
        <f>G201</f>
        <v>15</v>
      </c>
      <c r="H204" s="8">
        <f>H200</f>
        <v>10</v>
      </c>
      <c r="I204" s="109">
        <f>IFERROR(VLOOKUP(C204,Resources!B:G,6,FALSE)," ")</f>
        <v>42</v>
      </c>
      <c r="J204" s="109">
        <f t="shared" si="242"/>
        <v>28</v>
      </c>
      <c r="K204" s="8">
        <f t="shared" si="243"/>
        <v>0.66666666666666663</v>
      </c>
      <c r="L204" s="8">
        <f t="shared" si="244"/>
        <v>0.66666666666666663</v>
      </c>
      <c r="M204" s="109">
        <f t="shared" si="237"/>
        <v>28</v>
      </c>
      <c r="N204" s="109">
        <f t="shared" si="238"/>
        <v>0</v>
      </c>
      <c r="O204" s="109">
        <f t="shared" si="239"/>
        <v>0</v>
      </c>
      <c r="P204" s="109">
        <f t="shared" si="240"/>
        <v>0</v>
      </c>
      <c r="Q204" s="109">
        <f t="shared" si="245"/>
        <v>28</v>
      </c>
      <c r="R204" s="121">
        <v>57</v>
      </c>
      <c r="T204" s="188"/>
    </row>
    <row r="205" spans="1:20" x14ac:dyDescent="0.25">
      <c r="A205" s="101"/>
      <c r="B205" s="4">
        <v>5</v>
      </c>
      <c r="C205" s="6" t="s">
        <v>68</v>
      </c>
      <c r="D205" s="4"/>
      <c r="E205" s="101" t="str">
        <f>IFERROR(VLOOKUP(C205,Resources!B:D,3,FALSE)," ")</f>
        <v xml:space="preserve"> </v>
      </c>
      <c r="F205" s="9"/>
      <c r="G205" s="9"/>
      <c r="H205" s="9"/>
      <c r="I205" s="38" t="str">
        <f>IFERROR(VLOOKUP(C205,Resources!B:G,6,FALSE)," ")</f>
        <v xml:space="preserve"> </v>
      </c>
      <c r="J205" s="38"/>
      <c r="K205" s="9"/>
      <c r="L205" s="9"/>
      <c r="M205" s="38"/>
      <c r="N205" s="38"/>
      <c r="O205" s="38"/>
      <c r="P205" s="38"/>
      <c r="Q205" s="38"/>
      <c r="R205" s="122"/>
      <c r="T205" s="188"/>
    </row>
    <row r="206" spans="1:20" x14ac:dyDescent="0.25">
      <c r="A206" s="100">
        <v>28.2</v>
      </c>
      <c r="B206" s="3">
        <v>6</v>
      </c>
      <c r="C206" s="5" t="s">
        <v>63</v>
      </c>
      <c r="D206" s="3" t="s">
        <v>48</v>
      </c>
      <c r="E206" s="100" t="str">
        <f>IFERROR(VLOOKUP(C206,Resources!B:D,3,FALSE)," ")</f>
        <v>P</v>
      </c>
      <c r="F206" s="8">
        <v>1</v>
      </c>
      <c r="G206" s="103">
        <f>VLOOKUP($A206,'Model Inputs'!$A:$D,4,FALSE)</f>
        <v>15</v>
      </c>
      <c r="H206" s="8">
        <f>H200</f>
        <v>10</v>
      </c>
      <c r="I206" s="109">
        <f>IFERROR(VLOOKUP(C206,Resources!B:G,6,FALSE)," ")</f>
        <v>135</v>
      </c>
      <c r="J206" s="109">
        <f t="shared" ref="J206" si="246">(H206/(G206/F206))*I206</f>
        <v>90</v>
      </c>
      <c r="K206" s="8">
        <f t="shared" ref="K206" si="247">L206*F206</f>
        <v>0.66666666666666663</v>
      </c>
      <c r="L206" s="8">
        <f t="shared" ref="L206" si="248">IF(E206="M"," ",H206/G206)</f>
        <v>0.66666666666666663</v>
      </c>
      <c r="M206" s="109">
        <f t="shared" ref="M206:M209" si="249">IF($E206="L",$J206,0)</f>
        <v>0</v>
      </c>
      <c r="N206" s="109">
        <f t="shared" ref="N206:N209" si="250">IF($E206="M",$J206,0)</f>
        <v>0</v>
      </c>
      <c r="O206" s="109">
        <f t="shared" ref="O206:O209" si="251">IF($E206="P",$J206,0)</f>
        <v>90</v>
      </c>
      <c r="P206" s="109">
        <f t="shared" ref="P206:P209" si="252">IF($E206="S",$J206,0)</f>
        <v>0</v>
      </c>
      <c r="Q206" s="109">
        <f t="shared" ref="Q206" si="253">SUM(M206:P206)</f>
        <v>90</v>
      </c>
      <c r="R206" s="121">
        <v>57</v>
      </c>
      <c r="T206" s="188"/>
    </row>
    <row r="207" spans="1:20" x14ac:dyDescent="0.25">
      <c r="A207" s="100"/>
      <c r="B207" s="3">
        <v>7</v>
      </c>
      <c r="C207" s="5" t="s">
        <v>69</v>
      </c>
      <c r="D207" s="3" t="s">
        <v>48</v>
      </c>
      <c r="E207" s="100" t="str">
        <f>IFERROR(VLOOKUP(C207,Resources!B:D,3,FALSE)," ")</f>
        <v>P</v>
      </c>
      <c r="F207" s="8">
        <v>1</v>
      </c>
      <c r="G207" s="8">
        <f>G206</f>
        <v>15</v>
      </c>
      <c r="H207" s="8">
        <f>H200</f>
        <v>10</v>
      </c>
      <c r="I207" s="109">
        <f>IFERROR(VLOOKUP(C207,Resources!B:G,6,FALSE)," ")</f>
        <v>55</v>
      </c>
      <c r="J207" s="109">
        <f t="shared" ref="J207:J209" si="254">(H207/(G207/F207))*I207</f>
        <v>36.666666666666664</v>
      </c>
      <c r="K207" s="8">
        <f t="shared" ref="K207:K209" si="255">L207*F207</f>
        <v>0.66666666666666663</v>
      </c>
      <c r="L207" s="8">
        <f t="shared" ref="L207:L209" si="256">IF(E207="M"," ",H207/G207)</f>
        <v>0.66666666666666663</v>
      </c>
      <c r="M207" s="109">
        <f t="shared" si="249"/>
        <v>0</v>
      </c>
      <c r="N207" s="109">
        <f t="shared" si="250"/>
        <v>0</v>
      </c>
      <c r="O207" s="109">
        <f t="shared" si="251"/>
        <v>36.666666666666664</v>
      </c>
      <c r="P207" s="109">
        <f t="shared" si="252"/>
        <v>0</v>
      </c>
      <c r="Q207" s="109">
        <f t="shared" ref="Q207:Q209" si="257">SUM(M207:P207)</f>
        <v>36.666666666666664</v>
      </c>
      <c r="R207" s="121">
        <v>57</v>
      </c>
      <c r="T207" s="188"/>
    </row>
    <row r="208" spans="1:20" x14ac:dyDescent="0.25">
      <c r="A208" s="100"/>
      <c r="B208" s="3">
        <v>8</v>
      </c>
      <c r="C208" s="5" t="s">
        <v>64</v>
      </c>
      <c r="D208" s="3" t="s">
        <v>48</v>
      </c>
      <c r="E208" s="100" t="str">
        <f>IFERROR(VLOOKUP(C208,Resources!B:D,3,FALSE)," ")</f>
        <v>P</v>
      </c>
      <c r="F208" s="8">
        <v>1</v>
      </c>
      <c r="G208" s="8">
        <f>G206</f>
        <v>15</v>
      </c>
      <c r="H208" s="8">
        <f>H200</f>
        <v>10</v>
      </c>
      <c r="I208" s="109">
        <f>IFERROR(VLOOKUP(C208,Resources!B:G,6,FALSE)," ")</f>
        <v>100</v>
      </c>
      <c r="J208" s="109">
        <f t="shared" si="254"/>
        <v>66.666666666666657</v>
      </c>
      <c r="K208" s="8">
        <f t="shared" si="255"/>
        <v>0.66666666666666663</v>
      </c>
      <c r="L208" s="8">
        <f t="shared" si="256"/>
        <v>0.66666666666666663</v>
      </c>
      <c r="M208" s="109">
        <f t="shared" si="249"/>
        <v>0</v>
      </c>
      <c r="N208" s="109">
        <f t="shared" si="250"/>
        <v>0</v>
      </c>
      <c r="O208" s="109">
        <f t="shared" si="251"/>
        <v>66.666666666666657</v>
      </c>
      <c r="P208" s="109">
        <f t="shared" si="252"/>
        <v>0</v>
      </c>
      <c r="Q208" s="109">
        <f t="shared" si="257"/>
        <v>66.666666666666657</v>
      </c>
      <c r="R208" s="121">
        <v>57</v>
      </c>
      <c r="T208" s="188"/>
    </row>
    <row r="209" spans="1:20" x14ac:dyDescent="0.25">
      <c r="A209" s="100">
        <v>28.3</v>
      </c>
      <c r="B209" s="3">
        <v>9</v>
      </c>
      <c r="C209" s="5" t="s">
        <v>8</v>
      </c>
      <c r="D209" s="3" t="s">
        <v>48</v>
      </c>
      <c r="E209" s="100" t="str">
        <f>IFERROR(VLOOKUP(C209,Resources!B:D,3,FALSE)," ")</f>
        <v>L</v>
      </c>
      <c r="F209" s="103">
        <f>VLOOKUP($A209,'Model Inputs'!$A:$D,4,FALSE)</f>
        <v>3</v>
      </c>
      <c r="G209" s="8">
        <f>G206</f>
        <v>15</v>
      </c>
      <c r="H209" s="8">
        <f>H200</f>
        <v>10</v>
      </c>
      <c r="I209" s="109">
        <f>IFERROR(VLOOKUP(C209,Resources!B:G,6,FALSE)," ")</f>
        <v>42</v>
      </c>
      <c r="J209" s="109">
        <f t="shared" si="254"/>
        <v>84</v>
      </c>
      <c r="K209" s="8">
        <f t="shared" si="255"/>
        <v>2</v>
      </c>
      <c r="L209" s="8">
        <f t="shared" si="256"/>
        <v>0.66666666666666663</v>
      </c>
      <c r="M209" s="109">
        <f t="shared" si="249"/>
        <v>84</v>
      </c>
      <c r="N209" s="109">
        <f t="shared" si="250"/>
        <v>0</v>
      </c>
      <c r="O209" s="109">
        <f t="shared" si="251"/>
        <v>0</v>
      </c>
      <c r="P209" s="109">
        <f t="shared" si="252"/>
        <v>0</v>
      </c>
      <c r="Q209" s="109">
        <f t="shared" si="257"/>
        <v>84</v>
      </c>
      <c r="R209" s="121">
        <v>57</v>
      </c>
      <c r="T209" s="188"/>
    </row>
    <row r="210" spans="1:20" x14ac:dyDescent="0.25">
      <c r="A210" s="101"/>
      <c r="B210" s="4"/>
      <c r="C210" s="6"/>
      <c r="D210" s="4"/>
      <c r="E210" s="101" t="str">
        <f>IFERROR(VLOOKUP(C210,Resources!B:D,3,FALSE)," ")</f>
        <v xml:space="preserve"> </v>
      </c>
      <c r="F210" s="9"/>
      <c r="G210" s="9"/>
      <c r="H210" s="9"/>
      <c r="I210" s="38" t="str">
        <f>IFERROR(VLOOKUP(C210,Resources!B:G,6,FALSE)," ")</f>
        <v xml:space="preserve"> </v>
      </c>
      <c r="J210" s="38"/>
      <c r="K210" s="9"/>
      <c r="L210" s="9"/>
      <c r="M210" s="38"/>
      <c r="N210" s="38"/>
      <c r="O210" s="38"/>
      <c r="P210" s="38"/>
      <c r="Q210" s="38"/>
      <c r="R210" s="122"/>
      <c r="T210" s="188"/>
    </row>
    <row r="211" spans="1:20" ht="30" x14ac:dyDescent="0.25">
      <c r="A211" s="114"/>
      <c r="B211" s="1" t="s">
        <v>168</v>
      </c>
      <c r="C211" s="1" t="s">
        <v>71</v>
      </c>
      <c r="D211" s="2"/>
      <c r="E211" s="99" t="str">
        <f>IFERROR(VLOOKUP(C211,Resources!B:D,3,FALSE)," ")</f>
        <v xml:space="preserve"> </v>
      </c>
      <c r="F211" s="7"/>
      <c r="G211" s="7"/>
      <c r="H211" s="7"/>
      <c r="I211" s="108" t="str">
        <f>IFERROR(VLOOKUP(C211,Resources!B:G,6,FALSE)," ")</f>
        <v xml:space="preserve"> </v>
      </c>
      <c r="J211" s="108"/>
      <c r="K211" s="7"/>
      <c r="L211" s="7"/>
      <c r="M211" s="108"/>
      <c r="N211" s="108"/>
      <c r="O211" s="108"/>
      <c r="P211" s="108"/>
      <c r="Q211" s="108"/>
      <c r="R211" s="120"/>
      <c r="T211" s="188"/>
    </row>
    <row r="212" spans="1:20" ht="30" x14ac:dyDescent="0.25">
      <c r="A212" s="114"/>
      <c r="B212" s="1" t="s">
        <v>169</v>
      </c>
      <c r="C212" s="1" t="s">
        <v>170</v>
      </c>
      <c r="D212" s="2"/>
      <c r="E212" s="99" t="str">
        <f>IFERROR(VLOOKUP(C212,Resources!B:D,3,FALSE)," ")</f>
        <v xml:space="preserve"> </v>
      </c>
      <c r="F212" s="7"/>
      <c r="G212" s="7"/>
      <c r="H212" s="7"/>
      <c r="I212" s="108" t="str">
        <f>IFERROR(VLOOKUP(C212,Resources!B:G,6,FALSE)," ")</f>
        <v xml:space="preserve"> </v>
      </c>
      <c r="J212" s="108"/>
      <c r="K212" s="7"/>
      <c r="L212" s="7"/>
      <c r="M212" s="108"/>
      <c r="N212" s="108"/>
      <c r="O212" s="108"/>
      <c r="P212" s="108"/>
      <c r="Q212" s="108"/>
      <c r="R212" s="120"/>
      <c r="T212" s="188"/>
    </row>
    <row r="213" spans="1:20" ht="30" x14ac:dyDescent="0.25">
      <c r="A213" s="114">
        <v>29</v>
      </c>
      <c r="B213" s="1" t="s">
        <v>171</v>
      </c>
      <c r="C213" s="1" t="s">
        <v>172</v>
      </c>
      <c r="D213" s="2" t="s">
        <v>20</v>
      </c>
      <c r="E213" s="99" t="str">
        <f>IFERROR(VLOOKUP(C213,Resources!B:D,3,FALSE)," ")</f>
        <v xml:space="preserve"> </v>
      </c>
      <c r="F213" s="7"/>
      <c r="G213" s="7"/>
      <c r="H213" s="103">
        <f>VLOOKUP($A213,'Model Inputs'!$A:$D,4,FALSE)</f>
        <v>1</v>
      </c>
      <c r="I213" s="108" t="str">
        <f>IFERROR(VLOOKUP(C213,Resources!B:G,6,FALSE)," ")</f>
        <v xml:space="preserve"> </v>
      </c>
      <c r="J213" s="108">
        <f>SUBTOTAL(9,J214:J217)</f>
        <v>10066.666666666666</v>
      </c>
      <c r="K213" s="7"/>
      <c r="L213" s="7">
        <f>ROUNDUP(MAX(L214:L217)/Workhrs,0)</f>
        <v>2</v>
      </c>
      <c r="M213" s="108">
        <f t="shared" ref="M213:Q213" si="258">SUBTOTAL(9,M214:M217)</f>
        <v>1400</v>
      </c>
      <c r="N213" s="108">
        <f t="shared" si="258"/>
        <v>0</v>
      </c>
      <c r="O213" s="108">
        <f t="shared" si="258"/>
        <v>8666.6666666666661</v>
      </c>
      <c r="P213" s="108">
        <f t="shared" si="258"/>
        <v>0</v>
      </c>
      <c r="Q213" s="108">
        <f t="shared" si="258"/>
        <v>10066.666666666666</v>
      </c>
      <c r="R213" s="120"/>
      <c r="T213" s="188"/>
    </row>
    <row r="214" spans="1:20" x14ac:dyDescent="0.25">
      <c r="A214" s="100">
        <v>29.1</v>
      </c>
      <c r="B214" s="3">
        <v>1</v>
      </c>
      <c r="C214" s="5" t="s">
        <v>63</v>
      </c>
      <c r="D214" s="3" t="s">
        <v>48</v>
      </c>
      <c r="E214" s="100" t="str">
        <f>IFERROR(VLOOKUP(C214,Resources!B:D,3,FALSE)," ")</f>
        <v>P</v>
      </c>
      <c r="F214" s="8">
        <v>1</v>
      </c>
      <c r="G214" s="103">
        <f>VLOOKUP($A214,'Model Inputs'!$A:$D,4,FALSE)</f>
        <v>0.06</v>
      </c>
      <c r="H214" s="8">
        <f>H213</f>
        <v>1</v>
      </c>
      <c r="I214" s="109">
        <f>IFERROR(VLOOKUP(C214,Resources!B:G,6,FALSE)," ")</f>
        <v>135</v>
      </c>
      <c r="J214" s="109">
        <f t="shared" ref="J214" si="259">(H214/(G214/F214))*I214</f>
        <v>2250</v>
      </c>
      <c r="K214" s="8">
        <f t="shared" ref="K214" si="260">L214*F214</f>
        <v>16.666666666666668</v>
      </c>
      <c r="L214" s="8">
        <f t="shared" ref="L214" si="261">IF(E214="M"," ",H214/G214)</f>
        <v>16.666666666666668</v>
      </c>
      <c r="M214" s="109">
        <f t="shared" ref="M214:M217" si="262">IF($E214="L",$J214,0)</f>
        <v>0</v>
      </c>
      <c r="N214" s="109">
        <f t="shared" ref="N214:N217" si="263">IF($E214="M",$J214,0)</f>
        <v>0</v>
      </c>
      <c r="O214" s="109">
        <f t="shared" ref="O214:O217" si="264">IF($E214="P",$J214,0)</f>
        <v>2250</v>
      </c>
      <c r="P214" s="109">
        <f t="shared" ref="P214:P217" si="265">IF($E214="S",$J214,0)</f>
        <v>0</v>
      </c>
      <c r="Q214" s="109">
        <f t="shared" ref="Q214" si="266">SUM(M214:P214)</f>
        <v>2250</v>
      </c>
      <c r="R214" s="121">
        <v>41</v>
      </c>
      <c r="T214" s="188"/>
    </row>
    <row r="215" spans="1:20" x14ac:dyDescent="0.25">
      <c r="A215" s="100"/>
      <c r="B215" s="3">
        <v>2</v>
      </c>
      <c r="C215" s="5" t="s">
        <v>173</v>
      </c>
      <c r="D215" s="3" t="s">
        <v>48</v>
      </c>
      <c r="E215" s="100" t="str">
        <f>IFERROR(VLOOKUP(C215,Resources!B:D,3,FALSE)," ")</f>
        <v>P</v>
      </c>
      <c r="F215" s="8">
        <v>3</v>
      </c>
      <c r="G215" s="8">
        <f>G214</f>
        <v>0.06</v>
      </c>
      <c r="H215" s="8">
        <f>H213</f>
        <v>1</v>
      </c>
      <c r="I215" s="109">
        <f>IFERROR(VLOOKUP(C215,Resources!B:G,6,FALSE)," ")</f>
        <v>95</v>
      </c>
      <c r="J215" s="109">
        <f t="shared" ref="J215:J217" si="267">(H215/(G215/F215))*I215</f>
        <v>4750</v>
      </c>
      <c r="K215" s="8">
        <f t="shared" ref="K215:K217" si="268">L215*F215</f>
        <v>50</v>
      </c>
      <c r="L215" s="8">
        <f t="shared" ref="L215:L217" si="269">IF(E215="M"," ",H215/G215)</f>
        <v>16.666666666666668</v>
      </c>
      <c r="M215" s="109">
        <f t="shared" si="262"/>
        <v>0</v>
      </c>
      <c r="N215" s="109">
        <f t="shared" si="263"/>
        <v>0</v>
      </c>
      <c r="O215" s="109">
        <f t="shared" si="264"/>
        <v>4750</v>
      </c>
      <c r="P215" s="109">
        <f t="shared" si="265"/>
        <v>0</v>
      </c>
      <c r="Q215" s="109">
        <f t="shared" ref="Q215:Q217" si="270">SUM(M215:P215)</f>
        <v>4750</v>
      </c>
      <c r="R215" s="121">
        <v>41</v>
      </c>
      <c r="T215" s="188"/>
    </row>
    <row r="216" spans="1:20" x14ac:dyDescent="0.25">
      <c r="A216" s="100"/>
      <c r="B216" s="3">
        <v>3</v>
      </c>
      <c r="C216" s="5" t="s">
        <v>8</v>
      </c>
      <c r="D216" s="3" t="s">
        <v>48</v>
      </c>
      <c r="E216" s="100" t="str">
        <f>IFERROR(VLOOKUP(C216,Resources!B:D,3,FALSE)," ")</f>
        <v>L</v>
      </c>
      <c r="F216" s="8">
        <v>2</v>
      </c>
      <c r="G216" s="8">
        <f>G214</f>
        <v>0.06</v>
      </c>
      <c r="H216" s="8">
        <f>H213</f>
        <v>1</v>
      </c>
      <c r="I216" s="109">
        <f>IFERROR(VLOOKUP(C216,Resources!B:G,6,FALSE)," ")</f>
        <v>42</v>
      </c>
      <c r="J216" s="109">
        <f t="shared" si="267"/>
        <v>1400</v>
      </c>
      <c r="K216" s="8">
        <f t="shared" si="268"/>
        <v>33.333333333333336</v>
      </c>
      <c r="L216" s="8">
        <f t="shared" si="269"/>
        <v>16.666666666666668</v>
      </c>
      <c r="M216" s="109">
        <f t="shared" si="262"/>
        <v>1400</v>
      </c>
      <c r="N216" s="109">
        <f t="shared" si="263"/>
        <v>0</v>
      </c>
      <c r="O216" s="109">
        <f t="shared" si="264"/>
        <v>0</v>
      </c>
      <c r="P216" s="109">
        <f t="shared" si="265"/>
        <v>0</v>
      </c>
      <c r="Q216" s="109">
        <f t="shared" si="270"/>
        <v>1400</v>
      </c>
      <c r="R216" s="121">
        <v>41</v>
      </c>
      <c r="T216" s="188"/>
    </row>
    <row r="217" spans="1:20" x14ac:dyDescent="0.25">
      <c r="A217" s="100"/>
      <c r="B217" s="3">
        <v>4</v>
      </c>
      <c r="C217" s="5" t="s">
        <v>64</v>
      </c>
      <c r="D217" s="3" t="s">
        <v>48</v>
      </c>
      <c r="E217" s="100" t="str">
        <f>IFERROR(VLOOKUP(C217,Resources!B:D,3,FALSE)," ")</f>
        <v>P</v>
      </c>
      <c r="F217" s="8">
        <v>1</v>
      </c>
      <c r="G217" s="8">
        <f>G214</f>
        <v>0.06</v>
      </c>
      <c r="H217" s="8">
        <f>H213</f>
        <v>1</v>
      </c>
      <c r="I217" s="109">
        <f>IFERROR(VLOOKUP(C217,Resources!B:G,6,FALSE)," ")</f>
        <v>100</v>
      </c>
      <c r="J217" s="109">
        <f t="shared" si="267"/>
        <v>1666.6666666666667</v>
      </c>
      <c r="K217" s="8">
        <f t="shared" si="268"/>
        <v>16.666666666666668</v>
      </c>
      <c r="L217" s="8">
        <f t="shared" si="269"/>
        <v>16.666666666666668</v>
      </c>
      <c r="M217" s="109">
        <f t="shared" si="262"/>
        <v>0</v>
      </c>
      <c r="N217" s="109">
        <f t="shared" si="263"/>
        <v>0</v>
      </c>
      <c r="O217" s="109">
        <f t="shared" si="264"/>
        <v>1666.6666666666667</v>
      </c>
      <c r="P217" s="109">
        <f t="shared" si="265"/>
        <v>0</v>
      </c>
      <c r="Q217" s="109">
        <f t="shared" si="270"/>
        <v>1666.6666666666667</v>
      </c>
      <c r="R217" s="121">
        <v>41</v>
      </c>
      <c r="T217" s="188"/>
    </row>
    <row r="218" spans="1:20" x14ac:dyDescent="0.25">
      <c r="A218" s="101"/>
      <c r="B218" s="4"/>
      <c r="C218" s="6"/>
      <c r="D218" s="4"/>
      <c r="E218" s="101" t="str">
        <f>IFERROR(VLOOKUP(C218,Resources!B:D,3,FALSE)," ")</f>
        <v xml:space="preserve"> </v>
      </c>
      <c r="F218" s="9"/>
      <c r="G218" s="9"/>
      <c r="H218" s="9"/>
      <c r="I218" s="38" t="str">
        <f>IFERROR(VLOOKUP(C218,Resources!B:G,6,FALSE)," ")</f>
        <v xml:space="preserve"> </v>
      </c>
      <c r="J218" s="38"/>
      <c r="K218" s="9"/>
      <c r="L218" s="9"/>
      <c r="M218" s="38"/>
      <c r="N218" s="38"/>
      <c r="O218" s="38"/>
      <c r="P218" s="38"/>
      <c r="Q218" s="38"/>
      <c r="R218" s="122"/>
      <c r="T218" s="188"/>
    </row>
    <row r="219" spans="1:20" ht="30" x14ac:dyDescent="0.25">
      <c r="A219" s="114">
        <v>30</v>
      </c>
      <c r="B219" s="1" t="s">
        <v>174</v>
      </c>
      <c r="C219" s="1" t="s">
        <v>175</v>
      </c>
      <c r="D219" s="2" t="s">
        <v>20</v>
      </c>
      <c r="E219" s="99" t="str">
        <f>IFERROR(VLOOKUP(C219,Resources!B:D,3,FALSE)," ")</f>
        <v xml:space="preserve"> </v>
      </c>
      <c r="F219" s="7"/>
      <c r="G219" s="7"/>
      <c r="H219" s="103">
        <f>VLOOKUP($A219,'Model Inputs'!$A:$D,4,FALSE)</f>
        <v>1</v>
      </c>
      <c r="I219" s="108" t="str">
        <f>IFERROR(VLOOKUP(C219,Resources!B:G,6,FALSE)," ")</f>
        <v xml:space="preserve"> </v>
      </c>
      <c r="J219" s="108">
        <f>SUBTOTAL(9,J220)</f>
        <v>1200</v>
      </c>
      <c r="K219" s="7"/>
      <c r="L219" s="7">
        <f>ROUNDUP(L220,0)</f>
        <v>1</v>
      </c>
      <c r="M219" s="108">
        <f t="shared" ref="M219:Q219" si="271">SUBTOTAL(9,M220)</f>
        <v>0</v>
      </c>
      <c r="N219" s="108">
        <f t="shared" si="271"/>
        <v>0</v>
      </c>
      <c r="O219" s="108">
        <f t="shared" si="271"/>
        <v>0</v>
      </c>
      <c r="P219" s="108">
        <f t="shared" si="271"/>
        <v>1200</v>
      </c>
      <c r="Q219" s="108">
        <f t="shared" si="271"/>
        <v>1200</v>
      </c>
      <c r="R219" s="120"/>
      <c r="T219" s="188"/>
    </row>
    <row r="220" spans="1:20" x14ac:dyDescent="0.25">
      <c r="A220" s="100"/>
      <c r="B220" s="3">
        <v>1</v>
      </c>
      <c r="C220" s="5" t="s">
        <v>176</v>
      </c>
      <c r="D220" s="3" t="s">
        <v>29</v>
      </c>
      <c r="E220" s="100" t="str">
        <f>IFERROR(VLOOKUP(C220,Resources!B:D,3,FALSE)," ")</f>
        <v>S</v>
      </c>
      <c r="F220" s="8">
        <v>1</v>
      </c>
      <c r="G220" s="8">
        <v>1</v>
      </c>
      <c r="H220" s="8">
        <f>H219</f>
        <v>1</v>
      </c>
      <c r="I220" s="109">
        <f>IFERROR(VLOOKUP(C220,Resources!B:G,6,FALSE)," ")</f>
        <v>1200</v>
      </c>
      <c r="J220" s="109">
        <f t="shared" ref="J220" si="272">(H220/(G220/F220))*I220</f>
        <v>1200</v>
      </c>
      <c r="K220" s="8"/>
      <c r="L220" s="8">
        <f t="shared" ref="L220" si="273">IF(E220="M"," ",H220/G220)</f>
        <v>1</v>
      </c>
      <c r="M220" s="109">
        <f t="shared" ref="M220" si="274">IF($E220="L",$J220,0)</f>
        <v>0</v>
      </c>
      <c r="N220" s="109">
        <f t="shared" ref="N220" si="275">IF($E220="M",$J220,0)</f>
        <v>0</v>
      </c>
      <c r="O220" s="109">
        <f t="shared" ref="O220" si="276">IF($E220="P",$J220,0)</f>
        <v>0</v>
      </c>
      <c r="P220" s="109">
        <f t="shared" ref="P220" si="277">IF($E220="S",$J220,0)</f>
        <v>1200</v>
      </c>
      <c r="Q220" s="109">
        <f t="shared" ref="Q220" si="278">SUM(M220:P220)</f>
        <v>1200</v>
      </c>
      <c r="R220" s="121">
        <v>85</v>
      </c>
      <c r="T220" s="188"/>
    </row>
    <row r="221" spans="1:20" x14ac:dyDescent="0.25">
      <c r="A221" s="101"/>
      <c r="B221" s="4"/>
      <c r="C221" s="6"/>
      <c r="D221" s="4"/>
      <c r="E221" s="101" t="str">
        <f>IFERROR(VLOOKUP(C221,Resources!B:D,3,FALSE)," ")</f>
        <v xml:space="preserve"> </v>
      </c>
      <c r="F221" s="9"/>
      <c r="G221" s="9"/>
      <c r="H221" s="9"/>
      <c r="I221" s="38" t="str">
        <f>IFERROR(VLOOKUP(C221,Resources!B:G,6,FALSE)," ")</f>
        <v xml:space="preserve"> </v>
      </c>
      <c r="J221" s="38"/>
      <c r="K221" s="9"/>
      <c r="L221" s="9"/>
      <c r="M221" s="38"/>
      <c r="N221" s="38"/>
      <c r="O221" s="38"/>
      <c r="P221" s="38"/>
      <c r="Q221" s="38"/>
      <c r="R221" s="122"/>
      <c r="T221" s="188"/>
    </row>
    <row r="222" spans="1:20" ht="30" x14ac:dyDescent="0.25">
      <c r="A222" s="114"/>
      <c r="B222" s="1" t="s">
        <v>177</v>
      </c>
      <c r="C222" s="1" t="s">
        <v>73</v>
      </c>
      <c r="D222" s="2"/>
      <c r="E222" s="99" t="str">
        <f>IFERROR(VLOOKUP(C222,Resources!B:D,3,FALSE)," ")</f>
        <v xml:space="preserve"> </v>
      </c>
      <c r="F222" s="7"/>
      <c r="G222" s="7"/>
      <c r="H222" s="7"/>
      <c r="I222" s="108" t="str">
        <f>IFERROR(VLOOKUP(C222,Resources!B:G,6,FALSE)," ")</f>
        <v xml:space="preserve"> </v>
      </c>
      <c r="J222" s="108"/>
      <c r="K222" s="7"/>
      <c r="L222" s="7"/>
      <c r="M222" s="108" t="s">
        <v>15</v>
      </c>
      <c r="N222" s="108"/>
      <c r="O222" s="108"/>
      <c r="P222" s="108"/>
      <c r="Q222" s="108"/>
      <c r="R222" s="120"/>
      <c r="T222" s="188"/>
    </row>
    <row r="223" spans="1:20" ht="30" x14ac:dyDescent="0.25">
      <c r="A223" s="114">
        <v>31</v>
      </c>
      <c r="B223" s="1" t="s">
        <v>178</v>
      </c>
      <c r="C223" s="1" t="s">
        <v>179</v>
      </c>
      <c r="D223" s="2" t="s">
        <v>89</v>
      </c>
      <c r="E223" s="99" t="str">
        <f>IFERROR(VLOOKUP(C223,Resources!B:D,3,FALSE)," ")</f>
        <v xml:space="preserve"> </v>
      </c>
      <c r="F223" s="7"/>
      <c r="G223" s="7"/>
      <c r="H223" s="103">
        <f>VLOOKUP($A223,'Model Inputs'!$A:$D,4,FALSE)</f>
        <v>16</v>
      </c>
      <c r="I223" s="108" t="str">
        <f>IFERROR(VLOOKUP(C223,Resources!B:G,6,FALSE)," ")</f>
        <v xml:space="preserve"> </v>
      </c>
      <c r="J223" s="108">
        <f>SUBTOTAL(9,J224:J227)</f>
        <v>2313</v>
      </c>
      <c r="K223" s="7"/>
      <c r="L223" s="7">
        <f>ROUNDUP(MAX(L224:L227)/Workhrs,0)</f>
        <v>1</v>
      </c>
      <c r="M223" s="108">
        <f t="shared" ref="M223:Q223" si="279">SUBTOTAL(9,M224:M227)</f>
        <v>630</v>
      </c>
      <c r="N223" s="108">
        <f t="shared" si="279"/>
        <v>1008</v>
      </c>
      <c r="O223" s="108">
        <f t="shared" si="279"/>
        <v>675</v>
      </c>
      <c r="P223" s="108">
        <f t="shared" si="279"/>
        <v>0</v>
      </c>
      <c r="Q223" s="108">
        <f t="shared" si="279"/>
        <v>2313</v>
      </c>
      <c r="R223" s="120"/>
      <c r="T223" s="188"/>
    </row>
    <row r="224" spans="1:20" x14ac:dyDescent="0.25">
      <c r="A224" s="100">
        <v>31.1</v>
      </c>
      <c r="B224" s="3">
        <v>1</v>
      </c>
      <c r="C224" s="5" t="s">
        <v>63</v>
      </c>
      <c r="D224" s="3" t="s">
        <v>48</v>
      </c>
      <c r="E224" s="100" t="str">
        <f>IFERROR(VLOOKUP(C224,Resources!B:D,3,FALSE)," ")</f>
        <v>P</v>
      </c>
      <c r="F224" s="8">
        <v>1</v>
      </c>
      <c r="G224" s="103">
        <f>VLOOKUP($A224,'Model Inputs'!$A:$D,4,FALSE)</f>
        <v>3.2</v>
      </c>
      <c r="H224" s="8">
        <f>H223</f>
        <v>16</v>
      </c>
      <c r="I224" s="109">
        <f>IFERROR(VLOOKUP(C224,Resources!B:G,6,FALSE)," ")</f>
        <v>135</v>
      </c>
      <c r="J224" s="109">
        <f t="shared" ref="J224:J227" si="280">(H224/(G224/F224))*I224</f>
        <v>675</v>
      </c>
      <c r="K224" s="8">
        <f t="shared" ref="K224:K227" si="281">L224*F224</f>
        <v>5</v>
      </c>
      <c r="L224" s="8">
        <f t="shared" ref="L224:L227" si="282">IF(E224="M"," ",H224/G224)</f>
        <v>5</v>
      </c>
      <c r="M224" s="109">
        <f t="shared" ref="M224:M227" si="283">IF($E224="L",$J224,0)</f>
        <v>0</v>
      </c>
      <c r="N224" s="109">
        <f t="shared" ref="N224:N227" si="284">IF($E224="M",$J224,0)</f>
        <v>0</v>
      </c>
      <c r="O224" s="109">
        <f t="shared" ref="O224:O227" si="285">IF($E224="P",$J224,0)</f>
        <v>675</v>
      </c>
      <c r="P224" s="109">
        <f t="shared" ref="P224:P227" si="286">IF($E224="S",$J224,0)</f>
        <v>0</v>
      </c>
      <c r="Q224" s="109">
        <f t="shared" ref="Q224:Q227" si="287">SUM(M224:P224)</f>
        <v>675</v>
      </c>
      <c r="R224" s="121">
        <v>81</v>
      </c>
      <c r="T224" s="188"/>
    </row>
    <row r="225" spans="1:20" x14ac:dyDescent="0.25">
      <c r="A225" s="100"/>
      <c r="B225" s="3">
        <v>2</v>
      </c>
      <c r="C225" s="5" t="s">
        <v>2071</v>
      </c>
      <c r="D225" s="3" t="s">
        <v>89</v>
      </c>
      <c r="E225" s="100" t="str">
        <f>IFERROR(VLOOKUP(C225,Resources!B:D,3,FALSE)," ")</f>
        <v>M</v>
      </c>
      <c r="F225" s="8">
        <v>1</v>
      </c>
      <c r="G225" s="8">
        <v>1</v>
      </c>
      <c r="H225" s="8">
        <f>H223</f>
        <v>16</v>
      </c>
      <c r="I225" s="109">
        <f>IFERROR(VLOOKUP(C225,Resources!B:G,6,FALSE)," ")</f>
        <v>55</v>
      </c>
      <c r="J225" s="109">
        <f t="shared" si="280"/>
        <v>880</v>
      </c>
      <c r="K225" s="8"/>
      <c r="L225" s="8" t="str">
        <f t="shared" si="282"/>
        <v xml:space="preserve"> </v>
      </c>
      <c r="M225" s="109">
        <f t="shared" si="283"/>
        <v>0</v>
      </c>
      <c r="N225" s="109">
        <f t="shared" si="284"/>
        <v>880</v>
      </c>
      <c r="O225" s="109">
        <f t="shared" si="285"/>
        <v>0</v>
      </c>
      <c r="P225" s="109">
        <f t="shared" si="286"/>
        <v>0</v>
      </c>
      <c r="Q225" s="109">
        <f t="shared" si="287"/>
        <v>880</v>
      </c>
      <c r="R225" s="121" t="s">
        <v>2346</v>
      </c>
      <c r="T225" s="188"/>
    </row>
    <row r="226" spans="1:20" x14ac:dyDescent="0.25">
      <c r="A226" s="100"/>
      <c r="B226" s="3">
        <v>3</v>
      </c>
      <c r="C226" s="5" t="s">
        <v>81</v>
      </c>
      <c r="D226" s="3" t="s">
        <v>82</v>
      </c>
      <c r="E226" s="100" t="str">
        <f>IFERROR(VLOOKUP(C226,Resources!B:D,3,FALSE)," ")</f>
        <v>M</v>
      </c>
      <c r="F226" s="8">
        <v>1</v>
      </c>
      <c r="G226" s="8">
        <v>1</v>
      </c>
      <c r="H226" s="8">
        <f>H223/3</f>
        <v>5.333333333333333</v>
      </c>
      <c r="I226" s="109">
        <f>IFERROR(VLOOKUP(C226,Resources!B:G,6,FALSE)," ")</f>
        <v>24</v>
      </c>
      <c r="J226" s="109">
        <f t="shared" si="280"/>
        <v>128</v>
      </c>
      <c r="K226" s="8"/>
      <c r="L226" s="8" t="str">
        <f t="shared" si="282"/>
        <v xml:space="preserve"> </v>
      </c>
      <c r="M226" s="109">
        <f t="shared" si="283"/>
        <v>0</v>
      </c>
      <c r="N226" s="109">
        <f t="shared" si="284"/>
        <v>128</v>
      </c>
      <c r="O226" s="109">
        <f t="shared" si="285"/>
        <v>0</v>
      </c>
      <c r="P226" s="109">
        <f t="shared" si="286"/>
        <v>0</v>
      </c>
      <c r="Q226" s="109">
        <f t="shared" si="287"/>
        <v>128</v>
      </c>
      <c r="R226" s="121" t="s">
        <v>2341</v>
      </c>
      <c r="T226" s="188"/>
    </row>
    <row r="227" spans="1:20" x14ac:dyDescent="0.25">
      <c r="A227" s="100">
        <v>31.2</v>
      </c>
      <c r="B227" s="3">
        <v>4</v>
      </c>
      <c r="C227" s="5" t="s">
        <v>8</v>
      </c>
      <c r="D227" s="3" t="s">
        <v>48</v>
      </c>
      <c r="E227" s="100" t="str">
        <f>IFERROR(VLOOKUP(C227,Resources!B:D,3,FALSE)," ")</f>
        <v>L</v>
      </c>
      <c r="F227" s="103">
        <f>VLOOKUP($A227,'Model Inputs'!$A:$D,4,FALSE)</f>
        <v>3</v>
      </c>
      <c r="G227" s="8">
        <f>G224</f>
        <v>3.2</v>
      </c>
      <c r="H227" s="8">
        <f>H223</f>
        <v>16</v>
      </c>
      <c r="I227" s="109">
        <f>IFERROR(VLOOKUP(C227,Resources!B:G,6,FALSE)," ")</f>
        <v>42</v>
      </c>
      <c r="J227" s="109">
        <f t="shared" si="280"/>
        <v>630</v>
      </c>
      <c r="K227" s="8">
        <f t="shared" si="281"/>
        <v>15</v>
      </c>
      <c r="L227" s="8">
        <f t="shared" si="282"/>
        <v>5</v>
      </c>
      <c r="M227" s="109">
        <f t="shared" si="283"/>
        <v>630</v>
      </c>
      <c r="N227" s="109">
        <f t="shared" si="284"/>
        <v>0</v>
      </c>
      <c r="O227" s="109">
        <f t="shared" si="285"/>
        <v>0</v>
      </c>
      <c r="P227" s="109">
        <f t="shared" si="286"/>
        <v>0</v>
      </c>
      <c r="Q227" s="109">
        <f t="shared" si="287"/>
        <v>630</v>
      </c>
      <c r="R227" s="121">
        <v>81</v>
      </c>
      <c r="T227" s="188"/>
    </row>
    <row r="228" spans="1:20" x14ac:dyDescent="0.25">
      <c r="A228" s="101"/>
      <c r="B228" s="4"/>
      <c r="C228" s="6"/>
      <c r="D228" s="4"/>
      <c r="E228" s="101" t="str">
        <f>IFERROR(VLOOKUP(C228,Resources!B:D,3,FALSE)," ")</f>
        <v xml:space="preserve"> </v>
      </c>
      <c r="F228" s="9"/>
      <c r="G228" s="9"/>
      <c r="H228" s="9"/>
      <c r="I228" s="38" t="str">
        <f>IFERROR(VLOOKUP(C228,Resources!B:G,6,FALSE)," ")</f>
        <v xml:space="preserve"> </v>
      </c>
      <c r="J228" s="38"/>
      <c r="K228" s="9"/>
      <c r="L228" s="9"/>
      <c r="M228" s="38"/>
      <c r="N228" s="38"/>
      <c r="O228" s="38"/>
      <c r="P228" s="38"/>
      <c r="Q228" s="38"/>
      <c r="R228" s="122"/>
      <c r="T228" s="188"/>
    </row>
    <row r="229" spans="1:20" ht="30" x14ac:dyDescent="0.25">
      <c r="A229" s="114">
        <v>32</v>
      </c>
      <c r="B229" s="1" t="s">
        <v>181</v>
      </c>
      <c r="C229" s="1" t="s">
        <v>182</v>
      </c>
      <c r="D229" s="2" t="s">
        <v>29</v>
      </c>
      <c r="E229" s="99" t="str">
        <f>IFERROR(VLOOKUP(C229,Resources!B:D,3,FALSE)," ")</f>
        <v xml:space="preserve"> </v>
      </c>
      <c r="F229" s="7"/>
      <c r="G229" s="7"/>
      <c r="H229" s="103">
        <f>VLOOKUP($A229,'Model Inputs'!$A:$D,4,FALSE)</f>
        <v>1</v>
      </c>
      <c r="I229" s="108" t="str">
        <f>IFERROR(VLOOKUP(C229,Resources!B:G,6,FALSE)," ")</f>
        <v xml:space="preserve"> </v>
      </c>
      <c r="J229" s="108">
        <f>SUBTOTAL(9,J230)</f>
        <v>3750</v>
      </c>
      <c r="K229" s="7"/>
      <c r="L229" s="7">
        <f>ROUNDUP(L230,0)</f>
        <v>3</v>
      </c>
      <c r="M229" s="108">
        <f t="shared" ref="M229:Q229" si="288">SUBTOTAL(9,M230)</f>
        <v>0</v>
      </c>
      <c r="N229" s="108">
        <f t="shared" si="288"/>
        <v>0</v>
      </c>
      <c r="O229" s="108">
        <f t="shared" si="288"/>
        <v>0</v>
      </c>
      <c r="P229" s="108">
        <f t="shared" si="288"/>
        <v>3750</v>
      </c>
      <c r="Q229" s="108">
        <f t="shared" si="288"/>
        <v>3750</v>
      </c>
      <c r="R229" s="120"/>
      <c r="T229" s="188"/>
    </row>
    <row r="230" spans="1:20" x14ac:dyDescent="0.25">
      <c r="A230" s="100"/>
      <c r="B230" s="3">
        <v>1</v>
      </c>
      <c r="C230" s="5" t="s">
        <v>183</v>
      </c>
      <c r="D230" s="3" t="s">
        <v>29</v>
      </c>
      <c r="E230" s="100" t="str">
        <f>IFERROR(VLOOKUP(C230,Resources!B:D,3,FALSE)," ")</f>
        <v>S</v>
      </c>
      <c r="F230" s="8">
        <v>1</v>
      </c>
      <c r="G230" s="8">
        <v>1</v>
      </c>
      <c r="H230" s="8">
        <f>H229</f>
        <v>1</v>
      </c>
      <c r="I230" s="109">
        <f>IFERROR(VLOOKUP(C230,Resources!B:G,6,FALSE)," ")</f>
        <v>3750</v>
      </c>
      <c r="J230" s="109">
        <f t="shared" ref="J230" si="289">(H230/(G230/F230))*I230</f>
        <v>3750</v>
      </c>
      <c r="K230" s="8"/>
      <c r="L230" s="8">
        <f>H230*3</f>
        <v>3</v>
      </c>
      <c r="M230" s="109">
        <f t="shared" ref="M230" si="290">IF($E230="L",$J230,0)</f>
        <v>0</v>
      </c>
      <c r="N230" s="109">
        <f t="shared" ref="N230" si="291">IF($E230="M",$J230,0)</f>
        <v>0</v>
      </c>
      <c r="O230" s="109">
        <f t="shared" ref="O230" si="292">IF($E230="P",$J230,0)</f>
        <v>0</v>
      </c>
      <c r="P230" s="109">
        <f t="shared" ref="P230" si="293">IF($E230="S",$J230,0)</f>
        <v>3750</v>
      </c>
      <c r="Q230" s="109">
        <f t="shared" ref="Q230" si="294">SUM(M230:P230)</f>
        <v>3750</v>
      </c>
      <c r="R230" s="121">
        <v>85</v>
      </c>
      <c r="T230" s="188"/>
    </row>
    <row r="231" spans="1:20" x14ac:dyDescent="0.25">
      <c r="A231" s="101"/>
      <c r="B231" s="4"/>
      <c r="C231" s="6"/>
      <c r="D231" s="4"/>
      <c r="E231" s="101" t="str">
        <f>IFERROR(VLOOKUP(C231,Resources!B:D,3,FALSE)," ")</f>
        <v xml:space="preserve"> </v>
      </c>
      <c r="F231" s="9"/>
      <c r="G231" s="9"/>
      <c r="H231" s="9"/>
      <c r="I231" s="38" t="str">
        <f>IFERROR(VLOOKUP(C231,Resources!B:G,6,FALSE)," ")</f>
        <v xml:space="preserve"> </v>
      </c>
      <c r="J231" s="38"/>
      <c r="K231" s="9"/>
      <c r="L231" s="9"/>
      <c r="M231" s="38"/>
      <c r="N231" s="38"/>
      <c r="O231" s="38"/>
      <c r="P231" s="38"/>
      <c r="Q231" s="38"/>
      <c r="R231" s="122"/>
      <c r="T231" s="188"/>
    </row>
    <row r="232" spans="1:20" ht="30" x14ac:dyDescent="0.25">
      <c r="A232" s="114"/>
      <c r="B232" s="1" t="s">
        <v>184</v>
      </c>
      <c r="C232" s="1" t="s">
        <v>98</v>
      </c>
      <c r="D232" s="2"/>
      <c r="E232" s="99" t="str">
        <f>IFERROR(VLOOKUP(C232,Resources!B:D,3,FALSE)," ")</f>
        <v xml:space="preserve"> </v>
      </c>
      <c r="F232" s="7"/>
      <c r="G232" s="7"/>
      <c r="H232" s="7"/>
      <c r="I232" s="108" t="str">
        <f>IFERROR(VLOOKUP(C232,Resources!B:G,6,FALSE)," ")</f>
        <v xml:space="preserve"> </v>
      </c>
      <c r="J232" s="108"/>
      <c r="K232" s="7"/>
      <c r="L232" s="7"/>
      <c r="M232" s="108"/>
      <c r="N232" s="108"/>
      <c r="O232" s="108"/>
      <c r="P232" s="108"/>
      <c r="Q232" s="108"/>
      <c r="R232" s="120"/>
      <c r="T232" s="188"/>
    </row>
    <row r="233" spans="1:20" ht="30" x14ac:dyDescent="0.25">
      <c r="A233" s="114">
        <v>33</v>
      </c>
      <c r="B233" s="1" t="s">
        <v>185</v>
      </c>
      <c r="C233" s="1" t="s">
        <v>186</v>
      </c>
      <c r="D233" s="2" t="s">
        <v>107</v>
      </c>
      <c r="E233" s="99" t="str">
        <f>IFERROR(VLOOKUP(C233,Resources!B:D,3,FALSE)," ")</f>
        <v xml:space="preserve"> </v>
      </c>
      <c r="F233" s="7"/>
      <c r="G233" s="7"/>
      <c r="H233" s="103">
        <f>VLOOKUP($A233,'Model Inputs'!$A:$D,4,FALSE)</f>
        <v>5</v>
      </c>
      <c r="I233" s="108" t="str">
        <f>IFERROR(VLOOKUP(C233,Resources!B:G,6,FALSE)," ")</f>
        <v xml:space="preserve"> </v>
      </c>
      <c r="J233" s="108">
        <f>SUBTOTAL(9,J235:J245)</f>
        <v>356.1444444444445</v>
      </c>
      <c r="K233" s="7"/>
      <c r="L233" s="7">
        <f>ROUNDUP(MAX(L240:L242)+L245,0)+1</f>
        <v>2</v>
      </c>
      <c r="M233" s="108">
        <f t="shared" ref="M233:Q233" si="295">SUBTOTAL(9,M235:M245)</f>
        <v>2.1</v>
      </c>
      <c r="N233" s="108">
        <f t="shared" si="295"/>
        <v>182.54444444444448</v>
      </c>
      <c r="O233" s="108">
        <f t="shared" si="295"/>
        <v>11.5</v>
      </c>
      <c r="P233" s="108">
        <f t="shared" si="295"/>
        <v>160</v>
      </c>
      <c r="Q233" s="108">
        <f t="shared" si="295"/>
        <v>356.1444444444445</v>
      </c>
      <c r="R233" s="120"/>
      <c r="T233" s="188"/>
    </row>
    <row r="234" spans="1:20" x14ac:dyDescent="0.25">
      <c r="A234" s="101"/>
      <c r="B234" s="4">
        <v>1</v>
      </c>
      <c r="C234" s="6" t="s">
        <v>187</v>
      </c>
      <c r="D234" s="4"/>
      <c r="E234" s="101" t="str">
        <f>IFERROR(VLOOKUP(C234,Resources!B:D,3,FALSE)," ")</f>
        <v xml:space="preserve"> </v>
      </c>
      <c r="F234" s="9"/>
      <c r="G234" s="9"/>
      <c r="H234" s="9"/>
      <c r="I234" s="38" t="str">
        <f>IFERROR(VLOOKUP(C234,Resources!B:G,6,FALSE)," ")</f>
        <v xml:space="preserve"> </v>
      </c>
      <c r="J234" s="38"/>
      <c r="K234" s="9"/>
      <c r="L234" s="9"/>
      <c r="M234" s="38"/>
      <c r="N234" s="38"/>
      <c r="O234" s="38"/>
      <c r="P234" s="38"/>
      <c r="Q234" s="38"/>
      <c r="R234" s="122"/>
      <c r="T234" s="188"/>
    </row>
    <row r="235" spans="1:20" x14ac:dyDescent="0.25">
      <c r="A235" s="100"/>
      <c r="B235" s="3">
        <v>2</v>
      </c>
      <c r="C235" s="5" t="s">
        <v>188</v>
      </c>
      <c r="D235" s="3" t="s">
        <v>86</v>
      </c>
      <c r="E235" s="100" t="str">
        <f>IFERROR(VLOOKUP(C235,Resources!B:D,3,FALSE)," ")</f>
        <v>M</v>
      </c>
      <c r="F235" s="8">
        <v>1</v>
      </c>
      <c r="G235" s="8">
        <v>1</v>
      </c>
      <c r="H235" s="8">
        <f>H233*0.1*1.1</f>
        <v>0.55000000000000004</v>
      </c>
      <c r="I235" s="109">
        <f>IFERROR(VLOOKUP(C235,Resources!B:G,6,FALSE)," ")</f>
        <v>170</v>
      </c>
      <c r="J235" s="109">
        <f t="shared" ref="J235:J238" si="296">(H235/(G235/F235))*I235</f>
        <v>93.500000000000014</v>
      </c>
      <c r="K235" s="8"/>
      <c r="L235" s="8" t="str">
        <f t="shared" ref="L235:L238" si="297">IF(E235="M"," ",H235/G235)</f>
        <v xml:space="preserve"> </v>
      </c>
      <c r="M235" s="109">
        <f t="shared" ref="M235:M238" si="298">IF($E235="L",$J235,0)</f>
        <v>0</v>
      </c>
      <c r="N235" s="109">
        <f t="shared" ref="N235:N238" si="299">IF($E235="M",$J235,0)</f>
        <v>93.500000000000014</v>
      </c>
      <c r="O235" s="109">
        <f t="shared" ref="O235:O238" si="300">IF($E235="P",$J235,0)</f>
        <v>0</v>
      </c>
      <c r="P235" s="109">
        <f t="shared" ref="P235:P238" si="301">IF($E235="S",$J235,0)</f>
        <v>0</v>
      </c>
      <c r="Q235" s="109">
        <f t="shared" ref="Q235:Q238" si="302">SUM(M235:P235)</f>
        <v>93.500000000000014</v>
      </c>
      <c r="R235" s="121" t="s">
        <v>2334</v>
      </c>
      <c r="T235" s="188"/>
    </row>
    <row r="236" spans="1:20" x14ac:dyDescent="0.25">
      <c r="A236" s="100"/>
      <c r="B236" s="3">
        <v>3</v>
      </c>
      <c r="C236" s="5" t="s">
        <v>81</v>
      </c>
      <c r="D236" s="3" t="s">
        <v>82</v>
      </c>
      <c r="E236" s="100" t="str">
        <f>IFERROR(VLOOKUP(C236,Resources!B:D,3,FALSE)," ")</f>
        <v>M</v>
      </c>
      <c r="F236" s="8">
        <v>1</v>
      </c>
      <c r="G236" s="8">
        <v>1</v>
      </c>
      <c r="H236" s="8">
        <f>H233*0.1*1.5</f>
        <v>0.75</v>
      </c>
      <c r="I236" s="109">
        <f>IFERROR(VLOOKUP(C236,Resources!B:G,6,FALSE)," ")</f>
        <v>24</v>
      </c>
      <c r="J236" s="109">
        <f t="shared" si="296"/>
        <v>18</v>
      </c>
      <c r="K236" s="8"/>
      <c r="L236" s="8" t="str">
        <f t="shared" si="297"/>
        <v xml:space="preserve"> </v>
      </c>
      <c r="M236" s="109">
        <f t="shared" si="298"/>
        <v>0</v>
      </c>
      <c r="N236" s="109">
        <f t="shared" si="299"/>
        <v>18</v>
      </c>
      <c r="O236" s="109">
        <f t="shared" si="300"/>
        <v>0</v>
      </c>
      <c r="P236" s="109">
        <f t="shared" si="301"/>
        <v>0</v>
      </c>
      <c r="Q236" s="109">
        <f t="shared" si="302"/>
        <v>18</v>
      </c>
      <c r="R236" s="121" t="s">
        <v>2341</v>
      </c>
      <c r="T236" s="188"/>
    </row>
    <row r="237" spans="1:20" x14ac:dyDescent="0.25">
      <c r="A237" s="100"/>
      <c r="B237" s="3">
        <v>4</v>
      </c>
      <c r="C237" s="5" t="s">
        <v>189</v>
      </c>
      <c r="D237" s="3" t="s">
        <v>83</v>
      </c>
      <c r="E237" s="100" t="str">
        <f>IFERROR(VLOOKUP(C237,Resources!B:D,3,FALSE)," ")</f>
        <v>M</v>
      </c>
      <c r="F237" s="8">
        <v>1</v>
      </c>
      <c r="G237" s="8">
        <v>1</v>
      </c>
      <c r="H237" s="8">
        <f>H233*1.2</f>
        <v>6</v>
      </c>
      <c r="I237" s="109">
        <f>IFERROR(VLOOKUP(C237,Resources!B:G,6,FALSE)," ")</f>
        <v>9.1</v>
      </c>
      <c r="J237" s="109">
        <f t="shared" si="296"/>
        <v>54.599999999999994</v>
      </c>
      <c r="K237" s="8"/>
      <c r="L237" s="8" t="str">
        <f t="shared" si="297"/>
        <v xml:space="preserve"> </v>
      </c>
      <c r="M237" s="109">
        <f t="shared" si="298"/>
        <v>0</v>
      </c>
      <c r="N237" s="109">
        <f t="shared" si="299"/>
        <v>54.599999999999994</v>
      </c>
      <c r="O237" s="109">
        <f t="shared" si="300"/>
        <v>0</v>
      </c>
      <c r="P237" s="109">
        <f t="shared" si="301"/>
        <v>0</v>
      </c>
      <c r="Q237" s="109">
        <f t="shared" si="302"/>
        <v>54.599999999999994</v>
      </c>
      <c r="R237" s="121" t="s">
        <v>2343</v>
      </c>
      <c r="T237" s="188"/>
    </row>
    <row r="238" spans="1:20" x14ac:dyDescent="0.25">
      <c r="A238" s="100"/>
      <c r="B238" s="3">
        <v>5</v>
      </c>
      <c r="C238" s="5" t="s">
        <v>190</v>
      </c>
      <c r="D238" s="3" t="s">
        <v>89</v>
      </c>
      <c r="E238" s="100" t="str">
        <f>IFERROR(VLOOKUP(C238,Resources!B:D,3,FALSE)," ")</f>
        <v>M</v>
      </c>
      <c r="F238" s="8">
        <v>1</v>
      </c>
      <c r="G238" s="8">
        <v>1</v>
      </c>
      <c r="H238" s="8">
        <f>(H233/1.5)*1.2</f>
        <v>4</v>
      </c>
      <c r="I238" s="109">
        <f>IFERROR(VLOOKUP(C238,Resources!B:G,6,FALSE)," ")</f>
        <v>3</v>
      </c>
      <c r="J238" s="109">
        <f t="shared" si="296"/>
        <v>12</v>
      </c>
      <c r="K238" s="8"/>
      <c r="L238" s="8" t="str">
        <f t="shared" si="297"/>
        <v xml:space="preserve"> </v>
      </c>
      <c r="M238" s="109">
        <f t="shared" si="298"/>
        <v>0</v>
      </c>
      <c r="N238" s="109">
        <f t="shared" si="299"/>
        <v>12</v>
      </c>
      <c r="O238" s="109">
        <f t="shared" si="300"/>
        <v>0</v>
      </c>
      <c r="P238" s="109">
        <f t="shared" si="301"/>
        <v>0</v>
      </c>
      <c r="Q238" s="109">
        <f t="shared" si="302"/>
        <v>12</v>
      </c>
      <c r="R238" s="121" t="s">
        <v>2343</v>
      </c>
      <c r="T238" s="188"/>
    </row>
    <row r="239" spans="1:20" x14ac:dyDescent="0.25">
      <c r="A239" s="101"/>
      <c r="B239" s="4">
        <v>6</v>
      </c>
      <c r="C239" s="6" t="s">
        <v>191</v>
      </c>
      <c r="D239" s="4"/>
      <c r="E239" s="101" t="str">
        <f>IFERROR(VLOOKUP(C239,Resources!B:D,3,FALSE)," ")</f>
        <v xml:space="preserve"> </v>
      </c>
      <c r="F239" s="9"/>
      <c r="G239" s="9"/>
      <c r="H239" s="9"/>
      <c r="I239" s="38" t="str">
        <f>IFERROR(VLOOKUP(C239,Resources!B:G,6,FALSE)," ")</f>
        <v xml:space="preserve"> </v>
      </c>
      <c r="J239" s="38"/>
      <c r="K239" s="9"/>
      <c r="L239" s="9"/>
      <c r="M239" s="38"/>
      <c r="N239" s="38"/>
      <c r="O239" s="38"/>
      <c r="P239" s="38"/>
      <c r="Q239" s="38"/>
      <c r="R239" s="122"/>
      <c r="T239" s="188"/>
    </row>
    <row r="240" spans="1:20" x14ac:dyDescent="0.25">
      <c r="A240" s="100">
        <v>33.1</v>
      </c>
      <c r="B240" s="3">
        <v>7</v>
      </c>
      <c r="C240" s="5" t="s">
        <v>63</v>
      </c>
      <c r="D240" s="3" t="s">
        <v>48</v>
      </c>
      <c r="E240" s="100" t="str">
        <f>IFERROR(VLOOKUP(C240,Resources!B:D,3,FALSE)," ")</f>
        <v>P</v>
      </c>
      <c r="F240" s="8">
        <v>1</v>
      </c>
      <c r="G240" s="103">
        <f>VLOOKUP($A240,'Model Inputs'!$A:$D,4,FALSE)</f>
        <v>10</v>
      </c>
      <c r="H240" s="8">
        <f>H233*0.1</f>
        <v>0.5</v>
      </c>
      <c r="I240" s="109">
        <f>IFERROR(VLOOKUP(C240,Resources!B:G,6,FALSE)," ")</f>
        <v>135</v>
      </c>
      <c r="J240" s="109">
        <f t="shared" ref="J240:J242" si="303">(H240/(G240/F240))*I240</f>
        <v>6.75</v>
      </c>
      <c r="K240" s="8">
        <f t="shared" ref="K240:K242" si="304">L240*F240</f>
        <v>0.05</v>
      </c>
      <c r="L240" s="8">
        <f t="shared" ref="L240:L242" si="305">IF(E240="M"," ",H240/G240)</f>
        <v>0.05</v>
      </c>
      <c r="M240" s="109">
        <f t="shared" ref="M240:M242" si="306">IF($E240="L",$J240,0)</f>
        <v>0</v>
      </c>
      <c r="N240" s="109">
        <f t="shared" ref="N240:N242" si="307">IF($E240="M",$J240,0)</f>
        <v>0</v>
      </c>
      <c r="O240" s="109">
        <f t="shared" ref="O240:O242" si="308">IF($E240="P",$J240,0)</f>
        <v>6.75</v>
      </c>
      <c r="P240" s="109">
        <f t="shared" ref="P240:P242" si="309">IF($E240="S",$J240,0)</f>
        <v>0</v>
      </c>
      <c r="Q240" s="109">
        <f t="shared" ref="Q240:Q242" si="310">SUM(M240:P240)</f>
        <v>6.75</v>
      </c>
      <c r="R240" s="121">
        <v>71</v>
      </c>
      <c r="T240" s="188"/>
    </row>
    <row r="241" spans="1:20" x14ac:dyDescent="0.25">
      <c r="A241" s="100"/>
      <c r="B241" s="3">
        <v>8</v>
      </c>
      <c r="C241" s="5" t="s">
        <v>173</v>
      </c>
      <c r="D241" s="3" t="s">
        <v>48</v>
      </c>
      <c r="E241" s="100" t="str">
        <f>IFERROR(VLOOKUP(C241,Resources!B:D,3,FALSE)," ")</f>
        <v>P</v>
      </c>
      <c r="F241" s="8">
        <v>1</v>
      </c>
      <c r="G241" s="8">
        <f>G240</f>
        <v>10</v>
      </c>
      <c r="H241" s="8">
        <f>H240</f>
        <v>0.5</v>
      </c>
      <c r="I241" s="109">
        <f>IFERROR(VLOOKUP(C241,Resources!B:G,6,FALSE)," ")</f>
        <v>95</v>
      </c>
      <c r="J241" s="109">
        <f t="shared" si="303"/>
        <v>4.75</v>
      </c>
      <c r="K241" s="8">
        <f t="shared" si="304"/>
        <v>0.05</v>
      </c>
      <c r="L241" s="8">
        <f t="shared" si="305"/>
        <v>0.05</v>
      </c>
      <c r="M241" s="109">
        <f t="shared" si="306"/>
        <v>0</v>
      </c>
      <c r="N241" s="109">
        <f t="shared" si="307"/>
        <v>0</v>
      </c>
      <c r="O241" s="109">
        <f t="shared" si="308"/>
        <v>4.75</v>
      </c>
      <c r="P241" s="109">
        <f t="shared" si="309"/>
        <v>0</v>
      </c>
      <c r="Q241" s="109">
        <f t="shared" si="310"/>
        <v>4.75</v>
      </c>
      <c r="R241" s="121">
        <v>71</v>
      </c>
      <c r="T241" s="188"/>
    </row>
    <row r="242" spans="1:20" x14ac:dyDescent="0.25">
      <c r="A242" s="100"/>
      <c r="B242" s="3">
        <v>9</v>
      </c>
      <c r="C242" s="5" t="s">
        <v>8</v>
      </c>
      <c r="D242" s="3" t="s">
        <v>48</v>
      </c>
      <c r="E242" s="100" t="str">
        <f>IFERROR(VLOOKUP(C242,Resources!B:D,3,FALSE)," ")</f>
        <v>L</v>
      </c>
      <c r="F242" s="8">
        <v>1</v>
      </c>
      <c r="G242" s="8">
        <f>G240</f>
        <v>10</v>
      </c>
      <c r="H242" s="8">
        <f>H240</f>
        <v>0.5</v>
      </c>
      <c r="I242" s="109">
        <f>IFERROR(VLOOKUP(C242,Resources!B:G,6,FALSE)," ")</f>
        <v>42</v>
      </c>
      <c r="J242" s="109">
        <f t="shared" si="303"/>
        <v>2.1</v>
      </c>
      <c r="K242" s="8">
        <f t="shared" si="304"/>
        <v>0.05</v>
      </c>
      <c r="L242" s="8">
        <f t="shared" si="305"/>
        <v>0.05</v>
      </c>
      <c r="M242" s="109">
        <f t="shared" si="306"/>
        <v>2.1</v>
      </c>
      <c r="N242" s="109">
        <f t="shared" si="307"/>
        <v>0</v>
      </c>
      <c r="O242" s="109">
        <f t="shared" si="308"/>
        <v>0</v>
      </c>
      <c r="P242" s="109">
        <f t="shared" si="309"/>
        <v>0</v>
      </c>
      <c r="Q242" s="109">
        <f t="shared" si="310"/>
        <v>2.1</v>
      </c>
      <c r="R242" s="121">
        <v>71</v>
      </c>
      <c r="T242" s="188"/>
    </row>
    <row r="243" spans="1:20" x14ac:dyDescent="0.25">
      <c r="A243" s="101"/>
      <c r="B243" s="4">
        <v>10</v>
      </c>
      <c r="C243" s="6" t="s">
        <v>192</v>
      </c>
      <c r="D243" s="4"/>
      <c r="E243" s="101" t="str">
        <f>IFERROR(VLOOKUP(C243,Resources!B:D,3,FALSE)," ")</f>
        <v xml:space="preserve"> </v>
      </c>
      <c r="F243" s="9"/>
      <c r="G243" s="9"/>
      <c r="H243" s="9"/>
      <c r="I243" s="38" t="str">
        <f>IFERROR(VLOOKUP(C243,Resources!B:G,6,FALSE)," ")</f>
        <v xml:space="preserve"> </v>
      </c>
      <c r="J243" s="38"/>
      <c r="K243" s="9"/>
      <c r="L243" s="9"/>
      <c r="M243" s="38"/>
      <c r="N243" s="38"/>
      <c r="O243" s="38"/>
      <c r="P243" s="38"/>
      <c r="Q243" s="38"/>
      <c r="R243" s="122"/>
      <c r="T243" s="188"/>
    </row>
    <row r="244" spans="1:20" x14ac:dyDescent="0.25">
      <c r="A244" s="100"/>
      <c r="B244" s="3">
        <v>11</v>
      </c>
      <c r="C244" s="5" t="s">
        <v>84</v>
      </c>
      <c r="D244" s="3" t="s">
        <v>29</v>
      </c>
      <c r="E244" s="100" t="str">
        <f>IFERROR(VLOOKUP(C244,Resources!B:D,3,FALSE)," ")</f>
        <v>M</v>
      </c>
      <c r="F244" s="8">
        <v>1</v>
      </c>
      <c r="G244" s="8">
        <v>1</v>
      </c>
      <c r="H244" s="8">
        <f>H233/0.9</f>
        <v>5.5555555555555554</v>
      </c>
      <c r="I244" s="109">
        <f>IFERROR(VLOOKUP(C244,Resources!B:G,6,FALSE)," ")</f>
        <v>0.8</v>
      </c>
      <c r="J244" s="109">
        <f t="shared" ref="J244:J245" si="311">(H244/(G244/F244))*I244</f>
        <v>4.4444444444444446</v>
      </c>
      <c r="K244" s="8"/>
      <c r="L244" s="8" t="str">
        <f t="shared" ref="L244" si="312">IF(E244="M"," ",H244/G244)</f>
        <v xml:space="preserve"> </v>
      </c>
      <c r="M244" s="109">
        <f t="shared" ref="M244:M245" si="313">IF($E244="L",$J244,0)</f>
        <v>0</v>
      </c>
      <c r="N244" s="109">
        <f t="shared" ref="N244:N245" si="314">IF($E244="M",$J244,0)</f>
        <v>4.4444444444444446</v>
      </c>
      <c r="O244" s="109">
        <f t="shared" ref="O244:O245" si="315">IF($E244="P",$J244,0)</f>
        <v>0</v>
      </c>
      <c r="P244" s="109">
        <f t="shared" ref="P244:P245" si="316">IF($E244="S",$J244,0)</f>
        <v>0</v>
      </c>
      <c r="Q244" s="109">
        <f t="shared" ref="Q244:Q245" si="317">SUM(M244:P244)</f>
        <v>4.4444444444444446</v>
      </c>
      <c r="R244" s="121" t="s">
        <v>2343</v>
      </c>
      <c r="T244" s="188"/>
    </row>
    <row r="245" spans="1:20" x14ac:dyDescent="0.25">
      <c r="A245" s="100"/>
      <c r="B245" s="3">
        <v>12</v>
      </c>
      <c r="C245" s="5" t="s">
        <v>193</v>
      </c>
      <c r="D245" s="3" t="s">
        <v>83</v>
      </c>
      <c r="E245" s="100" t="str">
        <f>IFERROR(VLOOKUP(C245,Resources!B:D,3,FALSE)," ")</f>
        <v>S</v>
      </c>
      <c r="F245" s="8">
        <v>1</v>
      </c>
      <c r="G245" s="8">
        <v>1</v>
      </c>
      <c r="H245" s="8">
        <f>H233</f>
        <v>5</v>
      </c>
      <c r="I245" s="109">
        <f>IFERROR(VLOOKUP(C245,Resources!B:G,6,FALSE)," ")</f>
        <v>32</v>
      </c>
      <c r="J245" s="109">
        <f t="shared" si="311"/>
        <v>160</v>
      </c>
      <c r="K245" s="8"/>
      <c r="L245" s="8">
        <f>H245/25</f>
        <v>0.2</v>
      </c>
      <c r="M245" s="109">
        <f t="shared" si="313"/>
        <v>0</v>
      </c>
      <c r="N245" s="109">
        <f t="shared" si="314"/>
        <v>0</v>
      </c>
      <c r="O245" s="109">
        <f t="shared" si="315"/>
        <v>0</v>
      </c>
      <c r="P245" s="109">
        <f t="shared" si="316"/>
        <v>160</v>
      </c>
      <c r="Q245" s="109">
        <f t="shared" si="317"/>
        <v>160</v>
      </c>
      <c r="R245" s="121">
        <v>71</v>
      </c>
      <c r="T245" s="188"/>
    </row>
    <row r="246" spans="1:20" x14ac:dyDescent="0.25">
      <c r="A246" s="101"/>
      <c r="B246" s="4"/>
      <c r="C246" s="6"/>
      <c r="D246" s="4"/>
      <c r="E246" s="101" t="str">
        <f>IFERROR(VLOOKUP(C246,Resources!B:D,3,FALSE)," ")</f>
        <v xml:space="preserve"> </v>
      </c>
      <c r="F246" s="9"/>
      <c r="G246" s="9"/>
      <c r="H246" s="9"/>
      <c r="I246" s="38" t="str">
        <f>IFERROR(VLOOKUP(C246,Resources!B:G,6,FALSE)," ")</f>
        <v xml:space="preserve"> </v>
      </c>
      <c r="J246" s="38"/>
      <c r="K246" s="9"/>
      <c r="L246" s="9"/>
      <c r="M246" s="38"/>
      <c r="N246" s="38"/>
      <c r="O246" s="38"/>
      <c r="P246" s="38"/>
      <c r="Q246" s="38"/>
      <c r="R246" s="122"/>
      <c r="T246" s="188"/>
    </row>
    <row r="247" spans="1:20" ht="30" x14ac:dyDescent="0.25">
      <c r="A247" s="114">
        <v>34</v>
      </c>
      <c r="B247" s="1" t="s">
        <v>194</v>
      </c>
      <c r="C247" s="1" t="s">
        <v>195</v>
      </c>
      <c r="D247" s="2" t="s">
        <v>89</v>
      </c>
      <c r="E247" s="99" t="str">
        <f>IFERROR(VLOOKUP(C247,Resources!B:D,3,FALSE)," ")</f>
        <v xml:space="preserve"> </v>
      </c>
      <c r="F247" s="7"/>
      <c r="G247" s="7"/>
      <c r="H247" s="103">
        <f>VLOOKUP($A247,'Model Inputs'!$A:$D,4,FALSE)</f>
        <v>198</v>
      </c>
      <c r="I247" s="108" t="str">
        <f>IFERROR(VLOOKUP(C247,Resources!B:G,6,FALSE)," ")</f>
        <v xml:space="preserve"> </v>
      </c>
      <c r="J247" s="108">
        <f>SUBTOTAL(9,J249:J252)</f>
        <v>10526.278604651163</v>
      </c>
      <c r="K247" s="7"/>
      <c r="L247" s="7">
        <f>ROUNDUP(L252/200,0)</f>
        <v>1</v>
      </c>
      <c r="M247" s="108">
        <f t="shared" ref="M247:Q247" si="318">SUBTOTAL(9,M249:M252)</f>
        <v>0</v>
      </c>
      <c r="N247" s="108">
        <f t="shared" si="318"/>
        <v>4586.2786046511628</v>
      </c>
      <c r="O247" s="108">
        <f t="shared" si="318"/>
        <v>0</v>
      </c>
      <c r="P247" s="108">
        <f t="shared" si="318"/>
        <v>5940</v>
      </c>
      <c r="Q247" s="108">
        <f t="shared" si="318"/>
        <v>10526.278604651163</v>
      </c>
      <c r="R247" s="120"/>
      <c r="T247" s="188"/>
    </row>
    <row r="248" spans="1:20" ht="30" x14ac:dyDescent="0.25">
      <c r="A248" s="101"/>
      <c r="B248" s="4">
        <v>1</v>
      </c>
      <c r="C248" s="6" t="s">
        <v>196</v>
      </c>
      <c r="D248" s="4"/>
      <c r="E248" s="101" t="str">
        <f>IFERROR(VLOOKUP(C248,Resources!B:D,3,FALSE)," ")</f>
        <v xml:space="preserve"> </v>
      </c>
      <c r="F248" s="9"/>
      <c r="G248" s="9"/>
      <c r="H248" s="9"/>
      <c r="I248" s="38" t="str">
        <f>IFERROR(VLOOKUP(C248,Resources!B:G,6,FALSE)," ")</f>
        <v xml:space="preserve"> </v>
      </c>
      <c r="J248" s="38"/>
      <c r="K248" s="9"/>
      <c r="L248" s="9"/>
      <c r="M248" s="38"/>
      <c r="N248" s="38"/>
      <c r="O248" s="38"/>
      <c r="P248" s="38"/>
      <c r="Q248" s="38"/>
      <c r="R248" s="122"/>
      <c r="T248" s="188"/>
    </row>
    <row r="249" spans="1:20" x14ac:dyDescent="0.25">
      <c r="A249" s="100">
        <v>34.1</v>
      </c>
      <c r="B249" s="3">
        <v>2</v>
      </c>
      <c r="C249" s="5" t="s">
        <v>197</v>
      </c>
      <c r="D249" s="3" t="s">
        <v>86</v>
      </c>
      <c r="E249" s="100" t="str">
        <f>IFERROR(VLOOKUP(C249,Resources!B:D,3,FALSE)," ")</f>
        <v>M</v>
      </c>
      <c r="F249" s="103">
        <f>VLOOKUP($A249,'Model Inputs'!$A:$D,4,FALSE)</f>
        <v>8.6</v>
      </c>
      <c r="G249" s="8">
        <v>1</v>
      </c>
      <c r="H249" s="8">
        <f>H247/F249</f>
        <v>23.02325581395349</v>
      </c>
      <c r="I249" s="109">
        <f>IFERROR(VLOOKUP(C249,Resources!B:G,6,FALSE)," ")</f>
        <v>190</v>
      </c>
      <c r="J249" s="109">
        <f>I249*H249</f>
        <v>4374.4186046511632</v>
      </c>
      <c r="K249" s="8"/>
      <c r="L249" s="8" t="str">
        <f t="shared" ref="L249:L252" si="319">IF(E249="M"," ",H249/G249)</f>
        <v xml:space="preserve"> </v>
      </c>
      <c r="M249" s="109">
        <f t="shared" ref="M249:M252" si="320">IF($E249="L",$J249,0)</f>
        <v>0</v>
      </c>
      <c r="N249" s="109">
        <f t="shared" ref="N249:N252" si="321">IF($E249="M",$J249,0)</f>
        <v>4374.4186046511632</v>
      </c>
      <c r="O249" s="109">
        <f t="shared" ref="O249:O252" si="322">IF($E249="P",$J249,0)</f>
        <v>0</v>
      </c>
      <c r="P249" s="109">
        <f t="shared" ref="P249:P252" si="323">IF($E249="S",$J249,0)</f>
        <v>0</v>
      </c>
      <c r="Q249" s="109">
        <f t="shared" ref="Q249:Q252" si="324">SUM(M249:P249)</f>
        <v>4374.4186046511632</v>
      </c>
      <c r="R249" s="121" t="s">
        <v>2337</v>
      </c>
      <c r="T249" s="188"/>
    </row>
    <row r="250" spans="1:20" x14ac:dyDescent="0.25">
      <c r="A250" s="100">
        <v>34.200000000000003</v>
      </c>
      <c r="B250" s="3">
        <v>3</v>
      </c>
      <c r="C250" s="5" t="s">
        <v>81</v>
      </c>
      <c r="D250" s="3" t="s">
        <v>82</v>
      </c>
      <c r="E250" s="100" t="str">
        <f>IFERROR(VLOOKUP(C250,Resources!B:D,3,FALSE)," ")</f>
        <v>M</v>
      </c>
      <c r="F250" s="103">
        <f>VLOOKUP($A250,'Model Inputs'!$A:$D,4,FALSE)</f>
        <v>75</v>
      </c>
      <c r="G250" s="8">
        <v>1</v>
      </c>
      <c r="H250" s="8">
        <f>H247/F250</f>
        <v>2.64</v>
      </c>
      <c r="I250" s="109">
        <f>IFERROR(VLOOKUP(C250,Resources!B:G,6,FALSE)," ")</f>
        <v>24</v>
      </c>
      <c r="J250" s="109">
        <f t="shared" ref="J250:J252" si="325">I250*H250</f>
        <v>63.36</v>
      </c>
      <c r="K250" s="8"/>
      <c r="L250" s="8" t="str">
        <f t="shared" si="319"/>
        <v xml:space="preserve"> </v>
      </c>
      <c r="M250" s="109">
        <f t="shared" si="320"/>
        <v>0</v>
      </c>
      <c r="N250" s="109">
        <f t="shared" si="321"/>
        <v>63.36</v>
      </c>
      <c r="O250" s="109">
        <f t="shared" si="322"/>
        <v>0</v>
      </c>
      <c r="P250" s="109">
        <f t="shared" si="323"/>
        <v>0</v>
      </c>
      <c r="Q250" s="109">
        <f t="shared" si="324"/>
        <v>63.36</v>
      </c>
      <c r="R250" s="121" t="s">
        <v>2341</v>
      </c>
      <c r="T250" s="188"/>
    </row>
    <row r="251" spans="1:20" x14ac:dyDescent="0.25">
      <c r="A251" s="100">
        <v>34.299999999999997</v>
      </c>
      <c r="B251" s="3">
        <v>4</v>
      </c>
      <c r="C251" s="5" t="s">
        <v>109</v>
      </c>
      <c r="D251" s="3" t="s">
        <v>82</v>
      </c>
      <c r="E251" s="100" t="str">
        <f>IFERROR(VLOOKUP(C251,Resources!B:D,3,FALSE)," ")</f>
        <v>M</v>
      </c>
      <c r="F251" s="103">
        <f>VLOOKUP($A251,'Model Inputs'!$A:$D,4,FALSE)</f>
        <v>8</v>
      </c>
      <c r="G251" s="8">
        <v>1</v>
      </c>
      <c r="H251" s="8">
        <f>H250/F251</f>
        <v>0.33</v>
      </c>
      <c r="I251" s="109">
        <f>IFERROR(VLOOKUP(C251,Resources!B:G,6,FALSE)," ")</f>
        <v>450</v>
      </c>
      <c r="J251" s="109">
        <f t="shared" si="325"/>
        <v>148.5</v>
      </c>
      <c r="K251" s="8"/>
      <c r="L251" s="8" t="str">
        <f t="shared" si="319"/>
        <v xml:space="preserve"> </v>
      </c>
      <c r="M251" s="109">
        <f t="shared" si="320"/>
        <v>0</v>
      </c>
      <c r="N251" s="109">
        <f t="shared" si="321"/>
        <v>148.5</v>
      </c>
      <c r="O251" s="109">
        <f t="shared" si="322"/>
        <v>0</v>
      </c>
      <c r="P251" s="109">
        <f t="shared" si="323"/>
        <v>0</v>
      </c>
      <c r="Q251" s="109">
        <f t="shared" si="324"/>
        <v>148.5</v>
      </c>
      <c r="R251" s="121" t="s">
        <v>2338</v>
      </c>
      <c r="T251" s="188"/>
    </row>
    <row r="252" spans="1:20" x14ac:dyDescent="0.25">
      <c r="A252" s="100"/>
      <c r="B252" s="3">
        <v>5</v>
      </c>
      <c r="C252" s="5" t="s">
        <v>198</v>
      </c>
      <c r="D252" s="3" t="s">
        <v>89</v>
      </c>
      <c r="E252" s="100" t="str">
        <f>IFERROR(VLOOKUP(C252,Resources!B:D,3,FALSE)," ")</f>
        <v>S</v>
      </c>
      <c r="F252" s="8">
        <v>1</v>
      </c>
      <c r="G252" s="8">
        <v>1</v>
      </c>
      <c r="H252" s="8">
        <f>H247</f>
        <v>198</v>
      </c>
      <c r="I252" s="109">
        <f>IFERROR(VLOOKUP(C252,Resources!B:G,6,FALSE)," ")</f>
        <v>30</v>
      </c>
      <c r="J252" s="109">
        <f t="shared" si="325"/>
        <v>5940</v>
      </c>
      <c r="K252" s="8"/>
      <c r="L252" s="8">
        <f t="shared" si="319"/>
        <v>198</v>
      </c>
      <c r="M252" s="109">
        <f t="shared" si="320"/>
        <v>0</v>
      </c>
      <c r="N252" s="109">
        <f t="shared" si="321"/>
        <v>0</v>
      </c>
      <c r="O252" s="109">
        <f t="shared" si="322"/>
        <v>0</v>
      </c>
      <c r="P252" s="109">
        <f t="shared" si="323"/>
        <v>5940</v>
      </c>
      <c r="Q252" s="109">
        <f t="shared" si="324"/>
        <v>5940</v>
      </c>
      <c r="R252" s="121">
        <v>71</v>
      </c>
      <c r="T252" s="188"/>
    </row>
    <row r="253" spans="1:20" x14ac:dyDescent="0.25">
      <c r="A253" s="101"/>
      <c r="B253" s="4"/>
      <c r="C253" s="6"/>
      <c r="D253" s="4"/>
      <c r="E253" s="101" t="str">
        <f>IFERROR(VLOOKUP(C253,Resources!B:D,3,FALSE)," ")</f>
        <v xml:space="preserve"> </v>
      </c>
      <c r="F253" s="9"/>
      <c r="G253" s="9"/>
      <c r="H253" s="9"/>
      <c r="I253" s="38" t="str">
        <f>IFERROR(VLOOKUP(C253,Resources!B:G,6,FALSE)," ")</f>
        <v xml:space="preserve"> </v>
      </c>
      <c r="J253" s="38"/>
      <c r="K253" s="9"/>
      <c r="L253" s="9"/>
      <c r="M253" s="38"/>
      <c r="N253" s="38"/>
      <c r="O253" s="38"/>
      <c r="P253" s="38"/>
      <c r="Q253" s="38"/>
      <c r="R253" s="122"/>
      <c r="T253" s="188"/>
    </row>
    <row r="254" spans="1:20" ht="30" x14ac:dyDescent="0.25">
      <c r="A254" s="114">
        <v>35</v>
      </c>
      <c r="B254" s="1" t="s">
        <v>199</v>
      </c>
      <c r="C254" s="1" t="s">
        <v>200</v>
      </c>
      <c r="D254" s="2" t="s">
        <v>89</v>
      </c>
      <c r="E254" s="99" t="str">
        <f>IFERROR(VLOOKUP(C254,Resources!B:D,3,FALSE)," ")</f>
        <v xml:space="preserve"> </v>
      </c>
      <c r="F254" s="7"/>
      <c r="G254" s="7"/>
      <c r="H254" s="103">
        <f>VLOOKUP($A254,'Model Inputs'!$A:$D,4,FALSE)</f>
        <v>51</v>
      </c>
      <c r="I254" s="108" t="str">
        <f>IFERROR(VLOOKUP(C254,Resources!B:G,6,FALSE)," ")</f>
        <v xml:space="preserve"> </v>
      </c>
      <c r="J254" s="108">
        <f>SUBTOTAL(9,J256:J259)</f>
        <v>6633.57</v>
      </c>
      <c r="K254" s="7"/>
      <c r="L254" s="7">
        <f>ROUNDUP(L259/200,0)</f>
        <v>1</v>
      </c>
      <c r="M254" s="108">
        <f t="shared" ref="M254:Q254" si="326">SUBTOTAL(9,M256:M259)</f>
        <v>0</v>
      </c>
      <c r="N254" s="108">
        <f t="shared" si="326"/>
        <v>3318.57</v>
      </c>
      <c r="O254" s="108">
        <f t="shared" si="326"/>
        <v>0</v>
      </c>
      <c r="P254" s="108">
        <f t="shared" si="326"/>
        <v>3315</v>
      </c>
      <c r="Q254" s="108">
        <f t="shared" si="326"/>
        <v>6633.57</v>
      </c>
      <c r="R254" s="120"/>
      <c r="T254" s="188"/>
    </row>
    <row r="255" spans="1:20" ht="30" x14ac:dyDescent="0.25">
      <c r="A255" s="101"/>
      <c r="B255" s="4">
        <v>1</v>
      </c>
      <c r="C255" s="6" t="s">
        <v>196</v>
      </c>
      <c r="D255" s="4"/>
      <c r="E255" s="101" t="str">
        <f>IFERROR(VLOOKUP(C255,Resources!B:D,3,FALSE)," ")</f>
        <v xml:space="preserve"> </v>
      </c>
      <c r="F255" s="9"/>
      <c r="G255" s="9"/>
      <c r="H255" s="9"/>
      <c r="I255" s="38" t="str">
        <f>IFERROR(VLOOKUP(C255,Resources!B:G,6,FALSE)," ")</f>
        <v xml:space="preserve"> </v>
      </c>
      <c r="J255" s="38"/>
      <c r="K255" s="9"/>
      <c r="L255" s="9"/>
      <c r="M255" s="38"/>
      <c r="N255" s="38"/>
      <c r="O255" s="38"/>
      <c r="P255" s="38"/>
      <c r="Q255" s="38"/>
      <c r="R255" s="122"/>
      <c r="T255" s="188"/>
    </row>
    <row r="256" spans="1:20" x14ac:dyDescent="0.25">
      <c r="A256" s="100">
        <v>35.1</v>
      </c>
      <c r="B256" s="3">
        <v>2</v>
      </c>
      <c r="C256" s="5" t="s">
        <v>85</v>
      </c>
      <c r="D256" s="3" t="s">
        <v>86</v>
      </c>
      <c r="E256" s="100" t="str">
        <f>IFERROR(VLOOKUP(C256,Resources!B:D,3,FALSE)," ")</f>
        <v>M</v>
      </c>
      <c r="F256" s="103">
        <f>VLOOKUP($A256,'Model Inputs'!$A:$D,4,FALSE)</f>
        <v>3</v>
      </c>
      <c r="G256" s="8">
        <v>1</v>
      </c>
      <c r="H256" s="8">
        <v>17</v>
      </c>
      <c r="I256" s="109">
        <f>IFERROR(VLOOKUP(C256,Resources!B:G,6,FALSE)," ")</f>
        <v>192</v>
      </c>
      <c r="J256" s="109">
        <f>I256*H256</f>
        <v>3264</v>
      </c>
      <c r="K256" s="8"/>
      <c r="L256" s="8" t="str">
        <f t="shared" ref="L256:L259" si="327">IF(E256="M"," ",H256/G256)</f>
        <v xml:space="preserve"> </v>
      </c>
      <c r="M256" s="109">
        <f t="shared" ref="M256:M259" si="328">IF($E256="L",$J256,0)</f>
        <v>0</v>
      </c>
      <c r="N256" s="109">
        <f t="shared" ref="N256:N259" si="329">IF($E256="M",$J256,0)</f>
        <v>3264</v>
      </c>
      <c r="O256" s="109">
        <f t="shared" ref="O256:O259" si="330">IF($E256="P",$J256,0)</f>
        <v>0</v>
      </c>
      <c r="P256" s="109">
        <f t="shared" ref="P256:P259" si="331">IF($E256="S",$J256,0)</f>
        <v>0</v>
      </c>
      <c r="Q256" s="109">
        <f t="shared" ref="Q256:Q259" si="332">SUM(M256:P256)</f>
        <v>3264</v>
      </c>
      <c r="R256" s="121" t="s">
        <v>2335</v>
      </c>
      <c r="T256" s="188"/>
    </row>
    <row r="257" spans="1:20" x14ac:dyDescent="0.25">
      <c r="A257" s="100">
        <v>35.200000000000003</v>
      </c>
      <c r="B257" s="3">
        <v>3</v>
      </c>
      <c r="C257" s="5" t="s">
        <v>81</v>
      </c>
      <c r="D257" s="3" t="s">
        <v>82</v>
      </c>
      <c r="E257" s="100" t="str">
        <f>IFERROR(VLOOKUP(C257,Resources!B:D,3,FALSE)," ")</f>
        <v>M</v>
      </c>
      <c r="F257" s="103">
        <f>VLOOKUP($A257,'Model Inputs'!$A:$D,4,FALSE)</f>
        <v>75</v>
      </c>
      <c r="G257" s="8">
        <v>1</v>
      </c>
      <c r="H257" s="8">
        <v>0.68</v>
      </c>
      <c r="I257" s="109">
        <f>IFERROR(VLOOKUP(C257,Resources!B:G,6,FALSE)," ")</f>
        <v>24</v>
      </c>
      <c r="J257" s="109">
        <f t="shared" ref="J257:J259" si="333">I257*H257</f>
        <v>16.32</v>
      </c>
      <c r="K257" s="8"/>
      <c r="L257" s="8" t="str">
        <f t="shared" si="327"/>
        <v xml:space="preserve"> </v>
      </c>
      <c r="M257" s="109">
        <f t="shared" si="328"/>
        <v>0</v>
      </c>
      <c r="N257" s="109">
        <f t="shared" si="329"/>
        <v>16.32</v>
      </c>
      <c r="O257" s="109">
        <f t="shared" si="330"/>
        <v>0</v>
      </c>
      <c r="P257" s="109">
        <f t="shared" si="331"/>
        <v>0</v>
      </c>
      <c r="Q257" s="109">
        <f t="shared" si="332"/>
        <v>16.32</v>
      </c>
      <c r="R257" s="121" t="s">
        <v>2341</v>
      </c>
      <c r="T257" s="188"/>
    </row>
    <row r="258" spans="1:20" x14ac:dyDescent="0.25">
      <c r="A258" s="100">
        <v>35.299999999999997</v>
      </c>
      <c r="B258" s="3">
        <v>4</v>
      </c>
      <c r="C258" s="5" t="s">
        <v>109</v>
      </c>
      <c r="D258" s="3" t="s">
        <v>82</v>
      </c>
      <c r="E258" s="100" t="str">
        <f>IFERROR(VLOOKUP(C258,Resources!B:D,3,FALSE)," ")</f>
        <v>M</v>
      </c>
      <c r="F258" s="103">
        <f>VLOOKUP($A258,'Model Inputs'!$A:$D,4,FALSE)</f>
        <v>8</v>
      </c>
      <c r="G258" s="8">
        <v>1</v>
      </c>
      <c r="H258" s="8">
        <v>8.5000000000000006E-2</v>
      </c>
      <c r="I258" s="109">
        <f>IFERROR(VLOOKUP(C258,Resources!B:G,6,FALSE)," ")</f>
        <v>450</v>
      </c>
      <c r="J258" s="109">
        <f t="shared" si="333"/>
        <v>38.25</v>
      </c>
      <c r="K258" s="8"/>
      <c r="L258" s="8" t="str">
        <f t="shared" si="327"/>
        <v xml:space="preserve"> </v>
      </c>
      <c r="M258" s="109">
        <f t="shared" si="328"/>
        <v>0</v>
      </c>
      <c r="N258" s="109">
        <f t="shared" si="329"/>
        <v>38.25</v>
      </c>
      <c r="O258" s="109">
        <f t="shared" si="330"/>
        <v>0</v>
      </c>
      <c r="P258" s="109">
        <f t="shared" si="331"/>
        <v>0</v>
      </c>
      <c r="Q258" s="109">
        <f t="shared" si="332"/>
        <v>38.25</v>
      </c>
      <c r="R258" s="121" t="s">
        <v>2338</v>
      </c>
      <c r="T258" s="188"/>
    </row>
    <row r="259" spans="1:20" x14ac:dyDescent="0.25">
      <c r="A259" s="100"/>
      <c r="B259" s="3">
        <v>5</v>
      </c>
      <c r="C259" s="5" t="s">
        <v>2247</v>
      </c>
      <c r="D259" s="3" t="s">
        <v>89</v>
      </c>
      <c r="E259" s="100" t="str">
        <f>IFERROR(VLOOKUP(C259,Resources!B:D,3,FALSE)," ")</f>
        <v>S</v>
      </c>
      <c r="F259" s="8">
        <v>1</v>
      </c>
      <c r="G259" s="8">
        <v>1</v>
      </c>
      <c r="H259" s="8">
        <v>51</v>
      </c>
      <c r="I259" s="109">
        <f>IFERROR(VLOOKUP(C259,Resources!B:G,6,FALSE)," ")</f>
        <v>65</v>
      </c>
      <c r="J259" s="109">
        <f t="shared" si="333"/>
        <v>3315</v>
      </c>
      <c r="K259" s="8"/>
      <c r="L259" s="8">
        <f t="shared" si="327"/>
        <v>51</v>
      </c>
      <c r="M259" s="109">
        <f t="shared" si="328"/>
        <v>0</v>
      </c>
      <c r="N259" s="109">
        <f t="shared" si="329"/>
        <v>0</v>
      </c>
      <c r="O259" s="109">
        <f t="shared" si="330"/>
        <v>0</v>
      </c>
      <c r="P259" s="109">
        <f t="shared" si="331"/>
        <v>3315</v>
      </c>
      <c r="Q259" s="109">
        <f t="shared" si="332"/>
        <v>3315</v>
      </c>
      <c r="R259" s="121">
        <v>71</v>
      </c>
      <c r="T259" s="188"/>
    </row>
    <row r="260" spans="1:20" x14ac:dyDescent="0.25">
      <c r="A260" s="101"/>
      <c r="B260" s="4"/>
      <c r="C260" s="6"/>
      <c r="D260" s="4"/>
      <c r="E260" s="101" t="str">
        <f>IFERROR(VLOOKUP(C260,Resources!B:D,3,FALSE)," ")</f>
        <v xml:space="preserve"> </v>
      </c>
      <c r="F260" s="9"/>
      <c r="G260" s="9"/>
      <c r="H260" s="9"/>
      <c r="I260" s="38" t="str">
        <f>IFERROR(VLOOKUP(C260,Resources!B:G,6,FALSE)," ")</f>
        <v xml:space="preserve"> </v>
      </c>
      <c r="J260" s="38"/>
      <c r="K260" s="9"/>
      <c r="L260" s="9"/>
      <c r="M260" s="38"/>
      <c r="N260" s="38"/>
      <c r="O260" s="38"/>
      <c r="P260" s="38"/>
      <c r="Q260" s="38"/>
      <c r="R260" s="122"/>
      <c r="T260" s="188"/>
    </row>
    <row r="261" spans="1:20" ht="30" x14ac:dyDescent="0.25">
      <c r="A261" s="114">
        <v>36</v>
      </c>
      <c r="B261" s="1" t="s">
        <v>201</v>
      </c>
      <c r="C261" s="1" t="s">
        <v>202</v>
      </c>
      <c r="D261" s="2" t="s">
        <v>89</v>
      </c>
      <c r="E261" s="99" t="str">
        <f>IFERROR(VLOOKUP(C261,Resources!B:D,3,FALSE)," ")</f>
        <v xml:space="preserve"> </v>
      </c>
      <c r="F261" s="7"/>
      <c r="G261" s="7"/>
      <c r="H261" s="103">
        <f>VLOOKUP($A261,'Model Inputs'!$A:$D,4,FALSE)</f>
        <v>48</v>
      </c>
      <c r="I261" s="108" t="str">
        <f>IFERROR(VLOOKUP(C261,Resources!B:G,6,FALSE)," ")</f>
        <v xml:space="preserve"> </v>
      </c>
      <c r="J261" s="108">
        <f>SUBTOTAL(9,J263:J266)</f>
        <v>2551.826</v>
      </c>
      <c r="K261" s="7"/>
      <c r="L261" s="7">
        <f>ROUNDUP(L266/200,0)</f>
        <v>1</v>
      </c>
      <c r="M261" s="108">
        <f t="shared" ref="M261:Q261" si="334">SUBTOTAL(9,M263:M266)</f>
        <v>0</v>
      </c>
      <c r="N261" s="108">
        <f t="shared" si="334"/>
        <v>1111.826</v>
      </c>
      <c r="O261" s="108">
        <f t="shared" si="334"/>
        <v>0</v>
      </c>
      <c r="P261" s="108">
        <f t="shared" si="334"/>
        <v>1440</v>
      </c>
      <c r="Q261" s="108">
        <f t="shared" si="334"/>
        <v>2551.826</v>
      </c>
      <c r="R261" s="120"/>
      <c r="T261" s="188"/>
    </row>
    <row r="262" spans="1:20" ht="30" x14ac:dyDescent="0.25">
      <c r="A262" s="101"/>
      <c r="B262" s="4">
        <v>1</v>
      </c>
      <c r="C262" s="6" t="s">
        <v>196</v>
      </c>
      <c r="D262" s="4"/>
      <c r="E262" s="101" t="str">
        <f>IFERROR(VLOOKUP(C262,Resources!B:D,3,FALSE)," ")</f>
        <v xml:space="preserve"> </v>
      </c>
      <c r="F262" s="9"/>
      <c r="G262" s="9"/>
      <c r="H262" s="9"/>
      <c r="I262" s="38" t="str">
        <f>IFERROR(VLOOKUP(C262,Resources!B:G,6,FALSE)," ")</f>
        <v xml:space="preserve"> </v>
      </c>
      <c r="J262" s="38"/>
      <c r="K262" s="9"/>
      <c r="L262" s="9"/>
      <c r="M262" s="38"/>
      <c r="N262" s="38"/>
      <c r="O262" s="38"/>
      <c r="P262" s="38"/>
      <c r="Q262" s="38"/>
      <c r="R262" s="122"/>
      <c r="T262" s="188"/>
    </row>
    <row r="263" spans="1:20" x14ac:dyDescent="0.25">
      <c r="A263" s="100">
        <v>36.1</v>
      </c>
      <c r="B263" s="3">
        <v>2</v>
      </c>
      <c r="C263" s="5" t="s">
        <v>197</v>
      </c>
      <c r="D263" s="3" t="s">
        <v>86</v>
      </c>
      <c r="E263" s="100" t="str">
        <f>IFERROR(VLOOKUP(C263,Resources!B:D,3,FALSE)," ")</f>
        <v>M</v>
      </c>
      <c r="F263" s="103">
        <f>VLOOKUP($A263,'Model Inputs'!$A:$D,4,FALSE)</f>
        <v>8.6</v>
      </c>
      <c r="G263" s="8">
        <v>1</v>
      </c>
      <c r="H263" s="8">
        <v>5.5814000000000004</v>
      </c>
      <c r="I263" s="109">
        <f>IFERROR(VLOOKUP(C263,Resources!B:G,6,FALSE)," ")</f>
        <v>190</v>
      </c>
      <c r="J263" s="109">
        <f>I263*H263</f>
        <v>1060.4660000000001</v>
      </c>
      <c r="K263" s="8"/>
      <c r="L263" s="8" t="str">
        <f t="shared" ref="L263:L266" si="335">IF(E263="M"," ",H263/G263)</f>
        <v xml:space="preserve"> </v>
      </c>
      <c r="M263" s="109">
        <f t="shared" ref="M263:M266" si="336">IF($E263="L",$J263,0)</f>
        <v>0</v>
      </c>
      <c r="N263" s="109">
        <f t="shared" ref="N263:N266" si="337">IF($E263="M",$J263,0)</f>
        <v>1060.4660000000001</v>
      </c>
      <c r="O263" s="109">
        <f t="shared" ref="O263:O266" si="338">IF($E263="P",$J263,0)</f>
        <v>0</v>
      </c>
      <c r="P263" s="109">
        <f t="shared" ref="P263:P266" si="339">IF($E263="S",$J263,0)</f>
        <v>0</v>
      </c>
      <c r="Q263" s="109">
        <f t="shared" ref="Q263:Q266" si="340">SUM(M263:P263)</f>
        <v>1060.4660000000001</v>
      </c>
      <c r="R263" s="121" t="s">
        <v>2337</v>
      </c>
      <c r="T263" s="188"/>
    </row>
    <row r="264" spans="1:20" x14ac:dyDescent="0.25">
      <c r="A264" s="100">
        <v>36.200000000000003</v>
      </c>
      <c r="B264" s="3">
        <v>3</v>
      </c>
      <c r="C264" s="5" t="s">
        <v>81</v>
      </c>
      <c r="D264" s="3" t="s">
        <v>82</v>
      </c>
      <c r="E264" s="100" t="str">
        <f>IFERROR(VLOOKUP(C264,Resources!B:D,3,FALSE)," ")</f>
        <v>M</v>
      </c>
      <c r="F264" s="103">
        <f>VLOOKUP($A264,'Model Inputs'!$A:$D,4,FALSE)</f>
        <v>75</v>
      </c>
      <c r="G264" s="8">
        <v>1</v>
      </c>
      <c r="H264" s="8">
        <v>0.64</v>
      </c>
      <c r="I264" s="109">
        <f>IFERROR(VLOOKUP(C264,Resources!B:G,6,FALSE)," ")</f>
        <v>24</v>
      </c>
      <c r="J264" s="109">
        <f t="shared" ref="J264:J266" si="341">I264*H264</f>
        <v>15.36</v>
      </c>
      <c r="K264" s="8"/>
      <c r="L264" s="8" t="str">
        <f t="shared" si="335"/>
        <v xml:space="preserve"> </v>
      </c>
      <c r="M264" s="109">
        <f t="shared" si="336"/>
        <v>0</v>
      </c>
      <c r="N264" s="109">
        <f t="shared" si="337"/>
        <v>15.36</v>
      </c>
      <c r="O264" s="109">
        <f t="shared" si="338"/>
        <v>0</v>
      </c>
      <c r="P264" s="109">
        <f t="shared" si="339"/>
        <v>0</v>
      </c>
      <c r="Q264" s="109">
        <f t="shared" si="340"/>
        <v>15.36</v>
      </c>
      <c r="R264" s="121" t="s">
        <v>2341</v>
      </c>
      <c r="T264" s="188"/>
    </row>
    <row r="265" spans="1:20" x14ac:dyDescent="0.25">
      <c r="A265" s="100">
        <v>36.299999999999997</v>
      </c>
      <c r="B265" s="3">
        <v>4</v>
      </c>
      <c r="C265" s="5" t="s">
        <v>109</v>
      </c>
      <c r="D265" s="3" t="s">
        <v>82</v>
      </c>
      <c r="E265" s="100" t="str">
        <f>IFERROR(VLOOKUP(C265,Resources!B:D,3,FALSE)," ")</f>
        <v>M</v>
      </c>
      <c r="F265" s="103">
        <f>VLOOKUP($A265,'Model Inputs'!$A:$D,4,FALSE)</f>
        <v>8</v>
      </c>
      <c r="G265" s="8">
        <v>1</v>
      </c>
      <c r="H265" s="8">
        <v>0.08</v>
      </c>
      <c r="I265" s="109">
        <f>IFERROR(VLOOKUP(C265,Resources!B:G,6,FALSE)," ")</f>
        <v>450</v>
      </c>
      <c r="J265" s="109">
        <f t="shared" si="341"/>
        <v>36</v>
      </c>
      <c r="K265" s="8"/>
      <c r="L265" s="8" t="str">
        <f t="shared" si="335"/>
        <v xml:space="preserve"> </v>
      </c>
      <c r="M265" s="109">
        <f t="shared" si="336"/>
        <v>0</v>
      </c>
      <c r="N265" s="109">
        <f t="shared" si="337"/>
        <v>36</v>
      </c>
      <c r="O265" s="109">
        <f t="shared" si="338"/>
        <v>0</v>
      </c>
      <c r="P265" s="109">
        <f t="shared" si="339"/>
        <v>0</v>
      </c>
      <c r="Q265" s="109">
        <f t="shared" si="340"/>
        <v>36</v>
      </c>
      <c r="R265" s="121" t="s">
        <v>2338</v>
      </c>
      <c r="T265" s="188"/>
    </row>
    <row r="266" spans="1:20" x14ac:dyDescent="0.25">
      <c r="A266" s="100"/>
      <c r="B266" s="3">
        <v>5</v>
      </c>
      <c r="C266" s="5" t="s">
        <v>198</v>
      </c>
      <c r="D266" s="3" t="s">
        <v>89</v>
      </c>
      <c r="E266" s="100" t="str">
        <f>IFERROR(VLOOKUP(C266,Resources!B:D,3,FALSE)," ")</f>
        <v>S</v>
      </c>
      <c r="F266" s="8">
        <v>1</v>
      </c>
      <c r="G266" s="8">
        <v>1</v>
      </c>
      <c r="H266" s="8">
        <v>48</v>
      </c>
      <c r="I266" s="109">
        <f>IFERROR(VLOOKUP(C266,Resources!B:G,6,FALSE)," ")</f>
        <v>30</v>
      </c>
      <c r="J266" s="109">
        <f t="shared" si="341"/>
        <v>1440</v>
      </c>
      <c r="K266" s="8"/>
      <c r="L266" s="8">
        <f t="shared" si="335"/>
        <v>48</v>
      </c>
      <c r="M266" s="109">
        <f t="shared" si="336"/>
        <v>0</v>
      </c>
      <c r="N266" s="109">
        <f t="shared" si="337"/>
        <v>0</v>
      </c>
      <c r="O266" s="109">
        <f t="shared" si="338"/>
        <v>0</v>
      </c>
      <c r="P266" s="109">
        <f t="shared" si="339"/>
        <v>1440</v>
      </c>
      <c r="Q266" s="109">
        <f t="shared" si="340"/>
        <v>1440</v>
      </c>
      <c r="R266" s="121">
        <v>71</v>
      </c>
      <c r="T266" s="188"/>
    </row>
    <row r="267" spans="1:20" x14ac:dyDescent="0.25">
      <c r="A267" s="101"/>
      <c r="B267" s="4"/>
      <c r="C267" s="6"/>
      <c r="D267" s="4"/>
      <c r="E267" s="101" t="str">
        <f>IFERROR(VLOOKUP(C267,Resources!B:D,3,FALSE)," ")</f>
        <v xml:space="preserve"> </v>
      </c>
      <c r="F267" s="9"/>
      <c r="G267" s="9"/>
      <c r="H267" s="9"/>
      <c r="I267" s="38" t="str">
        <f>IFERROR(VLOOKUP(C267,Resources!B:G,6,FALSE)," ")</f>
        <v xml:space="preserve"> </v>
      </c>
      <c r="J267" s="38"/>
      <c r="K267" s="9"/>
      <c r="L267" s="9"/>
      <c r="M267" s="38"/>
      <c r="N267" s="38"/>
      <c r="O267" s="38"/>
      <c r="P267" s="38"/>
      <c r="Q267" s="38"/>
      <c r="R267" s="122"/>
      <c r="T267" s="188"/>
    </row>
    <row r="268" spans="1:20" ht="30" x14ac:dyDescent="0.25">
      <c r="A268" s="114"/>
      <c r="B268" s="1" t="s">
        <v>203</v>
      </c>
      <c r="C268" s="1" t="s">
        <v>204</v>
      </c>
      <c r="D268" s="2"/>
      <c r="E268" s="99" t="str">
        <f>IFERROR(VLOOKUP(C268,Resources!B:D,3,FALSE)," ")</f>
        <v xml:space="preserve"> </v>
      </c>
      <c r="F268" s="7"/>
      <c r="G268" s="7"/>
      <c r="H268" s="7"/>
      <c r="I268" s="108" t="str">
        <f>IFERROR(VLOOKUP(C268,Resources!B:G,6,FALSE)," ")</f>
        <v xml:space="preserve"> </v>
      </c>
      <c r="J268" s="108"/>
      <c r="K268" s="7"/>
      <c r="L268" s="7"/>
      <c r="M268" s="108"/>
      <c r="N268" s="108"/>
      <c r="O268" s="108"/>
      <c r="P268" s="108"/>
      <c r="Q268" s="108"/>
      <c r="R268" s="120"/>
      <c r="T268" s="188"/>
    </row>
    <row r="269" spans="1:20" ht="30" x14ac:dyDescent="0.25">
      <c r="A269" s="114"/>
      <c r="B269" s="1" t="s">
        <v>205</v>
      </c>
      <c r="C269" s="1" t="s">
        <v>206</v>
      </c>
      <c r="D269" s="2"/>
      <c r="E269" s="99" t="str">
        <f>IFERROR(VLOOKUP(C269,Resources!B:D,3,FALSE)," ")</f>
        <v xml:space="preserve"> </v>
      </c>
      <c r="F269" s="7"/>
      <c r="G269" s="7"/>
      <c r="H269" s="7"/>
      <c r="I269" s="108" t="str">
        <f>IFERROR(VLOOKUP(C269,Resources!B:G,6,FALSE)," ")</f>
        <v xml:space="preserve"> </v>
      </c>
      <c r="J269" s="108"/>
      <c r="K269" s="7"/>
      <c r="L269" s="7"/>
      <c r="M269" s="108"/>
      <c r="N269" s="108"/>
      <c r="O269" s="108"/>
      <c r="P269" s="108"/>
      <c r="Q269" s="108"/>
      <c r="R269" s="120"/>
      <c r="T269" s="188"/>
    </row>
    <row r="270" spans="1:20" ht="30" x14ac:dyDescent="0.25">
      <c r="A270" s="114">
        <v>37</v>
      </c>
      <c r="B270" s="1" t="s">
        <v>207</v>
      </c>
      <c r="C270" s="1" t="s">
        <v>208</v>
      </c>
      <c r="D270" s="2" t="s">
        <v>89</v>
      </c>
      <c r="E270" s="99" t="str">
        <f>IFERROR(VLOOKUP(C270,Resources!B:D,3,FALSE)," ")</f>
        <v xml:space="preserve"> </v>
      </c>
      <c r="F270" s="7"/>
      <c r="G270" s="7"/>
      <c r="H270" s="103">
        <f>VLOOKUP($A270,'Model Inputs'!$A:$D,4,FALSE)</f>
        <v>372</v>
      </c>
      <c r="I270" s="108" t="str">
        <f>IFERROR(VLOOKUP(C270,Resources!B:G,6,FALSE)," ")</f>
        <v xml:space="preserve"> </v>
      </c>
      <c r="J270" s="108">
        <f>SUBTOTAL(9,J272:J278)</f>
        <v>15356.991726372637</v>
      </c>
      <c r="K270" s="7"/>
      <c r="L270" s="7">
        <f>ROUNDUP(MAX(L275:L278)/Workhrs,0)</f>
        <v>4</v>
      </c>
      <c r="M270" s="108">
        <f t="shared" ref="M270:Q270" si="342">SUBTOTAL(9,M272:M278)</f>
        <v>4218.9018901890195</v>
      </c>
      <c r="N270" s="108">
        <f t="shared" si="342"/>
        <v>2255.808</v>
      </c>
      <c r="O270" s="108">
        <f t="shared" si="342"/>
        <v>7818.3618361836188</v>
      </c>
      <c r="P270" s="108">
        <f t="shared" si="342"/>
        <v>1063.92</v>
      </c>
      <c r="Q270" s="108">
        <f t="shared" si="342"/>
        <v>15356.991726372637</v>
      </c>
      <c r="R270" s="120"/>
      <c r="T270" s="188"/>
    </row>
    <row r="271" spans="1:20" ht="45" x14ac:dyDescent="0.25">
      <c r="A271" s="101"/>
      <c r="B271" s="4">
        <v>1</v>
      </c>
      <c r="C271" s="6" t="s">
        <v>209</v>
      </c>
      <c r="D271" s="4"/>
      <c r="E271" s="101" t="str">
        <f>IFERROR(VLOOKUP(C271,Resources!B:D,3,FALSE)," ")</f>
        <v xml:space="preserve"> </v>
      </c>
      <c r="F271" s="9"/>
      <c r="G271" s="9"/>
      <c r="H271" s="9"/>
      <c r="I271" s="38" t="str">
        <f>IFERROR(VLOOKUP(C271,Resources!B:G,6,FALSE)," ")</f>
        <v xml:space="preserve"> </v>
      </c>
      <c r="J271" s="38"/>
      <c r="K271" s="9"/>
      <c r="L271" s="9"/>
      <c r="M271" s="38"/>
      <c r="N271" s="38"/>
      <c r="O271" s="38"/>
      <c r="P271" s="38"/>
      <c r="Q271" s="38"/>
      <c r="R271" s="122"/>
      <c r="T271" s="188"/>
    </row>
    <row r="272" spans="1:20" x14ac:dyDescent="0.25">
      <c r="A272" s="100"/>
      <c r="B272" s="3">
        <v>2</v>
      </c>
      <c r="C272" s="5" t="s">
        <v>210</v>
      </c>
      <c r="D272" s="3" t="s">
        <v>89</v>
      </c>
      <c r="E272" s="100" t="str">
        <f>IFERROR(VLOOKUP(C272,Resources!B:D,3,FALSE)," ")</f>
        <v>M</v>
      </c>
      <c r="F272" s="8">
        <v>1</v>
      </c>
      <c r="G272" s="8">
        <v>1</v>
      </c>
      <c r="H272" s="8">
        <f>H270</f>
        <v>372</v>
      </c>
      <c r="I272" s="109">
        <f>IFERROR(VLOOKUP(C272,Resources!B:G,6,FALSE)," ")</f>
        <v>2.5</v>
      </c>
      <c r="J272" s="109">
        <f t="shared" ref="J272:J274" si="343">I272*H272</f>
        <v>930</v>
      </c>
      <c r="K272" s="8"/>
      <c r="L272" s="8" t="str">
        <f t="shared" ref="L272:L278" si="344">IF(E272="M"," ",H272/G272)</f>
        <v xml:space="preserve"> </v>
      </c>
      <c r="M272" s="109">
        <f t="shared" ref="M272:M281" si="345">IF($E272="L",$J272,0)</f>
        <v>0</v>
      </c>
      <c r="N272" s="109">
        <f t="shared" ref="N272:N281" si="346">IF($E272="M",$J272,0)</f>
        <v>930</v>
      </c>
      <c r="O272" s="109">
        <f t="shared" ref="O272:O281" si="347">IF($E272="P",$J272,0)</f>
        <v>0</v>
      </c>
      <c r="P272" s="109">
        <f t="shared" ref="P272:P281" si="348">IF($E272="S",$J272,0)</f>
        <v>0</v>
      </c>
      <c r="Q272" s="109">
        <f t="shared" ref="Q272:Q278" si="349">SUM(M272:P272)</f>
        <v>930</v>
      </c>
      <c r="R272" s="121">
        <v>87</v>
      </c>
      <c r="T272" s="188"/>
    </row>
    <row r="273" spans="1:20" x14ac:dyDescent="0.25">
      <c r="A273" s="100"/>
      <c r="B273" s="3">
        <v>3</v>
      </c>
      <c r="C273" s="5" t="s">
        <v>211</v>
      </c>
      <c r="D273" s="3" t="s">
        <v>29</v>
      </c>
      <c r="E273" s="100" t="str">
        <f>IFERROR(VLOOKUP(C273,Resources!B:D,3,FALSE)," ")</f>
        <v>S</v>
      </c>
      <c r="F273" s="8">
        <v>50</v>
      </c>
      <c r="G273" s="8">
        <v>1</v>
      </c>
      <c r="H273" s="8">
        <f>H270/F273</f>
        <v>7.44</v>
      </c>
      <c r="I273" s="109">
        <f>IFERROR(VLOOKUP(C273,Resources!B:G,6,FALSE)," ")</f>
        <v>143</v>
      </c>
      <c r="J273" s="109">
        <f t="shared" si="343"/>
        <v>1063.92</v>
      </c>
      <c r="K273" s="8"/>
      <c r="L273" s="8"/>
      <c r="M273" s="109">
        <f t="shared" si="345"/>
        <v>0</v>
      </c>
      <c r="N273" s="109">
        <f t="shared" si="346"/>
        <v>0</v>
      </c>
      <c r="O273" s="109">
        <f t="shared" si="347"/>
        <v>0</v>
      </c>
      <c r="P273" s="109">
        <f t="shared" si="348"/>
        <v>1063.92</v>
      </c>
      <c r="Q273" s="109">
        <f t="shared" si="349"/>
        <v>1063.92</v>
      </c>
      <c r="R273" s="121">
        <v>87</v>
      </c>
      <c r="T273" s="188"/>
    </row>
    <row r="274" spans="1:20" x14ac:dyDescent="0.25">
      <c r="A274" s="100"/>
      <c r="B274" s="3">
        <v>4</v>
      </c>
      <c r="C274" s="5" t="s">
        <v>81</v>
      </c>
      <c r="D274" s="3" t="s">
        <v>82</v>
      </c>
      <c r="E274" s="100" t="str">
        <f>IFERROR(VLOOKUP(C274,Resources!B:D,3,FALSE)," ")</f>
        <v>M</v>
      </c>
      <c r="F274" s="8">
        <v>0.14849999999999999</v>
      </c>
      <c r="G274" s="8">
        <v>1</v>
      </c>
      <c r="H274" s="8">
        <f>H270*F274</f>
        <v>55.241999999999997</v>
      </c>
      <c r="I274" s="109">
        <f>IFERROR(VLOOKUP(C274,Resources!B:G,6,FALSE)," ")</f>
        <v>24</v>
      </c>
      <c r="J274" s="109">
        <f t="shared" si="343"/>
        <v>1325.808</v>
      </c>
      <c r="K274" s="8"/>
      <c r="L274" s="8" t="str">
        <f t="shared" si="344"/>
        <v xml:space="preserve"> </v>
      </c>
      <c r="M274" s="109">
        <f t="shared" si="345"/>
        <v>0</v>
      </c>
      <c r="N274" s="109">
        <f t="shared" si="346"/>
        <v>1325.808</v>
      </c>
      <c r="O274" s="109">
        <f t="shared" si="347"/>
        <v>0</v>
      </c>
      <c r="P274" s="109">
        <f t="shared" si="348"/>
        <v>0</v>
      </c>
      <c r="Q274" s="109">
        <f t="shared" si="349"/>
        <v>1325.808</v>
      </c>
      <c r="R274" s="121" t="s">
        <v>2341</v>
      </c>
      <c r="T274" s="188"/>
    </row>
    <row r="275" spans="1:20" x14ac:dyDescent="0.25">
      <c r="A275" s="100">
        <v>37.1</v>
      </c>
      <c r="B275" s="3">
        <v>5</v>
      </c>
      <c r="C275" s="5" t="s">
        <v>63</v>
      </c>
      <c r="D275" s="3" t="s">
        <v>48</v>
      </c>
      <c r="E275" s="100" t="str">
        <f>IFERROR(VLOOKUP(C275,Resources!B:D,3,FALSE)," ")</f>
        <v>P</v>
      </c>
      <c r="F275" s="8">
        <v>1</v>
      </c>
      <c r="G275" s="103">
        <f>VLOOKUP($A275,'Model Inputs'!$A:$D,4,FALSE)</f>
        <v>11.11</v>
      </c>
      <c r="H275" s="8">
        <v>372</v>
      </c>
      <c r="I275" s="109">
        <f>IFERROR(VLOOKUP(C275,Resources!B:G,6,FALSE)," ")</f>
        <v>135</v>
      </c>
      <c r="J275" s="109">
        <f t="shared" ref="J275:J278" si="350">(H275/(G275/F275))*I275</f>
        <v>4520.2520252025206</v>
      </c>
      <c r="K275" s="8">
        <f t="shared" ref="K275:K278" si="351">L275*F275</f>
        <v>33.483348334833487</v>
      </c>
      <c r="L275" s="8">
        <f t="shared" si="344"/>
        <v>33.483348334833487</v>
      </c>
      <c r="M275" s="109">
        <f t="shared" si="345"/>
        <v>0</v>
      </c>
      <c r="N275" s="109">
        <f t="shared" si="346"/>
        <v>0</v>
      </c>
      <c r="O275" s="109">
        <f t="shared" si="347"/>
        <v>4520.2520252025206</v>
      </c>
      <c r="P275" s="109">
        <f t="shared" si="348"/>
        <v>0</v>
      </c>
      <c r="Q275" s="109">
        <f t="shared" si="349"/>
        <v>4520.2520252025206</v>
      </c>
      <c r="R275" s="121">
        <v>87</v>
      </c>
      <c r="T275" s="188"/>
    </row>
    <row r="276" spans="1:20" x14ac:dyDescent="0.25">
      <c r="A276" s="100">
        <v>37.200000000000003</v>
      </c>
      <c r="B276" s="3">
        <v>6</v>
      </c>
      <c r="C276" s="5" t="s">
        <v>8</v>
      </c>
      <c r="D276" s="3" t="s">
        <v>48</v>
      </c>
      <c r="E276" s="100" t="str">
        <f>IFERROR(VLOOKUP(C276,Resources!B:D,3,FALSE)," ")</f>
        <v>L</v>
      </c>
      <c r="F276" s="103">
        <f>VLOOKUP($A276,'Model Inputs'!$A:$D,4,FALSE)</f>
        <v>3</v>
      </c>
      <c r="G276" s="8">
        <f>G275</f>
        <v>11.11</v>
      </c>
      <c r="H276" s="8">
        <v>372</v>
      </c>
      <c r="I276" s="109">
        <f>IFERROR(VLOOKUP(C276,Resources!B:G,6,FALSE)," ")</f>
        <v>42</v>
      </c>
      <c r="J276" s="109">
        <f t="shared" si="350"/>
        <v>4218.9018901890195</v>
      </c>
      <c r="K276" s="8">
        <f t="shared" si="351"/>
        <v>100.45004500450045</v>
      </c>
      <c r="L276" s="8">
        <f t="shared" si="344"/>
        <v>33.483348334833487</v>
      </c>
      <c r="M276" s="109">
        <f t="shared" si="345"/>
        <v>4218.9018901890195</v>
      </c>
      <c r="N276" s="109">
        <f t="shared" si="346"/>
        <v>0</v>
      </c>
      <c r="O276" s="109">
        <f t="shared" si="347"/>
        <v>0</v>
      </c>
      <c r="P276" s="109">
        <f t="shared" si="348"/>
        <v>0</v>
      </c>
      <c r="Q276" s="109">
        <f t="shared" si="349"/>
        <v>4218.9018901890195</v>
      </c>
      <c r="R276" s="121">
        <v>87</v>
      </c>
      <c r="T276" s="188"/>
    </row>
    <row r="277" spans="1:20" x14ac:dyDescent="0.25">
      <c r="A277" s="100"/>
      <c r="B277" s="3">
        <v>7</v>
      </c>
      <c r="C277" s="5" t="s">
        <v>45</v>
      </c>
      <c r="D277" s="3" t="s">
        <v>48</v>
      </c>
      <c r="E277" s="100" t="str">
        <f>IFERROR(VLOOKUP(C277,Resources!B:D,3,FALSE)," ")</f>
        <v>P</v>
      </c>
      <c r="F277" s="8">
        <v>1</v>
      </c>
      <c r="G277" s="8">
        <f>G275</f>
        <v>11.11</v>
      </c>
      <c r="H277" s="8">
        <v>372</v>
      </c>
      <c r="I277" s="109">
        <f>IFERROR(VLOOKUP(C277,Resources!B:G,6,FALSE)," ")</f>
        <v>95</v>
      </c>
      <c r="J277" s="109">
        <f t="shared" si="350"/>
        <v>3180.9180918091811</v>
      </c>
      <c r="K277" s="8">
        <f t="shared" si="351"/>
        <v>33.483348334833487</v>
      </c>
      <c r="L277" s="8">
        <f t="shared" si="344"/>
        <v>33.483348334833487</v>
      </c>
      <c r="M277" s="109">
        <f t="shared" si="345"/>
        <v>0</v>
      </c>
      <c r="N277" s="109">
        <f t="shared" si="346"/>
        <v>0</v>
      </c>
      <c r="O277" s="109">
        <f t="shared" si="347"/>
        <v>3180.9180918091811</v>
      </c>
      <c r="P277" s="109">
        <f t="shared" si="348"/>
        <v>0</v>
      </c>
      <c r="Q277" s="109">
        <f t="shared" si="349"/>
        <v>3180.9180918091811</v>
      </c>
      <c r="R277" s="121">
        <v>87</v>
      </c>
      <c r="T277" s="188"/>
    </row>
    <row r="278" spans="1:20" x14ac:dyDescent="0.25">
      <c r="A278" s="100"/>
      <c r="B278" s="3">
        <v>8</v>
      </c>
      <c r="C278" s="5" t="s">
        <v>92</v>
      </c>
      <c r="D278" s="3" t="s">
        <v>48</v>
      </c>
      <c r="E278" s="100" t="str">
        <f>IFERROR(VLOOKUP(C278,Resources!B:D,3,FALSE)," ")</f>
        <v>P</v>
      </c>
      <c r="F278" s="8">
        <v>1</v>
      </c>
      <c r="G278" s="8">
        <f>G275</f>
        <v>11.11</v>
      </c>
      <c r="H278" s="8">
        <v>372</v>
      </c>
      <c r="I278" s="109">
        <f>IFERROR(VLOOKUP(C278,Resources!B:G,6,FALSE)," ")</f>
        <v>3.5</v>
      </c>
      <c r="J278" s="109">
        <f t="shared" si="350"/>
        <v>117.1917191719172</v>
      </c>
      <c r="K278" s="8">
        <f t="shared" si="351"/>
        <v>33.483348334833487</v>
      </c>
      <c r="L278" s="8">
        <f t="shared" si="344"/>
        <v>33.483348334833487</v>
      </c>
      <c r="M278" s="109">
        <f t="shared" si="345"/>
        <v>0</v>
      </c>
      <c r="N278" s="109">
        <f t="shared" si="346"/>
        <v>0</v>
      </c>
      <c r="O278" s="109">
        <f t="shared" si="347"/>
        <v>117.1917191719172</v>
      </c>
      <c r="P278" s="109">
        <f t="shared" si="348"/>
        <v>0</v>
      </c>
      <c r="Q278" s="109">
        <f t="shared" si="349"/>
        <v>117.1917191719172</v>
      </c>
      <c r="R278" s="121">
        <v>87</v>
      </c>
      <c r="T278" s="188"/>
    </row>
    <row r="279" spans="1:20" x14ac:dyDescent="0.25">
      <c r="A279" s="101"/>
      <c r="B279" s="4"/>
      <c r="C279" s="6"/>
      <c r="D279" s="4"/>
      <c r="E279" s="101" t="str">
        <f>IFERROR(VLOOKUP(C279,Resources!B:D,3,FALSE)," ")</f>
        <v xml:space="preserve"> </v>
      </c>
      <c r="F279" s="9"/>
      <c r="G279" s="9"/>
      <c r="H279" s="9"/>
      <c r="I279" s="38" t="str">
        <f>IFERROR(VLOOKUP(C279,Resources!B:G,6,FALSE)," ")</f>
        <v xml:space="preserve"> </v>
      </c>
      <c r="J279" s="38"/>
      <c r="K279" s="9"/>
      <c r="L279" s="9"/>
      <c r="M279" s="38"/>
      <c r="N279" s="38"/>
      <c r="O279" s="38"/>
      <c r="P279" s="38"/>
      <c r="Q279" s="38"/>
      <c r="R279" s="122"/>
      <c r="T279" s="188"/>
    </row>
    <row r="280" spans="1:20" ht="30" x14ac:dyDescent="0.25">
      <c r="A280" s="114">
        <v>38</v>
      </c>
      <c r="B280" s="1" t="s">
        <v>212</v>
      </c>
      <c r="C280" s="1" t="s">
        <v>213</v>
      </c>
      <c r="D280" s="2" t="s">
        <v>29</v>
      </c>
      <c r="E280" s="99" t="str">
        <f>IFERROR(VLOOKUP(C280,Resources!B:D,3,FALSE)," ")</f>
        <v xml:space="preserve"> </v>
      </c>
      <c r="F280" s="7"/>
      <c r="G280" s="7"/>
      <c r="H280" s="103">
        <f>VLOOKUP($A280,'Model Inputs'!$A:$D,4,FALSE)</f>
        <v>5</v>
      </c>
      <c r="I280" s="108" t="str">
        <f>IFERROR(VLOOKUP(C280,Resources!B:G,6,FALSE)," ")</f>
        <v xml:space="preserve"> </v>
      </c>
      <c r="J280" s="108">
        <f>SUBTOTAL(9,J281)</f>
        <v>715</v>
      </c>
      <c r="K280" s="7"/>
      <c r="L280" s="7">
        <f>L270</f>
        <v>4</v>
      </c>
      <c r="M280" s="108">
        <f t="shared" ref="M280:Q280" si="352">SUBTOTAL(9,M281)</f>
        <v>0</v>
      </c>
      <c r="N280" s="108">
        <f t="shared" si="352"/>
        <v>0</v>
      </c>
      <c r="O280" s="108">
        <f t="shared" si="352"/>
        <v>0</v>
      </c>
      <c r="P280" s="108">
        <f t="shared" si="352"/>
        <v>715</v>
      </c>
      <c r="Q280" s="108">
        <f t="shared" si="352"/>
        <v>715</v>
      </c>
      <c r="R280" s="120"/>
      <c r="T280" s="188"/>
    </row>
    <row r="281" spans="1:20" x14ac:dyDescent="0.25">
      <c r="A281" s="100"/>
      <c r="B281" s="3">
        <v>1</v>
      </c>
      <c r="C281" s="5" t="s">
        <v>211</v>
      </c>
      <c r="D281" s="3" t="s">
        <v>29</v>
      </c>
      <c r="E281" s="100" t="str">
        <f>IFERROR(VLOOKUP(C281,Resources!B:D,3,FALSE)," ")</f>
        <v>S</v>
      </c>
      <c r="F281" s="8">
        <v>1</v>
      </c>
      <c r="G281" s="8">
        <v>1</v>
      </c>
      <c r="H281" s="8">
        <f>H280</f>
        <v>5</v>
      </c>
      <c r="I281" s="109">
        <f>IFERROR(VLOOKUP(C281,Resources!B:G,6,FALSE)," ")</f>
        <v>143</v>
      </c>
      <c r="J281" s="109">
        <f t="shared" ref="J281" si="353">(H281/(G281/F281))*I281</f>
        <v>715</v>
      </c>
      <c r="K281" s="8"/>
      <c r="L281" s="8"/>
      <c r="M281" s="109">
        <f t="shared" si="345"/>
        <v>0</v>
      </c>
      <c r="N281" s="109">
        <f t="shared" si="346"/>
        <v>0</v>
      </c>
      <c r="O281" s="109">
        <f t="shared" si="347"/>
        <v>0</v>
      </c>
      <c r="P281" s="109">
        <f t="shared" si="348"/>
        <v>715</v>
      </c>
      <c r="Q281" s="109">
        <f t="shared" ref="Q281" si="354">SUM(M281:P281)</f>
        <v>715</v>
      </c>
      <c r="R281" s="121">
        <v>87</v>
      </c>
      <c r="T281" s="188"/>
    </row>
    <row r="282" spans="1:20" x14ac:dyDescent="0.25">
      <c r="A282" s="101"/>
      <c r="B282" s="4"/>
      <c r="C282" s="6"/>
      <c r="D282" s="4"/>
      <c r="E282" s="101" t="str">
        <f>IFERROR(VLOOKUP(C282,Resources!B:D,3,FALSE)," ")</f>
        <v xml:space="preserve"> </v>
      </c>
      <c r="F282" s="9"/>
      <c r="G282" s="9"/>
      <c r="H282" s="9"/>
      <c r="I282" s="38" t="str">
        <f>IFERROR(VLOOKUP(C282,Resources!B:G,6,FALSE)," ")</f>
        <v xml:space="preserve"> </v>
      </c>
      <c r="J282" s="38"/>
      <c r="K282" s="9"/>
      <c r="L282" s="9"/>
      <c r="M282" s="38"/>
      <c r="N282" s="38"/>
      <c r="O282" s="38"/>
      <c r="P282" s="38"/>
      <c r="Q282" s="38"/>
      <c r="R282" s="122"/>
      <c r="T282" s="188"/>
    </row>
    <row r="283" spans="1:20" ht="30" x14ac:dyDescent="0.25">
      <c r="A283" s="114"/>
      <c r="B283" s="1" t="s">
        <v>214</v>
      </c>
      <c r="C283" s="1" t="s">
        <v>102</v>
      </c>
      <c r="D283" s="2"/>
      <c r="E283" s="99" t="str">
        <f>IFERROR(VLOOKUP(C283,Resources!B:D,3,FALSE)," ")</f>
        <v xml:space="preserve"> </v>
      </c>
      <c r="F283" s="7"/>
      <c r="G283" s="7"/>
      <c r="H283" s="7"/>
      <c r="I283" s="108" t="str">
        <f>IFERROR(VLOOKUP(C283,Resources!B:G,6,FALSE)," ")</f>
        <v xml:space="preserve"> </v>
      </c>
      <c r="J283" s="108"/>
      <c r="K283" s="7"/>
      <c r="L283" s="7"/>
      <c r="M283" s="108"/>
      <c r="N283" s="108"/>
      <c r="O283" s="108"/>
      <c r="P283" s="108"/>
      <c r="Q283" s="108"/>
      <c r="R283" s="120"/>
      <c r="T283" s="188"/>
    </row>
    <row r="284" spans="1:20" ht="30" x14ac:dyDescent="0.25">
      <c r="A284" s="114"/>
      <c r="B284" s="1" t="s">
        <v>215</v>
      </c>
      <c r="C284" s="1" t="s">
        <v>111</v>
      </c>
      <c r="D284" s="2"/>
      <c r="E284" s="99" t="str">
        <f>IFERROR(VLOOKUP(C284,Resources!B:D,3,FALSE)," ")</f>
        <v xml:space="preserve"> </v>
      </c>
      <c r="F284" s="7"/>
      <c r="G284" s="7"/>
      <c r="H284" s="7"/>
      <c r="I284" s="108" t="str">
        <f>IFERROR(VLOOKUP(C284,Resources!B:G,6,FALSE)," ")</f>
        <v xml:space="preserve"> </v>
      </c>
      <c r="J284" s="108"/>
      <c r="K284" s="7"/>
      <c r="L284" s="7"/>
      <c r="M284" s="108"/>
      <c r="N284" s="108"/>
      <c r="O284" s="108"/>
      <c r="P284" s="108"/>
      <c r="Q284" s="108"/>
      <c r="R284" s="120"/>
      <c r="T284" s="188"/>
    </row>
    <row r="285" spans="1:20" ht="30" x14ac:dyDescent="0.25">
      <c r="A285" s="114">
        <v>39</v>
      </c>
      <c r="B285" s="1" t="s">
        <v>216</v>
      </c>
      <c r="C285" s="1" t="s">
        <v>217</v>
      </c>
      <c r="D285" s="2" t="s">
        <v>62</v>
      </c>
      <c r="E285" s="99" t="str">
        <f>IFERROR(VLOOKUP(C285,Resources!B:D,3,FALSE)," ")</f>
        <v xml:space="preserve"> </v>
      </c>
      <c r="F285" s="7"/>
      <c r="G285" s="7"/>
      <c r="H285" s="103">
        <f>VLOOKUP($A285,'Model Inputs'!$A:$D,4,FALSE)</f>
        <v>236</v>
      </c>
      <c r="I285" s="108" t="str">
        <f>IFERROR(VLOOKUP(C285,Resources!B:G,6,FALSE)," ")</f>
        <v xml:space="preserve"> </v>
      </c>
      <c r="J285" s="108">
        <f>SUBTOTAL(9,J287:J293)</f>
        <v>13363.04142846717</v>
      </c>
      <c r="K285" s="7"/>
      <c r="L285" s="7">
        <f>ROUNDUP(MAX(L287+2,MAX(L289:L293))/Workhrs,0)</f>
        <v>2</v>
      </c>
      <c r="M285" s="108">
        <f t="shared" ref="M285:Q285" si="355">SUBTOTAL(9,M287:M293)</f>
        <v>1605.9045904590459</v>
      </c>
      <c r="N285" s="108">
        <f t="shared" si="355"/>
        <v>0</v>
      </c>
      <c r="O285" s="108">
        <f t="shared" si="355"/>
        <v>11757.136838008124</v>
      </c>
      <c r="P285" s="108">
        <f t="shared" si="355"/>
        <v>0</v>
      </c>
      <c r="Q285" s="108">
        <f t="shared" si="355"/>
        <v>13363.04142846717</v>
      </c>
      <c r="R285" s="120"/>
      <c r="T285" s="188"/>
    </row>
    <row r="286" spans="1:20" x14ac:dyDescent="0.25">
      <c r="A286" s="100">
        <v>39.1</v>
      </c>
      <c r="B286" s="3">
        <v>1</v>
      </c>
      <c r="C286" s="5" t="s">
        <v>2365</v>
      </c>
      <c r="D286" s="3"/>
      <c r="E286" s="100" t="str">
        <f>IFERROR(VLOOKUP(C286,Resources!B:D,3,FALSE)," ")</f>
        <v xml:space="preserve"> </v>
      </c>
      <c r="F286" s="103">
        <f>VLOOKUP($A286,'Model Inputs'!$A:$D,4,FALSE)</f>
        <v>2.4</v>
      </c>
      <c r="G286" s="8"/>
      <c r="H286" s="8">
        <f>H285*F286</f>
        <v>566.4</v>
      </c>
      <c r="I286" s="109" t="str">
        <f>IFERROR(VLOOKUP(C286,Resources!B:G,6,FALSE)," ")</f>
        <v xml:space="preserve"> </v>
      </c>
      <c r="J286" s="109"/>
      <c r="K286" s="8"/>
      <c r="L286" s="8"/>
      <c r="M286" s="109"/>
      <c r="N286" s="109"/>
      <c r="O286" s="109"/>
      <c r="P286" s="109"/>
      <c r="Q286" s="109"/>
      <c r="R286" s="121"/>
      <c r="T286" s="188"/>
    </row>
    <row r="287" spans="1:20" x14ac:dyDescent="0.25">
      <c r="A287" s="100">
        <v>39.200000000000003</v>
      </c>
      <c r="B287" s="3">
        <v>2</v>
      </c>
      <c r="C287" s="5" t="s">
        <v>44</v>
      </c>
      <c r="D287" s="3" t="s">
        <v>48</v>
      </c>
      <c r="E287" s="100" t="str">
        <f>IFERROR(VLOOKUP(C287,Resources!B:D,3,FALSE)," ")</f>
        <v>P</v>
      </c>
      <c r="F287" s="103">
        <f>VLOOKUP($A287,'Model Inputs'!$A:$D,4,FALSE)</f>
        <v>3</v>
      </c>
      <c r="G287" s="8">
        <v>37</v>
      </c>
      <c r="H287" s="8">
        <f>H286</f>
        <v>566.4</v>
      </c>
      <c r="I287" s="109">
        <f>IFERROR(VLOOKUP(C287,Resources!B:G,6,FALSE)," ")</f>
        <v>145</v>
      </c>
      <c r="J287" s="109">
        <f t="shared" ref="J287" si="356">(H287/(G287/F287))*I287</f>
        <v>6659.0270270270257</v>
      </c>
      <c r="K287" s="8">
        <f t="shared" ref="K287" si="357">L287*F287</f>
        <v>45.924324324324324</v>
      </c>
      <c r="L287" s="8">
        <f t="shared" ref="L287" si="358">IF(E287="M"," ",H287/G287)</f>
        <v>15.308108108108108</v>
      </c>
      <c r="M287" s="109">
        <f t="shared" ref="M287" si="359">IF($E287="L",$J287,0)</f>
        <v>0</v>
      </c>
      <c r="N287" s="109">
        <f t="shared" ref="N287" si="360">IF($E287="M",$J287,0)</f>
        <v>0</v>
      </c>
      <c r="O287" s="109">
        <f t="shared" ref="O287" si="361">IF($E287="P",$J287,0)</f>
        <v>6659.0270270270257</v>
      </c>
      <c r="P287" s="109">
        <f t="shared" ref="P287" si="362">IF($E287="S",$J287,0)</f>
        <v>0</v>
      </c>
      <c r="Q287" s="109">
        <f t="shared" ref="Q287" si="363">SUM(M287:P287)</f>
        <v>6659.0270270270257</v>
      </c>
      <c r="R287" s="121">
        <v>62</v>
      </c>
      <c r="T287" s="188"/>
    </row>
    <row r="288" spans="1:20" x14ac:dyDescent="0.25">
      <c r="A288" s="101"/>
      <c r="B288" s="4">
        <v>3</v>
      </c>
      <c r="C288" s="6" t="s">
        <v>114</v>
      </c>
      <c r="D288" s="4"/>
      <c r="E288" s="101" t="str">
        <f>IFERROR(VLOOKUP(C288,Resources!B:D,3,FALSE)," ")</f>
        <v xml:space="preserve"> </v>
      </c>
      <c r="F288" s="9"/>
      <c r="G288" s="9"/>
      <c r="H288" s="9"/>
      <c r="I288" s="38" t="str">
        <f>IFERROR(VLOOKUP(C288,Resources!B:G,6,FALSE)," ")</f>
        <v xml:space="preserve"> </v>
      </c>
      <c r="J288" s="38"/>
      <c r="K288" s="9"/>
      <c r="L288" s="9"/>
      <c r="M288" s="38"/>
      <c r="N288" s="38"/>
      <c r="O288" s="38"/>
      <c r="P288" s="38"/>
      <c r="Q288" s="38"/>
      <c r="R288" s="122"/>
      <c r="T288" s="188"/>
    </row>
    <row r="289" spans="1:20" x14ac:dyDescent="0.25">
      <c r="A289" s="100">
        <v>39.299999999999997</v>
      </c>
      <c r="B289" s="3">
        <v>4</v>
      </c>
      <c r="C289" s="5" t="s">
        <v>39</v>
      </c>
      <c r="D289" s="3" t="s">
        <v>48</v>
      </c>
      <c r="E289" s="100" t="str">
        <f>IFERROR(VLOOKUP(C289,Resources!B:D,3,FALSE)," ")</f>
        <v>P</v>
      </c>
      <c r="F289" s="8">
        <v>1</v>
      </c>
      <c r="G289" s="103">
        <f>VLOOKUP($A289,'Model Inputs'!$A:$D,4,FALSE)</f>
        <v>44.44</v>
      </c>
      <c r="H289" s="8">
        <f>H286</f>
        <v>566.4</v>
      </c>
      <c r="I289" s="109">
        <f>IFERROR(VLOOKUP(C289,Resources!B:G,6,FALSE)," ")</f>
        <v>145</v>
      </c>
      <c r="J289" s="109">
        <f t="shared" ref="J289:J293" si="364">(H289/(G289/F289))*I289</f>
        <v>1848.064806480648</v>
      </c>
      <c r="K289" s="8">
        <f t="shared" ref="K289:K293" si="365">L289*F289</f>
        <v>12.745274527452745</v>
      </c>
      <c r="L289" s="8">
        <f t="shared" ref="L289:L293" si="366">IF(E289="M"," ",H289/G289)</f>
        <v>12.745274527452745</v>
      </c>
      <c r="M289" s="109">
        <f t="shared" ref="M289:M293" si="367">IF($E289="L",$J289,0)</f>
        <v>0</v>
      </c>
      <c r="N289" s="109">
        <f t="shared" ref="N289:N293" si="368">IF($E289="M",$J289,0)</f>
        <v>0</v>
      </c>
      <c r="O289" s="109">
        <f t="shared" ref="O289:O293" si="369">IF($E289="P",$J289,0)</f>
        <v>1848.064806480648</v>
      </c>
      <c r="P289" s="109">
        <f t="shared" ref="P289:P293" si="370">IF($E289="S",$J289,0)</f>
        <v>0</v>
      </c>
      <c r="Q289" s="109">
        <f t="shared" ref="Q289:Q293" si="371">SUM(M289:P289)</f>
        <v>1848.064806480648</v>
      </c>
      <c r="R289" s="121">
        <v>62</v>
      </c>
      <c r="T289" s="188"/>
    </row>
    <row r="290" spans="1:20" x14ac:dyDescent="0.25">
      <c r="A290" s="100"/>
      <c r="B290" s="3">
        <v>5</v>
      </c>
      <c r="C290" s="5" t="s">
        <v>64</v>
      </c>
      <c r="D290" s="3" t="s">
        <v>48</v>
      </c>
      <c r="E290" s="100" t="str">
        <f>IFERROR(VLOOKUP(C290,Resources!B:D,3,FALSE)," ")</f>
        <v>P</v>
      </c>
      <c r="F290" s="8">
        <v>1</v>
      </c>
      <c r="G290" s="8">
        <f>G289</f>
        <v>44.44</v>
      </c>
      <c r="H290" s="8">
        <f>H286</f>
        <v>566.4</v>
      </c>
      <c r="I290" s="109">
        <f>IFERROR(VLOOKUP(C290,Resources!B:G,6,FALSE)," ")</f>
        <v>100</v>
      </c>
      <c r="J290" s="109">
        <f t="shared" si="364"/>
        <v>1274.5274527452746</v>
      </c>
      <c r="K290" s="8">
        <f t="shared" si="365"/>
        <v>12.745274527452745</v>
      </c>
      <c r="L290" s="8">
        <f t="shared" si="366"/>
        <v>12.745274527452745</v>
      </c>
      <c r="M290" s="109">
        <f t="shared" si="367"/>
        <v>0</v>
      </c>
      <c r="N290" s="109">
        <f t="shared" si="368"/>
        <v>0</v>
      </c>
      <c r="O290" s="109">
        <f t="shared" si="369"/>
        <v>1274.5274527452746</v>
      </c>
      <c r="P290" s="109">
        <f t="shared" si="370"/>
        <v>0</v>
      </c>
      <c r="Q290" s="109">
        <f t="shared" si="371"/>
        <v>1274.5274527452746</v>
      </c>
      <c r="R290" s="121">
        <v>62</v>
      </c>
      <c r="T290" s="188"/>
    </row>
    <row r="291" spans="1:20" x14ac:dyDescent="0.25">
      <c r="A291" s="100"/>
      <c r="B291" s="3">
        <v>6</v>
      </c>
      <c r="C291" s="5" t="s">
        <v>69</v>
      </c>
      <c r="D291" s="3" t="s">
        <v>48</v>
      </c>
      <c r="E291" s="100" t="str">
        <f>IFERROR(VLOOKUP(C291,Resources!B:D,3,FALSE)," ")</f>
        <v>P</v>
      </c>
      <c r="F291" s="8">
        <v>1</v>
      </c>
      <c r="G291" s="8">
        <f>G289</f>
        <v>44.44</v>
      </c>
      <c r="H291" s="8">
        <f>H286</f>
        <v>566.4</v>
      </c>
      <c r="I291" s="109">
        <f>IFERROR(VLOOKUP(C291,Resources!B:G,6,FALSE)," ")</f>
        <v>55</v>
      </c>
      <c r="J291" s="109">
        <f t="shared" si="364"/>
        <v>700.99009900990097</v>
      </c>
      <c r="K291" s="8">
        <f t="shared" si="365"/>
        <v>12.745274527452745</v>
      </c>
      <c r="L291" s="8">
        <f t="shared" si="366"/>
        <v>12.745274527452745</v>
      </c>
      <c r="M291" s="109">
        <f t="shared" si="367"/>
        <v>0</v>
      </c>
      <c r="N291" s="109">
        <f t="shared" si="368"/>
        <v>0</v>
      </c>
      <c r="O291" s="109">
        <f t="shared" si="369"/>
        <v>700.99009900990097</v>
      </c>
      <c r="P291" s="109">
        <f t="shared" si="370"/>
        <v>0</v>
      </c>
      <c r="Q291" s="109">
        <f t="shared" si="371"/>
        <v>700.99009900990097</v>
      </c>
      <c r="R291" s="121">
        <v>62</v>
      </c>
      <c r="T291" s="188"/>
    </row>
    <row r="292" spans="1:20" x14ac:dyDescent="0.25">
      <c r="A292" s="100"/>
      <c r="B292" s="3">
        <v>7</v>
      </c>
      <c r="C292" s="5" t="s">
        <v>8</v>
      </c>
      <c r="D292" s="3" t="s">
        <v>48</v>
      </c>
      <c r="E292" s="100" t="str">
        <f>IFERROR(VLOOKUP(C292,Resources!B:D,3,FALSE)," ")</f>
        <v>L</v>
      </c>
      <c r="F292" s="8">
        <v>3</v>
      </c>
      <c r="G292" s="8">
        <f>G289</f>
        <v>44.44</v>
      </c>
      <c r="H292" s="8">
        <f>H286</f>
        <v>566.4</v>
      </c>
      <c r="I292" s="109">
        <f>IFERROR(VLOOKUP(C292,Resources!B:G,6,FALSE)," ")</f>
        <v>42</v>
      </c>
      <c r="J292" s="109">
        <f t="shared" si="364"/>
        <v>1605.9045904590459</v>
      </c>
      <c r="K292" s="8">
        <f t="shared" si="365"/>
        <v>38.235823582358236</v>
      </c>
      <c r="L292" s="8">
        <f t="shared" si="366"/>
        <v>12.745274527452745</v>
      </c>
      <c r="M292" s="109">
        <f t="shared" si="367"/>
        <v>1605.9045904590459</v>
      </c>
      <c r="N292" s="109">
        <f t="shared" si="368"/>
        <v>0</v>
      </c>
      <c r="O292" s="109">
        <f t="shared" si="369"/>
        <v>0</v>
      </c>
      <c r="P292" s="109">
        <f t="shared" si="370"/>
        <v>0</v>
      </c>
      <c r="Q292" s="109">
        <f t="shared" si="371"/>
        <v>1605.9045904590459</v>
      </c>
      <c r="R292" s="121">
        <v>62</v>
      </c>
      <c r="T292" s="188"/>
    </row>
    <row r="293" spans="1:20" x14ac:dyDescent="0.25">
      <c r="A293" s="100"/>
      <c r="B293" s="3">
        <v>8</v>
      </c>
      <c r="C293" s="5" t="s">
        <v>115</v>
      </c>
      <c r="D293" s="3" t="s">
        <v>48</v>
      </c>
      <c r="E293" s="100" t="str">
        <f>IFERROR(VLOOKUP(C293,Resources!B:D,3,FALSE)," ")</f>
        <v>P</v>
      </c>
      <c r="F293" s="8">
        <v>1</v>
      </c>
      <c r="G293" s="8">
        <f>G289</f>
        <v>44.44</v>
      </c>
      <c r="H293" s="8">
        <f>H286</f>
        <v>566.4</v>
      </c>
      <c r="I293" s="109">
        <f>IFERROR(VLOOKUP(C293,Resources!B:G,6,FALSE)," ")</f>
        <v>100</v>
      </c>
      <c r="J293" s="109">
        <f t="shared" si="364"/>
        <v>1274.5274527452746</v>
      </c>
      <c r="K293" s="8">
        <f t="shared" si="365"/>
        <v>12.745274527452745</v>
      </c>
      <c r="L293" s="8">
        <f t="shared" si="366"/>
        <v>12.745274527452745</v>
      </c>
      <c r="M293" s="109">
        <f t="shared" si="367"/>
        <v>0</v>
      </c>
      <c r="N293" s="109">
        <f t="shared" si="368"/>
        <v>0</v>
      </c>
      <c r="O293" s="109">
        <f t="shared" si="369"/>
        <v>1274.5274527452746</v>
      </c>
      <c r="P293" s="109">
        <f t="shared" si="370"/>
        <v>0</v>
      </c>
      <c r="Q293" s="109">
        <f t="shared" si="371"/>
        <v>1274.5274527452746</v>
      </c>
      <c r="R293" s="121">
        <v>62</v>
      </c>
      <c r="T293" s="188"/>
    </row>
    <row r="294" spans="1:20" x14ac:dyDescent="0.25">
      <c r="A294" s="101"/>
      <c r="B294" s="4"/>
      <c r="C294" s="6"/>
      <c r="D294" s="4"/>
      <c r="E294" s="101" t="str">
        <f>IFERROR(VLOOKUP(C294,Resources!B:D,3,FALSE)," ")</f>
        <v xml:space="preserve"> </v>
      </c>
      <c r="F294" s="9"/>
      <c r="G294" s="9"/>
      <c r="H294" s="9"/>
      <c r="I294" s="38" t="str">
        <f>IFERROR(VLOOKUP(C294,Resources!B:G,6,FALSE)," ")</f>
        <v xml:space="preserve"> </v>
      </c>
      <c r="J294" s="38"/>
      <c r="K294" s="9"/>
      <c r="L294" s="9"/>
      <c r="M294" s="38"/>
      <c r="N294" s="38"/>
      <c r="O294" s="38"/>
      <c r="P294" s="38"/>
      <c r="Q294" s="38"/>
      <c r="R294" s="122"/>
      <c r="T294" s="188"/>
    </row>
    <row r="295" spans="1:20" ht="30" x14ac:dyDescent="0.25">
      <c r="A295" s="114">
        <v>40</v>
      </c>
      <c r="B295" s="1" t="s">
        <v>218</v>
      </c>
      <c r="C295" s="1" t="s">
        <v>219</v>
      </c>
      <c r="D295" s="2" t="s">
        <v>62</v>
      </c>
      <c r="E295" s="99" t="str">
        <f>IFERROR(VLOOKUP(C295,Resources!B:D,3,FALSE)," ")</f>
        <v xml:space="preserve"> </v>
      </c>
      <c r="F295" s="7"/>
      <c r="G295" s="7"/>
      <c r="H295" s="103">
        <f>VLOOKUP($A295,'Model Inputs'!$A:$D,4,FALSE)</f>
        <v>488</v>
      </c>
      <c r="I295" s="108" t="str">
        <f>IFERROR(VLOOKUP(C295,Resources!B:G,6,FALSE)," ")</f>
        <v xml:space="preserve"> </v>
      </c>
      <c r="J295" s="108">
        <f>SUBTOTAL(9,J297:J308)</f>
        <v>33426.432461099124</v>
      </c>
      <c r="K295" s="7"/>
      <c r="L295" s="7">
        <f>ROUNDUP((MAX((L297+2),MAX(L299:L303))+MAX(L305:L308))/Workhrs,0)</f>
        <v>7</v>
      </c>
      <c r="M295" s="108">
        <f t="shared" ref="M295:Q295" si="372">SUBTOTAL(9,M297:M308)</f>
        <v>4838.5775425775428</v>
      </c>
      <c r="N295" s="108">
        <f t="shared" si="372"/>
        <v>0</v>
      </c>
      <c r="O295" s="108">
        <f t="shared" si="372"/>
        <v>28587.854918521585</v>
      </c>
      <c r="P295" s="108">
        <f t="shared" si="372"/>
        <v>0</v>
      </c>
      <c r="Q295" s="108">
        <f t="shared" si="372"/>
        <v>33426.432461099124</v>
      </c>
      <c r="R295" s="120"/>
      <c r="T295" s="188"/>
    </row>
    <row r="296" spans="1:20" x14ac:dyDescent="0.25">
      <c r="A296" s="100">
        <v>40.1</v>
      </c>
      <c r="B296" s="3">
        <v>1</v>
      </c>
      <c r="C296" s="5" t="s">
        <v>2361</v>
      </c>
      <c r="D296" s="3"/>
      <c r="E296" s="100" t="str">
        <f>IFERROR(VLOOKUP(C296,Resources!B:D,3,FALSE)," ")</f>
        <v xml:space="preserve"> </v>
      </c>
      <c r="F296" s="103">
        <f>VLOOKUP($A296,'Model Inputs'!$A:$D,4,FALSE)</f>
        <v>2.4</v>
      </c>
      <c r="G296" s="8"/>
      <c r="H296" s="8">
        <f>H295*F296</f>
        <v>1171.2</v>
      </c>
      <c r="I296" s="109" t="str">
        <f>IFERROR(VLOOKUP(C296,Resources!B:G,6,FALSE)," ")</f>
        <v xml:space="preserve"> </v>
      </c>
      <c r="J296" s="109"/>
      <c r="K296" s="8"/>
      <c r="L296" s="8"/>
      <c r="M296" s="109"/>
      <c r="N296" s="109"/>
      <c r="O296" s="109"/>
      <c r="P296" s="109"/>
      <c r="Q296" s="109"/>
      <c r="R296" s="121"/>
      <c r="T296" s="188"/>
    </row>
    <row r="297" spans="1:20" x14ac:dyDescent="0.25">
      <c r="A297" s="100"/>
      <c r="B297" s="3">
        <v>2</v>
      </c>
      <c r="C297" s="5" t="s">
        <v>44</v>
      </c>
      <c r="D297" s="3" t="s">
        <v>48</v>
      </c>
      <c r="E297" s="100" t="str">
        <f>IFERROR(VLOOKUP(C297,Resources!B:D,3,FALSE)," ")</f>
        <v>P</v>
      </c>
      <c r="F297" s="8">
        <v>3</v>
      </c>
      <c r="G297" s="8">
        <v>37</v>
      </c>
      <c r="H297" s="8">
        <f>H296</f>
        <v>1171.2</v>
      </c>
      <c r="I297" s="109">
        <f>IFERROR(VLOOKUP(C297,Resources!B:G,6,FALSE)," ")</f>
        <v>145</v>
      </c>
      <c r="J297" s="109">
        <f t="shared" ref="J297" si="373">(H297/(G297/F297))*I297</f>
        <v>13769.513513513513</v>
      </c>
      <c r="K297" s="8">
        <f t="shared" ref="K297" si="374">L297*F297</f>
        <v>94.962162162162159</v>
      </c>
      <c r="L297" s="8">
        <f t="shared" ref="L297" si="375">IF(E297="M"," ",H297/G297)</f>
        <v>31.654054054054054</v>
      </c>
      <c r="M297" s="109">
        <f t="shared" ref="M297" si="376">IF($E297="L",$J297,0)</f>
        <v>0</v>
      </c>
      <c r="N297" s="109">
        <f t="shared" ref="N297" si="377">IF($E297="M",$J297,0)</f>
        <v>0</v>
      </c>
      <c r="O297" s="109">
        <f t="shared" ref="O297" si="378">IF($E297="P",$J297,0)</f>
        <v>13769.513513513513</v>
      </c>
      <c r="P297" s="109">
        <f t="shared" ref="P297" si="379">IF($E297="S",$J297,0)</f>
        <v>0</v>
      </c>
      <c r="Q297" s="109">
        <f t="shared" ref="Q297" si="380">SUM(M297:P297)</f>
        <v>13769.513513513513</v>
      </c>
      <c r="R297" s="121">
        <v>62</v>
      </c>
      <c r="T297" s="188"/>
    </row>
    <row r="298" spans="1:20" x14ac:dyDescent="0.25">
      <c r="A298" s="101"/>
      <c r="B298" s="4">
        <v>3</v>
      </c>
      <c r="C298" s="6" t="s">
        <v>114</v>
      </c>
      <c r="D298" s="4"/>
      <c r="E298" s="101" t="str">
        <f>IFERROR(VLOOKUP(C298,Resources!B:D,3,FALSE)," ")</f>
        <v xml:space="preserve"> </v>
      </c>
      <c r="F298" s="9"/>
      <c r="G298" s="9"/>
      <c r="H298" s="9"/>
      <c r="I298" s="38" t="str">
        <f>IFERROR(VLOOKUP(C298,Resources!B:G,6,FALSE)," ")</f>
        <v xml:space="preserve"> </v>
      </c>
      <c r="J298" s="38"/>
      <c r="K298" s="9"/>
      <c r="L298" s="9"/>
      <c r="M298" s="38"/>
      <c r="N298" s="38"/>
      <c r="O298" s="38"/>
      <c r="P298" s="38"/>
      <c r="Q298" s="38"/>
      <c r="R298" s="122"/>
      <c r="T298" s="188"/>
    </row>
    <row r="299" spans="1:20" x14ac:dyDescent="0.25">
      <c r="A299" s="100"/>
      <c r="B299" s="3">
        <v>4</v>
      </c>
      <c r="C299" s="5" t="s">
        <v>39</v>
      </c>
      <c r="D299" s="3" t="s">
        <v>48</v>
      </c>
      <c r="E299" s="100" t="str">
        <f>IFERROR(VLOOKUP(C299,Resources!B:D,3,FALSE)," ")</f>
        <v>P</v>
      </c>
      <c r="F299" s="8">
        <v>1</v>
      </c>
      <c r="G299" s="8">
        <v>44.444400000000002</v>
      </c>
      <c r="H299" s="8">
        <f>H296</f>
        <v>1171.2</v>
      </c>
      <c r="I299" s="109">
        <f>IFERROR(VLOOKUP(C299,Resources!B:G,6,FALSE)," ")</f>
        <v>145</v>
      </c>
      <c r="J299" s="109">
        <f t="shared" ref="J299:J303" si="381">(H299/(G299/F299))*I299</f>
        <v>3821.043821043821</v>
      </c>
      <c r="K299" s="8">
        <f t="shared" ref="K299:K303" si="382">L299*F299</f>
        <v>26.352026352026353</v>
      </c>
      <c r="L299" s="8">
        <f t="shared" ref="L299:L303" si="383">IF(E299="M"," ",H299/G299)</f>
        <v>26.352026352026353</v>
      </c>
      <c r="M299" s="109">
        <f t="shared" ref="M299:M303" si="384">IF($E299="L",$J299,0)</f>
        <v>0</v>
      </c>
      <c r="N299" s="109">
        <f t="shared" ref="N299:N303" si="385">IF($E299="M",$J299,0)</f>
        <v>0</v>
      </c>
      <c r="O299" s="109">
        <f t="shared" ref="O299:O303" si="386">IF($E299="P",$J299,0)</f>
        <v>3821.043821043821</v>
      </c>
      <c r="P299" s="109">
        <f t="shared" ref="P299:P303" si="387">IF($E299="S",$J299,0)</f>
        <v>0</v>
      </c>
      <c r="Q299" s="109">
        <f t="shared" ref="Q299:Q303" si="388">SUM(M299:P299)</f>
        <v>3821.043821043821</v>
      </c>
      <c r="R299" s="121">
        <v>62</v>
      </c>
      <c r="T299" s="188"/>
    </row>
    <row r="300" spans="1:20" x14ac:dyDescent="0.25">
      <c r="A300" s="100"/>
      <c r="B300" s="3">
        <v>5</v>
      </c>
      <c r="C300" s="5" t="s">
        <v>64</v>
      </c>
      <c r="D300" s="3" t="s">
        <v>48</v>
      </c>
      <c r="E300" s="100" t="str">
        <f>IFERROR(VLOOKUP(C300,Resources!B:D,3,FALSE)," ")</f>
        <v>P</v>
      </c>
      <c r="F300" s="8">
        <v>1</v>
      </c>
      <c r="G300" s="8">
        <v>44.444400000000002</v>
      </c>
      <c r="H300" s="8">
        <f>H296</f>
        <v>1171.2</v>
      </c>
      <c r="I300" s="109">
        <f>IFERROR(VLOOKUP(C300,Resources!B:G,6,FALSE)," ")</f>
        <v>100</v>
      </c>
      <c r="J300" s="109">
        <f t="shared" si="381"/>
        <v>2635.2026352026355</v>
      </c>
      <c r="K300" s="8">
        <f t="shared" si="382"/>
        <v>26.352026352026353</v>
      </c>
      <c r="L300" s="8">
        <f t="shared" si="383"/>
        <v>26.352026352026353</v>
      </c>
      <c r="M300" s="109">
        <f t="shared" si="384"/>
        <v>0</v>
      </c>
      <c r="N300" s="109">
        <f t="shared" si="385"/>
        <v>0</v>
      </c>
      <c r="O300" s="109">
        <f t="shared" si="386"/>
        <v>2635.2026352026355</v>
      </c>
      <c r="P300" s="109">
        <f t="shared" si="387"/>
        <v>0</v>
      </c>
      <c r="Q300" s="109">
        <f t="shared" si="388"/>
        <v>2635.2026352026355</v>
      </c>
      <c r="R300" s="121">
        <v>62</v>
      </c>
      <c r="T300" s="188"/>
    </row>
    <row r="301" spans="1:20" x14ac:dyDescent="0.25">
      <c r="A301" s="100"/>
      <c r="B301" s="3">
        <v>6</v>
      </c>
      <c r="C301" s="5" t="s">
        <v>69</v>
      </c>
      <c r="D301" s="3" t="s">
        <v>48</v>
      </c>
      <c r="E301" s="100" t="str">
        <f>IFERROR(VLOOKUP(C301,Resources!B:D,3,FALSE)," ")</f>
        <v>P</v>
      </c>
      <c r="F301" s="8">
        <v>1</v>
      </c>
      <c r="G301" s="8">
        <v>44.444400000000002</v>
      </c>
      <c r="H301" s="8">
        <f>H296</f>
        <v>1171.2</v>
      </c>
      <c r="I301" s="109">
        <f>IFERROR(VLOOKUP(C301,Resources!B:G,6,FALSE)," ")</f>
        <v>55</v>
      </c>
      <c r="J301" s="109">
        <f t="shared" si="381"/>
        <v>1449.3614493614493</v>
      </c>
      <c r="K301" s="8">
        <f t="shared" si="382"/>
        <v>26.352026352026353</v>
      </c>
      <c r="L301" s="8">
        <f t="shared" si="383"/>
        <v>26.352026352026353</v>
      </c>
      <c r="M301" s="109">
        <f t="shared" si="384"/>
        <v>0</v>
      </c>
      <c r="N301" s="109">
        <f t="shared" si="385"/>
        <v>0</v>
      </c>
      <c r="O301" s="109">
        <f t="shared" si="386"/>
        <v>1449.3614493614493</v>
      </c>
      <c r="P301" s="109">
        <f t="shared" si="387"/>
        <v>0</v>
      </c>
      <c r="Q301" s="109">
        <f t="shared" si="388"/>
        <v>1449.3614493614493</v>
      </c>
      <c r="R301" s="121">
        <v>62</v>
      </c>
      <c r="T301" s="188"/>
    </row>
    <row r="302" spans="1:20" x14ac:dyDescent="0.25">
      <c r="A302" s="100"/>
      <c r="B302" s="3">
        <v>7</v>
      </c>
      <c r="C302" s="5" t="s">
        <v>8</v>
      </c>
      <c r="D302" s="3" t="s">
        <v>48</v>
      </c>
      <c r="E302" s="100" t="str">
        <f>IFERROR(VLOOKUP(C302,Resources!B:D,3,FALSE)," ")</f>
        <v>L</v>
      </c>
      <c r="F302" s="8">
        <v>3</v>
      </c>
      <c r="G302" s="8">
        <v>44.444400000000002</v>
      </c>
      <c r="H302" s="8">
        <f>H296</f>
        <v>1171.2</v>
      </c>
      <c r="I302" s="109">
        <f>IFERROR(VLOOKUP(C302,Resources!B:G,6,FALSE)," ")</f>
        <v>42</v>
      </c>
      <c r="J302" s="109">
        <f t="shared" si="381"/>
        <v>3320.3553203553201</v>
      </c>
      <c r="K302" s="8">
        <f t="shared" si="382"/>
        <v>79.056079056079056</v>
      </c>
      <c r="L302" s="8">
        <f t="shared" si="383"/>
        <v>26.352026352026353</v>
      </c>
      <c r="M302" s="109">
        <f t="shared" si="384"/>
        <v>3320.3553203553201</v>
      </c>
      <c r="N302" s="109">
        <f t="shared" si="385"/>
        <v>0</v>
      </c>
      <c r="O302" s="109">
        <f t="shared" si="386"/>
        <v>0</v>
      </c>
      <c r="P302" s="109">
        <f t="shared" si="387"/>
        <v>0</v>
      </c>
      <c r="Q302" s="109">
        <f t="shared" si="388"/>
        <v>3320.3553203553201</v>
      </c>
      <c r="R302" s="121">
        <v>62</v>
      </c>
      <c r="T302" s="188"/>
    </row>
    <row r="303" spans="1:20" x14ac:dyDescent="0.25">
      <c r="A303" s="100"/>
      <c r="B303" s="3">
        <v>8</v>
      </c>
      <c r="C303" s="5" t="s">
        <v>115</v>
      </c>
      <c r="D303" s="3" t="s">
        <v>48</v>
      </c>
      <c r="E303" s="100" t="str">
        <f>IFERROR(VLOOKUP(C303,Resources!B:D,3,FALSE)," ")</f>
        <v>P</v>
      </c>
      <c r="F303" s="8">
        <v>1</v>
      </c>
      <c r="G303" s="8">
        <v>44.444400000000002</v>
      </c>
      <c r="H303" s="8">
        <f>H296</f>
        <v>1171.2</v>
      </c>
      <c r="I303" s="109">
        <f>IFERROR(VLOOKUP(C303,Resources!B:G,6,FALSE)," ")</f>
        <v>100</v>
      </c>
      <c r="J303" s="109">
        <f t="shared" si="381"/>
        <v>2635.2026352026355</v>
      </c>
      <c r="K303" s="8">
        <f t="shared" si="382"/>
        <v>26.352026352026353</v>
      </c>
      <c r="L303" s="8">
        <f t="shared" si="383"/>
        <v>26.352026352026353</v>
      </c>
      <c r="M303" s="109">
        <f t="shared" si="384"/>
        <v>0</v>
      </c>
      <c r="N303" s="109">
        <f t="shared" si="385"/>
        <v>0</v>
      </c>
      <c r="O303" s="109">
        <f t="shared" si="386"/>
        <v>2635.2026352026355</v>
      </c>
      <c r="P303" s="109">
        <f t="shared" si="387"/>
        <v>0</v>
      </c>
      <c r="Q303" s="109">
        <f t="shared" si="388"/>
        <v>2635.2026352026355</v>
      </c>
      <c r="R303" s="121">
        <v>62</v>
      </c>
      <c r="T303" s="188"/>
    </row>
    <row r="304" spans="1:20" x14ac:dyDescent="0.25">
      <c r="A304" s="101"/>
      <c r="B304" s="4">
        <v>9</v>
      </c>
      <c r="C304" s="6" t="s">
        <v>116</v>
      </c>
      <c r="D304" s="4"/>
      <c r="E304" s="101" t="str">
        <f>IFERROR(VLOOKUP(C304,Resources!B:D,3,FALSE)," ")</f>
        <v xml:space="preserve"> </v>
      </c>
      <c r="F304" s="9"/>
      <c r="G304" s="9"/>
      <c r="H304" s="9"/>
      <c r="I304" s="38" t="str">
        <f>IFERROR(VLOOKUP(C304,Resources!B:G,6,FALSE)," ")</f>
        <v xml:space="preserve"> </v>
      </c>
      <c r="J304" s="38"/>
      <c r="K304" s="9"/>
      <c r="L304" s="9"/>
      <c r="M304" s="38"/>
      <c r="N304" s="38"/>
      <c r="O304" s="38"/>
      <c r="P304" s="38"/>
      <c r="Q304" s="38"/>
      <c r="R304" s="122"/>
      <c r="T304" s="188"/>
    </row>
    <row r="305" spans="1:20" x14ac:dyDescent="0.25">
      <c r="A305" s="100">
        <v>40.200000000000003</v>
      </c>
      <c r="B305" s="3">
        <v>10</v>
      </c>
      <c r="C305" s="5" t="s">
        <v>39</v>
      </c>
      <c r="D305" s="3" t="s">
        <v>48</v>
      </c>
      <c r="E305" s="100" t="str">
        <f>IFERROR(VLOOKUP(C305,Resources!B:D,3,FALSE)," ")</f>
        <v>P</v>
      </c>
      <c r="F305" s="8">
        <v>1</v>
      </c>
      <c r="G305" s="103">
        <f>VLOOKUP($A305,'Model Inputs'!$A:$D,4,FALSE)</f>
        <v>150</v>
      </c>
      <c r="H305" s="8">
        <f>H295/0.27</f>
        <v>1807.4074074074074</v>
      </c>
      <c r="I305" s="109">
        <f>IFERROR(VLOOKUP(C305,Resources!B:G,6,FALSE)," ")</f>
        <v>145</v>
      </c>
      <c r="J305" s="109">
        <f t="shared" ref="J305:J308" si="389">(H305/(G305/F305))*I305</f>
        <v>1747.1604938271605</v>
      </c>
      <c r="K305" s="8">
        <f t="shared" ref="K305:K308" si="390">L305*F305</f>
        <v>12.049382716049383</v>
      </c>
      <c r="L305" s="8">
        <f t="shared" ref="L305:L308" si="391">IF(E305="M"," ",H305/G305)</f>
        <v>12.049382716049383</v>
      </c>
      <c r="M305" s="109">
        <f t="shared" ref="M305:M308" si="392">IF($E305="L",$J305,0)</f>
        <v>0</v>
      </c>
      <c r="N305" s="109">
        <f t="shared" ref="N305:N308" si="393">IF($E305="M",$J305,0)</f>
        <v>0</v>
      </c>
      <c r="O305" s="109">
        <f t="shared" ref="O305:O308" si="394">IF($E305="P",$J305,0)</f>
        <v>1747.1604938271605</v>
      </c>
      <c r="P305" s="109">
        <f t="shared" ref="P305:P308" si="395">IF($E305="S",$J305,0)</f>
        <v>0</v>
      </c>
      <c r="Q305" s="109">
        <f t="shared" ref="Q305:Q308" si="396">SUM(M305:P305)</f>
        <v>1747.1604938271605</v>
      </c>
      <c r="R305" s="121">
        <v>63</v>
      </c>
      <c r="T305" s="188"/>
    </row>
    <row r="306" spans="1:20" x14ac:dyDescent="0.25">
      <c r="A306" s="100"/>
      <c r="B306" s="3">
        <v>11</v>
      </c>
      <c r="C306" s="5" t="s">
        <v>64</v>
      </c>
      <c r="D306" s="3" t="s">
        <v>48</v>
      </c>
      <c r="E306" s="100" t="str">
        <f>IFERROR(VLOOKUP(C306,Resources!B:D,3,FALSE)," ")</f>
        <v>P</v>
      </c>
      <c r="F306" s="8">
        <v>1</v>
      </c>
      <c r="G306" s="8">
        <f>G305</f>
        <v>150</v>
      </c>
      <c r="H306" s="8">
        <f>H305</f>
        <v>1807.4074074074074</v>
      </c>
      <c r="I306" s="109">
        <f>IFERROR(VLOOKUP(C306,Resources!B:G,6,FALSE)," ")</f>
        <v>100</v>
      </c>
      <c r="J306" s="109">
        <f t="shared" si="389"/>
        <v>1204.9382716049383</v>
      </c>
      <c r="K306" s="8">
        <f t="shared" si="390"/>
        <v>12.049382716049383</v>
      </c>
      <c r="L306" s="8">
        <f t="shared" si="391"/>
        <v>12.049382716049383</v>
      </c>
      <c r="M306" s="109">
        <f t="shared" si="392"/>
        <v>0</v>
      </c>
      <c r="N306" s="109">
        <f t="shared" si="393"/>
        <v>0</v>
      </c>
      <c r="O306" s="109">
        <f t="shared" si="394"/>
        <v>1204.9382716049383</v>
      </c>
      <c r="P306" s="109">
        <f t="shared" si="395"/>
        <v>0</v>
      </c>
      <c r="Q306" s="109">
        <f t="shared" si="396"/>
        <v>1204.9382716049383</v>
      </c>
      <c r="R306" s="121">
        <v>63</v>
      </c>
      <c r="T306" s="188"/>
    </row>
    <row r="307" spans="1:20" x14ac:dyDescent="0.25">
      <c r="A307" s="100"/>
      <c r="B307" s="3">
        <v>12</v>
      </c>
      <c r="C307" s="5" t="s">
        <v>43</v>
      </c>
      <c r="D307" s="3" t="s">
        <v>48</v>
      </c>
      <c r="E307" s="100" t="str">
        <f>IFERROR(VLOOKUP(C307,Resources!B:D,3,FALSE)," ")</f>
        <v>P</v>
      </c>
      <c r="F307" s="8">
        <v>1</v>
      </c>
      <c r="G307" s="8">
        <f>G305/2</f>
        <v>75</v>
      </c>
      <c r="H307" s="8">
        <f>H305</f>
        <v>1807.4074074074074</v>
      </c>
      <c r="I307" s="109">
        <f>IFERROR(VLOOKUP(C307,Resources!B:G,6,FALSE)," ")</f>
        <v>55</v>
      </c>
      <c r="J307" s="109">
        <f t="shared" si="389"/>
        <v>1325.4320987654321</v>
      </c>
      <c r="K307" s="8">
        <f t="shared" si="390"/>
        <v>24.098765432098766</v>
      </c>
      <c r="L307" s="8">
        <f t="shared" si="391"/>
        <v>24.098765432098766</v>
      </c>
      <c r="M307" s="109">
        <f t="shared" si="392"/>
        <v>0</v>
      </c>
      <c r="N307" s="109">
        <f t="shared" si="393"/>
        <v>0</v>
      </c>
      <c r="O307" s="109">
        <f t="shared" si="394"/>
        <v>1325.4320987654321</v>
      </c>
      <c r="P307" s="109">
        <f t="shared" si="395"/>
        <v>0</v>
      </c>
      <c r="Q307" s="109">
        <f t="shared" si="396"/>
        <v>1325.4320987654321</v>
      </c>
      <c r="R307" s="121">
        <v>63</v>
      </c>
      <c r="T307" s="188"/>
    </row>
    <row r="308" spans="1:20" x14ac:dyDescent="0.25">
      <c r="A308" s="100"/>
      <c r="B308" s="3">
        <v>13</v>
      </c>
      <c r="C308" s="5" t="s">
        <v>8</v>
      </c>
      <c r="D308" s="3" t="s">
        <v>48</v>
      </c>
      <c r="E308" s="100" t="str">
        <f>IFERROR(VLOOKUP(C308,Resources!B:D,3,FALSE)," ")</f>
        <v>L</v>
      </c>
      <c r="F308" s="8">
        <v>3</v>
      </c>
      <c r="G308" s="8">
        <f>G305</f>
        <v>150</v>
      </c>
      <c r="H308" s="8">
        <f>H305</f>
        <v>1807.4074074074074</v>
      </c>
      <c r="I308" s="109">
        <f>IFERROR(VLOOKUP(C308,Resources!B:G,6,FALSE)," ")</f>
        <v>42</v>
      </c>
      <c r="J308" s="109">
        <f t="shared" si="389"/>
        <v>1518.2222222222222</v>
      </c>
      <c r="K308" s="8">
        <f t="shared" si="390"/>
        <v>36.148148148148152</v>
      </c>
      <c r="L308" s="8">
        <f t="shared" si="391"/>
        <v>12.049382716049383</v>
      </c>
      <c r="M308" s="109">
        <f t="shared" si="392"/>
        <v>1518.2222222222222</v>
      </c>
      <c r="N308" s="109">
        <f t="shared" si="393"/>
        <v>0</v>
      </c>
      <c r="O308" s="109">
        <f t="shared" si="394"/>
        <v>0</v>
      </c>
      <c r="P308" s="109">
        <f t="shared" si="395"/>
        <v>0</v>
      </c>
      <c r="Q308" s="109">
        <f t="shared" si="396"/>
        <v>1518.2222222222222</v>
      </c>
      <c r="R308" s="121">
        <v>63</v>
      </c>
      <c r="T308" s="188"/>
    </row>
    <row r="309" spans="1:20" x14ac:dyDescent="0.25">
      <c r="A309" s="101"/>
      <c r="B309" s="4"/>
      <c r="C309" s="6"/>
      <c r="D309" s="4"/>
      <c r="E309" s="101" t="str">
        <f>IFERROR(VLOOKUP(C309,Resources!B:D,3,FALSE)," ")</f>
        <v xml:space="preserve"> </v>
      </c>
      <c r="F309" s="9"/>
      <c r="G309" s="9"/>
      <c r="H309" s="9"/>
      <c r="I309" s="38" t="str">
        <f>IFERROR(VLOOKUP(C309,Resources!B:G,6,FALSE)," ")</f>
        <v xml:space="preserve"> </v>
      </c>
      <c r="J309" s="38"/>
      <c r="K309" s="9"/>
      <c r="L309" s="9"/>
      <c r="M309" s="38"/>
      <c r="N309" s="38"/>
      <c r="O309" s="38"/>
      <c r="P309" s="38"/>
      <c r="Q309" s="38"/>
      <c r="R309" s="122"/>
      <c r="T309" s="188"/>
    </row>
    <row r="310" spans="1:20" ht="30" x14ac:dyDescent="0.25">
      <c r="A310" s="114">
        <v>41</v>
      </c>
      <c r="B310" s="1" t="s">
        <v>220</v>
      </c>
      <c r="C310" s="1" t="s">
        <v>221</v>
      </c>
      <c r="D310" s="2" t="s">
        <v>107</v>
      </c>
      <c r="E310" s="99" t="str">
        <f>IFERROR(VLOOKUP(C310,Resources!B:D,3,FALSE)," ")</f>
        <v xml:space="preserve"> </v>
      </c>
      <c r="F310" s="7"/>
      <c r="G310" s="7"/>
      <c r="H310" s="103">
        <f>VLOOKUP($A310,'Model Inputs'!$A:$D,4,FALSE)</f>
        <v>1953</v>
      </c>
      <c r="I310" s="108" t="str">
        <f>IFERROR(VLOOKUP(C310,Resources!B:G,6,FALSE)," ")</f>
        <v xml:space="preserve"> </v>
      </c>
      <c r="J310" s="108">
        <f>SUBTOTAL(9,J311:J313)</f>
        <v>11638.886368421054</v>
      </c>
      <c r="K310" s="7"/>
      <c r="L310" s="7">
        <f>ROUNDUP(MAX(L312:L313)/Workhrs,0)</f>
        <v>1</v>
      </c>
      <c r="M310" s="108">
        <f t="shared" ref="M310:Q310" si="397">SUBTOTAL(9,M311:M313)</f>
        <v>474.88736842105271</v>
      </c>
      <c r="N310" s="108">
        <f t="shared" si="397"/>
        <v>10805.949000000002</v>
      </c>
      <c r="O310" s="108">
        <f t="shared" si="397"/>
        <v>358.05</v>
      </c>
      <c r="P310" s="108">
        <f t="shared" si="397"/>
        <v>0</v>
      </c>
      <c r="Q310" s="108">
        <f t="shared" si="397"/>
        <v>11638.886368421054</v>
      </c>
      <c r="R310" s="120"/>
      <c r="T310" s="188"/>
    </row>
    <row r="311" spans="1:20" x14ac:dyDescent="0.25">
      <c r="A311" s="100">
        <v>41.1</v>
      </c>
      <c r="B311" s="3">
        <v>1</v>
      </c>
      <c r="C311" s="5" t="s">
        <v>2180</v>
      </c>
      <c r="D311" s="3" t="s">
        <v>83</v>
      </c>
      <c r="E311" s="100" t="str">
        <f>IFERROR(VLOOKUP(C311,Resources!B:D,3,FALSE)," ")</f>
        <v>M</v>
      </c>
      <c r="F311" s="103">
        <f>VLOOKUP($A311,'Model Inputs'!$A:$D,4,FALSE)</f>
        <v>1.1000000000000001</v>
      </c>
      <c r="G311" s="8">
        <v>1</v>
      </c>
      <c r="H311" s="8">
        <f>H310*F311</f>
        <v>2148.3000000000002</v>
      </c>
      <c r="I311" s="109">
        <f>IFERROR(VLOOKUP(C311,Resources!B:G,6,FALSE)," ")</f>
        <v>5.03</v>
      </c>
      <c r="J311" s="109">
        <f>I311*H311</f>
        <v>10805.949000000002</v>
      </c>
      <c r="K311" s="8"/>
      <c r="L311" s="8" t="str">
        <f t="shared" ref="L311" si="398">IF(E311="M"," ",H311/G311)</f>
        <v xml:space="preserve"> </v>
      </c>
      <c r="M311" s="109">
        <f t="shared" ref="M311" si="399">IF($E311="L",$J311,0)</f>
        <v>0</v>
      </c>
      <c r="N311" s="109">
        <f t="shared" ref="N311" si="400">IF($E311="M",$J311,0)</f>
        <v>10805.949000000002</v>
      </c>
      <c r="O311" s="109">
        <f t="shared" ref="O311" si="401">IF($E311="P",$J311,0)</f>
        <v>0</v>
      </c>
      <c r="P311" s="109">
        <f t="shared" ref="P311" si="402">IF($E311="S",$J311,0)</f>
        <v>0</v>
      </c>
      <c r="Q311" s="109">
        <f t="shared" ref="Q311" si="403">SUM(M311:P311)</f>
        <v>10805.949000000002</v>
      </c>
      <c r="R311" s="121">
        <v>222</v>
      </c>
      <c r="T311" s="188"/>
    </row>
    <row r="312" spans="1:20" x14ac:dyDescent="0.25">
      <c r="A312" s="100">
        <v>41.2</v>
      </c>
      <c r="B312" s="3">
        <v>2</v>
      </c>
      <c r="C312" s="5" t="s">
        <v>8</v>
      </c>
      <c r="D312" s="3" t="s">
        <v>48</v>
      </c>
      <c r="E312" s="100" t="str">
        <f>IFERROR(VLOOKUP(C312,Resources!B:D,3,FALSE)," ")</f>
        <v>L</v>
      </c>
      <c r="F312" s="8">
        <v>3</v>
      </c>
      <c r="G312" s="103">
        <f>VLOOKUP($A312,'Model Inputs'!$A:$D,4,FALSE)</f>
        <v>570</v>
      </c>
      <c r="H312" s="8">
        <f>H311</f>
        <v>2148.3000000000002</v>
      </c>
      <c r="I312" s="109">
        <f>IFERROR(VLOOKUP(C312,Resources!B:G,6,FALSE)," ")</f>
        <v>42</v>
      </c>
      <c r="J312" s="109">
        <f t="shared" ref="J312:J313" si="404">(H312/(G312/F312))*I312</f>
        <v>474.88736842105271</v>
      </c>
      <c r="K312" s="8">
        <f t="shared" ref="K312:K313" si="405">L312*F312</f>
        <v>11.30684210526316</v>
      </c>
      <c r="L312" s="8">
        <f t="shared" ref="L312:L313" si="406">IF(E312="M"," ",H312/G312)</f>
        <v>3.768947368421053</v>
      </c>
      <c r="M312" s="109">
        <f t="shared" ref="M312:M313" si="407">IF($E312="L",$J312,0)</f>
        <v>474.88736842105271</v>
      </c>
      <c r="N312" s="109">
        <f t="shared" ref="N312:N313" si="408">IF($E312="M",$J312,0)</f>
        <v>0</v>
      </c>
      <c r="O312" s="109">
        <f t="shared" ref="O312:O313" si="409">IF($E312="P",$J312,0)</f>
        <v>0</v>
      </c>
      <c r="P312" s="109">
        <f t="shared" ref="P312:P313" si="410">IF($E312="S",$J312,0)</f>
        <v>0</v>
      </c>
      <c r="Q312" s="109">
        <f t="shared" ref="Q312:Q313" si="411">SUM(M312:P312)</f>
        <v>474.88736842105271</v>
      </c>
      <c r="R312" s="121">
        <v>222</v>
      </c>
      <c r="T312" s="188"/>
    </row>
    <row r="313" spans="1:20" x14ac:dyDescent="0.25">
      <c r="A313" s="100"/>
      <c r="B313" s="3">
        <v>3</v>
      </c>
      <c r="C313" s="5" t="s">
        <v>45</v>
      </c>
      <c r="D313" s="3" t="s">
        <v>48</v>
      </c>
      <c r="E313" s="100" t="str">
        <f>IFERROR(VLOOKUP(C313,Resources!B:D,3,FALSE)," ")</f>
        <v>P</v>
      </c>
      <c r="F313" s="8">
        <v>1</v>
      </c>
      <c r="G313" s="8">
        <f>G312</f>
        <v>570</v>
      </c>
      <c r="H313" s="8">
        <f>H311</f>
        <v>2148.3000000000002</v>
      </c>
      <c r="I313" s="109">
        <f>IFERROR(VLOOKUP(C313,Resources!B:G,6,FALSE)," ")</f>
        <v>95</v>
      </c>
      <c r="J313" s="109">
        <f t="shared" si="404"/>
        <v>358.05</v>
      </c>
      <c r="K313" s="8">
        <f t="shared" si="405"/>
        <v>3.768947368421053</v>
      </c>
      <c r="L313" s="8">
        <f t="shared" si="406"/>
        <v>3.768947368421053</v>
      </c>
      <c r="M313" s="109">
        <f t="shared" si="407"/>
        <v>0</v>
      </c>
      <c r="N313" s="109">
        <f t="shared" si="408"/>
        <v>0</v>
      </c>
      <c r="O313" s="109">
        <f t="shared" si="409"/>
        <v>358.05</v>
      </c>
      <c r="P313" s="109">
        <f t="shared" si="410"/>
        <v>0</v>
      </c>
      <c r="Q313" s="109">
        <f t="shared" si="411"/>
        <v>358.05</v>
      </c>
      <c r="R313" s="121">
        <v>222</v>
      </c>
      <c r="T313" s="188"/>
    </row>
    <row r="314" spans="1:20" x14ac:dyDescent="0.25">
      <c r="A314" s="101"/>
      <c r="B314" s="4"/>
      <c r="C314" s="6"/>
      <c r="D314" s="4"/>
      <c r="E314" s="101" t="str">
        <f>IFERROR(VLOOKUP(C314,Resources!B:D,3,FALSE)," ")</f>
        <v xml:space="preserve"> </v>
      </c>
      <c r="F314" s="9"/>
      <c r="G314" s="9"/>
      <c r="H314" s="9"/>
      <c r="I314" s="38" t="str">
        <f>IFERROR(VLOOKUP(C314,Resources!B:G,6,FALSE)," ")</f>
        <v xml:space="preserve"> </v>
      </c>
      <c r="J314" s="38"/>
      <c r="K314" s="9"/>
      <c r="L314" s="9"/>
      <c r="M314" s="38"/>
      <c r="N314" s="38"/>
      <c r="O314" s="38"/>
      <c r="P314" s="38"/>
      <c r="Q314" s="38"/>
      <c r="R314" s="122"/>
      <c r="T314" s="188"/>
    </row>
    <row r="315" spans="1:20" ht="30" x14ac:dyDescent="0.25">
      <c r="A315" s="114">
        <v>42</v>
      </c>
      <c r="B315" s="1" t="s">
        <v>222</v>
      </c>
      <c r="C315" s="1" t="s">
        <v>223</v>
      </c>
      <c r="D315" s="2" t="s">
        <v>107</v>
      </c>
      <c r="E315" s="99" t="str">
        <f>IFERROR(VLOOKUP(C315,Resources!B:D,3,FALSE)," ")</f>
        <v xml:space="preserve"> </v>
      </c>
      <c r="F315" s="7"/>
      <c r="G315" s="7"/>
      <c r="H315" s="103">
        <f>VLOOKUP($A315,'Model Inputs'!$A:$D,4,FALSE)</f>
        <v>1953</v>
      </c>
      <c r="I315" s="108" t="str">
        <f>IFERROR(VLOOKUP(C315,Resources!B:G,6,FALSE)," ")</f>
        <v xml:space="preserve"> </v>
      </c>
      <c r="J315" s="108">
        <f>SUBTOTAL(9,J316:J318)</f>
        <v>3088.6523684210529</v>
      </c>
      <c r="K315" s="7"/>
      <c r="L315" s="7">
        <f>ROUNDUP(MAX(L317:L318)/Workhrs,0)</f>
        <v>1</v>
      </c>
      <c r="M315" s="108">
        <f t="shared" ref="M315" si="412">SUBTOTAL(9,M316:M318)</f>
        <v>474.88736842105271</v>
      </c>
      <c r="N315" s="108">
        <f t="shared" ref="N315" si="413">SUBTOTAL(9,N316:N318)</f>
        <v>2255.7150000000001</v>
      </c>
      <c r="O315" s="108">
        <f t="shared" ref="O315" si="414">SUBTOTAL(9,O316:O318)</f>
        <v>358.05</v>
      </c>
      <c r="P315" s="108">
        <f t="shared" ref="P315" si="415">SUBTOTAL(9,P316:P318)</f>
        <v>0</v>
      </c>
      <c r="Q315" s="108">
        <f t="shared" ref="Q315" si="416">SUBTOTAL(9,Q316:Q318)</f>
        <v>3088.6523684210529</v>
      </c>
      <c r="R315" s="120"/>
      <c r="T315" s="188"/>
    </row>
    <row r="316" spans="1:20" x14ac:dyDescent="0.25">
      <c r="A316" s="100">
        <v>42.1</v>
      </c>
      <c r="B316" s="3">
        <v>1</v>
      </c>
      <c r="C316" s="5" t="s">
        <v>2088</v>
      </c>
      <c r="D316" s="3" t="s">
        <v>83</v>
      </c>
      <c r="E316" s="100" t="str">
        <f>IFERROR(VLOOKUP(C316,Resources!B:D,3,FALSE)," ")</f>
        <v>M</v>
      </c>
      <c r="F316" s="103">
        <f>VLOOKUP($A316,'Model Inputs'!$A:$D,4,FALSE)</f>
        <v>1.1000000000000001</v>
      </c>
      <c r="G316" s="8">
        <v>1</v>
      </c>
      <c r="H316" s="8">
        <f>H315*F316</f>
        <v>2148.3000000000002</v>
      </c>
      <c r="I316" s="109">
        <f>IFERROR(VLOOKUP(C316,Resources!B:G,6,FALSE)," ")</f>
        <v>1.05</v>
      </c>
      <c r="J316" s="109">
        <f>I316*H316</f>
        <v>2255.7150000000001</v>
      </c>
      <c r="K316" s="8"/>
      <c r="L316" s="8" t="str">
        <f t="shared" ref="L316:L318" si="417">IF(E316="M"," ",H316/G316)</f>
        <v xml:space="preserve"> </v>
      </c>
      <c r="M316" s="109">
        <f t="shared" ref="M316:M318" si="418">IF($E316="L",$J316,0)</f>
        <v>0</v>
      </c>
      <c r="N316" s="109">
        <f t="shared" ref="N316:N318" si="419">IF($E316="M",$J316,0)</f>
        <v>2255.7150000000001</v>
      </c>
      <c r="O316" s="109">
        <f t="shared" ref="O316:O318" si="420">IF($E316="P",$J316,0)</f>
        <v>0</v>
      </c>
      <c r="P316" s="109">
        <f t="shared" ref="P316:P318" si="421">IF($E316="S",$J316,0)</f>
        <v>0</v>
      </c>
      <c r="Q316" s="109">
        <f t="shared" ref="Q316:Q318" si="422">SUM(M316:P316)</f>
        <v>2255.7150000000001</v>
      </c>
      <c r="R316" s="121">
        <v>222</v>
      </c>
      <c r="T316" s="188"/>
    </row>
    <row r="317" spans="1:20" x14ac:dyDescent="0.25">
      <c r="A317" s="100"/>
      <c r="B317" s="3">
        <v>2</v>
      </c>
      <c r="C317" s="5" t="s">
        <v>8</v>
      </c>
      <c r="D317" s="3" t="s">
        <v>48</v>
      </c>
      <c r="E317" s="100" t="str">
        <f>IFERROR(VLOOKUP(C317,Resources!B:D,3,FALSE)," ")</f>
        <v>L</v>
      </c>
      <c r="F317" s="8">
        <v>3</v>
      </c>
      <c r="G317" s="8">
        <v>570</v>
      </c>
      <c r="H317" s="8">
        <f>H316</f>
        <v>2148.3000000000002</v>
      </c>
      <c r="I317" s="109">
        <f>IFERROR(VLOOKUP(C317,Resources!B:G,6,FALSE)," ")</f>
        <v>42</v>
      </c>
      <c r="J317" s="109">
        <f t="shared" ref="J317:J318" si="423">(H317/(G317/F317))*I317</f>
        <v>474.88736842105271</v>
      </c>
      <c r="K317" s="8">
        <f t="shared" ref="K317:K318" si="424">L317*F317</f>
        <v>11.30684210526316</v>
      </c>
      <c r="L317" s="8">
        <f t="shared" si="417"/>
        <v>3.768947368421053</v>
      </c>
      <c r="M317" s="109">
        <f t="shared" si="418"/>
        <v>474.88736842105271</v>
      </c>
      <c r="N317" s="109">
        <f t="shared" si="419"/>
        <v>0</v>
      </c>
      <c r="O317" s="109">
        <f t="shared" si="420"/>
        <v>0</v>
      </c>
      <c r="P317" s="109">
        <f t="shared" si="421"/>
        <v>0</v>
      </c>
      <c r="Q317" s="109">
        <f t="shared" si="422"/>
        <v>474.88736842105271</v>
      </c>
      <c r="R317" s="121">
        <v>222</v>
      </c>
      <c r="T317" s="188"/>
    </row>
    <row r="318" spans="1:20" x14ac:dyDescent="0.25">
      <c r="A318" s="100"/>
      <c r="B318" s="3">
        <v>3</v>
      </c>
      <c r="C318" s="5" t="s">
        <v>45</v>
      </c>
      <c r="D318" s="3" t="s">
        <v>48</v>
      </c>
      <c r="E318" s="100" t="str">
        <f>IFERROR(VLOOKUP(C318,Resources!B:D,3,FALSE)," ")</f>
        <v>P</v>
      </c>
      <c r="F318" s="8">
        <v>1</v>
      </c>
      <c r="G318" s="8">
        <v>570</v>
      </c>
      <c r="H318" s="8">
        <f>H316</f>
        <v>2148.3000000000002</v>
      </c>
      <c r="I318" s="109">
        <f>IFERROR(VLOOKUP(C318,Resources!B:G,6,FALSE)," ")</f>
        <v>95</v>
      </c>
      <c r="J318" s="109">
        <f t="shared" si="423"/>
        <v>358.05</v>
      </c>
      <c r="K318" s="8">
        <f t="shared" si="424"/>
        <v>3.768947368421053</v>
      </c>
      <c r="L318" s="8">
        <f t="shared" si="417"/>
        <v>3.768947368421053</v>
      </c>
      <c r="M318" s="109">
        <f t="shared" si="418"/>
        <v>0</v>
      </c>
      <c r="N318" s="109">
        <f t="shared" si="419"/>
        <v>0</v>
      </c>
      <c r="O318" s="109">
        <f t="shared" si="420"/>
        <v>358.05</v>
      </c>
      <c r="P318" s="109">
        <f t="shared" si="421"/>
        <v>0</v>
      </c>
      <c r="Q318" s="109">
        <f t="shared" si="422"/>
        <v>358.05</v>
      </c>
      <c r="R318" s="121">
        <v>222</v>
      </c>
      <c r="T318" s="188"/>
    </row>
    <row r="319" spans="1:20" x14ac:dyDescent="0.25">
      <c r="A319" s="101"/>
      <c r="B319" s="4"/>
      <c r="C319" s="6"/>
      <c r="D319" s="4"/>
      <c r="E319" s="101" t="str">
        <f>IFERROR(VLOOKUP(C319,Resources!B:D,3,FALSE)," ")</f>
        <v xml:space="preserve"> </v>
      </c>
      <c r="F319" s="9"/>
      <c r="G319" s="9"/>
      <c r="H319" s="9"/>
      <c r="I319" s="38" t="str">
        <f>IFERROR(VLOOKUP(C319,Resources!B:G,6,FALSE)," ")</f>
        <v xml:space="preserve"> </v>
      </c>
      <c r="J319" s="38"/>
      <c r="K319" s="9"/>
      <c r="L319" s="9"/>
      <c r="M319" s="38"/>
      <c r="N319" s="38"/>
      <c r="O319" s="38"/>
      <c r="P319" s="38"/>
      <c r="Q319" s="38"/>
      <c r="R319" s="122"/>
      <c r="T319" s="188"/>
    </row>
    <row r="320" spans="1:20" ht="30" x14ac:dyDescent="0.25">
      <c r="A320" s="114">
        <v>43</v>
      </c>
      <c r="B320" s="1" t="s">
        <v>224</v>
      </c>
      <c r="C320" s="1" t="s">
        <v>124</v>
      </c>
      <c r="D320" s="2" t="s">
        <v>107</v>
      </c>
      <c r="E320" s="99" t="str">
        <f>IFERROR(VLOOKUP(C320,Resources!B:D,3,FALSE)," ")</f>
        <v xml:space="preserve"> </v>
      </c>
      <c r="F320" s="7"/>
      <c r="G320" s="7"/>
      <c r="H320" s="103">
        <f>VLOOKUP($A320,'Model Inputs'!$A:$D,4,FALSE)</f>
        <v>1812</v>
      </c>
      <c r="I320" s="108" t="str">
        <f>IFERROR(VLOOKUP(C320,Resources!B:G,6,FALSE)," ")</f>
        <v xml:space="preserve"> </v>
      </c>
      <c r="J320" s="108">
        <f>SUBTOTAL(9,J321)</f>
        <v>15430.085999999999</v>
      </c>
      <c r="K320" s="7"/>
      <c r="L320" s="7">
        <f>L321</f>
        <v>1</v>
      </c>
      <c r="M320" s="108">
        <f t="shared" ref="M320:Q320" si="425">SUBTOTAL(9,M321)</f>
        <v>0</v>
      </c>
      <c r="N320" s="108">
        <f t="shared" si="425"/>
        <v>0</v>
      </c>
      <c r="O320" s="108">
        <f t="shared" si="425"/>
        <v>0</v>
      </c>
      <c r="P320" s="108">
        <f t="shared" si="425"/>
        <v>15430.085999999999</v>
      </c>
      <c r="Q320" s="108">
        <f t="shared" si="425"/>
        <v>15430.085999999999</v>
      </c>
      <c r="R320" s="120"/>
      <c r="T320" s="188"/>
    </row>
    <row r="321" spans="1:20" x14ac:dyDescent="0.25">
      <c r="A321" s="100">
        <v>43.1</v>
      </c>
      <c r="B321" s="3">
        <v>1</v>
      </c>
      <c r="C321" s="5" t="s">
        <v>2269</v>
      </c>
      <c r="D321" s="3" t="s">
        <v>83</v>
      </c>
      <c r="E321" s="100" t="str">
        <f>IFERROR(VLOOKUP(C321,Resources!B:D,3,FALSE)," ")</f>
        <v>S</v>
      </c>
      <c r="F321" s="103">
        <f>VLOOKUP($A321,'Model Inputs'!$A:$D,4,FALSE)</f>
        <v>1.05</v>
      </c>
      <c r="G321" s="8">
        <v>1</v>
      </c>
      <c r="H321" s="8">
        <f>H320*F321</f>
        <v>1902.6000000000001</v>
      </c>
      <c r="I321" s="109">
        <f>IFERROR(VLOOKUP(C321,Resources!B:G,6,FALSE)," ")</f>
        <v>8.11</v>
      </c>
      <c r="J321" s="109">
        <f>I321*H321</f>
        <v>15430.085999999999</v>
      </c>
      <c r="K321" s="8"/>
      <c r="L321" s="8">
        <f>ROUNDUP(H321/2000,0)</f>
        <v>1</v>
      </c>
      <c r="M321" s="109">
        <f t="shared" ref="M321" si="426">IF($E321="L",$J321,0)</f>
        <v>0</v>
      </c>
      <c r="N321" s="109">
        <f t="shared" ref="N321" si="427">IF($E321="M",$J321,0)</f>
        <v>0</v>
      </c>
      <c r="O321" s="109">
        <f t="shared" ref="O321" si="428">IF($E321="P",$J321,0)</f>
        <v>0</v>
      </c>
      <c r="P321" s="109">
        <f t="shared" ref="P321" si="429">IF($E321="S",$J321,0)</f>
        <v>15430.085999999999</v>
      </c>
      <c r="Q321" s="109">
        <f t="shared" ref="Q321" si="430">SUM(M321:P321)</f>
        <v>15430.085999999999</v>
      </c>
      <c r="R321" s="121">
        <v>64</v>
      </c>
      <c r="T321" s="188"/>
    </row>
    <row r="322" spans="1:20" x14ac:dyDescent="0.25">
      <c r="A322" s="101"/>
      <c r="B322" s="4"/>
      <c r="C322" s="6"/>
      <c r="D322" s="4"/>
      <c r="E322" s="101" t="str">
        <f>IFERROR(VLOOKUP(C322,Resources!B:D,3,FALSE)," ")</f>
        <v xml:space="preserve"> </v>
      </c>
      <c r="F322" s="9"/>
      <c r="G322" s="9"/>
      <c r="H322" s="9"/>
      <c r="I322" s="38" t="str">
        <f>IFERROR(VLOOKUP(C322,Resources!B:G,6,FALSE)," ")</f>
        <v xml:space="preserve"> </v>
      </c>
      <c r="J322" s="38"/>
      <c r="K322" s="9"/>
      <c r="L322" s="9"/>
      <c r="M322" s="38"/>
      <c r="N322" s="38"/>
      <c r="O322" s="38"/>
      <c r="P322" s="38"/>
      <c r="Q322" s="38"/>
      <c r="R322" s="122"/>
      <c r="T322" s="188"/>
    </row>
    <row r="323" spans="1:20" ht="30" x14ac:dyDescent="0.25">
      <c r="A323" s="114"/>
      <c r="B323" s="1" t="s">
        <v>225</v>
      </c>
      <c r="C323" s="1" t="s">
        <v>226</v>
      </c>
      <c r="D323" s="2"/>
      <c r="E323" s="99" t="str">
        <f>IFERROR(VLOOKUP(C323,Resources!B:D,3,FALSE)," ")</f>
        <v xml:space="preserve"> </v>
      </c>
      <c r="F323" s="7"/>
      <c r="G323" s="7"/>
      <c r="H323" s="7"/>
      <c r="I323" s="108" t="str">
        <f>IFERROR(VLOOKUP(C323,Resources!B:G,6,FALSE)," ")</f>
        <v xml:space="preserve"> </v>
      </c>
      <c r="J323" s="108"/>
      <c r="K323" s="7"/>
      <c r="L323" s="7"/>
      <c r="M323" s="108"/>
      <c r="N323" s="108"/>
      <c r="O323" s="108"/>
      <c r="P323" s="108"/>
      <c r="Q323" s="108"/>
      <c r="R323" s="120"/>
      <c r="T323" s="188"/>
    </row>
    <row r="324" spans="1:20" ht="30" x14ac:dyDescent="0.25">
      <c r="A324" s="114">
        <v>44</v>
      </c>
      <c r="B324" s="1" t="s">
        <v>227</v>
      </c>
      <c r="C324" s="1" t="s">
        <v>228</v>
      </c>
      <c r="D324" s="2" t="s">
        <v>82</v>
      </c>
      <c r="E324" s="99" t="str">
        <f>IFERROR(VLOOKUP(C324,Resources!B:D,3,FALSE)," ")</f>
        <v xml:space="preserve"> </v>
      </c>
      <c r="F324" s="7"/>
      <c r="G324" s="7"/>
      <c r="H324" s="103">
        <f>VLOOKUP($A324,'Model Inputs'!$A:$D,4,FALSE)</f>
        <v>173</v>
      </c>
      <c r="I324" s="108" t="str">
        <f>IFERROR(VLOOKUP(C324,Resources!B:G,6,FALSE)," ")</f>
        <v xml:space="preserve"> </v>
      </c>
      <c r="J324" s="108">
        <f>SUBTOTAL(9,J325)</f>
        <v>50317.05</v>
      </c>
      <c r="K324" s="7"/>
      <c r="L324" s="7">
        <f>L325</f>
        <v>1</v>
      </c>
      <c r="M324" s="108">
        <f t="shared" ref="M324" si="431">SUBTOTAL(9,M325)</f>
        <v>0</v>
      </c>
      <c r="N324" s="108">
        <f t="shared" ref="N324" si="432">SUBTOTAL(9,N325)</f>
        <v>0</v>
      </c>
      <c r="O324" s="108">
        <f t="shared" ref="O324" si="433">SUBTOTAL(9,O325)</f>
        <v>0</v>
      </c>
      <c r="P324" s="108">
        <f t="shared" ref="P324" si="434">SUBTOTAL(9,P325)</f>
        <v>50317.05</v>
      </c>
      <c r="Q324" s="108">
        <f t="shared" ref="Q324" si="435">SUBTOTAL(9,Q325)</f>
        <v>50317.05</v>
      </c>
      <c r="R324" s="120"/>
      <c r="T324" s="188"/>
    </row>
    <row r="325" spans="1:20" x14ac:dyDescent="0.25">
      <c r="A325" s="100">
        <v>44.1</v>
      </c>
      <c r="B325" s="3">
        <v>1</v>
      </c>
      <c r="C325" s="5" t="s">
        <v>2236</v>
      </c>
      <c r="D325" s="3" t="s">
        <v>82</v>
      </c>
      <c r="E325" s="100" t="str">
        <f>IFERROR(VLOOKUP(C325,Resources!B:D,3,FALSE)," ")</f>
        <v>S</v>
      </c>
      <c r="F325" s="103">
        <f>VLOOKUP($A325,'Model Inputs'!$A:$D,4,FALSE)</f>
        <v>1.05</v>
      </c>
      <c r="G325" s="8">
        <v>1</v>
      </c>
      <c r="H325" s="8">
        <f>H324*F325</f>
        <v>181.65</v>
      </c>
      <c r="I325" s="109">
        <f>IFERROR(VLOOKUP(C325,Resources!B:G,6,FALSE)," ")</f>
        <v>277</v>
      </c>
      <c r="J325" s="109">
        <f>I325*H325</f>
        <v>50317.05</v>
      </c>
      <c r="K325" s="8"/>
      <c r="L325" s="8">
        <f>ROUNDUP(H325/200,0)</f>
        <v>1</v>
      </c>
      <c r="M325" s="109">
        <f t="shared" ref="M325" si="436">IF($E325="L",$J325,0)</f>
        <v>0</v>
      </c>
      <c r="N325" s="109">
        <f t="shared" ref="N325" si="437">IF($E325="M",$J325,0)</f>
        <v>0</v>
      </c>
      <c r="O325" s="109">
        <f t="shared" ref="O325" si="438">IF($E325="P",$J325,0)</f>
        <v>0</v>
      </c>
      <c r="P325" s="109">
        <f t="shared" ref="P325" si="439">IF($E325="S",$J325,0)</f>
        <v>50317.05</v>
      </c>
      <c r="Q325" s="109">
        <f t="shared" ref="Q325" si="440">SUM(M325:P325)</f>
        <v>50317.05</v>
      </c>
      <c r="R325" s="121">
        <v>65</v>
      </c>
      <c r="T325" s="188"/>
    </row>
    <row r="326" spans="1:20" x14ac:dyDescent="0.25">
      <c r="A326" s="101"/>
      <c r="B326" s="4"/>
      <c r="C326" s="6"/>
      <c r="D326" s="4"/>
      <c r="E326" s="101" t="str">
        <f>IFERROR(VLOOKUP(C326,Resources!B:D,3,FALSE)," ")</f>
        <v xml:space="preserve"> </v>
      </c>
      <c r="F326" s="9"/>
      <c r="G326" s="9"/>
      <c r="H326" s="9"/>
      <c r="I326" s="38" t="str">
        <f>IFERROR(VLOOKUP(C326,Resources!B:G,6,FALSE)," ")</f>
        <v xml:space="preserve"> </v>
      </c>
      <c r="J326" s="38"/>
      <c r="K326" s="9"/>
      <c r="L326" s="9"/>
      <c r="M326" s="38"/>
      <c r="N326" s="38"/>
      <c r="O326" s="38"/>
      <c r="P326" s="38"/>
      <c r="Q326" s="38"/>
      <c r="R326" s="122"/>
      <c r="T326" s="188"/>
    </row>
    <row r="327" spans="1:20" ht="30" x14ac:dyDescent="0.25">
      <c r="A327" s="114"/>
      <c r="B327" s="1" t="s">
        <v>229</v>
      </c>
      <c r="C327" s="1" t="s">
        <v>136</v>
      </c>
      <c r="D327" s="2"/>
      <c r="E327" s="99" t="str">
        <f>IFERROR(VLOOKUP(C327,Resources!B:D,3,FALSE)," ")</f>
        <v xml:space="preserve"> </v>
      </c>
      <c r="F327" s="7"/>
      <c r="G327" s="7"/>
      <c r="H327" s="7"/>
      <c r="I327" s="108" t="str">
        <f>IFERROR(VLOOKUP(C327,Resources!B:G,6,FALSE)," ")</f>
        <v xml:space="preserve"> </v>
      </c>
      <c r="J327" s="108"/>
      <c r="K327" s="7"/>
      <c r="L327" s="7"/>
      <c r="M327" s="108"/>
      <c r="N327" s="108"/>
      <c r="O327" s="108"/>
      <c r="P327" s="108"/>
      <c r="Q327" s="108"/>
      <c r="R327" s="120"/>
      <c r="T327" s="188"/>
    </row>
    <row r="328" spans="1:20" ht="30" x14ac:dyDescent="0.25">
      <c r="A328" s="114"/>
      <c r="B328" s="1" t="s">
        <v>230</v>
      </c>
      <c r="C328" s="1" t="s">
        <v>231</v>
      </c>
      <c r="D328" s="2"/>
      <c r="E328" s="99" t="str">
        <f>IFERROR(VLOOKUP(C328,Resources!B:D,3,FALSE)," ")</f>
        <v xml:space="preserve"> </v>
      </c>
      <c r="F328" s="7"/>
      <c r="G328" s="7"/>
      <c r="H328" s="7"/>
      <c r="I328" s="108" t="str">
        <f>IFERROR(VLOOKUP(C328,Resources!B:G,6,FALSE)," ")</f>
        <v xml:space="preserve"> </v>
      </c>
      <c r="J328" s="108"/>
      <c r="K328" s="7"/>
      <c r="L328" s="7"/>
      <c r="M328" s="108"/>
      <c r="N328" s="108"/>
      <c r="O328" s="108"/>
      <c r="P328" s="108"/>
      <c r="Q328" s="108"/>
      <c r="R328" s="120"/>
      <c r="T328" s="188"/>
    </row>
    <row r="329" spans="1:20" ht="30" x14ac:dyDescent="0.25">
      <c r="A329" s="114">
        <v>45</v>
      </c>
      <c r="B329" s="1" t="s">
        <v>232</v>
      </c>
      <c r="C329" s="1" t="s">
        <v>233</v>
      </c>
      <c r="D329" s="2" t="s">
        <v>107</v>
      </c>
      <c r="E329" s="99" t="str">
        <f>IFERROR(VLOOKUP(C329,Resources!B:D,3,FALSE)," ")</f>
        <v xml:space="preserve"> </v>
      </c>
      <c r="F329" s="7"/>
      <c r="G329" s="7"/>
      <c r="H329" s="103">
        <f>VLOOKUP($A329,'Model Inputs'!$A:$D,4,FALSE)</f>
        <v>53</v>
      </c>
      <c r="I329" s="108" t="str">
        <f>IFERROR(VLOOKUP(C329,Resources!B:G,6,FALSE)," ")</f>
        <v xml:space="preserve"> </v>
      </c>
      <c r="J329" s="108">
        <f>SUBTOTAL(9,J331:J341)</f>
        <v>3775.1311111111108</v>
      </c>
      <c r="K329" s="7"/>
      <c r="L329" s="7">
        <f>ROUNDUP((MAX(L336:L338)/Workhrs+L341),0)</f>
        <v>3</v>
      </c>
      <c r="M329" s="108">
        <f t="shared" ref="M329:Q329" si="441">SUBTOTAL(9,M331:M341)</f>
        <v>22.26</v>
      </c>
      <c r="N329" s="108">
        <f t="shared" si="441"/>
        <v>1934.971111111111</v>
      </c>
      <c r="O329" s="108">
        <f t="shared" si="441"/>
        <v>121.9</v>
      </c>
      <c r="P329" s="108">
        <f t="shared" si="441"/>
        <v>1696</v>
      </c>
      <c r="Q329" s="108">
        <f t="shared" si="441"/>
        <v>3775.1311111111108</v>
      </c>
      <c r="R329" s="120"/>
      <c r="T329" s="188"/>
    </row>
    <row r="330" spans="1:20" x14ac:dyDescent="0.25">
      <c r="A330" s="101"/>
      <c r="B330" s="4">
        <v>1</v>
      </c>
      <c r="C330" s="6" t="s">
        <v>187</v>
      </c>
      <c r="D330" s="4"/>
      <c r="E330" s="101" t="str">
        <f>IFERROR(VLOOKUP(C330,Resources!B:D,3,FALSE)," ")</f>
        <v xml:space="preserve"> </v>
      </c>
      <c r="F330" s="9"/>
      <c r="G330" s="9"/>
      <c r="H330" s="9"/>
      <c r="I330" s="38" t="str">
        <f>IFERROR(VLOOKUP(C330,Resources!B:G,6,FALSE)," ")</f>
        <v xml:space="preserve"> </v>
      </c>
      <c r="J330" s="38"/>
      <c r="K330" s="9"/>
      <c r="L330" s="9"/>
      <c r="M330" s="38"/>
      <c r="N330" s="38"/>
      <c r="O330" s="38"/>
      <c r="P330" s="38"/>
      <c r="Q330" s="38"/>
      <c r="R330" s="122"/>
      <c r="T330" s="188"/>
    </row>
    <row r="331" spans="1:20" x14ac:dyDescent="0.25">
      <c r="A331" s="100"/>
      <c r="B331" s="3">
        <v>2</v>
      </c>
      <c r="C331" s="5" t="s">
        <v>188</v>
      </c>
      <c r="D331" s="3" t="s">
        <v>86</v>
      </c>
      <c r="E331" s="100" t="str">
        <f>IFERROR(VLOOKUP(C331,Resources!B:D,3,FALSE)," ")</f>
        <v>M</v>
      </c>
      <c r="F331" s="8">
        <v>1</v>
      </c>
      <c r="G331" s="8">
        <v>1</v>
      </c>
      <c r="H331" s="8">
        <f>H329*0.1*1.1</f>
        <v>5.830000000000001</v>
      </c>
      <c r="I331" s="109">
        <f>IFERROR(VLOOKUP(C331,Resources!B:G,6,FALSE)," ")</f>
        <v>170</v>
      </c>
      <c r="J331" s="109">
        <f t="shared" ref="J331:J334" si="442">(H331/(G331/F331))*I331</f>
        <v>991.10000000000014</v>
      </c>
      <c r="K331" s="8"/>
      <c r="L331" s="8" t="str">
        <f t="shared" ref="L331:L334" si="443">IF(E331="M"," ",H331/G331)</f>
        <v xml:space="preserve"> </v>
      </c>
      <c r="M331" s="109">
        <f t="shared" ref="M331:M334" si="444">IF($E331="L",$J331,0)</f>
        <v>0</v>
      </c>
      <c r="N331" s="109">
        <f t="shared" ref="N331:N334" si="445">IF($E331="M",$J331,0)</f>
        <v>991.10000000000014</v>
      </c>
      <c r="O331" s="109">
        <f t="shared" ref="O331:O334" si="446">IF($E331="P",$J331,0)</f>
        <v>0</v>
      </c>
      <c r="P331" s="109">
        <f t="shared" ref="P331:P334" si="447">IF($E331="S",$J331,0)</f>
        <v>0</v>
      </c>
      <c r="Q331" s="109">
        <f t="shared" ref="Q331:Q334" si="448">SUM(M331:P331)</f>
        <v>991.10000000000014</v>
      </c>
      <c r="R331" s="121" t="s">
        <v>2334</v>
      </c>
      <c r="T331" s="188"/>
    </row>
    <row r="332" spans="1:20" x14ac:dyDescent="0.25">
      <c r="A332" s="100"/>
      <c r="B332" s="3">
        <v>3</v>
      </c>
      <c r="C332" s="5" t="s">
        <v>81</v>
      </c>
      <c r="D332" s="3" t="s">
        <v>82</v>
      </c>
      <c r="E332" s="100" t="str">
        <f>IFERROR(VLOOKUP(C332,Resources!B:D,3,FALSE)," ")</f>
        <v>M</v>
      </c>
      <c r="F332" s="8">
        <v>1</v>
      </c>
      <c r="G332" s="8">
        <v>1</v>
      </c>
      <c r="H332" s="8">
        <f>H329*0.1*1.5</f>
        <v>7.9500000000000011</v>
      </c>
      <c r="I332" s="109">
        <f>IFERROR(VLOOKUP(C332,Resources!B:G,6,FALSE)," ")</f>
        <v>24</v>
      </c>
      <c r="J332" s="109">
        <f t="shared" si="442"/>
        <v>190.8</v>
      </c>
      <c r="K332" s="8"/>
      <c r="L332" s="8" t="str">
        <f t="shared" si="443"/>
        <v xml:space="preserve"> </v>
      </c>
      <c r="M332" s="109">
        <f t="shared" si="444"/>
        <v>0</v>
      </c>
      <c r="N332" s="109">
        <f t="shared" si="445"/>
        <v>190.8</v>
      </c>
      <c r="O332" s="109">
        <f t="shared" si="446"/>
        <v>0</v>
      </c>
      <c r="P332" s="109">
        <f t="shared" si="447"/>
        <v>0</v>
      </c>
      <c r="Q332" s="109">
        <f t="shared" si="448"/>
        <v>190.8</v>
      </c>
      <c r="R332" s="121" t="s">
        <v>2341</v>
      </c>
      <c r="T332" s="188"/>
    </row>
    <row r="333" spans="1:20" x14ac:dyDescent="0.25">
      <c r="A333" s="100"/>
      <c r="B333" s="3">
        <v>4</v>
      </c>
      <c r="C333" s="5" t="s">
        <v>189</v>
      </c>
      <c r="D333" s="3" t="s">
        <v>83</v>
      </c>
      <c r="E333" s="100" t="str">
        <f>IFERROR(VLOOKUP(C333,Resources!B:D,3,FALSE)," ")</f>
        <v>M</v>
      </c>
      <c r="F333" s="8">
        <v>1</v>
      </c>
      <c r="G333" s="8">
        <v>1</v>
      </c>
      <c r="H333" s="8">
        <f>H329*1.2</f>
        <v>63.599999999999994</v>
      </c>
      <c r="I333" s="109">
        <f>IFERROR(VLOOKUP(C333,Resources!B:G,6,FALSE)," ")</f>
        <v>9.1</v>
      </c>
      <c r="J333" s="109">
        <f t="shared" si="442"/>
        <v>578.75999999999988</v>
      </c>
      <c r="K333" s="8"/>
      <c r="L333" s="8" t="str">
        <f t="shared" si="443"/>
        <v xml:space="preserve"> </v>
      </c>
      <c r="M333" s="109">
        <f t="shared" si="444"/>
        <v>0</v>
      </c>
      <c r="N333" s="109">
        <f t="shared" si="445"/>
        <v>578.75999999999988</v>
      </c>
      <c r="O333" s="109">
        <f t="shared" si="446"/>
        <v>0</v>
      </c>
      <c r="P333" s="109">
        <f t="shared" si="447"/>
        <v>0</v>
      </c>
      <c r="Q333" s="109">
        <f t="shared" si="448"/>
        <v>578.75999999999988</v>
      </c>
      <c r="R333" s="121" t="s">
        <v>2343</v>
      </c>
      <c r="T333" s="188"/>
    </row>
    <row r="334" spans="1:20" x14ac:dyDescent="0.25">
      <c r="A334" s="100"/>
      <c r="B334" s="3">
        <v>5</v>
      </c>
      <c r="C334" s="5" t="s">
        <v>190</v>
      </c>
      <c r="D334" s="3" t="s">
        <v>89</v>
      </c>
      <c r="E334" s="100" t="str">
        <f>IFERROR(VLOOKUP(C334,Resources!B:D,3,FALSE)," ")</f>
        <v>M</v>
      </c>
      <c r="F334" s="8">
        <v>1</v>
      </c>
      <c r="G334" s="8">
        <v>1</v>
      </c>
      <c r="H334" s="8">
        <f>(H329/1.5)*1.2</f>
        <v>42.4</v>
      </c>
      <c r="I334" s="109">
        <f>IFERROR(VLOOKUP(C334,Resources!B:G,6,FALSE)," ")</f>
        <v>3</v>
      </c>
      <c r="J334" s="109">
        <f t="shared" si="442"/>
        <v>127.19999999999999</v>
      </c>
      <c r="K334" s="8"/>
      <c r="L334" s="8" t="str">
        <f t="shared" si="443"/>
        <v xml:space="preserve"> </v>
      </c>
      <c r="M334" s="109">
        <f t="shared" si="444"/>
        <v>0</v>
      </c>
      <c r="N334" s="109">
        <f t="shared" si="445"/>
        <v>127.19999999999999</v>
      </c>
      <c r="O334" s="109">
        <f t="shared" si="446"/>
        <v>0</v>
      </c>
      <c r="P334" s="109">
        <f t="shared" si="447"/>
        <v>0</v>
      </c>
      <c r="Q334" s="109">
        <f t="shared" si="448"/>
        <v>127.19999999999999</v>
      </c>
      <c r="R334" s="121" t="s">
        <v>2343</v>
      </c>
      <c r="T334" s="188"/>
    </row>
    <row r="335" spans="1:20" x14ac:dyDescent="0.25">
      <c r="A335" s="101"/>
      <c r="B335" s="4">
        <v>6</v>
      </c>
      <c r="C335" s="6" t="s">
        <v>191</v>
      </c>
      <c r="D335" s="4"/>
      <c r="E335" s="101" t="str">
        <f>IFERROR(VLOOKUP(C335,Resources!B:D,3,FALSE)," ")</f>
        <v xml:space="preserve"> </v>
      </c>
      <c r="F335" s="9"/>
      <c r="G335" s="9"/>
      <c r="H335" s="9"/>
      <c r="I335" s="38" t="str">
        <f>IFERROR(VLOOKUP(C335,Resources!B:G,6,FALSE)," ")</f>
        <v xml:space="preserve"> </v>
      </c>
      <c r="J335" s="38"/>
      <c r="K335" s="9"/>
      <c r="L335" s="9"/>
      <c r="M335" s="38"/>
      <c r="N335" s="38"/>
      <c r="O335" s="38"/>
      <c r="P335" s="38"/>
      <c r="Q335" s="38"/>
      <c r="R335" s="122"/>
      <c r="T335" s="188"/>
    </row>
    <row r="336" spans="1:20" x14ac:dyDescent="0.25">
      <c r="A336" s="100">
        <v>45.1</v>
      </c>
      <c r="B336" s="3">
        <v>7</v>
      </c>
      <c r="C336" s="5" t="s">
        <v>63</v>
      </c>
      <c r="D336" s="3" t="s">
        <v>48</v>
      </c>
      <c r="E336" s="100" t="str">
        <f>IFERROR(VLOOKUP(C336,Resources!B:D,3,FALSE)," ")</f>
        <v>P</v>
      </c>
      <c r="F336" s="8">
        <v>1</v>
      </c>
      <c r="G336" s="103">
        <f>VLOOKUP($A336,'Model Inputs'!$A:$D,4,FALSE)</f>
        <v>10</v>
      </c>
      <c r="H336" s="8">
        <f>H329*0.1</f>
        <v>5.3000000000000007</v>
      </c>
      <c r="I336" s="109">
        <f>IFERROR(VLOOKUP(C336,Resources!B:G,6,FALSE)," ")</f>
        <v>135</v>
      </c>
      <c r="J336" s="109">
        <f t="shared" ref="J336:J338" si="449">(H336/(G336/F336))*I336</f>
        <v>71.55</v>
      </c>
      <c r="K336" s="8">
        <f t="shared" ref="K336:K338" si="450">L336*F336</f>
        <v>0.53</v>
      </c>
      <c r="L336" s="8">
        <f t="shared" ref="L336:L338" si="451">IF(E336="M"," ",H336/G336)</f>
        <v>0.53</v>
      </c>
      <c r="M336" s="109">
        <f t="shared" ref="M336:M338" si="452">IF($E336="L",$J336,0)</f>
        <v>0</v>
      </c>
      <c r="N336" s="109">
        <f t="shared" ref="N336:N338" si="453">IF($E336="M",$J336,0)</f>
        <v>0</v>
      </c>
      <c r="O336" s="109">
        <f t="shared" ref="O336:O338" si="454">IF($E336="P",$J336,0)</f>
        <v>71.55</v>
      </c>
      <c r="P336" s="109">
        <f t="shared" ref="P336:P338" si="455">IF($E336="S",$J336,0)</f>
        <v>0</v>
      </c>
      <c r="Q336" s="109">
        <f t="shared" ref="Q336:Q338" si="456">SUM(M336:P336)</f>
        <v>71.55</v>
      </c>
      <c r="R336" s="121">
        <v>73</v>
      </c>
      <c r="T336" s="188"/>
    </row>
    <row r="337" spans="1:20" x14ac:dyDescent="0.25">
      <c r="A337" s="100"/>
      <c r="B337" s="3">
        <v>8</v>
      </c>
      <c r="C337" s="5" t="s">
        <v>173</v>
      </c>
      <c r="D337" s="3" t="s">
        <v>48</v>
      </c>
      <c r="E337" s="100" t="str">
        <f>IFERROR(VLOOKUP(C337,Resources!B:D,3,FALSE)," ")</f>
        <v>P</v>
      </c>
      <c r="F337" s="8">
        <v>1</v>
      </c>
      <c r="G337" s="8">
        <f>G336</f>
        <v>10</v>
      </c>
      <c r="H337" s="8">
        <f>H336</f>
        <v>5.3000000000000007</v>
      </c>
      <c r="I337" s="109">
        <f>IFERROR(VLOOKUP(C337,Resources!B:G,6,FALSE)," ")</f>
        <v>95</v>
      </c>
      <c r="J337" s="109">
        <f t="shared" si="449"/>
        <v>50.35</v>
      </c>
      <c r="K337" s="8">
        <f t="shared" si="450"/>
        <v>0.53</v>
      </c>
      <c r="L337" s="8">
        <f t="shared" si="451"/>
        <v>0.53</v>
      </c>
      <c r="M337" s="109">
        <f t="shared" si="452"/>
        <v>0</v>
      </c>
      <c r="N337" s="109">
        <f t="shared" si="453"/>
        <v>0</v>
      </c>
      <c r="O337" s="109">
        <f t="shared" si="454"/>
        <v>50.35</v>
      </c>
      <c r="P337" s="109">
        <f t="shared" si="455"/>
        <v>0</v>
      </c>
      <c r="Q337" s="109">
        <f t="shared" si="456"/>
        <v>50.35</v>
      </c>
      <c r="R337" s="121">
        <v>73</v>
      </c>
      <c r="T337" s="188"/>
    </row>
    <row r="338" spans="1:20" x14ac:dyDescent="0.25">
      <c r="A338" s="100"/>
      <c r="B338" s="3">
        <v>9</v>
      </c>
      <c r="C338" s="5" t="s">
        <v>8</v>
      </c>
      <c r="D338" s="3" t="s">
        <v>48</v>
      </c>
      <c r="E338" s="100" t="str">
        <f>IFERROR(VLOOKUP(C338,Resources!B:D,3,FALSE)," ")</f>
        <v>L</v>
      </c>
      <c r="F338" s="8">
        <v>1</v>
      </c>
      <c r="G338" s="8">
        <f>G336</f>
        <v>10</v>
      </c>
      <c r="H338" s="8">
        <f>H336</f>
        <v>5.3000000000000007</v>
      </c>
      <c r="I338" s="109">
        <f>IFERROR(VLOOKUP(C338,Resources!B:G,6,FALSE)," ")</f>
        <v>42</v>
      </c>
      <c r="J338" s="109">
        <f t="shared" si="449"/>
        <v>22.26</v>
      </c>
      <c r="K338" s="8">
        <f t="shared" si="450"/>
        <v>0.53</v>
      </c>
      <c r="L338" s="8">
        <f t="shared" si="451"/>
        <v>0.53</v>
      </c>
      <c r="M338" s="109">
        <f t="shared" si="452"/>
        <v>22.26</v>
      </c>
      <c r="N338" s="109">
        <f t="shared" si="453"/>
        <v>0</v>
      </c>
      <c r="O338" s="109">
        <f t="shared" si="454"/>
        <v>0</v>
      </c>
      <c r="P338" s="109">
        <f t="shared" si="455"/>
        <v>0</v>
      </c>
      <c r="Q338" s="109">
        <f t="shared" si="456"/>
        <v>22.26</v>
      </c>
      <c r="R338" s="121">
        <v>73</v>
      </c>
      <c r="T338" s="188"/>
    </row>
    <row r="339" spans="1:20" x14ac:dyDescent="0.25">
      <c r="A339" s="101"/>
      <c r="B339" s="4">
        <v>10</v>
      </c>
      <c r="C339" s="6" t="s">
        <v>192</v>
      </c>
      <c r="D339" s="4"/>
      <c r="E339" s="101" t="str">
        <f>IFERROR(VLOOKUP(C339,Resources!B:D,3,FALSE)," ")</f>
        <v xml:space="preserve"> </v>
      </c>
      <c r="F339" s="9"/>
      <c r="G339" s="9"/>
      <c r="H339" s="9"/>
      <c r="I339" s="38" t="str">
        <f>IFERROR(VLOOKUP(C339,Resources!B:G,6,FALSE)," ")</f>
        <v xml:space="preserve"> </v>
      </c>
      <c r="J339" s="38"/>
      <c r="K339" s="9"/>
      <c r="L339" s="9"/>
      <c r="M339" s="38"/>
      <c r="N339" s="38"/>
      <c r="O339" s="38"/>
      <c r="P339" s="38"/>
      <c r="Q339" s="38"/>
      <c r="R339" s="122"/>
      <c r="T339" s="188"/>
    </row>
    <row r="340" spans="1:20" x14ac:dyDescent="0.25">
      <c r="A340" s="100"/>
      <c r="B340" s="3">
        <v>11</v>
      </c>
      <c r="C340" s="5" t="s">
        <v>84</v>
      </c>
      <c r="D340" s="3" t="s">
        <v>29</v>
      </c>
      <c r="E340" s="100" t="str">
        <f>IFERROR(VLOOKUP(C340,Resources!B:D,3,FALSE)," ")</f>
        <v>M</v>
      </c>
      <c r="F340" s="8">
        <v>1</v>
      </c>
      <c r="G340" s="8">
        <v>1</v>
      </c>
      <c r="H340" s="8">
        <f>H329/0.9</f>
        <v>58.888888888888886</v>
      </c>
      <c r="I340" s="109">
        <f>IFERROR(VLOOKUP(C340,Resources!B:G,6,FALSE)," ")</f>
        <v>0.8</v>
      </c>
      <c r="J340" s="109">
        <f t="shared" ref="J340:J341" si="457">(H340/(G340/F340))*I340</f>
        <v>47.111111111111114</v>
      </c>
      <c r="K340" s="8"/>
      <c r="L340" s="8" t="str">
        <f t="shared" ref="L340" si="458">IF(E340="M"," ",H340/G340)</f>
        <v xml:space="preserve"> </v>
      </c>
      <c r="M340" s="109">
        <f t="shared" ref="M340:M341" si="459">IF($E340="L",$J340,0)</f>
        <v>0</v>
      </c>
      <c r="N340" s="109">
        <f t="shared" ref="N340:N341" si="460">IF($E340="M",$J340,0)</f>
        <v>47.111111111111114</v>
      </c>
      <c r="O340" s="109">
        <f t="shared" ref="O340:O341" si="461">IF($E340="P",$J340,0)</f>
        <v>0</v>
      </c>
      <c r="P340" s="109">
        <f t="shared" ref="P340:P341" si="462">IF($E340="S",$J340,0)</f>
        <v>0</v>
      </c>
      <c r="Q340" s="109">
        <f t="shared" ref="Q340:Q341" si="463">SUM(M340:P340)</f>
        <v>47.111111111111114</v>
      </c>
      <c r="R340" s="121" t="s">
        <v>2343</v>
      </c>
      <c r="T340" s="188"/>
    </row>
    <row r="341" spans="1:20" x14ac:dyDescent="0.25">
      <c r="A341" s="100"/>
      <c r="B341" s="3">
        <v>12</v>
      </c>
      <c r="C341" s="5" t="s">
        <v>193</v>
      </c>
      <c r="D341" s="3" t="s">
        <v>83</v>
      </c>
      <c r="E341" s="100" t="str">
        <f>IFERROR(VLOOKUP(C341,Resources!B:D,3,FALSE)," ")</f>
        <v>S</v>
      </c>
      <c r="F341" s="8">
        <v>1</v>
      </c>
      <c r="G341" s="8">
        <v>1</v>
      </c>
      <c r="H341" s="8">
        <f>H329</f>
        <v>53</v>
      </c>
      <c r="I341" s="109">
        <f>IFERROR(VLOOKUP(C341,Resources!B:G,6,FALSE)," ")</f>
        <v>32</v>
      </c>
      <c r="J341" s="109">
        <f t="shared" si="457"/>
        <v>1696</v>
      </c>
      <c r="K341" s="8"/>
      <c r="L341" s="8">
        <f>H341/25</f>
        <v>2.12</v>
      </c>
      <c r="M341" s="109">
        <f t="shared" si="459"/>
        <v>0</v>
      </c>
      <c r="N341" s="109">
        <f t="shared" si="460"/>
        <v>0</v>
      </c>
      <c r="O341" s="109">
        <f t="shared" si="461"/>
        <v>0</v>
      </c>
      <c r="P341" s="109">
        <f t="shared" si="462"/>
        <v>1696</v>
      </c>
      <c r="Q341" s="109">
        <f t="shared" si="463"/>
        <v>1696</v>
      </c>
      <c r="R341" s="121">
        <v>73</v>
      </c>
      <c r="T341" s="188"/>
    </row>
    <row r="342" spans="1:20" x14ac:dyDescent="0.25">
      <c r="A342" s="101"/>
      <c r="B342" s="4"/>
      <c r="C342" s="6"/>
      <c r="D342" s="4"/>
      <c r="E342" s="101" t="str">
        <f>IFERROR(VLOOKUP(C342,Resources!B:D,3,FALSE)," ")</f>
        <v xml:space="preserve"> </v>
      </c>
      <c r="F342" s="9"/>
      <c r="G342" s="9"/>
      <c r="H342" s="9"/>
      <c r="I342" s="38" t="str">
        <f>IFERROR(VLOOKUP(C342,Resources!B:G,6,FALSE)," ")</f>
        <v xml:space="preserve"> </v>
      </c>
      <c r="J342" s="38"/>
      <c r="K342" s="9"/>
      <c r="L342" s="9"/>
      <c r="M342" s="38"/>
      <c r="N342" s="38"/>
      <c r="O342" s="38"/>
      <c r="P342" s="38"/>
      <c r="Q342" s="38"/>
      <c r="R342" s="122"/>
      <c r="T342" s="188"/>
    </row>
    <row r="343" spans="1:20" ht="30" x14ac:dyDescent="0.25">
      <c r="A343" s="114">
        <v>46</v>
      </c>
      <c r="B343" s="1" t="s">
        <v>234</v>
      </c>
      <c r="C343" s="1" t="s">
        <v>235</v>
      </c>
      <c r="D343" s="2" t="s">
        <v>29</v>
      </c>
      <c r="E343" s="99" t="str">
        <f>IFERROR(VLOOKUP(C343,Resources!B:D,3,FALSE)," ")</f>
        <v xml:space="preserve"> </v>
      </c>
      <c r="F343" s="7"/>
      <c r="G343" s="7"/>
      <c r="H343" s="103">
        <f>VLOOKUP($A343,'Model Inputs'!$A:$D,4,FALSE)</f>
        <v>2</v>
      </c>
      <c r="I343" s="108" t="str">
        <f>IFERROR(VLOOKUP(C343,Resources!B:G,6,FALSE)," ")</f>
        <v xml:space="preserve"> </v>
      </c>
      <c r="J343" s="108">
        <f>SUBTOTAL(9,J344:J345)</f>
        <v>1570</v>
      </c>
      <c r="K343" s="7"/>
      <c r="L343" s="7">
        <f>ROUNDUP(L345,0)</f>
        <v>1</v>
      </c>
      <c r="M343" s="108">
        <f t="shared" ref="M343:Q343" si="464">SUBTOTAL(9,M344:M345)</f>
        <v>0</v>
      </c>
      <c r="N343" s="108">
        <f t="shared" si="464"/>
        <v>170</v>
      </c>
      <c r="O343" s="108">
        <f t="shared" si="464"/>
        <v>0</v>
      </c>
      <c r="P343" s="108">
        <f t="shared" si="464"/>
        <v>1400</v>
      </c>
      <c r="Q343" s="108">
        <f t="shared" si="464"/>
        <v>1570</v>
      </c>
      <c r="R343" s="120"/>
      <c r="T343" s="188"/>
    </row>
    <row r="344" spans="1:20" x14ac:dyDescent="0.25">
      <c r="A344" s="100"/>
      <c r="B344" s="3">
        <v>1</v>
      </c>
      <c r="C344" s="5" t="s">
        <v>188</v>
      </c>
      <c r="D344" s="3" t="s">
        <v>86</v>
      </c>
      <c r="E344" s="100" t="str">
        <f>IFERROR(VLOOKUP(C344,Resources!B:D,3,FALSE)," ")</f>
        <v>M</v>
      </c>
      <c r="F344" s="8">
        <v>1</v>
      </c>
      <c r="G344" s="8">
        <v>1</v>
      </c>
      <c r="H344" s="8">
        <f>H343/2</f>
        <v>1</v>
      </c>
      <c r="I344" s="109">
        <f>IFERROR(VLOOKUP(C344,Resources!B:G,6,FALSE)," ")</f>
        <v>170</v>
      </c>
      <c r="J344" s="109">
        <f t="shared" ref="J344:J345" si="465">(H344/(G344/F344))*I344</f>
        <v>170</v>
      </c>
      <c r="K344" s="8"/>
      <c r="L344" s="8"/>
      <c r="M344" s="109">
        <f t="shared" ref="M344:M345" si="466">IF($E344="L",$J344,0)</f>
        <v>0</v>
      </c>
      <c r="N344" s="109">
        <f t="shared" ref="N344:N345" si="467">IF($E344="M",$J344,0)</f>
        <v>170</v>
      </c>
      <c r="O344" s="109">
        <f t="shared" ref="O344:O345" si="468">IF($E344="P",$J344,0)</f>
        <v>0</v>
      </c>
      <c r="P344" s="109">
        <f t="shared" ref="P344:P345" si="469">IF($E344="S",$J344,0)</f>
        <v>0</v>
      </c>
      <c r="Q344" s="109">
        <f t="shared" ref="Q344:Q345" si="470">SUM(M344:P344)</f>
        <v>170</v>
      </c>
      <c r="R344" s="121" t="s">
        <v>2334</v>
      </c>
      <c r="T344" s="188"/>
    </row>
    <row r="345" spans="1:20" x14ac:dyDescent="0.25">
      <c r="A345" s="100"/>
      <c r="B345" s="3">
        <v>2</v>
      </c>
      <c r="C345" s="5" t="s">
        <v>236</v>
      </c>
      <c r="D345" s="3" t="s">
        <v>29</v>
      </c>
      <c r="E345" s="100" t="str">
        <f>IFERROR(VLOOKUP(C345,Resources!B:D,3,FALSE)," ")</f>
        <v>S</v>
      </c>
      <c r="F345" s="8">
        <v>1</v>
      </c>
      <c r="G345" s="8">
        <v>1</v>
      </c>
      <c r="H345" s="8">
        <f>H343</f>
        <v>2</v>
      </c>
      <c r="I345" s="109">
        <f>IFERROR(VLOOKUP(C345,Resources!B:G,6,FALSE)," ")</f>
        <v>700</v>
      </c>
      <c r="J345" s="109">
        <f t="shared" si="465"/>
        <v>1400</v>
      </c>
      <c r="K345" s="8"/>
      <c r="L345" s="8">
        <f>H345/2</f>
        <v>1</v>
      </c>
      <c r="M345" s="109">
        <f t="shared" si="466"/>
        <v>0</v>
      </c>
      <c r="N345" s="109">
        <f t="shared" si="467"/>
        <v>0</v>
      </c>
      <c r="O345" s="109">
        <f t="shared" si="468"/>
        <v>0</v>
      </c>
      <c r="P345" s="109">
        <f t="shared" si="469"/>
        <v>1400</v>
      </c>
      <c r="Q345" s="109">
        <f t="shared" si="470"/>
        <v>1400</v>
      </c>
      <c r="R345" s="121">
        <v>73</v>
      </c>
      <c r="T345" s="188"/>
    </row>
    <row r="346" spans="1:20" x14ac:dyDescent="0.25">
      <c r="A346" s="101"/>
      <c r="B346" s="4"/>
      <c r="C346" s="6"/>
      <c r="D346" s="4"/>
      <c r="E346" s="101" t="str">
        <f>IFERROR(VLOOKUP(C346,Resources!B:D,3,FALSE)," ")</f>
        <v xml:space="preserve"> </v>
      </c>
      <c r="F346" s="9"/>
      <c r="G346" s="9"/>
      <c r="H346" s="9"/>
      <c r="I346" s="38" t="str">
        <f>IFERROR(VLOOKUP(C346,Resources!B:G,6,FALSE)," ")</f>
        <v xml:space="preserve"> </v>
      </c>
      <c r="J346" s="38"/>
      <c r="K346" s="9"/>
      <c r="L346" s="9"/>
      <c r="M346" s="38"/>
      <c r="N346" s="38"/>
      <c r="O346" s="38"/>
      <c r="P346" s="38"/>
      <c r="Q346" s="38"/>
      <c r="R346" s="122"/>
      <c r="T346" s="188"/>
    </row>
    <row r="347" spans="1:20" ht="30" x14ac:dyDescent="0.25">
      <c r="A347" s="114">
        <v>47</v>
      </c>
      <c r="B347" s="1" t="s">
        <v>237</v>
      </c>
      <c r="C347" s="1" t="s">
        <v>238</v>
      </c>
      <c r="D347" s="2" t="s">
        <v>29</v>
      </c>
      <c r="E347" s="99" t="str">
        <f>IFERROR(VLOOKUP(C347,Resources!B:D,3,FALSE)," ")</f>
        <v xml:space="preserve"> </v>
      </c>
      <c r="F347" s="7"/>
      <c r="G347" s="7"/>
      <c r="H347" s="103">
        <f>VLOOKUP($A347,'Model Inputs'!$A:$D,4,FALSE)</f>
        <v>1</v>
      </c>
      <c r="I347" s="108" t="str">
        <f>IFERROR(VLOOKUP(C347,Resources!B:G,6,FALSE)," ")</f>
        <v xml:space="preserve"> </v>
      </c>
      <c r="J347" s="108">
        <f>SUBTOTAL(9,J350:J360)</f>
        <v>1534.5700000000002</v>
      </c>
      <c r="K347" s="7"/>
      <c r="L347" s="7">
        <f>ROUNDUP((MAX(L355:L357)/Workhrs+L360),0)+1</f>
        <v>2</v>
      </c>
      <c r="M347" s="108">
        <f t="shared" ref="M347:Q347" si="471">SUBTOTAL(9,M350:M360)</f>
        <v>7.56</v>
      </c>
      <c r="N347" s="108">
        <f t="shared" si="471"/>
        <v>909.61000000000013</v>
      </c>
      <c r="O347" s="108">
        <f t="shared" si="471"/>
        <v>41.4</v>
      </c>
      <c r="P347" s="108">
        <f t="shared" si="471"/>
        <v>576</v>
      </c>
      <c r="Q347" s="108">
        <f t="shared" si="471"/>
        <v>1534.5700000000002</v>
      </c>
      <c r="R347" s="120"/>
      <c r="T347" s="188"/>
    </row>
    <row r="348" spans="1:20" x14ac:dyDescent="0.25">
      <c r="A348" s="101"/>
      <c r="B348" s="4">
        <v>1</v>
      </c>
      <c r="C348" s="6" t="s">
        <v>187</v>
      </c>
      <c r="D348" s="4"/>
      <c r="E348" s="101" t="str">
        <f>IFERROR(VLOOKUP(C348,Resources!B:D,3,FALSE)," ")</f>
        <v xml:space="preserve"> </v>
      </c>
      <c r="F348" s="9"/>
      <c r="G348" s="9"/>
      <c r="H348" s="9"/>
      <c r="I348" s="38" t="str">
        <f>IFERROR(VLOOKUP(C348,Resources!B:G,6,FALSE)," ")</f>
        <v xml:space="preserve"> </v>
      </c>
      <c r="J348" s="38"/>
      <c r="K348" s="9"/>
      <c r="L348" s="9"/>
      <c r="M348" s="38"/>
      <c r="N348" s="38"/>
      <c r="O348" s="38"/>
      <c r="P348" s="38"/>
      <c r="Q348" s="38"/>
      <c r="R348" s="122"/>
      <c r="T348" s="188"/>
    </row>
    <row r="349" spans="1:20" ht="30" x14ac:dyDescent="0.25">
      <c r="A349" s="101"/>
      <c r="B349" s="4"/>
      <c r="C349" s="6" t="s">
        <v>2366</v>
      </c>
      <c r="D349" s="4"/>
      <c r="E349" s="101"/>
      <c r="F349" s="9"/>
      <c r="G349" s="9"/>
      <c r="H349" s="9"/>
      <c r="I349" s="38"/>
      <c r="J349" s="38"/>
      <c r="K349" s="9"/>
      <c r="L349" s="9"/>
      <c r="M349" s="38"/>
      <c r="N349" s="38"/>
      <c r="O349" s="38"/>
      <c r="P349" s="38"/>
      <c r="Q349" s="38"/>
      <c r="R349" s="122"/>
      <c r="T349" s="188"/>
    </row>
    <row r="350" spans="1:20" x14ac:dyDescent="0.25">
      <c r="A350" s="100"/>
      <c r="B350" s="3">
        <v>2</v>
      </c>
      <c r="C350" s="5" t="s">
        <v>188</v>
      </c>
      <c r="D350" s="3" t="s">
        <v>86</v>
      </c>
      <c r="E350" s="100" t="str">
        <f>IFERROR(VLOOKUP(C350,Resources!B:D,3,FALSE)," ")</f>
        <v>M</v>
      </c>
      <c r="F350" s="8">
        <v>1</v>
      </c>
      <c r="G350" s="8">
        <v>1</v>
      </c>
      <c r="H350" s="8">
        <f>H347*18*0.175*1.1</f>
        <v>3.4650000000000003</v>
      </c>
      <c r="I350" s="109">
        <f>IFERROR(VLOOKUP(C350,Resources!B:G,6,FALSE)," ")</f>
        <v>170</v>
      </c>
      <c r="J350" s="109">
        <f t="shared" ref="J350:J353" si="472">(H350/(G350/F350))*I350</f>
        <v>589.05000000000007</v>
      </c>
      <c r="K350" s="8"/>
      <c r="L350" s="8" t="str">
        <f t="shared" ref="L350:L353" si="473">IF(E350="M"," ",H350/G350)</f>
        <v xml:space="preserve"> </v>
      </c>
      <c r="M350" s="109">
        <f t="shared" ref="M350:M353" si="474">IF($E350="L",$J350,0)</f>
        <v>0</v>
      </c>
      <c r="N350" s="109">
        <f t="shared" ref="N350:N353" si="475">IF($E350="M",$J350,0)</f>
        <v>589.05000000000007</v>
      </c>
      <c r="O350" s="109">
        <f t="shared" ref="O350:O353" si="476">IF($E350="P",$J350,0)</f>
        <v>0</v>
      </c>
      <c r="P350" s="109">
        <f t="shared" ref="P350:P353" si="477">IF($E350="S",$J350,0)</f>
        <v>0</v>
      </c>
      <c r="Q350" s="109">
        <f t="shared" ref="Q350:Q353" si="478">SUM(M350:P350)</f>
        <v>589.05000000000007</v>
      </c>
      <c r="R350" s="121" t="s">
        <v>2334</v>
      </c>
      <c r="T350" s="188"/>
    </row>
    <row r="351" spans="1:20" x14ac:dyDescent="0.25">
      <c r="A351" s="100"/>
      <c r="B351" s="3">
        <v>3</v>
      </c>
      <c r="C351" s="5" t="s">
        <v>81</v>
      </c>
      <c r="D351" s="3" t="s">
        <v>82</v>
      </c>
      <c r="E351" s="100" t="str">
        <f>IFERROR(VLOOKUP(C351,Resources!B:D,3,FALSE)," ")</f>
        <v>M</v>
      </c>
      <c r="F351" s="8">
        <v>1</v>
      </c>
      <c r="G351" s="8">
        <v>1</v>
      </c>
      <c r="H351" s="8">
        <f>H347*18*0.1*1.5</f>
        <v>2.7</v>
      </c>
      <c r="I351" s="109">
        <f>IFERROR(VLOOKUP(C351,Resources!B:G,6,FALSE)," ")</f>
        <v>24</v>
      </c>
      <c r="J351" s="109">
        <f t="shared" si="472"/>
        <v>64.800000000000011</v>
      </c>
      <c r="K351" s="8"/>
      <c r="L351" s="8" t="str">
        <f t="shared" si="473"/>
        <v xml:space="preserve"> </v>
      </c>
      <c r="M351" s="109">
        <f t="shared" si="474"/>
        <v>0</v>
      </c>
      <c r="N351" s="109">
        <f t="shared" si="475"/>
        <v>64.800000000000011</v>
      </c>
      <c r="O351" s="109">
        <f t="shared" si="476"/>
        <v>0</v>
      </c>
      <c r="P351" s="109">
        <f t="shared" si="477"/>
        <v>0</v>
      </c>
      <c r="Q351" s="109">
        <f t="shared" si="478"/>
        <v>64.800000000000011</v>
      </c>
      <c r="R351" s="121" t="s">
        <v>2341</v>
      </c>
      <c r="T351" s="188"/>
    </row>
    <row r="352" spans="1:20" x14ac:dyDescent="0.25">
      <c r="A352" s="100"/>
      <c r="B352" s="3">
        <v>4</v>
      </c>
      <c r="C352" s="5" t="s">
        <v>189</v>
      </c>
      <c r="D352" s="3" t="s">
        <v>83</v>
      </c>
      <c r="E352" s="100" t="str">
        <f>IFERROR(VLOOKUP(C352,Resources!B:D,3,FALSE)," ")</f>
        <v>M</v>
      </c>
      <c r="F352" s="8">
        <v>1</v>
      </c>
      <c r="G352" s="8">
        <v>1</v>
      </c>
      <c r="H352" s="8">
        <f>H347*18*1.2</f>
        <v>21.599999999999998</v>
      </c>
      <c r="I352" s="109">
        <f>IFERROR(VLOOKUP(C352,Resources!B:G,6,FALSE)," ")</f>
        <v>9.1</v>
      </c>
      <c r="J352" s="109">
        <f t="shared" si="472"/>
        <v>196.55999999999997</v>
      </c>
      <c r="K352" s="8"/>
      <c r="L352" s="8" t="str">
        <f t="shared" si="473"/>
        <v xml:space="preserve"> </v>
      </c>
      <c r="M352" s="109">
        <f t="shared" si="474"/>
        <v>0</v>
      </c>
      <c r="N352" s="109">
        <f t="shared" si="475"/>
        <v>196.55999999999997</v>
      </c>
      <c r="O352" s="109">
        <f t="shared" si="476"/>
        <v>0</v>
      </c>
      <c r="P352" s="109">
        <f t="shared" si="477"/>
        <v>0</v>
      </c>
      <c r="Q352" s="109">
        <f t="shared" si="478"/>
        <v>196.55999999999997</v>
      </c>
      <c r="R352" s="121" t="s">
        <v>2343</v>
      </c>
      <c r="T352" s="188"/>
    </row>
    <row r="353" spans="1:20" x14ac:dyDescent="0.25">
      <c r="A353" s="100"/>
      <c r="B353" s="3">
        <v>5</v>
      </c>
      <c r="C353" s="5" t="s">
        <v>190</v>
      </c>
      <c r="D353" s="3" t="s">
        <v>89</v>
      </c>
      <c r="E353" s="100" t="str">
        <f>IFERROR(VLOOKUP(C353,Resources!B:D,3,FALSE)," ")</f>
        <v>M</v>
      </c>
      <c r="F353" s="8">
        <v>1</v>
      </c>
      <c r="G353" s="8">
        <v>1</v>
      </c>
      <c r="H353" s="8">
        <f>H347*18*1.2/1.5</f>
        <v>14.399999999999999</v>
      </c>
      <c r="I353" s="109">
        <f>IFERROR(VLOOKUP(C353,Resources!B:G,6,FALSE)," ")</f>
        <v>3</v>
      </c>
      <c r="J353" s="109">
        <f t="shared" si="472"/>
        <v>43.199999999999996</v>
      </c>
      <c r="K353" s="8"/>
      <c r="L353" s="8" t="str">
        <f t="shared" si="473"/>
        <v xml:space="preserve"> </v>
      </c>
      <c r="M353" s="109">
        <f t="shared" si="474"/>
        <v>0</v>
      </c>
      <c r="N353" s="109">
        <f t="shared" si="475"/>
        <v>43.199999999999996</v>
      </c>
      <c r="O353" s="109">
        <f t="shared" si="476"/>
        <v>0</v>
      </c>
      <c r="P353" s="109">
        <f t="shared" si="477"/>
        <v>0</v>
      </c>
      <c r="Q353" s="109">
        <f t="shared" si="478"/>
        <v>43.199999999999996</v>
      </c>
      <c r="R353" s="121" t="s">
        <v>2343</v>
      </c>
      <c r="T353" s="188"/>
    </row>
    <row r="354" spans="1:20" x14ac:dyDescent="0.25">
      <c r="A354" s="101"/>
      <c r="B354" s="4">
        <v>6</v>
      </c>
      <c r="C354" s="6" t="s">
        <v>191</v>
      </c>
      <c r="D354" s="4"/>
      <c r="E354" s="101" t="str">
        <f>IFERROR(VLOOKUP(C354,Resources!B:D,3,FALSE)," ")</f>
        <v xml:space="preserve"> </v>
      </c>
      <c r="F354" s="9"/>
      <c r="G354" s="9"/>
      <c r="H354" s="9"/>
      <c r="I354" s="38" t="str">
        <f>IFERROR(VLOOKUP(C354,Resources!B:G,6,FALSE)," ")</f>
        <v xml:space="preserve"> </v>
      </c>
      <c r="J354" s="38"/>
      <c r="K354" s="9"/>
      <c r="L354" s="9"/>
      <c r="M354" s="38"/>
      <c r="N354" s="38"/>
      <c r="O354" s="38"/>
      <c r="P354" s="38"/>
      <c r="Q354" s="38"/>
      <c r="R354" s="122"/>
      <c r="T354" s="188"/>
    </row>
    <row r="355" spans="1:20" x14ac:dyDescent="0.25">
      <c r="A355" s="100">
        <v>47.1</v>
      </c>
      <c r="B355" s="3">
        <v>7</v>
      </c>
      <c r="C355" s="5" t="s">
        <v>63</v>
      </c>
      <c r="D355" s="3" t="s">
        <v>48</v>
      </c>
      <c r="E355" s="100" t="str">
        <f>IFERROR(VLOOKUP(C355,Resources!B:D,3,FALSE)," ")</f>
        <v>P</v>
      </c>
      <c r="F355" s="8">
        <v>1</v>
      </c>
      <c r="G355" s="103">
        <f>VLOOKUP($A355,'Model Inputs'!$A:$D,4,FALSE)</f>
        <v>10</v>
      </c>
      <c r="H355" s="8">
        <f>H347*18*0.1</f>
        <v>1.8</v>
      </c>
      <c r="I355" s="109">
        <f>IFERROR(VLOOKUP(C355,Resources!B:G,6,FALSE)," ")</f>
        <v>135</v>
      </c>
      <c r="J355" s="109">
        <f t="shared" ref="J355:J357" si="479">(H355/(G355/F355))*I355</f>
        <v>24.3</v>
      </c>
      <c r="K355" s="8">
        <f t="shared" ref="K355:K357" si="480">L355*F355</f>
        <v>0.18</v>
      </c>
      <c r="L355" s="8">
        <f t="shared" ref="L355:L357" si="481">IF(E355="M"," ",H355/G355)</f>
        <v>0.18</v>
      </c>
      <c r="M355" s="109">
        <f t="shared" ref="M355:M357" si="482">IF($E355="L",$J355,0)</f>
        <v>0</v>
      </c>
      <c r="N355" s="109">
        <f t="shared" ref="N355:N357" si="483">IF($E355="M",$J355,0)</f>
        <v>0</v>
      </c>
      <c r="O355" s="109">
        <f t="shared" ref="O355:O357" si="484">IF($E355="P",$J355,0)</f>
        <v>24.3</v>
      </c>
      <c r="P355" s="109">
        <f t="shared" ref="P355:P357" si="485">IF($E355="S",$J355,0)</f>
        <v>0</v>
      </c>
      <c r="Q355" s="109">
        <f t="shared" ref="Q355:Q357" si="486">SUM(M355:P355)</f>
        <v>24.3</v>
      </c>
      <c r="R355" s="121">
        <v>73</v>
      </c>
      <c r="T355" s="188"/>
    </row>
    <row r="356" spans="1:20" x14ac:dyDescent="0.25">
      <c r="A356" s="100"/>
      <c r="B356" s="3">
        <v>8</v>
      </c>
      <c r="C356" s="5" t="s">
        <v>173</v>
      </c>
      <c r="D356" s="3" t="s">
        <v>48</v>
      </c>
      <c r="E356" s="100" t="str">
        <f>IFERROR(VLOOKUP(C356,Resources!B:D,3,FALSE)," ")</f>
        <v>P</v>
      </c>
      <c r="F356" s="8">
        <v>1</v>
      </c>
      <c r="G356" s="8">
        <f>G355</f>
        <v>10</v>
      </c>
      <c r="H356" s="8">
        <f>H355</f>
        <v>1.8</v>
      </c>
      <c r="I356" s="109">
        <f>IFERROR(VLOOKUP(C356,Resources!B:G,6,FALSE)," ")</f>
        <v>95</v>
      </c>
      <c r="J356" s="109">
        <f t="shared" si="479"/>
        <v>17.099999999999998</v>
      </c>
      <c r="K356" s="8">
        <f t="shared" si="480"/>
        <v>0.18</v>
      </c>
      <c r="L356" s="8">
        <f t="shared" si="481"/>
        <v>0.18</v>
      </c>
      <c r="M356" s="109">
        <f t="shared" si="482"/>
        <v>0</v>
      </c>
      <c r="N356" s="109">
        <f t="shared" si="483"/>
        <v>0</v>
      </c>
      <c r="O356" s="109">
        <f t="shared" si="484"/>
        <v>17.099999999999998</v>
      </c>
      <c r="P356" s="109">
        <f t="shared" si="485"/>
        <v>0</v>
      </c>
      <c r="Q356" s="109">
        <f t="shared" si="486"/>
        <v>17.099999999999998</v>
      </c>
      <c r="R356" s="121">
        <v>73</v>
      </c>
      <c r="T356" s="188"/>
    </row>
    <row r="357" spans="1:20" x14ac:dyDescent="0.25">
      <c r="A357" s="100"/>
      <c r="B357" s="3">
        <v>9</v>
      </c>
      <c r="C357" s="5" t="s">
        <v>8</v>
      </c>
      <c r="D357" s="3" t="s">
        <v>48</v>
      </c>
      <c r="E357" s="100" t="str">
        <f>IFERROR(VLOOKUP(C357,Resources!B:D,3,FALSE)," ")</f>
        <v>L</v>
      </c>
      <c r="F357" s="8">
        <v>1</v>
      </c>
      <c r="G357" s="8">
        <f>G355</f>
        <v>10</v>
      </c>
      <c r="H357" s="8">
        <f>H355</f>
        <v>1.8</v>
      </c>
      <c r="I357" s="109">
        <f>IFERROR(VLOOKUP(C357,Resources!B:G,6,FALSE)," ")</f>
        <v>42</v>
      </c>
      <c r="J357" s="109">
        <f t="shared" si="479"/>
        <v>7.56</v>
      </c>
      <c r="K357" s="8">
        <f t="shared" si="480"/>
        <v>0.18</v>
      </c>
      <c r="L357" s="8">
        <f t="shared" si="481"/>
        <v>0.18</v>
      </c>
      <c r="M357" s="109">
        <f t="shared" si="482"/>
        <v>7.56</v>
      </c>
      <c r="N357" s="109">
        <f t="shared" si="483"/>
        <v>0</v>
      </c>
      <c r="O357" s="109">
        <f t="shared" si="484"/>
        <v>0</v>
      </c>
      <c r="P357" s="109">
        <f t="shared" si="485"/>
        <v>0</v>
      </c>
      <c r="Q357" s="109">
        <f t="shared" si="486"/>
        <v>7.56</v>
      </c>
      <c r="R357" s="121">
        <v>73</v>
      </c>
      <c r="T357" s="188"/>
    </row>
    <row r="358" spans="1:20" x14ac:dyDescent="0.25">
      <c r="A358" s="101"/>
      <c r="B358" s="4">
        <v>10</v>
      </c>
      <c r="C358" s="6" t="s">
        <v>192</v>
      </c>
      <c r="D358" s="4"/>
      <c r="E358" s="101" t="str">
        <f>IFERROR(VLOOKUP(C358,Resources!B:D,3,FALSE)," ")</f>
        <v xml:space="preserve"> </v>
      </c>
      <c r="F358" s="9"/>
      <c r="G358" s="9"/>
      <c r="H358" s="9"/>
      <c r="I358" s="38" t="str">
        <f>IFERROR(VLOOKUP(C358,Resources!B:G,6,FALSE)," ")</f>
        <v xml:space="preserve"> </v>
      </c>
      <c r="J358" s="38"/>
      <c r="K358" s="9"/>
      <c r="L358" s="9"/>
      <c r="M358" s="38"/>
      <c r="N358" s="38"/>
      <c r="O358" s="38"/>
      <c r="P358" s="38"/>
      <c r="Q358" s="38"/>
      <c r="R358" s="122"/>
      <c r="T358" s="188"/>
    </row>
    <row r="359" spans="1:20" x14ac:dyDescent="0.25">
      <c r="A359" s="100"/>
      <c r="B359" s="3">
        <v>11</v>
      </c>
      <c r="C359" s="5" t="s">
        <v>84</v>
      </c>
      <c r="D359" s="3" t="s">
        <v>29</v>
      </c>
      <c r="E359" s="100" t="str">
        <f>IFERROR(VLOOKUP(C359,Resources!B:D,3,FALSE)," ")</f>
        <v>M</v>
      </c>
      <c r="F359" s="8">
        <v>1</v>
      </c>
      <c r="G359" s="8">
        <v>1</v>
      </c>
      <c r="H359" s="8">
        <f>H347*18/0.9</f>
        <v>20</v>
      </c>
      <c r="I359" s="109">
        <f>IFERROR(VLOOKUP(C359,Resources!B:G,6,FALSE)," ")</f>
        <v>0.8</v>
      </c>
      <c r="J359" s="109">
        <f t="shared" ref="J359:J360" si="487">(H359/(G359/F359))*I359</f>
        <v>16</v>
      </c>
      <c r="K359" s="8"/>
      <c r="L359" s="8" t="str">
        <f t="shared" ref="L359" si="488">IF(E359="M"," ",H359/G359)</f>
        <v xml:space="preserve"> </v>
      </c>
      <c r="M359" s="109">
        <f t="shared" ref="M359:M360" si="489">IF($E359="L",$J359,0)</f>
        <v>0</v>
      </c>
      <c r="N359" s="109">
        <f t="shared" ref="N359:N360" si="490">IF($E359="M",$J359,0)</f>
        <v>16</v>
      </c>
      <c r="O359" s="109">
        <f t="shared" ref="O359:O360" si="491">IF($E359="P",$J359,0)</f>
        <v>0</v>
      </c>
      <c r="P359" s="109">
        <f t="shared" ref="P359:P360" si="492">IF($E359="S",$J359,0)</f>
        <v>0</v>
      </c>
      <c r="Q359" s="109">
        <f t="shared" ref="Q359:Q360" si="493">SUM(M359:P359)</f>
        <v>16</v>
      </c>
      <c r="R359" s="121" t="s">
        <v>2343</v>
      </c>
      <c r="T359" s="188"/>
    </row>
    <row r="360" spans="1:20" x14ac:dyDescent="0.25">
      <c r="A360" s="100"/>
      <c r="B360" s="3">
        <v>12</v>
      </c>
      <c r="C360" s="5" t="s">
        <v>193</v>
      </c>
      <c r="D360" s="3" t="s">
        <v>83</v>
      </c>
      <c r="E360" s="100" t="str">
        <f>IFERROR(VLOOKUP(C360,Resources!B:D,3,FALSE)," ")</f>
        <v>S</v>
      </c>
      <c r="F360" s="8">
        <v>1</v>
      </c>
      <c r="G360" s="8">
        <v>1</v>
      </c>
      <c r="H360" s="8">
        <f>H347*18</f>
        <v>18</v>
      </c>
      <c r="I360" s="109">
        <f>IFERROR(VLOOKUP(C360,Resources!B:G,6,FALSE)," ")</f>
        <v>32</v>
      </c>
      <c r="J360" s="109">
        <f t="shared" si="487"/>
        <v>576</v>
      </c>
      <c r="K360" s="8"/>
      <c r="L360" s="8">
        <f>H360/25</f>
        <v>0.72</v>
      </c>
      <c r="M360" s="109">
        <f t="shared" si="489"/>
        <v>0</v>
      </c>
      <c r="N360" s="109">
        <f t="shared" si="490"/>
        <v>0</v>
      </c>
      <c r="O360" s="109">
        <f t="shared" si="491"/>
        <v>0</v>
      </c>
      <c r="P360" s="109">
        <f t="shared" si="492"/>
        <v>576</v>
      </c>
      <c r="Q360" s="109">
        <f t="shared" si="493"/>
        <v>576</v>
      </c>
      <c r="R360" s="121">
        <v>73</v>
      </c>
      <c r="T360" s="188"/>
    </row>
    <row r="361" spans="1:20" x14ac:dyDescent="0.25">
      <c r="A361" s="101"/>
      <c r="B361" s="4"/>
      <c r="C361" s="6"/>
      <c r="D361" s="4"/>
      <c r="E361" s="101" t="str">
        <f>IFERROR(VLOOKUP(C361,Resources!B:D,3,FALSE)," ")</f>
        <v xml:space="preserve"> </v>
      </c>
      <c r="F361" s="9"/>
      <c r="G361" s="9"/>
      <c r="H361" s="9"/>
      <c r="I361" s="38" t="str">
        <f>IFERROR(VLOOKUP(C361,Resources!B:G,6,FALSE)," ")</f>
        <v xml:space="preserve"> </v>
      </c>
      <c r="J361" s="38"/>
      <c r="K361" s="9"/>
      <c r="L361" s="9"/>
      <c r="M361" s="38"/>
      <c r="N361" s="38"/>
      <c r="O361" s="38"/>
      <c r="P361" s="38"/>
      <c r="Q361" s="38"/>
      <c r="R361" s="122"/>
      <c r="T361" s="188"/>
    </row>
    <row r="362" spans="1:20" ht="30" x14ac:dyDescent="0.25">
      <c r="A362" s="114"/>
      <c r="B362" s="1" t="s">
        <v>239</v>
      </c>
      <c r="C362" s="1" t="s">
        <v>138</v>
      </c>
      <c r="D362" s="2"/>
      <c r="E362" s="99" t="str">
        <f>IFERROR(VLOOKUP(C362,Resources!B:D,3,FALSE)," ")</f>
        <v xml:space="preserve"> </v>
      </c>
      <c r="F362" s="7"/>
      <c r="G362" s="7"/>
      <c r="H362" s="7"/>
      <c r="I362" s="108" t="str">
        <f>IFERROR(VLOOKUP(C362,Resources!B:G,6,FALSE)," ")</f>
        <v xml:space="preserve"> </v>
      </c>
      <c r="J362" s="108"/>
      <c r="K362" s="7"/>
      <c r="L362" s="7"/>
      <c r="M362" s="108"/>
      <c r="N362" s="108"/>
      <c r="O362" s="108"/>
      <c r="P362" s="108"/>
      <c r="Q362" s="108"/>
      <c r="R362" s="120"/>
      <c r="T362" s="188"/>
    </row>
    <row r="363" spans="1:20" ht="30" x14ac:dyDescent="0.25">
      <c r="A363" s="114">
        <v>48</v>
      </c>
      <c r="B363" s="1" t="s">
        <v>240</v>
      </c>
      <c r="C363" s="1" t="s">
        <v>241</v>
      </c>
      <c r="D363" s="2" t="s">
        <v>107</v>
      </c>
      <c r="E363" s="99" t="str">
        <f>IFERROR(VLOOKUP(C363,Resources!B:D,3,FALSE)," ")</f>
        <v xml:space="preserve"> </v>
      </c>
      <c r="F363" s="7"/>
      <c r="G363" s="7"/>
      <c r="H363" s="103">
        <f>VLOOKUP($A363,'Model Inputs'!$A:$D,4,FALSE)</f>
        <v>150</v>
      </c>
      <c r="I363" s="108" t="str">
        <f>IFERROR(VLOOKUP(C363,Resources!B:G,6,FALSE)," ")</f>
        <v xml:space="preserve"> </v>
      </c>
      <c r="J363" s="108">
        <f>SUBTOTAL(9,J364)</f>
        <v>1338.75</v>
      </c>
      <c r="K363" s="7"/>
      <c r="L363" s="7">
        <f>ROUNDUP(L364,0)</f>
        <v>1</v>
      </c>
      <c r="M363" s="108">
        <f t="shared" ref="M363:Q363" si="494">SUBTOTAL(9,M364)</f>
        <v>0</v>
      </c>
      <c r="N363" s="108">
        <f t="shared" si="494"/>
        <v>0</v>
      </c>
      <c r="O363" s="108">
        <f t="shared" si="494"/>
        <v>0</v>
      </c>
      <c r="P363" s="108">
        <f t="shared" si="494"/>
        <v>1338.75</v>
      </c>
      <c r="Q363" s="108">
        <f t="shared" si="494"/>
        <v>1338.75</v>
      </c>
      <c r="R363" s="120"/>
      <c r="T363" s="188"/>
    </row>
    <row r="364" spans="1:20" x14ac:dyDescent="0.25">
      <c r="A364" s="100">
        <v>48.1</v>
      </c>
      <c r="B364" s="3">
        <v>1</v>
      </c>
      <c r="C364" s="5" t="s">
        <v>242</v>
      </c>
      <c r="D364" s="3" t="s">
        <v>83</v>
      </c>
      <c r="E364" s="100" t="str">
        <f>IFERROR(VLOOKUP(C364,Resources!B:D,3,FALSE)," ")</f>
        <v>S</v>
      </c>
      <c r="F364" s="103">
        <f>VLOOKUP($A364,'Model Inputs'!$A:$D,4,FALSE)</f>
        <v>1.05</v>
      </c>
      <c r="G364" s="8">
        <v>1</v>
      </c>
      <c r="H364" s="8">
        <f>H363*F364</f>
        <v>157.5</v>
      </c>
      <c r="I364" s="109">
        <f>IFERROR(VLOOKUP(C364,Resources!B:G,6,FALSE)," ")</f>
        <v>8.5</v>
      </c>
      <c r="J364" s="109">
        <f>I364*H364</f>
        <v>1338.75</v>
      </c>
      <c r="K364" s="8"/>
      <c r="L364" s="8">
        <f>H364/10000</f>
        <v>1.575E-2</v>
      </c>
      <c r="M364" s="109">
        <f t="shared" ref="M364" si="495">IF($E364="L",$J364,0)</f>
        <v>0</v>
      </c>
      <c r="N364" s="109">
        <f t="shared" ref="N364" si="496">IF($E364="M",$J364,0)</f>
        <v>0</v>
      </c>
      <c r="O364" s="109">
        <f t="shared" ref="O364" si="497">IF($E364="P",$J364,0)</f>
        <v>0</v>
      </c>
      <c r="P364" s="109">
        <f t="shared" ref="P364" si="498">IF($E364="S",$J364,0)</f>
        <v>1338.75</v>
      </c>
      <c r="Q364" s="109">
        <f t="shared" ref="Q364" si="499">SUM(M364:P364)</f>
        <v>1338.75</v>
      </c>
      <c r="R364" s="121">
        <v>121</v>
      </c>
      <c r="T364" s="188"/>
    </row>
    <row r="365" spans="1:20" x14ac:dyDescent="0.25">
      <c r="A365" s="101"/>
      <c r="B365" s="4"/>
      <c r="C365" s="6"/>
      <c r="D365" s="4"/>
      <c r="E365" s="101" t="str">
        <f>IFERROR(VLOOKUP(C365,Resources!B:D,3,FALSE)," ")</f>
        <v xml:space="preserve"> </v>
      </c>
      <c r="F365" s="9"/>
      <c r="G365" s="9"/>
      <c r="H365" s="9"/>
      <c r="I365" s="38" t="str">
        <f>IFERROR(VLOOKUP(C365,Resources!B:G,6,FALSE)," ")</f>
        <v xml:space="preserve"> </v>
      </c>
      <c r="J365" s="38"/>
      <c r="K365" s="9"/>
      <c r="L365" s="9"/>
      <c r="M365" s="38"/>
      <c r="N365" s="38"/>
      <c r="O365" s="38"/>
      <c r="P365" s="38"/>
      <c r="Q365" s="38"/>
      <c r="R365" s="122"/>
      <c r="T365" s="188"/>
    </row>
    <row r="366" spans="1:20" ht="30" x14ac:dyDescent="0.25">
      <c r="A366" s="114">
        <v>49</v>
      </c>
      <c r="B366" s="1" t="s">
        <v>243</v>
      </c>
      <c r="C366" s="1" t="s">
        <v>244</v>
      </c>
      <c r="D366" s="2" t="s">
        <v>62</v>
      </c>
      <c r="E366" s="99" t="str">
        <f>IFERROR(VLOOKUP(C366,Resources!B:D,3,FALSE)," ")</f>
        <v xml:space="preserve"> </v>
      </c>
      <c r="F366" s="7"/>
      <c r="G366" s="7"/>
      <c r="H366" s="103">
        <f>VLOOKUP($A366,'Model Inputs'!$A:$D,4,FALSE)</f>
        <v>15</v>
      </c>
      <c r="I366" s="108" t="str">
        <f>IFERROR(VLOOKUP(C366,Resources!B:G,6,FALSE)," ")</f>
        <v xml:space="preserve"> </v>
      </c>
      <c r="J366" s="108">
        <f>SUBTOTAL(9,J367:J369)</f>
        <v>972.5</v>
      </c>
      <c r="K366" s="7"/>
      <c r="L366" s="7">
        <f>ROUNDUP(MAX(L368:L369)/Workhrs,0)</f>
        <v>1</v>
      </c>
      <c r="M366" s="108">
        <f t="shared" ref="M366:Q366" si="500">SUBTOTAL(9,M367:M369)</f>
        <v>210</v>
      </c>
      <c r="N366" s="108">
        <f t="shared" si="500"/>
        <v>525</v>
      </c>
      <c r="O366" s="108">
        <f t="shared" si="500"/>
        <v>237.5</v>
      </c>
      <c r="P366" s="108">
        <f t="shared" si="500"/>
        <v>0</v>
      </c>
      <c r="Q366" s="108">
        <f t="shared" si="500"/>
        <v>972.5</v>
      </c>
      <c r="R366" s="120"/>
      <c r="T366" s="188"/>
    </row>
    <row r="367" spans="1:20" x14ac:dyDescent="0.25">
      <c r="A367" s="100"/>
      <c r="B367" s="3">
        <v>1</v>
      </c>
      <c r="C367" s="5" t="s">
        <v>2185</v>
      </c>
      <c r="D367" s="3" t="s">
        <v>86</v>
      </c>
      <c r="E367" s="100" t="str">
        <f>IFERROR(VLOOKUP(C367,Resources!B:D,3,FALSE)," ")</f>
        <v>M</v>
      </c>
      <c r="F367" s="8">
        <v>1</v>
      </c>
      <c r="G367" s="8">
        <v>1</v>
      </c>
      <c r="H367" s="8">
        <f>H366</f>
        <v>15</v>
      </c>
      <c r="I367" s="109">
        <f>IFERROR(VLOOKUP(C367,Resources!B:G,6,FALSE)," ")</f>
        <v>35</v>
      </c>
      <c r="J367" s="109">
        <f t="shared" ref="J367:J369" si="501">(H367/(G367/F367))*I367</f>
        <v>525</v>
      </c>
      <c r="K367" s="8"/>
      <c r="L367" s="8" t="str">
        <f t="shared" ref="L367:L369" si="502">IF(E367="M"," ",H367/G367)</f>
        <v xml:space="preserve"> </v>
      </c>
      <c r="M367" s="109">
        <f t="shared" ref="M367:M369" si="503">IF($E367="L",$J367,0)</f>
        <v>0</v>
      </c>
      <c r="N367" s="109">
        <f t="shared" ref="N367:N369" si="504">IF($E367="M",$J367,0)</f>
        <v>525</v>
      </c>
      <c r="O367" s="109">
        <f t="shared" ref="O367:O369" si="505">IF($E367="P",$J367,0)</f>
        <v>0</v>
      </c>
      <c r="P367" s="109">
        <f t="shared" ref="P367:P369" si="506">IF($E367="S",$J367,0)</f>
        <v>0</v>
      </c>
      <c r="Q367" s="109">
        <f t="shared" ref="Q367:Q369" si="507">SUM(M367:P367)</f>
        <v>525</v>
      </c>
      <c r="R367" s="121">
        <v>33</v>
      </c>
      <c r="T367" s="188"/>
    </row>
    <row r="368" spans="1:20" x14ac:dyDescent="0.25">
      <c r="A368" s="100">
        <v>49.1</v>
      </c>
      <c r="B368" s="3">
        <v>2</v>
      </c>
      <c r="C368" s="5" t="s">
        <v>45</v>
      </c>
      <c r="D368" s="3" t="s">
        <v>48</v>
      </c>
      <c r="E368" s="100" t="str">
        <f>IFERROR(VLOOKUP(C368,Resources!B:D,3,FALSE)," ")</f>
        <v>P</v>
      </c>
      <c r="F368" s="8">
        <v>1</v>
      </c>
      <c r="G368" s="103">
        <f>VLOOKUP($A368,'Model Inputs'!$A:$D,4,FALSE)</f>
        <v>6</v>
      </c>
      <c r="H368" s="8">
        <f>H366</f>
        <v>15</v>
      </c>
      <c r="I368" s="109">
        <f>IFERROR(VLOOKUP(C368,Resources!B:G,6,FALSE)," ")</f>
        <v>95</v>
      </c>
      <c r="J368" s="109">
        <f t="shared" si="501"/>
        <v>237.5</v>
      </c>
      <c r="K368" s="8">
        <f t="shared" ref="K368:K369" si="508">L368*F368</f>
        <v>2.5</v>
      </c>
      <c r="L368" s="8">
        <f t="shared" si="502"/>
        <v>2.5</v>
      </c>
      <c r="M368" s="109">
        <f t="shared" si="503"/>
        <v>0</v>
      </c>
      <c r="N368" s="109">
        <f t="shared" si="504"/>
        <v>0</v>
      </c>
      <c r="O368" s="109">
        <f t="shared" si="505"/>
        <v>237.5</v>
      </c>
      <c r="P368" s="109">
        <f t="shared" si="506"/>
        <v>0</v>
      </c>
      <c r="Q368" s="109">
        <f t="shared" si="507"/>
        <v>237.5</v>
      </c>
      <c r="R368" s="121">
        <v>33</v>
      </c>
      <c r="T368" s="188"/>
    </row>
    <row r="369" spans="1:20" x14ac:dyDescent="0.25">
      <c r="A369" s="100"/>
      <c r="B369" s="3">
        <v>3</v>
      </c>
      <c r="C369" s="5" t="s">
        <v>8</v>
      </c>
      <c r="D369" s="3" t="s">
        <v>48</v>
      </c>
      <c r="E369" s="100" t="str">
        <f>IFERROR(VLOOKUP(C369,Resources!B:D,3,FALSE)," ")</f>
        <v>L</v>
      </c>
      <c r="F369" s="8">
        <v>2</v>
      </c>
      <c r="G369" s="8">
        <f>G368</f>
        <v>6</v>
      </c>
      <c r="H369" s="8">
        <f>H366</f>
        <v>15</v>
      </c>
      <c r="I369" s="109">
        <f>IFERROR(VLOOKUP(C369,Resources!B:G,6,FALSE)," ")</f>
        <v>42</v>
      </c>
      <c r="J369" s="109">
        <f t="shared" si="501"/>
        <v>210</v>
      </c>
      <c r="K369" s="8">
        <f t="shared" si="508"/>
        <v>5</v>
      </c>
      <c r="L369" s="8">
        <f t="shared" si="502"/>
        <v>2.5</v>
      </c>
      <c r="M369" s="109">
        <f t="shared" si="503"/>
        <v>210</v>
      </c>
      <c r="N369" s="109">
        <f t="shared" si="504"/>
        <v>0</v>
      </c>
      <c r="O369" s="109">
        <f t="shared" si="505"/>
        <v>0</v>
      </c>
      <c r="P369" s="109">
        <f t="shared" si="506"/>
        <v>0</v>
      </c>
      <c r="Q369" s="109">
        <f t="shared" si="507"/>
        <v>210</v>
      </c>
      <c r="R369" s="121">
        <v>33</v>
      </c>
      <c r="T369" s="188"/>
    </row>
    <row r="370" spans="1:20" x14ac:dyDescent="0.25">
      <c r="A370" s="101"/>
      <c r="B370" s="4"/>
      <c r="C370" s="6"/>
      <c r="D370" s="4"/>
      <c r="E370" s="101" t="str">
        <f>IFERROR(VLOOKUP(C370,Resources!B:D,3,FALSE)," ")</f>
        <v xml:space="preserve"> </v>
      </c>
      <c r="F370" s="9"/>
      <c r="G370" s="9"/>
      <c r="H370" s="9"/>
      <c r="I370" s="38" t="str">
        <f>IFERROR(VLOOKUP(C370,Resources!B:G,6,FALSE)," ")</f>
        <v xml:space="preserve"> </v>
      </c>
      <c r="J370" s="38"/>
      <c r="K370" s="9"/>
      <c r="L370" s="9"/>
      <c r="M370" s="38"/>
      <c r="N370" s="38"/>
      <c r="O370" s="38"/>
      <c r="P370" s="38"/>
      <c r="Q370" s="38"/>
      <c r="R370" s="122"/>
      <c r="T370" s="188"/>
    </row>
    <row r="371" spans="1:20" ht="30" x14ac:dyDescent="0.25">
      <c r="A371" s="114"/>
      <c r="B371" s="1" t="s">
        <v>245</v>
      </c>
      <c r="C371" s="1" t="s">
        <v>145</v>
      </c>
      <c r="D371" s="2"/>
      <c r="E371" s="99" t="str">
        <f>IFERROR(VLOOKUP(C371,Resources!B:D,3,FALSE)," ")</f>
        <v xml:space="preserve"> </v>
      </c>
      <c r="F371" s="7"/>
      <c r="G371" s="7"/>
      <c r="H371" s="7"/>
      <c r="I371" s="108" t="str">
        <f>IFERROR(VLOOKUP(C371,Resources!B:G,6,FALSE)," ")</f>
        <v xml:space="preserve"> </v>
      </c>
      <c r="J371" s="108"/>
      <c r="K371" s="7"/>
      <c r="L371" s="7"/>
      <c r="M371" s="108"/>
      <c r="N371" s="108"/>
      <c r="O371" s="108"/>
      <c r="P371" s="108"/>
      <c r="Q371" s="108"/>
      <c r="R371" s="120"/>
      <c r="T371" s="188"/>
    </row>
    <row r="372" spans="1:20" ht="30" x14ac:dyDescent="0.25">
      <c r="A372" s="114">
        <v>50</v>
      </c>
      <c r="B372" s="1" t="s">
        <v>246</v>
      </c>
      <c r="C372" s="1" t="s">
        <v>147</v>
      </c>
      <c r="D372" s="2" t="s">
        <v>20</v>
      </c>
      <c r="E372" s="99" t="str">
        <f>IFERROR(VLOOKUP(C372,Resources!B:D,3,FALSE)," ")</f>
        <v xml:space="preserve"> </v>
      </c>
      <c r="F372" s="7"/>
      <c r="G372" s="7"/>
      <c r="H372" s="103">
        <f>VLOOKUP($A372,'Model Inputs'!$A:$D,4,FALSE)</f>
        <v>1</v>
      </c>
      <c r="I372" s="108" t="str">
        <f>IFERROR(VLOOKUP(C372,Resources!B:G,6,FALSE)," ")</f>
        <v xml:space="preserve"> </v>
      </c>
      <c r="J372" s="108">
        <f>SUBTOTAL(9,J373)</f>
        <v>4500</v>
      </c>
      <c r="K372" s="7"/>
      <c r="L372" s="7">
        <f>ROUNDUP(L373/Workhrs,0)</f>
        <v>4</v>
      </c>
      <c r="M372" s="108">
        <f t="shared" ref="M372:Q372" si="509">SUBTOTAL(9,M373)</f>
        <v>0</v>
      </c>
      <c r="N372" s="108">
        <f t="shared" si="509"/>
        <v>0</v>
      </c>
      <c r="O372" s="108">
        <f t="shared" si="509"/>
        <v>0</v>
      </c>
      <c r="P372" s="108">
        <f t="shared" si="509"/>
        <v>4500</v>
      </c>
      <c r="Q372" s="108">
        <f t="shared" si="509"/>
        <v>4500</v>
      </c>
      <c r="R372" s="120"/>
      <c r="T372" s="188"/>
    </row>
    <row r="373" spans="1:20" x14ac:dyDescent="0.25">
      <c r="A373" s="100"/>
      <c r="B373" s="3">
        <v>1</v>
      </c>
      <c r="C373" s="5" t="s">
        <v>148</v>
      </c>
      <c r="D373" s="3" t="s">
        <v>33</v>
      </c>
      <c r="E373" s="100" t="str">
        <f>IFERROR(VLOOKUP(C373,Resources!B:D,3,FALSE)," ")</f>
        <v>S</v>
      </c>
      <c r="F373" s="8">
        <v>1</v>
      </c>
      <c r="G373" s="8">
        <v>1</v>
      </c>
      <c r="H373" s="8">
        <f>H372*4500</f>
        <v>4500</v>
      </c>
      <c r="I373" s="109">
        <f>IFERROR(VLOOKUP(C373,Resources!B:G,6,FALSE)," ")</f>
        <v>1</v>
      </c>
      <c r="J373" s="109">
        <f t="shared" ref="J373" si="510">(H373/(G373/F373))*I373</f>
        <v>4500</v>
      </c>
      <c r="K373" s="8"/>
      <c r="L373" s="8">
        <f>H373/125</f>
        <v>36</v>
      </c>
      <c r="M373" s="109">
        <f t="shared" ref="M373" si="511">IF($E373="L",$J373,0)</f>
        <v>0</v>
      </c>
      <c r="N373" s="109">
        <f t="shared" ref="N373" si="512">IF($E373="M",$J373,0)</f>
        <v>0</v>
      </c>
      <c r="O373" s="109">
        <f t="shared" ref="O373" si="513">IF($E373="P",$J373,0)</f>
        <v>0</v>
      </c>
      <c r="P373" s="109">
        <f t="shared" ref="P373" si="514">IF($E373="S",$J373,0)</f>
        <v>4500</v>
      </c>
      <c r="Q373" s="109">
        <f t="shared" ref="Q373" si="515">SUM(M373:P373)</f>
        <v>4500</v>
      </c>
      <c r="R373" s="121">
        <v>12</v>
      </c>
      <c r="T373" s="188"/>
    </row>
    <row r="374" spans="1:20" x14ac:dyDescent="0.25">
      <c r="A374" s="101"/>
      <c r="B374" s="4"/>
      <c r="C374" s="6"/>
      <c r="D374" s="4"/>
      <c r="E374" s="101" t="str">
        <f>IFERROR(VLOOKUP(C374,Resources!B:D,3,FALSE)," ")</f>
        <v xml:space="preserve"> </v>
      </c>
      <c r="F374" s="9"/>
      <c r="G374" s="9"/>
      <c r="H374" s="9"/>
      <c r="I374" s="38" t="str">
        <f>IFERROR(VLOOKUP(C374,Resources!B:G,6,FALSE)," ")</f>
        <v xml:space="preserve"> </v>
      </c>
      <c r="J374" s="38"/>
      <c r="K374" s="9"/>
      <c r="L374" s="9"/>
      <c r="M374" s="38"/>
      <c r="N374" s="38"/>
      <c r="O374" s="38"/>
      <c r="P374" s="38"/>
      <c r="Q374" s="38"/>
      <c r="R374" s="122"/>
      <c r="T374" s="188"/>
    </row>
    <row r="375" spans="1:20" ht="30" x14ac:dyDescent="0.25">
      <c r="A375" s="114">
        <v>300</v>
      </c>
      <c r="B375" s="1" t="s">
        <v>247</v>
      </c>
      <c r="C375" s="1" t="s">
        <v>248</v>
      </c>
      <c r="D375" s="2"/>
      <c r="E375" s="99" t="str">
        <f>IFERROR(VLOOKUP(C375,Resources!B:D,3,FALSE)," ")</f>
        <v xml:space="preserve"> </v>
      </c>
      <c r="F375" s="7"/>
      <c r="G375" s="7"/>
      <c r="H375" s="7"/>
      <c r="I375" s="108" t="str">
        <f>IFERROR(VLOOKUP(C375,Resources!B:G,6,FALSE)," ")</f>
        <v xml:space="preserve"> </v>
      </c>
      <c r="J375" s="108"/>
      <c r="K375" s="7"/>
      <c r="L375" s="7"/>
      <c r="M375" s="108"/>
      <c r="N375" s="108"/>
      <c r="O375" s="108"/>
      <c r="P375" s="108"/>
      <c r="Q375" s="108"/>
      <c r="R375" s="120"/>
      <c r="T375" s="188"/>
    </row>
    <row r="376" spans="1:20" ht="30" x14ac:dyDescent="0.25">
      <c r="A376" s="114"/>
      <c r="B376" s="1" t="s">
        <v>249</v>
      </c>
      <c r="C376" s="1" t="s">
        <v>17</v>
      </c>
      <c r="D376" s="2"/>
      <c r="E376" s="99" t="str">
        <f>IFERROR(VLOOKUP(C376,Resources!B:D,3,FALSE)," ")</f>
        <v xml:space="preserve"> </v>
      </c>
      <c r="F376" s="7"/>
      <c r="G376" s="7"/>
      <c r="H376" s="7"/>
      <c r="I376" s="108" t="str">
        <f>IFERROR(VLOOKUP(C376,Resources!B:G,6,FALSE)," ")</f>
        <v xml:space="preserve"> </v>
      </c>
      <c r="J376" s="108"/>
      <c r="K376" s="7"/>
      <c r="L376" s="7"/>
      <c r="M376" s="108"/>
      <c r="N376" s="108"/>
      <c r="O376" s="108"/>
      <c r="P376" s="108"/>
      <c r="Q376" s="108"/>
      <c r="R376" s="120"/>
      <c r="T376" s="188"/>
    </row>
    <row r="377" spans="1:20" ht="30" x14ac:dyDescent="0.25">
      <c r="A377" s="114"/>
      <c r="B377" s="1" t="s">
        <v>250</v>
      </c>
      <c r="C377" s="1" t="s">
        <v>25</v>
      </c>
      <c r="D377" s="2"/>
      <c r="E377" s="99" t="str">
        <f>IFERROR(VLOOKUP(C377,Resources!B:D,3,FALSE)," ")</f>
        <v xml:space="preserve"> </v>
      </c>
      <c r="F377" s="7"/>
      <c r="G377" s="7"/>
      <c r="H377" s="7"/>
      <c r="I377" s="108" t="str">
        <f>IFERROR(VLOOKUP(C377,Resources!B:G,6,FALSE)," ")</f>
        <v xml:space="preserve"> </v>
      </c>
      <c r="J377" s="108"/>
      <c r="K377" s="7"/>
      <c r="L377" s="7"/>
      <c r="M377" s="108"/>
      <c r="N377" s="108"/>
      <c r="O377" s="108"/>
      <c r="P377" s="108"/>
      <c r="Q377" s="108"/>
      <c r="R377" s="120"/>
      <c r="T377" s="188"/>
    </row>
    <row r="378" spans="1:20" ht="30" x14ac:dyDescent="0.25">
      <c r="A378" s="114">
        <v>51</v>
      </c>
      <c r="B378" s="1" t="s">
        <v>251</v>
      </c>
      <c r="C378" s="1" t="s">
        <v>27</v>
      </c>
      <c r="D378" s="2" t="s">
        <v>20</v>
      </c>
      <c r="E378" s="99" t="str">
        <f>IFERROR(VLOOKUP(C378,Resources!B:D,3,FALSE)," ")</f>
        <v xml:space="preserve"> </v>
      </c>
      <c r="F378" s="7"/>
      <c r="G378" s="7"/>
      <c r="H378" s="103">
        <f>VLOOKUP($A378,'Model Inputs'!$A:$D,4,FALSE)</f>
        <v>1</v>
      </c>
      <c r="I378" s="108" t="str">
        <f>IFERROR(VLOOKUP(C378,Resources!B:G,6,FALSE)," ")</f>
        <v xml:space="preserve"> </v>
      </c>
      <c r="J378" s="108">
        <f>SUBTOTAL(9,J380:J386)</f>
        <v>8360</v>
      </c>
      <c r="K378" s="7"/>
      <c r="L378" s="7">
        <v>0</v>
      </c>
      <c r="M378" s="108">
        <f t="shared" ref="M378:Q378" si="516">SUBTOTAL(9,M380:M386)</f>
        <v>3250</v>
      </c>
      <c r="N378" s="108">
        <f t="shared" si="516"/>
        <v>0</v>
      </c>
      <c r="O378" s="108">
        <f t="shared" si="516"/>
        <v>0</v>
      </c>
      <c r="P378" s="108">
        <f t="shared" si="516"/>
        <v>5110</v>
      </c>
      <c r="Q378" s="108">
        <f t="shared" si="516"/>
        <v>8360</v>
      </c>
      <c r="R378" s="120"/>
      <c r="T378" s="188"/>
    </row>
    <row r="379" spans="1:20" x14ac:dyDescent="0.25">
      <c r="A379" s="100"/>
      <c r="B379" s="3"/>
      <c r="C379" s="5" t="s">
        <v>2357</v>
      </c>
      <c r="D379" s="3"/>
      <c r="E379" s="100"/>
      <c r="F379" s="8"/>
      <c r="G379" s="8"/>
      <c r="H379" s="8"/>
      <c r="I379" s="109"/>
      <c r="J379" s="109"/>
      <c r="K379" s="8"/>
      <c r="L379" s="8"/>
      <c r="M379" s="109"/>
      <c r="N379" s="109"/>
      <c r="O379" s="109"/>
      <c r="P379" s="109"/>
      <c r="Q379" s="109"/>
      <c r="R379" s="121"/>
      <c r="T379" s="188"/>
    </row>
    <row r="380" spans="1:20" x14ac:dyDescent="0.25">
      <c r="A380" s="100"/>
      <c r="B380" s="3">
        <v>1</v>
      </c>
      <c r="C380" s="5" t="s">
        <v>21</v>
      </c>
      <c r="D380" s="3" t="s">
        <v>22</v>
      </c>
      <c r="E380" s="100" t="str">
        <f>IFERROR(VLOOKUP(C380,Resources!B:D,3,FALSE)," ")</f>
        <v>L</v>
      </c>
      <c r="F380" s="8">
        <v>1</v>
      </c>
      <c r="G380" s="8">
        <v>1</v>
      </c>
      <c r="H380" s="8">
        <f>H378</f>
        <v>1</v>
      </c>
      <c r="I380" s="109">
        <f>IFERROR(VLOOKUP(C380,Resources!B:G,6,FALSE)," ")</f>
        <v>3250</v>
      </c>
      <c r="J380" s="109">
        <f t="shared" ref="J380" si="517">(H380/(G380/F380))*I380</f>
        <v>3250</v>
      </c>
      <c r="K380" s="8">
        <f t="shared" ref="K380" si="518">L380*F380</f>
        <v>1</v>
      </c>
      <c r="L380" s="8">
        <f t="shared" ref="L380" si="519">IF(E380="M"," ",H380/G380)</f>
        <v>1</v>
      </c>
      <c r="M380" s="109">
        <f t="shared" ref="M380" si="520">IF($E380="L",$J380,0)</f>
        <v>3250</v>
      </c>
      <c r="N380" s="109">
        <f t="shared" ref="N380" si="521">IF($E380="M",$J380,0)</f>
        <v>0</v>
      </c>
      <c r="O380" s="109">
        <f t="shared" ref="O380" si="522">IF($E380="P",$J380,0)</f>
        <v>0</v>
      </c>
      <c r="P380" s="109">
        <f t="shared" ref="P380" si="523">IF($E380="S",$J380,0)</f>
        <v>0</v>
      </c>
      <c r="Q380" s="109">
        <f t="shared" ref="Q380" si="524">SUM(M380:P380)</f>
        <v>3250</v>
      </c>
      <c r="R380" s="121">
        <v>901</v>
      </c>
      <c r="T380" s="188"/>
    </row>
    <row r="381" spans="1:20" x14ac:dyDescent="0.25">
      <c r="A381" s="100">
        <v>51.1</v>
      </c>
      <c r="B381" s="3">
        <v>2</v>
      </c>
      <c r="C381" s="5" t="s">
        <v>2367</v>
      </c>
      <c r="D381" s="3"/>
      <c r="E381" s="100" t="str">
        <f>IFERROR(VLOOKUP(C381,Resources!B:D,3,FALSE)," ")</f>
        <v xml:space="preserve"> </v>
      </c>
      <c r="F381" s="8"/>
      <c r="G381" s="8"/>
      <c r="H381" s="103">
        <f>VLOOKUP($A381,'Model Inputs'!$A:$D,4,FALSE)</f>
        <v>12</v>
      </c>
      <c r="I381" s="109" t="str">
        <f>IFERROR(VLOOKUP(C381,Resources!B:G,6,FALSE)," ")</f>
        <v xml:space="preserve"> </v>
      </c>
      <c r="J381" s="109"/>
      <c r="K381" s="8"/>
      <c r="L381" s="8"/>
      <c r="M381" s="109"/>
      <c r="N381" s="109"/>
      <c r="O381" s="109"/>
      <c r="P381" s="109"/>
      <c r="Q381" s="109"/>
      <c r="R381" s="121"/>
      <c r="T381" s="188"/>
    </row>
    <row r="382" spans="1:20" x14ac:dyDescent="0.25">
      <c r="A382" s="100">
        <v>51.2</v>
      </c>
      <c r="B382" s="3">
        <v>3</v>
      </c>
      <c r="C382" s="5" t="s">
        <v>2363</v>
      </c>
      <c r="D382" s="3"/>
      <c r="E382" s="100" t="str">
        <f>IFERROR(VLOOKUP(C382,Resources!B:D,3,FALSE)," ")</f>
        <v xml:space="preserve"> </v>
      </c>
      <c r="F382" s="8"/>
      <c r="G382" s="8"/>
      <c r="H382" s="103">
        <f>VLOOKUP($A382,'Model Inputs'!$A:$D,4,FALSE)</f>
        <v>6</v>
      </c>
      <c r="I382" s="109" t="str">
        <f>IFERROR(VLOOKUP(C382,Resources!B:G,6,FALSE)," ")</f>
        <v xml:space="preserve"> </v>
      </c>
      <c r="J382" s="109"/>
      <c r="K382" s="8"/>
      <c r="L382" s="8"/>
      <c r="M382" s="109"/>
      <c r="N382" s="109"/>
      <c r="O382" s="109"/>
      <c r="P382" s="109"/>
      <c r="Q382" s="109"/>
      <c r="R382" s="121"/>
      <c r="T382" s="188"/>
    </row>
    <row r="383" spans="1:20" x14ac:dyDescent="0.25">
      <c r="A383" s="100"/>
      <c r="B383" s="3">
        <v>4</v>
      </c>
      <c r="C383" s="5" t="s">
        <v>28</v>
      </c>
      <c r="D383" s="3" t="s">
        <v>29</v>
      </c>
      <c r="E383" s="100" t="str">
        <f>IFERROR(VLOOKUP(C383,Resources!B:D,3,FALSE)," ")</f>
        <v>S</v>
      </c>
      <c r="F383" s="8">
        <v>1</v>
      </c>
      <c r="G383" s="8">
        <v>1</v>
      </c>
      <c r="H383" s="8">
        <f>H381</f>
        <v>12</v>
      </c>
      <c r="I383" s="109">
        <f>IFERROR(VLOOKUP(C383,Resources!B:G,6,FALSE)," ")</f>
        <v>45</v>
      </c>
      <c r="J383" s="109">
        <f t="shared" ref="J383:J386" si="525">(H383/(G383/F383))*I383</f>
        <v>540</v>
      </c>
      <c r="K383" s="8"/>
      <c r="L383" s="8"/>
      <c r="M383" s="109">
        <f t="shared" ref="M383:M386" si="526">IF($E383="L",$J383,0)</f>
        <v>0</v>
      </c>
      <c r="N383" s="109">
        <f t="shared" ref="N383:N386" si="527">IF($E383="M",$J383,0)</f>
        <v>0</v>
      </c>
      <c r="O383" s="109">
        <f t="shared" ref="O383:O386" si="528">IF($E383="P",$J383,0)</f>
        <v>0</v>
      </c>
      <c r="P383" s="109">
        <f t="shared" ref="P383:P386" si="529">IF($E383="S",$J383,0)</f>
        <v>540</v>
      </c>
      <c r="Q383" s="109">
        <f t="shared" ref="Q383:Q386" si="530">SUM(M383:P383)</f>
        <v>540</v>
      </c>
      <c r="R383" s="121">
        <v>13</v>
      </c>
      <c r="T383" s="188"/>
    </row>
    <row r="384" spans="1:20" x14ac:dyDescent="0.25">
      <c r="A384" s="100"/>
      <c r="B384" s="3">
        <v>5</v>
      </c>
      <c r="C384" s="5" t="s">
        <v>30</v>
      </c>
      <c r="D384" s="3" t="s">
        <v>29</v>
      </c>
      <c r="E384" s="100" t="str">
        <f>IFERROR(VLOOKUP(C384,Resources!B:D,3,FALSE)," ")</f>
        <v>S</v>
      </c>
      <c r="F384" s="8">
        <v>1</v>
      </c>
      <c r="G384" s="8">
        <v>1</v>
      </c>
      <c r="H384" s="8">
        <v>3</v>
      </c>
      <c r="I384" s="109">
        <f>IFERROR(VLOOKUP(C384,Resources!B:G,6,FALSE)," ")</f>
        <v>390</v>
      </c>
      <c r="J384" s="109">
        <f t="shared" si="525"/>
        <v>1170</v>
      </c>
      <c r="K384" s="8"/>
      <c r="L384" s="8"/>
      <c r="M384" s="109">
        <f t="shared" si="526"/>
        <v>0</v>
      </c>
      <c r="N384" s="109">
        <f t="shared" si="527"/>
        <v>0</v>
      </c>
      <c r="O384" s="109">
        <f t="shared" si="528"/>
        <v>0</v>
      </c>
      <c r="P384" s="109">
        <f t="shared" si="529"/>
        <v>1170</v>
      </c>
      <c r="Q384" s="109">
        <f t="shared" si="530"/>
        <v>1170</v>
      </c>
      <c r="R384" s="121">
        <v>13</v>
      </c>
      <c r="T384" s="188"/>
    </row>
    <row r="385" spans="1:20" x14ac:dyDescent="0.25">
      <c r="A385" s="100"/>
      <c r="B385" s="3">
        <v>6</v>
      </c>
      <c r="C385" s="5" t="s">
        <v>31</v>
      </c>
      <c r="D385" s="3" t="s">
        <v>29</v>
      </c>
      <c r="E385" s="100" t="str">
        <f>IFERROR(VLOOKUP(C385,Resources!B:D,3,FALSE)," ")</f>
        <v>S</v>
      </c>
      <c r="F385" s="8">
        <v>1</v>
      </c>
      <c r="G385" s="8">
        <v>1</v>
      </c>
      <c r="H385" s="8">
        <f>H382</f>
        <v>6</v>
      </c>
      <c r="I385" s="109">
        <f>IFERROR(VLOOKUP(C385,Resources!B:G,6,FALSE)," ")</f>
        <v>150</v>
      </c>
      <c r="J385" s="109">
        <f t="shared" si="525"/>
        <v>900</v>
      </c>
      <c r="K385" s="8"/>
      <c r="L385" s="8"/>
      <c r="M385" s="109">
        <f t="shared" si="526"/>
        <v>0</v>
      </c>
      <c r="N385" s="109">
        <f t="shared" si="527"/>
        <v>0</v>
      </c>
      <c r="O385" s="109">
        <f t="shared" si="528"/>
        <v>0</v>
      </c>
      <c r="P385" s="109">
        <f t="shared" si="529"/>
        <v>900</v>
      </c>
      <c r="Q385" s="109">
        <f t="shared" si="530"/>
        <v>900</v>
      </c>
      <c r="R385" s="121">
        <v>13</v>
      </c>
      <c r="T385" s="188"/>
    </row>
    <row r="386" spans="1:20" x14ac:dyDescent="0.25">
      <c r="A386" s="100">
        <v>51.3</v>
      </c>
      <c r="B386" s="3">
        <v>7</v>
      </c>
      <c r="C386" s="5" t="s">
        <v>148</v>
      </c>
      <c r="D386" s="3" t="s">
        <v>33</v>
      </c>
      <c r="E386" s="100" t="str">
        <f>IFERROR(VLOOKUP(C386,Resources!B:D,3,FALSE)," ")</f>
        <v>S</v>
      </c>
      <c r="F386" s="8">
        <v>1</v>
      </c>
      <c r="G386" s="8">
        <v>1</v>
      </c>
      <c r="H386" s="103">
        <f>VLOOKUP($A386,'Model Inputs'!$A:$D,4,FALSE)</f>
        <v>2500</v>
      </c>
      <c r="I386" s="109">
        <f>IFERROR(VLOOKUP(C386,Resources!B:G,6,FALSE)," ")</f>
        <v>1</v>
      </c>
      <c r="J386" s="109">
        <f t="shared" si="525"/>
        <v>2500</v>
      </c>
      <c r="K386" s="8"/>
      <c r="L386" s="8">
        <f>H386/125</f>
        <v>20</v>
      </c>
      <c r="M386" s="109">
        <f t="shared" si="526"/>
        <v>0</v>
      </c>
      <c r="N386" s="109">
        <f t="shared" si="527"/>
        <v>0</v>
      </c>
      <c r="O386" s="109">
        <f t="shared" si="528"/>
        <v>0</v>
      </c>
      <c r="P386" s="109">
        <f t="shared" si="529"/>
        <v>2500</v>
      </c>
      <c r="Q386" s="109">
        <f t="shared" si="530"/>
        <v>2500</v>
      </c>
      <c r="R386" s="121">
        <v>11</v>
      </c>
      <c r="T386" s="188"/>
    </row>
    <row r="387" spans="1:20" x14ac:dyDescent="0.25">
      <c r="A387" s="101"/>
      <c r="B387" s="4"/>
      <c r="C387" s="6"/>
      <c r="D387" s="4"/>
      <c r="E387" s="101" t="str">
        <f>IFERROR(VLOOKUP(C387,Resources!B:D,3,FALSE)," ")</f>
        <v xml:space="preserve"> </v>
      </c>
      <c r="F387" s="9"/>
      <c r="G387" s="9"/>
      <c r="H387" s="9"/>
      <c r="I387" s="38" t="str">
        <f>IFERROR(VLOOKUP(C387,Resources!B:G,6,FALSE)," ")</f>
        <v xml:space="preserve"> </v>
      </c>
      <c r="J387" s="38"/>
      <c r="K387" s="9"/>
      <c r="L387" s="9"/>
      <c r="M387" s="38"/>
      <c r="N387" s="38"/>
      <c r="O387" s="38"/>
      <c r="P387" s="38"/>
      <c r="Q387" s="38"/>
      <c r="R387" s="122"/>
      <c r="T387" s="188"/>
    </row>
    <row r="388" spans="1:20" ht="30" x14ac:dyDescent="0.25">
      <c r="A388" s="114"/>
      <c r="B388" s="1" t="s">
        <v>252</v>
      </c>
      <c r="C388" s="1" t="s">
        <v>35</v>
      </c>
      <c r="D388" s="2"/>
      <c r="E388" s="99" t="str">
        <f>IFERROR(VLOOKUP(C388,Resources!B:D,3,FALSE)," ")</f>
        <v xml:space="preserve"> </v>
      </c>
      <c r="F388" s="7"/>
      <c r="G388" s="7"/>
      <c r="H388" s="7"/>
      <c r="I388" s="108" t="str">
        <f>IFERROR(VLOOKUP(C388,Resources!B:G,6,FALSE)," ")</f>
        <v xml:space="preserve"> </v>
      </c>
      <c r="J388" s="108"/>
      <c r="K388" s="7"/>
      <c r="L388" s="7"/>
      <c r="M388" s="108"/>
      <c r="N388" s="108"/>
      <c r="O388" s="108"/>
      <c r="P388" s="108"/>
      <c r="Q388" s="108"/>
      <c r="R388" s="120"/>
      <c r="T388" s="188"/>
    </row>
    <row r="389" spans="1:20" ht="30" x14ac:dyDescent="0.25">
      <c r="A389" s="114">
        <v>52</v>
      </c>
      <c r="B389" s="1" t="s">
        <v>253</v>
      </c>
      <c r="C389" s="1" t="s">
        <v>54</v>
      </c>
      <c r="D389" s="2" t="s">
        <v>20</v>
      </c>
      <c r="E389" s="99" t="str">
        <f>IFERROR(VLOOKUP(C389,Resources!B:D,3,FALSE)," ")</f>
        <v xml:space="preserve"> </v>
      </c>
      <c r="F389" s="7"/>
      <c r="G389" s="7"/>
      <c r="H389" s="103">
        <f>VLOOKUP($A389,'Model Inputs'!$A:$D,4,FALSE)</f>
        <v>1</v>
      </c>
      <c r="I389" s="108" t="str">
        <f>IFERROR(VLOOKUP(C389,Resources!B:G,6,FALSE)," ")</f>
        <v xml:space="preserve"> </v>
      </c>
      <c r="J389" s="108">
        <f>SUBTOTAL(9,J391)</f>
        <v>11646.24</v>
      </c>
      <c r="K389" s="7"/>
      <c r="L389" s="7">
        <f>ROUNDUP(L391,0)</f>
        <v>10</v>
      </c>
      <c r="M389" s="108">
        <f t="shared" ref="M389:Q389" si="531">SUBTOTAL(9,M391)</f>
        <v>0</v>
      </c>
      <c r="N389" s="108">
        <f t="shared" si="531"/>
        <v>0</v>
      </c>
      <c r="O389" s="108">
        <f t="shared" si="531"/>
        <v>0</v>
      </c>
      <c r="P389" s="108">
        <f t="shared" si="531"/>
        <v>11646.24</v>
      </c>
      <c r="Q389" s="108">
        <f t="shared" si="531"/>
        <v>11646.24</v>
      </c>
      <c r="R389" s="120"/>
      <c r="T389" s="188"/>
    </row>
    <row r="390" spans="1:20" x14ac:dyDescent="0.25">
      <c r="A390" s="100">
        <v>52.1</v>
      </c>
      <c r="B390" s="3">
        <v>1</v>
      </c>
      <c r="C390" s="5" t="s">
        <v>2368</v>
      </c>
      <c r="D390" s="3"/>
      <c r="E390" s="100" t="str">
        <f>IFERROR(VLOOKUP(C390,Resources!B:D,3,FALSE)," ")</f>
        <v xml:space="preserve"> </v>
      </c>
      <c r="F390" s="103">
        <f>VLOOKUP($A390,'Model Inputs'!$A:$D,4,FALSE)</f>
        <v>2</v>
      </c>
      <c r="G390" s="8"/>
      <c r="H390" s="8">
        <f>H389*F390</f>
        <v>2</v>
      </c>
      <c r="I390" s="109" t="str">
        <f>IFERROR(VLOOKUP(C390,Resources!B:G,6,FALSE)," ")</f>
        <v xml:space="preserve"> </v>
      </c>
      <c r="J390" s="109"/>
      <c r="K390" s="8"/>
      <c r="L390" s="8"/>
      <c r="M390" s="109"/>
      <c r="N390" s="109"/>
      <c r="O390" s="109"/>
      <c r="P390" s="109"/>
      <c r="Q390" s="109"/>
      <c r="R390" s="121"/>
      <c r="T390" s="188"/>
    </row>
    <row r="391" spans="1:20" x14ac:dyDescent="0.25">
      <c r="A391" s="100"/>
      <c r="B391" s="3">
        <v>2</v>
      </c>
      <c r="C391" s="5" t="s">
        <v>55</v>
      </c>
      <c r="D391" s="3" t="s">
        <v>48</v>
      </c>
      <c r="E391" s="100" t="str">
        <f>IFERROR(VLOOKUP(C391,Resources!B:D,3,FALSE)," ")</f>
        <v>S</v>
      </c>
      <c r="F391" s="8">
        <v>6</v>
      </c>
      <c r="G391" s="8">
        <v>1</v>
      </c>
      <c r="H391" s="8">
        <f>H390*F391*9.5</f>
        <v>114</v>
      </c>
      <c r="I391" s="109">
        <f>IFERROR(VLOOKUP(C391,Resources!B:G,6,FALSE)," ")</f>
        <v>102.16</v>
      </c>
      <c r="J391" s="109">
        <f>I391*H391</f>
        <v>11646.24</v>
      </c>
      <c r="K391" s="8"/>
      <c r="L391" s="8">
        <f>H390*5</f>
        <v>10</v>
      </c>
      <c r="M391" s="109">
        <f t="shared" ref="M391" si="532">IF($E391="L",$J391,0)</f>
        <v>0</v>
      </c>
      <c r="N391" s="109">
        <f t="shared" ref="N391" si="533">IF($E391="M",$J391,0)</f>
        <v>0</v>
      </c>
      <c r="O391" s="109">
        <f t="shared" ref="O391" si="534">IF($E391="P",$J391,0)</f>
        <v>0</v>
      </c>
      <c r="P391" s="109">
        <f t="shared" ref="P391" si="535">IF($E391="S",$J391,0)</f>
        <v>11646.24</v>
      </c>
      <c r="Q391" s="109">
        <f t="shared" ref="Q391" si="536">SUM(M391:P391)</f>
        <v>11646.24</v>
      </c>
      <c r="R391" s="121">
        <v>141</v>
      </c>
      <c r="T391" s="188"/>
    </row>
    <row r="392" spans="1:20" x14ac:dyDescent="0.25">
      <c r="A392" s="101"/>
      <c r="B392" s="4"/>
      <c r="C392" s="6"/>
      <c r="D392" s="4"/>
      <c r="E392" s="101" t="str">
        <f>IFERROR(VLOOKUP(C392,Resources!B:D,3,FALSE)," ")</f>
        <v xml:space="preserve"> </v>
      </c>
      <c r="F392" s="9"/>
      <c r="G392" s="9"/>
      <c r="H392" s="9"/>
      <c r="I392" s="38" t="str">
        <f>IFERROR(VLOOKUP(C392,Resources!B:G,6,FALSE)," ")</f>
        <v xml:space="preserve"> </v>
      </c>
      <c r="J392" s="38"/>
      <c r="K392" s="9"/>
      <c r="L392" s="9"/>
      <c r="M392" s="38"/>
      <c r="N392" s="38"/>
      <c r="O392" s="38"/>
      <c r="P392" s="38"/>
      <c r="Q392" s="38"/>
      <c r="R392" s="122"/>
      <c r="T392" s="188"/>
    </row>
    <row r="393" spans="1:20" ht="30" x14ac:dyDescent="0.25">
      <c r="A393" s="114"/>
      <c r="B393" s="1" t="s">
        <v>254</v>
      </c>
      <c r="C393" s="1" t="s">
        <v>50</v>
      </c>
      <c r="D393" s="2"/>
      <c r="E393" s="99" t="str">
        <f>IFERROR(VLOOKUP(C393,Resources!B:D,3,FALSE)," ")</f>
        <v xml:space="preserve"> </v>
      </c>
      <c r="F393" s="7"/>
      <c r="G393" s="7"/>
      <c r="H393" s="7"/>
      <c r="I393" s="108" t="str">
        <f>IFERROR(VLOOKUP(C393,Resources!B:G,6,FALSE)," ")</f>
        <v xml:space="preserve"> </v>
      </c>
      <c r="J393" s="108"/>
      <c r="K393" s="7"/>
      <c r="L393" s="7"/>
      <c r="M393" s="108"/>
      <c r="N393" s="108"/>
      <c r="O393" s="108"/>
      <c r="P393" s="108"/>
      <c r="Q393" s="108"/>
      <c r="R393" s="120"/>
      <c r="T393" s="188"/>
    </row>
    <row r="394" spans="1:20" ht="30" x14ac:dyDescent="0.25">
      <c r="A394" s="114"/>
      <c r="B394" s="1" t="s">
        <v>255</v>
      </c>
      <c r="C394" s="1" t="s">
        <v>59</v>
      </c>
      <c r="D394" s="2"/>
      <c r="E394" s="99" t="str">
        <f>IFERROR(VLOOKUP(C394,Resources!B:D,3,FALSE)," ")</f>
        <v xml:space="preserve"> </v>
      </c>
      <c r="F394" s="7"/>
      <c r="G394" s="7"/>
      <c r="H394" s="7"/>
      <c r="I394" s="108" t="str">
        <f>IFERROR(VLOOKUP(C394,Resources!B:G,6,FALSE)," ")</f>
        <v xml:space="preserve"> </v>
      </c>
      <c r="J394" s="108"/>
      <c r="K394" s="7"/>
      <c r="L394" s="7"/>
      <c r="M394" s="108"/>
      <c r="N394" s="108"/>
      <c r="O394" s="108"/>
      <c r="P394" s="108"/>
      <c r="Q394" s="108"/>
      <c r="R394" s="120"/>
      <c r="T394" s="188"/>
    </row>
    <row r="395" spans="1:20" ht="30" x14ac:dyDescent="0.25">
      <c r="A395" s="114">
        <v>53</v>
      </c>
      <c r="B395" s="1" t="s">
        <v>256</v>
      </c>
      <c r="C395" s="1" t="s">
        <v>61</v>
      </c>
      <c r="D395" s="2" t="s">
        <v>62</v>
      </c>
      <c r="E395" s="99" t="str">
        <f>IFERROR(VLOOKUP(C395,Resources!B:D,3,FALSE)," ")</f>
        <v xml:space="preserve"> </v>
      </c>
      <c r="F395" s="7"/>
      <c r="G395" s="7"/>
      <c r="H395" s="103">
        <f>VLOOKUP($A395,'Model Inputs'!$A:$D,4,FALSE)</f>
        <v>869</v>
      </c>
      <c r="I395" s="108" t="str">
        <f>IFERROR(VLOOKUP(C395,Resources!B:G,6,FALSE)," ")</f>
        <v xml:space="preserve"> </v>
      </c>
      <c r="J395" s="108">
        <f>SUBTOTAL(9,J396:J404)</f>
        <v>19053.614043583537</v>
      </c>
      <c r="K395" s="7"/>
      <c r="L395" s="7">
        <f>ROUNDUP((MAX(L396:L399)+MAX(L401:L404))/Workhrs,0)</f>
        <v>4</v>
      </c>
      <c r="M395" s="108">
        <f t="shared" ref="M395:Q395" si="537">SUBTOTAL(9,M396:M404)</f>
        <v>1972.9245762711867</v>
      </c>
      <c r="N395" s="108">
        <f t="shared" si="537"/>
        <v>0</v>
      </c>
      <c r="O395" s="108">
        <f t="shared" si="537"/>
        <v>17080.68946731235</v>
      </c>
      <c r="P395" s="108">
        <f t="shared" si="537"/>
        <v>0</v>
      </c>
      <c r="Q395" s="108">
        <f t="shared" si="537"/>
        <v>19053.614043583537</v>
      </c>
      <c r="R395" s="120"/>
      <c r="T395" s="188"/>
    </row>
    <row r="396" spans="1:20" x14ac:dyDescent="0.25">
      <c r="A396" s="100">
        <v>53.1</v>
      </c>
      <c r="B396" s="3">
        <v>1</v>
      </c>
      <c r="C396" s="5" t="s">
        <v>63</v>
      </c>
      <c r="D396" s="3" t="s">
        <v>48</v>
      </c>
      <c r="E396" s="100" t="str">
        <f>IFERROR(VLOOKUP(C396,Resources!B:D,3,FALSE)," ")</f>
        <v>P</v>
      </c>
      <c r="F396" s="8">
        <v>1</v>
      </c>
      <c r="G396" s="103">
        <f>VLOOKUP($A396,'Model Inputs'!$A:$D,4,FALSE)</f>
        <v>40</v>
      </c>
      <c r="H396" s="8">
        <f>H395</f>
        <v>869</v>
      </c>
      <c r="I396" s="109">
        <f>IFERROR(VLOOKUP(C396,Resources!B:G,6,FALSE)," ")</f>
        <v>135</v>
      </c>
      <c r="J396" s="109">
        <f t="shared" ref="J396:J399" si="538">(H396/(G396/F396))*I396</f>
        <v>2932.875</v>
      </c>
      <c r="K396" s="8">
        <f t="shared" ref="K396:K399" si="539">L396*F396</f>
        <v>21.725000000000001</v>
      </c>
      <c r="L396" s="8">
        <f t="shared" ref="L396:L399" si="540">IF(E396="M"," ",H396/G396)</f>
        <v>21.725000000000001</v>
      </c>
      <c r="M396" s="109">
        <f t="shared" ref="M396:M399" si="541">IF($E396="L",$J396,0)</f>
        <v>0</v>
      </c>
      <c r="N396" s="109">
        <f t="shared" ref="N396:N399" si="542">IF($E396="M",$J396,0)</f>
        <v>0</v>
      </c>
      <c r="O396" s="109">
        <f t="shared" ref="O396:O399" si="543">IF($E396="P",$J396,0)</f>
        <v>2932.875</v>
      </c>
      <c r="P396" s="109">
        <f t="shared" ref="P396:P399" si="544">IF($E396="S",$J396,0)</f>
        <v>0</v>
      </c>
      <c r="Q396" s="109">
        <f t="shared" ref="Q396:Q399" si="545">SUM(M396:P396)</f>
        <v>2932.875</v>
      </c>
      <c r="R396" s="121">
        <v>53</v>
      </c>
      <c r="T396" s="188"/>
    </row>
    <row r="397" spans="1:20" x14ac:dyDescent="0.25">
      <c r="A397" s="100">
        <v>53.2</v>
      </c>
      <c r="B397" s="3">
        <v>2</v>
      </c>
      <c r="C397" s="5" t="s">
        <v>44</v>
      </c>
      <c r="D397" s="3" t="s">
        <v>48</v>
      </c>
      <c r="E397" s="100" t="str">
        <f>IFERROR(VLOOKUP(C397,Resources!B:D,3,FALSE)," ")</f>
        <v>P</v>
      </c>
      <c r="F397" s="103">
        <f>VLOOKUP($A397,'Model Inputs'!$A:$D,4,FALSE)</f>
        <v>3</v>
      </c>
      <c r="G397" s="8">
        <f>G396</f>
        <v>40</v>
      </c>
      <c r="H397" s="8">
        <f>H395</f>
        <v>869</v>
      </c>
      <c r="I397" s="109">
        <f>IFERROR(VLOOKUP(C397,Resources!B:G,6,FALSE)," ")</f>
        <v>145</v>
      </c>
      <c r="J397" s="109">
        <f t="shared" si="538"/>
        <v>9450.375</v>
      </c>
      <c r="K397" s="8">
        <f t="shared" si="539"/>
        <v>65.175000000000011</v>
      </c>
      <c r="L397" s="8">
        <f t="shared" si="540"/>
        <v>21.725000000000001</v>
      </c>
      <c r="M397" s="109">
        <f t="shared" si="541"/>
        <v>0</v>
      </c>
      <c r="N397" s="109">
        <f t="shared" si="542"/>
        <v>0</v>
      </c>
      <c r="O397" s="109">
        <f t="shared" si="543"/>
        <v>9450.375</v>
      </c>
      <c r="P397" s="109">
        <f t="shared" si="544"/>
        <v>0</v>
      </c>
      <c r="Q397" s="109">
        <f t="shared" si="545"/>
        <v>9450.375</v>
      </c>
      <c r="R397" s="121">
        <v>53</v>
      </c>
      <c r="T397" s="188"/>
    </row>
    <row r="398" spans="1:20" x14ac:dyDescent="0.25">
      <c r="A398" s="100"/>
      <c r="B398" s="3">
        <v>3</v>
      </c>
      <c r="C398" s="5" t="s">
        <v>64</v>
      </c>
      <c r="D398" s="3" t="s">
        <v>48</v>
      </c>
      <c r="E398" s="100" t="str">
        <f>IFERROR(VLOOKUP(C398,Resources!B:D,3,FALSE)," ")</f>
        <v>P</v>
      </c>
      <c r="F398" s="8">
        <v>1</v>
      </c>
      <c r="G398" s="8">
        <f>G396</f>
        <v>40</v>
      </c>
      <c r="H398" s="8">
        <f>H395</f>
        <v>869</v>
      </c>
      <c r="I398" s="109">
        <f>IFERROR(VLOOKUP(C398,Resources!B:G,6,FALSE)," ")</f>
        <v>100</v>
      </c>
      <c r="J398" s="109">
        <f t="shared" si="538"/>
        <v>2172.5</v>
      </c>
      <c r="K398" s="8">
        <f t="shared" si="539"/>
        <v>21.725000000000001</v>
      </c>
      <c r="L398" s="8">
        <f t="shared" si="540"/>
        <v>21.725000000000001</v>
      </c>
      <c r="M398" s="109">
        <f t="shared" si="541"/>
        <v>0</v>
      </c>
      <c r="N398" s="109">
        <f t="shared" si="542"/>
        <v>0</v>
      </c>
      <c r="O398" s="109">
        <f t="shared" si="543"/>
        <v>2172.5</v>
      </c>
      <c r="P398" s="109">
        <f t="shared" si="544"/>
        <v>0</v>
      </c>
      <c r="Q398" s="109">
        <f t="shared" si="545"/>
        <v>2172.5</v>
      </c>
      <c r="R398" s="121">
        <v>53</v>
      </c>
      <c r="T398" s="188"/>
    </row>
    <row r="399" spans="1:20" x14ac:dyDescent="0.25">
      <c r="A399" s="100"/>
      <c r="B399" s="3">
        <v>4</v>
      </c>
      <c r="C399" s="5" t="s">
        <v>8</v>
      </c>
      <c r="D399" s="3" t="s">
        <v>48</v>
      </c>
      <c r="E399" s="100" t="str">
        <f>IFERROR(VLOOKUP(C399,Resources!B:D,3,FALSE)," ")</f>
        <v>L</v>
      </c>
      <c r="F399" s="8">
        <v>1</v>
      </c>
      <c r="G399" s="8">
        <f>G396</f>
        <v>40</v>
      </c>
      <c r="H399" s="8">
        <f>H395</f>
        <v>869</v>
      </c>
      <c r="I399" s="109">
        <f>IFERROR(VLOOKUP(C399,Resources!B:G,6,FALSE)," ")</f>
        <v>42</v>
      </c>
      <c r="J399" s="109">
        <f t="shared" si="538"/>
        <v>912.45</v>
      </c>
      <c r="K399" s="8">
        <f t="shared" si="539"/>
        <v>21.725000000000001</v>
      </c>
      <c r="L399" s="8">
        <f t="shared" si="540"/>
        <v>21.725000000000001</v>
      </c>
      <c r="M399" s="109">
        <f t="shared" si="541"/>
        <v>912.45</v>
      </c>
      <c r="N399" s="109">
        <f t="shared" si="542"/>
        <v>0</v>
      </c>
      <c r="O399" s="109">
        <f t="shared" si="543"/>
        <v>0</v>
      </c>
      <c r="P399" s="109">
        <f t="shared" si="544"/>
        <v>0</v>
      </c>
      <c r="Q399" s="109">
        <f t="shared" si="545"/>
        <v>912.45</v>
      </c>
      <c r="R399" s="121">
        <v>53</v>
      </c>
      <c r="T399" s="188"/>
    </row>
    <row r="400" spans="1:20" x14ac:dyDescent="0.25">
      <c r="A400" s="101"/>
      <c r="B400" s="4">
        <v>5</v>
      </c>
      <c r="C400" s="6" t="s">
        <v>65</v>
      </c>
      <c r="D400" s="4"/>
      <c r="E400" s="101" t="str">
        <f>IFERROR(VLOOKUP(C400,Resources!B:D,3,FALSE)," ")</f>
        <v xml:space="preserve"> </v>
      </c>
      <c r="F400" s="9"/>
      <c r="G400" s="9"/>
      <c r="H400" s="9"/>
      <c r="I400" s="38" t="str">
        <f>IFERROR(VLOOKUP(C400,Resources!B:G,6,FALSE)," ")</f>
        <v xml:space="preserve"> </v>
      </c>
      <c r="J400" s="38"/>
      <c r="K400" s="9"/>
      <c r="L400" s="9"/>
      <c r="M400" s="38"/>
      <c r="N400" s="38"/>
      <c r="O400" s="38"/>
      <c r="P400" s="38"/>
      <c r="Q400" s="38"/>
      <c r="R400" s="122"/>
      <c r="T400" s="188"/>
    </row>
    <row r="401" spans="1:20" x14ac:dyDescent="0.25">
      <c r="A401" s="100">
        <v>53.3</v>
      </c>
      <c r="B401" s="3">
        <v>6</v>
      </c>
      <c r="C401" s="5" t="s">
        <v>39</v>
      </c>
      <c r="D401" s="3" t="s">
        <v>48</v>
      </c>
      <c r="E401" s="100" t="str">
        <f>IFERROR(VLOOKUP(C401,Resources!B:D,3,FALSE)," ")</f>
        <v>P</v>
      </c>
      <c r="F401" s="8">
        <v>1</v>
      </c>
      <c r="G401" s="103">
        <f>VLOOKUP($A401,'Model Inputs'!$A:$D,4,FALSE)</f>
        <v>250</v>
      </c>
      <c r="H401" s="8">
        <f>H395/0.413</f>
        <v>2104.1162227602908</v>
      </c>
      <c r="I401" s="109">
        <f>IFERROR(VLOOKUP(C401,Resources!B:G,6,FALSE)," ")</f>
        <v>145</v>
      </c>
      <c r="J401" s="109">
        <f t="shared" ref="J401:J404" si="546">(H401/(G401/F401))*I401</f>
        <v>1220.3874092009687</v>
      </c>
      <c r="K401" s="8">
        <f t="shared" ref="K401:K404" si="547">L401*F401</f>
        <v>8.4164648910411639</v>
      </c>
      <c r="L401" s="8">
        <f t="shared" ref="L401:L404" si="548">IF(E401="M"," ",H401/G401)</f>
        <v>8.4164648910411639</v>
      </c>
      <c r="M401" s="109">
        <f t="shared" ref="M401:M404" si="549">IF($E401="L",$J401,0)</f>
        <v>0</v>
      </c>
      <c r="N401" s="109">
        <f t="shared" ref="N401:N404" si="550">IF($E401="M",$J401,0)</f>
        <v>0</v>
      </c>
      <c r="O401" s="109">
        <f t="shared" ref="O401:O404" si="551">IF($E401="P",$J401,0)</f>
        <v>1220.3874092009687</v>
      </c>
      <c r="P401" s="109">
        <f t="shared" ref="P401:P404" si="552">IF($E401="S",$J401,0)</f>
        <v>0</v>
      </c>
      <c r="Q401" s="109">
        <f t="shared" ref="Q401:Q404" si="553">SUM(M401:P401)</f>
        <v>1220.3874092009687</v>
      </c>
      <c r="R401" s="121">
        <v>61</v>
      </c>
      <c r="T401" s="188"/>
    </row>
    <row r="402" spans="1:20" x14ac:dyDescent="0.25">
      <c r="A402" s="100"/>
      <c r="B402" s="3">
        <v>7</v>
      </c>
      <c r="C402" s="5" t="s">
        <v>64</v>
      </c>
      <c r="D402" s="3" t="s">
        <v>48</v>
      </c>
      <c r="E402" s="100" t="str">
        <f>IFERROR(VLOOKUP(C402,Resources!B:D,3,FALSE)," ")</f>
        <v>P</v>
      </c>
      <c r="F402" s="8">
        <v>1</v>
      </c>
      <c r="G402" s="8">
        <f>G401</f>
        <v>250</v>
      </c>
      <c r="H402" s="8">
        <f>H401</f>
        <v>2104.1162227602908</v>
      </c>
      <c r="I402" s="109">
        <f>IFERROR(VLOOKUP(C402,Resources!B:G,6,FALSE)," ")</f>
        <v>100</v>
      </c>
      <c r="J402" s="109">
        <f t="shared" si="546"/>
        <v>841.64648910411643</v>
      </c>
      <c r="K402" s="8">
        <f t="shared" si="547"/>
        <v>8.4164648910411639</v>
      </c>
      <c r="L402" s="8">
        <f t="shared" si="548"/>
        <v>8.4164648910411639</v>
      </c>
      <c r="M402" s="109">
        <f t="shared" si="549"/>
        <v>0</v>
      </c>
      <c r="N402" s="109">
        <f t="shared" si="550"/>
        <v>0</v>
      </c>
      <c r="O402" s="109">
        <f t="shared" si="551"/>
        <v>841.64648910411643</v>
      </c>
      <c r="P402" s="109">
        <f t="shared" si="552"/>
        <v>0</v>
      </c>
      <c r="Q402" s="109">
        <f t="shared" si="553"/>
        <v>841.64648910411643</v>
      </c>
      <c r="R402" s="121">
        <v>61</v>
      </c>
      <c r="T402" s="188"/>
    </row>
    <row r="403" spans="1:20" x14ac:dyDescent="0.25">
      <c r="A403" s="100"/>
      <c r="B403" s="3">
        <v>8</v>
      </c>
      <c r="C403" s="5" t="s">
        <v>69</v>
      </c>
      <c r="D403" s="3" t="s">
        <v>48</v>
      </c>
      <c r="E403" s="100" t="str">
        <f>IFERROR(VLOOKUP(C403,Resources!B:D,3,FALSE)," ")</f>
        <v>P</v>
      </c>
      <c r="F403" s="8">
        <v>1</v>
      </c>
      <c r="G403" s="8">
        <f>G401</f>
        <v>250</v>
      </c>
      <c r="H403" s="8">
        <f>H401</f>
        <v>2104.1162227602908</v>
      </c>
      <c r="I403" s="109">
        <f>IFERROR(VLOOKUP(C403,Resources!B:G,6,FALSE)," ")</f>
        <v>55</v>
      </c>
      <c r="J403" s="109">
        <f t="shared" si="546"/>
        <v>462.90556900726403</v>
      </c>
      <c r="K403" s="8">
        <f t="shared" si="547"/>
        <v>8.4164648910411639</v>
      </c>
      <c r="L403" s="8">
        <f t="shared" si="548"/>
        <v>8.4164648910411639</v>
      </c>
      <c r="M403" s="109">
        <f t="shared" si="549"/>
        <v>0</v>
      </c>
      <c r="N403" s="109">
        <f t="shared" si="550"/>
        <v>0</v>
      </c>
      <c r="O403" s="109">
        <f t="shared" si="551"/>
        <v>462.90556900726403</v>
      </c>
      <c r="P403" s="109">
        <f t="shared" si="552"/>
        <v>0</v>
      </c>
      <c r="Q403" s="109">
        <f t="shared" si="553"/>
        <v>462.90556900726403</v>
      </c>
      <c r="R403" s="121">
        <v>61</v>
      </c>
      <c r="T403" s="188"/>
    </row>
    <row r="404" spans="1:20" x14ac:dyDescent="0.25">
      <c r="A404" s="100">
        <v>53.4</v>
      </c>
      <c r="B404" s="3">
        <v>9</v>
      </c>
      <c r="C404" s="5" t="s">
        <v>8</v>
      </c>
      <c r="D404" s="3" t="s">
        <v>48</v>
      </c>
      <c r="E404" s="100" t="str">
        <f>IFERROR(VLOOKUP(C404,Resources!B:D,3,FALSE)," ")</f>
        <v>L</v>
      </c>
      <c r="F404" s="103">
        <f>VLOOKUP($A404,'Model Inputs'!$A:$D,4,FALSE)</f>
        <v>3</v>
      </c>
      <c r="G404" s="8">
        <f>G401</f>
        <v>250</v>
      </c>
      <c r="H404" s="8">
        <f>H401</f>
        <v>2104.1162227602908</v>
      </c>
      <c r="I404" s="109">
        <f>IFERROR(VLOOKUP(C404,Resources!B:G,6,FALSE)," ")</f>
        <v>42</v>
      </c>
      <c r="J404" s="109">
        <f t="shared" si="546"/>
        <v>1060.4745762711866</v>
      </c>
      <c r="K404" s="8">
        <f t="shared" si="547"/>
        <v>25.24939467312349</v>
      </c>
      <c r="L404" s="8">
        <f t="shared" si="548"/>
        <v>8.4164648910411639</v>
      </c>
      <c r="M404" s="109">
        <f t="shared" si="549"/>
        <v>1060.4745762711866</v>
      </c>
      <c r="N404" s="109">
        <f t="shared" si="550"/>
        <v>0</v>
      </c>
      <c r="O404" s="109">
        <f t="shared" si="551"/>
        <v>0</v>
      </c>
      <c r="P404" s="109">
        <f t="shared" si="552"/>
        <v>0</v>
      </c>
      <c r="Q404" s="109">
        <f t="shared" si="553"/>
        <v>1060.4745762711866</v>
      </c>
      <c r="R404" s="121">
        <v>61</v>
      </c>
      <c r="T404" s="188"/>
    </row>
    <row r="405" spans="1:20" x14ac:dyDescent="0.25">
      <c r="A405" s="101"/>
      <c r="B405" s="4"/>
      <c r="C405" s="6"/>
      <c r="D405" s="4"/>
      <c r="E405" s="101" t="str">
        <f>IFERROR(VLOOKUP(C405,Resources!B:D,3,FALSE)," ")</f>
        <v xml:space="preserve"> </v>
      </c>
      <c r="F405" s="9"/>
      <c r="G405" s="9"/>
      <c r="H405" s="9"/>
      <c r="I405" s="38" t="str">
        <f>IFERROR(VLOOKUP(C405,Resources!B:G,6,FALSE)," ")</f>
        <v xml:space="preserve"> </v>
      </c>
      <c r="J405" s="38"/>
      <c r="K405" s="9"/>
      <c r="L405" s="9"/>
      <c r="M405" s="38"/>
      <c r="N405" s="38"/>
      <c r="O405" s="38"/>
      <c r="P405" s="38"/>
      <c r="Q405" s="38"/>
      <c r="R405" s="122"/>
      <c r="T405" s="188"/>
    </row>
    <row r="406" spans="1:20" ht="30" x14ac:dyDescent="0.25">
      <c r="A406" s="114">
        <v>54</v>
      </c>
      <c r="B406" s="1" t="s">
        <v>257</v>
      </c>
      <c r="C406" s="1" t="s">
        <v>258</v>
      </c>
      <c r="D406" s="2" t="s">
        <v>62</v>
      </c>
      <c r="E406" s="99" t="str">
        <f>IFERROR(VLOOKUP(C406,Resources!B:D,3,FALSE)," ")</f>
        <v xml:space="preserve"> </v>
      </c>
      <c r="F406" s="7"/>
      <c r="G406" s="7"/>
      <c r="H406" s="103">
        <f>VLOOKUP($A406,'Model Inputs'!$A:$D,4,FALSE)</f>
        <v>4</v>
      </c>
      <c r="I406" s="108" t="str">
        <f>IFERROR(VLOOKUP(C406,Resources!B:G,6,FALSE)," ")</f>
        <v xml:space="preserve"> </v>
      </c>
      <c r="J406" s="108">
        <f>SUBTOTAL(9,J407:J411)</f>
        <v>112.2</v>
      </c>
      <c r="K406" s="7"/>
      <c r="L406" s="7">
        <f>ROUNDUP(MAX(L407:L411)/Workhrs,0)</f>
        <v>1</v>
      </c>
      <c r="M406" s="108">
        <f t="shared" ref="M406:Q406" si="554">SUBTOTAL(9,M407:M411)</f>
        <v>25.2</v>
      </c>
      <c r="N406" s="108">
        <f t="shared" si="554"/>
        <v>0</v>
      </c>
      <c r="O406" s="108">
        <f t="shared" si="554"/>
        <v>87</v>
      </c>
      <c r="P406" s="108">
        <f t="shared" si="554"/>
        <v>0</v>
      </c>
      <c r="Q406" s="108">
        <f t="shared" si="554"/>
        <v>112.2</v>
      </c>
      <c r="R406" s="120"/>
      <c r="T406" s="188"/>
    </row>
    <row r="407" spans="1:20" x14ac:dyDescent="0.25">
      <c r="A407" s="100">
        <v>54.1</v>
      </c>
      <c r="B407" s="3">
        <v>1</v>
      </c>
      <c r="C407" s="5" t="s">
        <v>63</v>
      </c>
      <c r="D407" s="3" t="s">
        <v>48</v>
      </c>
      <c r="E407" s="100" t="str">
        <f>IFERROR(VLOOKUP(C407,Resources!B:D,3,FALSE)," ")</f>
        <v>P</v>
      </c>
      <c r="F407" s="8">
        <v>1</v>
      </c>
      <c r="G407" s="103">
        <f>VLOOKUP($A407,'Model Inputs'!$A:$D,4,FALSE)</f>
        <v>20</v>
      </c>
      <c r="H407" s="8">
        <f>H406</f>
        <v>4</v>
      </c>
      <c r="I407" s="109">
        <f>IFERROR(VLOOKUP(C407,Resources!B:G,6,FALSE)," ")</f>
        <v>135</v>
      </c>
      <c r="J407" s="109">
        <f t="shared" ref="J407:J411" si="555">(H407/(G407/F407))*I407</f>
        <v>27</v>
      </c>
      <c r="K407" s="8">
        <f t="shared" ref="K407:K411" si="556">L407*F407</f>
        <v>0.2</v>
      </c>
      <c r="L407" s="8">
        <f t="shared" ref="L407:L411" si="557">IF(E407="M"," ",H407/G407)</f>
        <v>0.2</v>
      </c>
      <c r="M407" s="109">
        <f t="shared" ref="M407:M411" si="558">IF($E407="L",$J407,0)</f>
        <v>0</v>
      </c>
      <c r="N407" s="109">
        <f t="shared" ref="N407:N411" si="559">IF($E407="M",$J407,0)</f>
        <v>0</v>
      </c>
      <c r="O407" s="109">
        <f t="shared" ref="O407:O411" si="560">IF($E407="P",$J407,0)</f>
        <v>27</v>
      </c>
      <c r="P407" s="109">
        <f t="shared" ref="P407:P411" si="561">IF($E407="S",$J407,0)</f>
        <v>0</v>
      </c>
      <c r="Q407" s="109">
        <f t="shared" ref="Q407:Q411" si="562">SUM(M407:P407)</f>
        <v>27</v>
      </c>
      <c r="R407" s="121">
        <v>53</v>
      </c>
      <c r="T407" s="188"/>
    </row>
    <row r="408" spans="1:20" x14ac:dyDescent="0.25">
      <c r="A408" s="100"/>
      <c r="B408" s="3">
        <v>2</v>
      </c>
      <c r="C408" s="5" t="s">
        <v>39</v>
      </c>
      <c r="D408" s="3" t="s">
        <v>48</v>
      </c>
      <c r="E408" s="100" t="str">
        <f>IFERROR(VLOOKUP(C408,Resources!B:D,3,FALSE)," ")</f>
        <v>P</v>
      </c>
      <c r="F408" s="8">
        <v>1</v>
      </c>
      <c r="G408" s="8">
        <f>G407</f>
        <v>20</v>
      </c>
      <c r="H408" s="8">
        <f>H406</f>
        <v>4</v>
      </c>
      <c r="I408" s="109">
        <f>IFERROR(VLOOKUP(C408,Resources!B:G,6,FALSE)," ")</f>
        <v>145</v>
      </c>
      <c r="J408" s="109">
        <f t="shared" si="555"/>
        <v>29</v>
      </c>
      <c r="K408" s="8">
        <f t="shared" si="556"/>
        <v>0.2</v>
      </c>
      <c r="L408" s="8">
        <f t="shared" si="557"/>
        <v>0.2</v>
      </c>
      <c r="M408" s="109">
        <f t="shared" si="558"/>
        <v>0</v>
      </c>
      <c r="N408" s="109">
        <f t="shared" si="559"/>
        <v>0</v>
      </c>
      <c r="O408" s="109">
        <f t="shared" si="560"/>
        <v>29</v>
      </c>
      <c r="P408" s="109">
        <f t="shared" si="561"/>
        <v>0</v>
      </c>
      <c r="Q408" s="109">
        <f t="shared" si="562"/>
        <v>29</v>
      </c>
      <c r="R408" s="121">
        <v>53</v>
      </c>
      <c r="T408" s="188"/>
    </row>
    <row r="409" spans="1:20" x14ac:dyDescent="0.25">
      <c r="A409" s="100"/>
      <c r="B409" s="3">
        <v>3</v>
      </c>
      <c r="C409" s="5" t="s">
        <v>69</v>
      </c>
      <c r="D409" s="3" t="s">
        <v>48</v>
      </c>
      <c r="E409" s="100" t="str">
        <f>IFERROR(VLOOKUP(C409,Resources!B:D,3,FALSE)," ")</f>
        <v>P</v>
      </c>
      <c r="F409" s="8">
        <v>1</v>
      </c>
      <c r="G409" s="8">
        <f>G407</f>
        <v>20</v>
      </c>
      <c r="H409" s="8">
        <f>H406</f>
        <v>4</v>
      </c>
      <c r="I409" s="109">
        <f>IFERROR(VLOOKUP(C409,Resources!B:G,6,FALSE)," ")</f>
        <v>55</v>
      </c>
      <c r="J409" s="109">
        <f t="shared" si="555"/>
        <v>11</v>
      </c>
      <c r="K409" s="8">
        <f t="shared" si="556"/>
        <v>0.2</v>
      </c>
      <c r="L409" s="8">
        <f t="shared" si="557"/>
        <v>0.2</v>
      </c>
      <c r="M409" s="109">
        <f t="shared" si="558"/>
        <v>0</v>
      </c>
      <c r="N409" s="109">
        <f t="shared" si="559"/>
        <v>0</v>
      </c>
      <c r="O409" s="109">
        <f t="shared" si="560"/>
        <v>11</v>
      </c>
      <c r="P409" s="109">
        <f t="shared" si="561"/>
        <v>0</v>
      </c>
      <c r="Q409" s="109">
        <f t="shared" si="562"/>
        <v>11</v>
      </c>
      <c r="R409" s="121">
        <v>53</v>
      </c>
      <c r="T409" s="188"/>
    </row>
    <row r="410" spans="1:20" x14ac:dyDescent="0.25">
      <c r="A410" s="100"/>
      <c r="B410" s="3">
        <v>4</v>
      </c>
      <c r="C410" s="5" t="s">
        <v>64</v>
      </c>
      <c r="D410" s="3" t="s">
        <v>48</v>
      </c>
      <c r="E410" s="100" t="str">
        <f>IFERROR(VLOOKUP(C410,Resources!B:D,3,FALSE)," ")</f>
        <v>P</v>
      </c>
      <c r="F410" s="8">
        <v>1</v>
      </c>
      <c r="G410" s="8">
        <f>G407</f>
        <v>20</v>
      </c>
      <c r="H410" s="8">
        <f>H406</f>
        <v>4</v>
      </c>
      <c r="I410" s="109">
        <f>IFERROR(VLOOKUP(C410,Resources!B:G,6,FALSE)," ")</f>
        <v>100</v>
      </c>
      <c r="J410" s="109">
        <f t="shared" si="555"/>
        <v>20</v>
      </c>
      <c r="K410" s="8">
        <f t="shared" si="556"/>
        <v>0.2</v>
      </c>
      <c r="L410" s="8">
        <f t="shared" si="557"/>
        <v>0.2</v>
      </c>
      <c r="M410" s="109">
        <f t="shared" si="558"/>
        <v>0</v>
      </c>
      <c r="N410" s="109">
        <f t="shared" si="559"/>
        <v>0</v>
      </c>
      <c r="O410" s="109">
        <f t="shared" si="560"/>
        <v>20</v>
      </c>
      <c r="P410" s="109">
        <f t="shared" si="561"/>
        <v>0</v>
      </c>
      <c r="Q410" s="109">
        <f t="shared" si="562"/>
        <v>20</v>
      </c>
      <c r="R410" s="121">
        <v>53</v>
      </c>
      <c r="T410" s="188"/>
    </row>
    <row r="411" spans="1:20" x14ac:dyDescent="0.25">
      <c r="A411" s="100">
        <v>54.2</v>
      </c>
      <c r="B411" s="3">
        <v>5</v>
      </c>
      <c r="C411" s="5" t="s">
        <v>8</v>
      </c>
      <c r="D411" s="3" t="s">
        <v>48</v>
      </c>
      <c r="E411" s="100" t="str">
        <f>IFERROR(VLOOKUP(C411,Resources!B:D,3,FALSE)," ")</f>
        <v>L</v>
      </c>
      <c r="F411" s="103">
        <f>VLOOKUP($A411,'Model Inputs'!$A:$D,4,FALSE)</f>
        <v>3</v>
      </c>
      <c r="G411" s="8">
        <f>G407</f>
        <v>20</v>
      </c>
      <c r="H411" s="8">
        <f>H406</f>
        <v>4</v>
      </c>
      <c r="I411" s="109">
        <f>IFERROR(VLOOKUP(C411,Resources!B:G,6,FALSE)," ")</f>
        <v>42</v>
      </c>
      <c r="J411" s="109">
        <f t="shared" si="555"/>
        <v>25.2</v>
      </c>
      <c r="K411" s="8">
        <f t="shared" si="556"/>
        <v>0.60000000000000009</v>
      </c>
      <c r="L411" s="8">
        <f t="shared" si="557"/>
        <v>0.2</v>
      </c>
      <c r="M411" s="109">
        <f t="shared" si="558"/>
        <v>25.2</v>
      </c>
      <c r="N411" s="109">
        <f t="shared" si="559"/>
        <v>0</v>
      </c>
      <c r="O411" s="109">
        <f t="shared" si="560"/>
        <v>0</v>
      </c>
      <c r="P411" s="109">
        <f t="shared" si="561"/>
        <v>0</v>
      </c>
      <c r="Q411" s="109">
        <f t="shared" si="562"/>
        <v>25.2</v>
      </c>
      <c r="R411" s="121">
        <v>53</v>
      </c>
      <c r="T411" s="188"/>
    </row>
    <row r="412" spans="1:20" x14ac:dyDescent="0.25">
      <c r="A412" s="101"/>
      <c r="B412" s="4"/>
      <c r="C412" s="6"/>
      <c r="D412" s="4"/>
      <c r="E412" s="101" t="str">
        <f>IFERROR(VLOOKUP(C412,Resources!B:D,3,FALSE)," ")</f>
        <v xml:space="preserve"> </v>
      </c>
      <c r="F412" s="9"/>
      <c r="G412" s="9"/>
      <c r="H412" s="9"/>
      <c r="I412" s="38" t="str">
        <f>IFERROR(VLOOKUP(C412,Resources!B:G,6,FALSE)," ")</f>
        <v xml:space="preserve"> </v>
      </c>
      <c r="J412" s="38"/>
      <c r="K412" s="9"/>
      <c r="L412" s="9"/>
      <c r="M412" s="38"/>
      <c r="N412" s="38"/>
      <c r="O412" s="38"/>
      <c r="P412" s="38"/>
      <c r="Q412" s="38"/>
      <c r="R412" s="122"/>
      <c r="T412" s="188"/>
    </row>
    <row r="413" spans="1:20" ht="45" x14ac:dyDescent="0.25">
      <c r="A413" s="114">
        <v>55</v>
      </c>
      <c r="B413" s="1" t="s">
        <v>259</v>
      </c>
      <c r="C413" s="1" t="s">
        <v>167</v>
      </c>
      <c r="D413" s="2" t="s">
        <v>62</v>
      </c>
      <c r="E413" s="99" t="str">
        <f>IFERROR(VLOOKUP(C413,Resources!B:D,3,FALSE)," ")</f>
        <v xml:space="preserve"> </v>
      </c>
      <c r="F413" s="7"/>
      <c r="G413" s="7"/>
      <c r="H413" s="103">
        <f>VLOOKUP($A413,'Model Inputs'!$A:$D,4,FALSE)</f>
        <v>10</v>
      </c>
      <c r="I413" s="108" t="str">
        <f>IFERROR(VLOOKUP(C413,Resources!B:G,6,FALSE)," ")</f>
        <v xml:space="preserve"> </v>
      </c>
      <c r="J413" s="108">
        <f>SUBTOTAL(9,J414:J422)</f>
        <v>655.33333333333337</v>
      </c>
      <c r="K413" s="7"/>
      <c r="L413" s="7">
        <f>ROUNDUP((MAX(L414:L417)+MAX(L419:L422))/Workhrs,0)</f>
        <v>1</v>
      </c>
      <c r="M413" s="108">
        <f t="shared" ref="M413:Q413" si="563">SUBTOTAL(9,M414:M422)</f>
        <v>112</v>
      </c>
      <c r="N413" s="108">
        <f t="shared" si="563"/>
        <v>0</v>
      </c>
      <c r="O413" s="108">
        <f t="shared" si="563"/>
        <v>543.33333333333337</v>
      </c>
      <c r="P413" s="108">
        <f t="shared" si="563"/>
        <v>0</v>
      </c>
      <c r="Q413" s="108">
        <f t="shared" si="563"/>
        <v>655.33333333333337</v>
      </c>
      <c r="R413" s="120"/>
      <c r="T413" s="188"/>
    </row>
    <row r="414" spans="1:20" x14ac:dyDescent="0.25">
      <c r="A414" s="100">
        <v>55.1</v>
      </c>
      <c r="B414" s="3">
        <v>1</v>
      </c>
      <c r="C414" s="5" t="s">
        <v>63</v>
      </c>
      <c r="D414" s="3" t="s">
        <v>48</v>
      </c>
      <c r="E414" s="100" t="str">
        <f>IFERROR(VLOOKUP(C414,Resources!B:D,3,FALSE)," ")</f>
        <v>P</v>
      </c>
      <c r="F414" s="8">
        <v>1</v>
      </c>
      <c r="G414" s="103">
        <f>VLOOKUP($A414,'Model Inputs'!$A:$D,4,FALSE)</f>
        <v>15</v>
      </c>
      <c r="H414" s="8">
        <f>H413</f>
        <v>10</v>
      </c>
      <c r="I414" s="109">
        <f>IFERROR(VLOOKUP(C414,Resources!B:G,6,FALSE)," ")</f>
        <v>135</v>
      </c>
      <c r="J414" s="109">
        <f t="shared" ref="J414:J417" si="564">(H414/(G414/F414))*I414</f>
        <v>90</v>
      </c>
      <c r="K414" s="8">
        <f t="shared" ref="K414:K417" si="565">L414*F414</f>
        <v>0.66666666666666663</v>
      </c>
      <c r="L414" s="8">
        <f t="shared" ref="L414:L417" si="566">IF(E414="M"," ",H414/G414)</f>
        <v>0.66666666666666663</v>
      </c>
      <c r="M414" s="109">
        <f t="shared" ref="M414:M417" si="567">IF($E414="L",$J414,0)</f>
        <v>0</v>
      </c>
      <c r="N414" s="109">
        <f t="shared" ref="N414:N417" si="568">IF($E414="M",$J414,0)</f>
        <v>0</v>
      </c>
      <c r="O414" s="109">
        <f t="shared" ref="O414:O417" si="569">IF($E414="P",$J414,0)</f>
        <v>90</v>
      </c>
      <c r="P414" s="109">
        <f t="shared" ref="P414:P417" si="570">IF($E414="S",$J414,0)</f>
        <v>0</v>
      </c>
      <c r="Q414" s="109">
        <f t="shared" ref="Q414:Q417" si="571">SUM(M414:P414)</f>
        <v>90</v>
      </c>
      <c r="R414" s="121">
        <v>57</v>
      </c>
      <c r="T414" s="188"/>
    </row>
    <row r="415" spans="1:20" x14ac:dyDescent="0.25">
      <c r="A415" s="100"/>
      <c r="B415" s="3">
        <v>2</v>
      </c>
      <c r="C415" s="5" t="s">
        <v>44</v>
      </c>
      <c r="D415" s="3" t="s">
        <v>48</v>
      </c>
      <c r="E415" s="100" t="str">
        <f>IFERROR(VLOOKUP(C415,Resources!B:D,3,FALSE)," ")</f>
        <v>P</v>
      </c>
      <c r="F415" s="8">
        <v>2</v>
      </c>
      <c r="G415" s="8">
        <f>G414</f>
        <v>15</v>
      </c>
      <c r="H415" s="8">
        <f>H413</f>
        <v>10</v>
      </c>
      <c r="I415" s="109">
        <f>IFERROR(VLOOKUP(C415,Resources!B:G,6,FALSE)," ")</f>
        <v>145</v>
      </c>
      <c r="J415" s="109">
        <f t="shared" si="564"/>
        <v>193.33333333333331</v>
      </c>
      <c r="K415" s="8">
        <f t="shared" si="565"/>
        <v>1.3333333333333333</v>
      </c>
      <c r="L415" s="8">
        <f t="shared" si="566"/>
        <v>0.66666666666666663</v>
      </c>
      <c r="M415" s="109">
        <f t="shared" si="567"/>
        <v>0</v>
      </c>
      <c r="N415" s="109">
        <f t="shared" si="568"/>
        <v>0</v>
      </c>
      <c r="O415" s="109">
        <f t="shared" si="569"/>
        <v>193.33333333333331</v>
      </c>
      <c r="P415" s="109">
        <f t="shared" si="570"/>
        <v>0</v>
      </c>
      <c r="Q415" s="109">
        <f t="shared" si="571"/>
        <v>193.33333333333331</v>
      </c>
      <c r="R415" s="121">
        <v>57</v>
      </c>
      <c r="T415" s="188"/>
    </row>
    <row r="416" spans="1:20" x14ac:dyDescent="0.25">
      <c r="A416" s="100"/>
      <c r="B416" s="3">
        <v>3</v>
      </c>
      <c r="C416" s="5" t="s">
        <v>64</v>
      </c>
      <c r="D416" s="3" t="s">
        <v>48</v>
      </c>
      <c r="E416" s="100" t="str">
        <f>IFERROR(VLOOKUP(C416,Resources!B:D,3,FALSE)," ")</f>
        <v>P</v>
      </c>
      <c r="F416" s="8">
        <v>1</v>
      </c>
      <c r="G416" s="8">
        <f>G414</f>
        <v>15</v>
      </c>
      <c r="H416" s="8">
        <f>H413</f>
        <v>10</v>
      </c>
      <c r="I416" s="109">
        <f>IFERROR(VLOOKUP(C416,Resources!B:G,6,FALSE)," ")</f>
        <v>100</v>
      </c>
      <c r="J416" s="109">
        <f t="shared" si="564"/>
        <v>66.666666666666657</v>
      </c>
      <c r="K416" s="8">
        <f t="shared" si="565"/>
        <v>0.66666666666666663</v>
      </c>
      <c r="L416" s="8">
        <f t="shared" si="566"/>
        <v>0.66666666666666663</v>
      </c>
      <c r="M416" s="109">
        <f t="shared" si="567"/>
        <v>0</v>
      </c>
      <c r="N416" s="109">
        <f t="shared" si="568"/>
        <v>0</v>
      </c>
      <c r="O416" s="109">
        <f t="shared" si="569"/>
        <v>66.666666666666657</v>
      </c>
      <c r="P416" s="109">
        <f t="shared" si="570"/>
        <v>0</v>
      </c>
      <c r="Q416" s="109">
        <f t="shared" si="571"/>
        <v>66.666666666666657</v>
      </c>
      <c r="R416" s="121">
        <v>57</v>
      </c>
      <c r="T416" s="188"/>
    </row>
    <row r="417" spans="1:20" x14ac:dyDescent="0.25">
      <c r="A417" s="100"/>
      <c r="B417" s="3">
        <v>4</v>
      </c>
      <c r="C417" s="5" t="s">
        <v>8</v>
      </c>
      <c r="D417" s="3" t="s">
        <v>48</v>
      </c>
      <c r="E417" s="100" t="str">
        <f>IFERROR(VLOOKUP(C417,Resources!B:D,3,FALSE)," ")</f>
        <v>L</v>
      </c>
      <c r="F417" s="8">
        <v>1</v>
      </c>
      <c r="G417" s="8">
        <f>G414</f>
        <v>15</v>
      </c>
      <c r="H417" s="8">
        <f>H413</f>
        <v>10</v>
      </c>
      <c r="I417" s="109">
        <f>IFERROR(VLOOKUP(C417,Resources!B:G,6,FALSE)," ")</f>
        <v>42</v>
      </c>
      <c r="J417" s="109">
        <f t="shared" si="564"/>
        <v>28</v>
      </c>
      <c r="K417" s="8">
        <f t="shared" si="565"/>
        <v>0.66666666666666663</v>
      </c>
      <c r="L417" s="8">
        <f t="shared" si="566"/>
        <v>0.66666666666666663</v>
      </c>
      <c r="M417" s="109">
        <f t="shared" si="567"/>
        <v>28</v>
      </c>
      <c r="N417" s="109">
        <f t="shared" si="568"/>
        <v>0</v>
      </c>
      <c r="O417" s="109">
        <f t="shared" si="569"/>
        <v>0</v>
      </c>
      <c r="P417" s="109">
        <f t="shared" si="570"/>
        <v>0</v>
      </c>
      <c r="Q417" s="109">
        <f t="shared" si="571"/>
        <v>28</v>
      </c>
      <c r="R417" s="121">
        <v>57</v>
      </c>
      <c r="T417" s="188"/>
    </row>
    <row r="418" spans="1:20" x14ac:dyDescent="0.25">
      <c r="A418" s="101"/>
      <c r="B418" s="4">
        <v>5</v>
      </c>
      <c r="C418" s="6" t="s">
        <v>68</v>
      </c>
      <c r="D418" s="4"/>
      <c r="E418" s="101" t="str">
        <f>IFERROR(VLOOKUP(C418,Resources!B:D,3,FALSE)," ")</f>
        <v xml:space="preserve"> </v>
      </c>
      <c r="F418" s="9"/>
      <c r="G418" s="9"/>
      <c r="H418" s="9"/>
      <c r="I418" s="38" t="str">
        <f>IFERROR(VLOOKUP(C418,Resources!B:G,6,FALSE)," ")</f>
        <v xml:space="preserve"> </v>
      </c>
      <c r="J418" s="38"/>
      <c r="K418" s="9"/>
      <c r="L418" s="9"/>
      <c r="M418" s="38"/>
      <c r="N418" s="38"/>
      <c r="O418" s="38"/>
      <c r="P418" s="38"/>
      <c r="Q418" s="38"/>
      <c r="R418" s="122"/>
      <c r="T418" s="188"/>
    </row>
    <row r="419" spans="1:20" x14ac:dyDescent="0.25">
      <c r="A419" s="100">
        <v>55.2</v>
      </c>
      <c r="B419" s="3">
        <v>6</v>
      </c>
      <c r="C419" s="5" t="s">
        <v>63</v>
      </c>
      <c r="D419" s="3" t="s">
        <v>48</v>
      </c>
      <c r="E419" s="100" t="str">
        <f>IFERROR(VLOOKUP(C419,Resources!B:D,3,FALSE)," ")</f>
        <v>P</v>
      </c>
      <c r="F419" s="8">
        <v>1</v>
      </c>
      <c r="G419" s="103">
        <f>VLOOKUP($A419,'Model Inputs'!$A:$D,4,FALSE)</f>
        <v>15</v>
      </c>
      <c r="H419" s="8">
        <f>H413</f>
        <v>10</v>
      </c>
      <c r="I419" s="109">
        <f>IFERROR(VLOOKUP(C419,Resources!B:G,6,FALSE)," ")</f>
        <v>135</v>
      </c>
      <c r="J419" s="109">
        <f t="shared" ref="J419:J422" si="572">(H419/(G419/F419))*I419</f>
        <v>90</v>
      </c>
      <c r="K419" s="8">
        <f t="shared" ref="K419:K422" si="573">L419*F419</f>
        <v>0.66666666666666663</v>
      </c>
      <c r="L419" s="8">
        <f t="shared" ref="L419:L422" si="574">IF(E419="M"," ",H419/G419)</f>
        <v>0.66666666666666663</v>
      </c>
      <c r="M419" s="109">
        <f t="shared" ref="M419:M422" si="575">IF($E419="L",$J419,0)</f>
        <v>0</v>
      </c>
      <c r="N419" s="109">
        <f t="shared" ref="N419:N422" si="576">IF($E419="M",$J419,0)</f>
        <v>0</v>
      </c>
      <c r="O419" s="109">
        <f t="shared" ref="O419:O422" si="577">IF($E419="P",$J419,0)</f>
        <v>90</v>
      </c>
      <c r="P419" s="109">
        <f t="shared" ref="P419:P422" si="578">IF($E419="S",$J419,0)</f>
        <v>0</v>
      </c>
      <c r="Q419" s="109">
        <f t="shared" ref="Q419:Q422" si="579">SUM(M419:P419)</f>
        <v>90</v>
      </c>
      <c r="R419" s="121">
        <v>57</v>
      </c>
      <c r="T419" s="188"/>
    </row>
    <row r="420" spans="1:20" x14ac:dyDescent="0.25">
      <c r="A420" s="100"/>
      <c r="B420" s="3">
        <v>7</v>
      </c>
      <c r="C420" s="5" t="s">
        <v>69</v>
      </c>
      <c r="D420" s="3" t="s">
        <v>48</v>
      </c>
      <c r="E420" s="100" t="str">
        <f>IFERROR(VLOOKUP(C420,Resources!B:D,3,FALSE)," ")</f>
        <v>P</v>
      </c>
      <c r="F420" s="8">
        <v>1</v>
      </c>
      <c r="G420" s="8">
        <f>G419</f>
        <v>15</v>
      </c>
      <c r="H420" s="8">
        <f>H413</f>
        <v>10</v>
      </c>
      <c r="I420" s="109">
        <f>IFERROR(VLOOKUP(C420,Resources!B:G,6,FALSE)," ")</f>
        <v>55</v>
      </c>
      <c r="J420" s="109">
        <f t="shared" si="572"/>
        <v>36.666666666666664</v>
      </c>
      <c r="K420" s="8">
        <f t="shared" si="573"/>
        <v>0.66666666666666663</v>
      </c>
      <c r="L420" s="8">
        <f t="shared" si="574"/>
        <v>0.66666666666666663</v>
      </c>
      <c r="M420" s="109">
        <f t="shared" si="575"/>
        <v>0</v>
      </c>
      <c r="N420" s="109">
        <f t="shared" si="576"/>
        <v>0</v>
      </c>
      <c r="O420" s="109">
        <f t="shared" si="577"/>
        <v>36.666666666666664</v>
      </c>
      <c r="P420" s="109">
        <f t="shared" si="578"/>
        <v>0</v>
      </c>
      <c r="Q420" s="109">
        <f t="shared" si="579"/>
        <v>36.666666666666664</v>
      </c>
      <c r="R420" s="121">
        <v>57</v>
      </c>
      <c r="T420" s="188"/>
    </row>
    <row r="421" spans="1:20" x14ac:dyDescent="0.25">
      <c r="A421" s="100"/>
      <c r="B421" s="3">
        <v>8</v>
      </c>
      <c r="C421" s="5" t="s">
        <v>64</v>
      </c>
      <c r="D421" s="3" t="s">
        <v>48</v>
      </c>
      <c r="E421" s="100" t="str">
        <f>IFERROR(VLOOKUP(C421,Resources!B:D,3,FALSE)," ")</f>
        <v>P</v>
      </c>
      <c r="F421" s="8">
        <v>1</v>
      </c>
      <c r="G421" s="8">
        <f>G419</f>
        <v>15</v>
      </c>
      <c r="H421" s="8">
        <f>H413</f>
        <v>10</v>
      </c>
      <c r="I421" s="109">
        <f>IFERROR(VLOOKUP(C421,Resources!B:G,6,FALSE)," ")</f>
        <v>100</v>
      </c>
      <c r="J421" s="109">
        <f t="shared" si="572"/>
        <v>66.666666666666657</v>
      </c>
      <c r="K421" s="8">
        <f t="shared" si="573"/>
        <v>0.66666666666666663</v>
      </c>
      <c r="L421" s="8">
        <f t="shared" si="574"/>
        <v>0.66666666666666663</v>
      </c>
      <c r="M421" s="109">
        <f t="shared" si="575"/>
        <v>0</v>
      </c>
      <c r="N421" s="109">
        <f t="shared" si="576"/>
        <v>0</v>
      </c>
      <c r="O421" s="109">
        <f t="shared" si="577"/>
        <v>66.666666666666657</v>
      </c>
      <c r="P421" s="109">
        <f t="shared" si="578"/>
        <v>0</v>
      </c>
      <c r="Q421" s="109">
        <f t="shared" si="579"/>
        <v>66.666666666666657</v>
      </c>
      <c r="R421" s="121">
        <v>57</v>
      </c>
      <c r="T421" s="188"/>
    </row>
    <row r="422" spans="1:20" x14ac:dyDescent="0.25">
      <c r="A422" s="100">
        <v>55.3</v>
      </c>
      <c r="B422" s="3">
        <v>9</v>
      </c>
      <c r="C422" s="5" t="s">
        <v>8</v>
      </c>
      <c r="D422" s="3" t="s">
        <v>48</v>
      </c>
      <c r="E422" s="100" t="str">
        <f>IFERROR(VLOOKUP(C422,Resources!B:D,3,FALSE)," ")</f>
        <v>L</v>
      </c>
      <c r="F422" s="103">
        <f>VLOOKUP($A422,'Model Inputs'!$A:$D,4,FALSE)</f>
        <v>3</v>
      </c>
      <c r="G422" s="8">
        <f>G419</f>
        <v>15</v>
      </c>
      <c r="H422" s="8">
        <f>H413</f>
        <v>10</v>
      </c>
      <c r="I422" s="109">
        <f>IFERROR(VLOOKUP(C422,Resources!B:G,6,FALSE)," ")</f>
        <v>42</v>
      </c>
      <c r="J422" s="109">
        <f t="shared" si="572"/>
        <v>84</v>
      </c>
      <c r="K422" s="8">
        <f t="shared" si="573"/>
        <v>2</v>
      </c>
      <c r="L422" s="8">
        <f t="shared" si="574"/>
        <v>0.66666666666666663</v>
      </c>
      <c r="M422" s="109">
        <f t="shared" si="575"/>
        <v>84</v>
      </c>
      <c r="N422" s="109">
        <f t="shared" si="576"/>
        <v>0</v>
      </c>
      <c r="O422" s="109">
        <f t="shared" si="577"/>
        <v>0</v>
      </c>
      <c r="P422" s="109">
        <f t="shared" si="578"/>
        <v>0</v>
      </c>
      <c r="Q422" s="109">
        <f t="shared" si="579"/>
        <v>84</v>
      </c>
      <c r="R422" s="121">
        <v>57</v>
      </c>
      <c r="T422" s="188"/>
    </row>
    <row r="423" spans="1:20" x14ac:dyDescent="0.25">
      <c r="A423" s="101"/>
      <c r="B423" s="4"/>
      <c r="C423" s="6"/>
      <c r="D423" s="4"/>
      <c r="E423" s="101" t="str">
        <f>IFERROR(VLOOKUP(C423,Resources!B:D,3,FALSE)," ")</f>
        <v xml:space="preserve"> </v>
      </c>
      <c r="F423" s="9"/>
      <c r="G423" s="9"/>
      <c r="H423" s="9"/>
      <c r="I423" s="38" t="str">
        <f>IFERROR(VLOOKUP(C423,Resources!B:G,6,FALSE)," ")</f>
        <v xml:space="preserve"> </v>
      </c>
      <c r="J423" s="38"/>
      <c r="K423" s="9"/>
      <c r="L423" s="9"/>
      <c r="M423" s="38"/>
      <c r="N423" s="38"/>
      <c r="O423" s="38"/>
      <c r="P423" s="38"/>
      <c r="Q423" s="38"/>
      <c r="R423" s="122"/>
      <c r="T423" s="188"/>
    </row>
    <row r="424" spans="1:20" ht="45" x14ac:dyDescent="0.25">
      <c r="A424" s="114">
        <v>56</v>
      </c>
      <c r="B424" s="1" t="s">
        <v>260</v>
      </c>
      <c r="C424" s="1" t="s">
        <v>261</v>
      </c>
      <c r="D424" s="2" t="s">
        <v>20</v>
      </c>
      <c r="E424" s="99" t="str">
        <f>IFERROR(VLOOKUP(C424,Resources!B:D,3,FALSE)," ")</f>
        <v xml:space="preserve"> </v>
      </c>
      <c r="F424" s="7"/>
      <c r="G424" s="7"/>
      <c r="H424" s="103">
        <f>VLOOKUP($A424,'Model Inputs'!$A:$D,4,FALSE)</f>
        <v>1</v>
      </c>
      <c r="I424" s="108" t="str">
        <f>IFERROR(VLOOKUP(C424,Resources!B:G,6,FALSE)," ")</f>
        <v xml:space="preserve"> </v>
      </c>
      <c r="J424" s="108">
        <f>SUBTOTAL(9,J425)</f>
        <v>1200</v>
      </c>
      <c r="K424" s="7"/>
      <c r="L424" s="7">
        <f>ROUNDUP(L425,0)</f>
        <v>1</v>
      </c>
      <c r="M424" s="108">
        <f t="shared" ref="M424:Q424" si="580">SUBTOTAL(9,M425)</f>
        <v>0</v>
      </c>
      <c r="N424" s="108">
        <f t="shared" si="580"/>
        <v>0</v>
      </c>
      <c r="O424" s="108">
        <f t="shared" si="580"/>
        <v>0</v>
      </c>
      <c r="P424" s="108">
        <f t="shared" si="580"/>
        <v>1200</v>
      </c>
      <c r="Q424" s="108">
        <f t="shared" si="580"/>
        <v>1200</v>
      </c>
      <c r="R424" s="120"/>
      <c r="T424" s="188"/>
    </row>
    <row r="425" spans="1:20" x14ac:dyDescent="0.25">
      <c r="A425" s="100"/>
      <c r="B425" s="3">
        <v>1</v>
      </c>
      <c r="C425" s="5" t="s">
        <v>176</v>
      </c>
      <c r="D425" s="3" t="s">
        <v>29</v>
      </c>
      <c r="E425" s="100" t="str">
        <f>IFERROR(VLOOKUP(C425,Resources!B:D,3,FALSE)," ")</f>
        <v>S</v>
      </c>
      <c r="F425" s="8">
        <v>1</v>
      </c>
      <c r="G425" s="8">
        <v>1</v>
      </c>
      <c r="H425" s="8">
        <f>H424</f>
        <v>1</v>
      </c>
      <c r="I425" s="109">
        <f>IFERROR(VLOOKUP(C425,Resources!B:G,6,FALSE)," ")</f>
        <v>1200</v>
      </c>
      <c r="J425" s="109">
        <f t="shared" ref="J425" si="581">(H425/(G425/F425))*I425</f>
        <v>1200</v>
      </c>
      <c r="K425" s="8"/>
      <c r="L425" s="8">
        <f t="shared" ref="L425" si="582">IF(E425="M"," ",H425/G425)</f>
        <v>1</v>
      </c>
      <c r="M425" s="109">
        <f t="shared" ref="M425" si="583">IF($E425="L",$J425,0)</f>
        <v>0</v>
      </c>
      <c r="N425" s="109">
        <f t="shared" ref="N425" si="584">IF($E425="M",$J425,0)</f>
        <v>0</v>
      </c>
      <c r="O425" s="109">
        <f t="shared" ref="O425" si="585">IF($E425="P",$J425,0)</f>
        <v>0</v>
      </c>
      <c r="P425" s="109">
        <f t="shared" ref="P425" si="586">IF($E425="S",$J425,0)</f>
        <v>1200</v>
      </c>
      <c r="Q425" s="109">
        <f t="shared" ref="Q425" si="587">SUM(M425:P425)</f>
        <v>1200</v>
      </c>
      <c r="R425" s="121">
        <v>85</v>
      </c>
      <c r="T425" s="188"/>
    </row>
    <row r="426" spans="1:20" x14ac:dyDescent="0.25">
      <c r="A426" s="101"/>
      <c r="B426" s="4"/>
      <c r="C426" s="6"/>
      <c r="D426" s="4"/>
      <c r="E426" s="101" t="str">
        <f>IFERROR(VLOOKUP(C426,Resources!B:D,3,FALSE)," ")</f>
        <v xml:space="preserve"> </v>
      </c>
      <c r="F426" s="9"/>
      <c r="G426" s="9"/>
      <c r="H426" s="9"/>
      <c r="I426" s="38" t="str">
        <f>IFERROR(VLOOKUP(C426,Resources!B:G,6,FALSE)," ")</f>
        <v xml:space="preserve"> </v>
      </c>
      <c r="J426" s="38"/>
      <c r="K426" s="9"/>
      <c r="L426" s="9"/>
      <c r="M426" s="38"/>
      <c r="N426" s="38"/>
      <c r="O426" s="38"/>
      <c r="P426" s="38"/>
      <c r="Q426" s="38"/>
      <c r="R426" s="122"/>
      <c r="T426" s="188"/>
    </row>
    <row r="427" spans="1:20" ht="30" x14ac:dyDescent="0.25">
      <c r="A427" s="114">
        <v>57</v>
      </c>
      <c r="B427" s="1" t="s">
        <v>262</v>
      </c>
      <c r="C427" s="1" t="s">
        <v>263</v>
      </c>
      <c r="D427" s="2" t="s">
        <v>89</v>
      </c>
      <c r="E427" s="99" t="str">
        <f>IFERROR(VLOOKUP(C427,Resources!B:D,3,FALSE)," ")</f>
        <v xml:space="preserve"> </v>
      </c>
      <c r="F427" s="7"/>
      <c r="G427" s="7"/>
      <c r="H427" s="103">
        <f>VLOOKUP($A427,'Model Inputs'!$A:$D,4,FALSE)</f>
        <v>21</v>
      </c>
      <c r="I427" s="108" t="str">
        <f>IFERROR(VLOOKUP(C427,Resources!B:G,6,FALSE)," ")</f>
        <v xml:space="preserve"> </v>
      </c>
      <c r="J427" s="108">
        <f>SUBTOTAL(9,J428:J431)</f>
        <v>2628</v>
      </c>
      <c r="K427" s="7"/>
      <c r="L427" s="7">
        <f>ROUNDUP(MAX(L428:L431)/Workhrs,0)</f>
        <v>1</v>
      </c>
      <c r="M427" s="108">
        <f t="shared" ref="M427:Q427" si="588">SUBTOTAL(9,M428:M431)</f>
        <v>629.99999999999989</v>
      </c>
      <c r="N427" s="108">
        <f t="shared" si="588"/>
        <v>1323</v>
      </c>
      <c r="O427" s="108">
        <f t="shared" si="588"/>
        <v>675</v>
      </c>
      <c r="P427" s="108">
        <f t="shared" si="588"/>
        <v>0</v>
      </c>
      <c r="Q427" s="108">
        <f t="shared" si="588"/>
        <v>2628</v>
      </c>
      <c r="R427" s="120"/>
      <c r="T427" s="188"/>
    </row>
    <row r="428" spans="1:20" x14ac:dyDescent="0.25">
      <c r="A428" s="100">
        <v>57.1</v>
      </c>
      <c r="B428" s="3">
        <v>1</v>
      </c>
      <c r="C428" s="5" t="s">
        <v>63</v>
      </c>
      <c r="D428" s="3" t="s">
        <v>48</v>
      </c>
      <c r="E428" s="100" t="str">
        <f>IFERROR(VLOOKUP(C428,Resources!B:D,3,FALSE)," ")</f>
        <v>P</v>
      </c>
      <c r="F428" s="8">
        <v>1</v>
      </c>
      <c r="G428" s="103">
        <f>VLOOKUP($A428,'Model Inputs'!$A:$D,4,FALSE)</f>
        <v>4.2</v>
      </c>
      <c r="H428" s="8">
        <f>H427</f>
        <v>21</v>
      </c>
      <c r="I428" s="109">
        <f>IFERROR(VLOOKUP(C428,Resources!B:G,6,FALSE)," ")</f>
        <v>135</v>
      </c>
      <c r="J428" s="109">
        <f t="shared" ref="J428:J431" si="589">(H428/(G428/F428))*I428</f>
        <v>675</v>
      </c>
      <c r="K428" s="8">
        <f t="shared" ref="K428:K431" si="590">L428*F428</f>
        <v>5</v>
      </c>
      <c r="L428" s="8">
        <f t="shared" ref="L428:L431" si="591">IF(E428="M"," ",H428/G428)</f>
        <v>5</v>
      </c>
      <c r="M428" s="109">
        <f t="shared" ref="M428:M431" si="592">IF($E428="L",$J428,0)</f>
        <v>0</v>
      </c>
      <c r="N428" s="109">
        <f t="shared" ref="N428:N431" si="593">IF($E428="M",$J428,0)</f>
        <v>0</v>
      </c>
      <c r="O428" s="109">
        <f t="shared" ref="O428:O431" si="594">IF($E428="P",$J428,0)</f>
        <v>675</v>
      </c>
      <c r="P428" s="109">
        <f t="shared" ref="P428:P431" si="595">IF($E428="S",$J428,0)</f>
        <v>0</v>
      </c>
      <c r="Q428" s="109">
        <f t="shared" ref="Q428:Q431" si="596">SUM(M428:P428)</f>
        <v>675</v>
      </c>
      <c r="R428" s="121">
        <v>81</v>
      </c>
      <c r="T428" s="188"/>
    </row>
    <row r="429" spans="1:20" x14ac:dyDescent="0.25">
      <c r="A429" s="100"/>
      <c r="B429" s="3">
        <v>2</v>
      </c>
      <c r="C429" s="5" t="s">
        <v>2071</v>
      </c>
      <c r="D429" s="3" t="s">
        <v>89</v>
      </c>
      <c r="E429" s="100" t="str">
        <f>IFERROR(VLOOKUP(C429,Resources!B:D,3,FALSE)," ")</f>
        <v>M</v>
      </c>
      <c r="F429" s="8">
        <v>1</v>
      </c>
      <c r="G429" s="8">
        <v>1</v>
      </c>
      <c r="H429" s="8">
        <f>H427</f>
        <v>21</v>
      </c>
      <c r="I429" s="109">
        <f>IFERROR(VLOOKUP(C429,Resources!B:G,6,FALSE)," ")</f>
        <v>55</v>
      </c>
      <c r="J429" s="109">
        <f t="shared" si="589"/>
        <v>1155</v>
      </c>
      <c r="K429" s="8"/>
      <c r="L429" s="8" t="str">
        <f t="shared" si="591"/>
        <v xml:space="preserve"> </v>
      </c>
      <c r="M429" s="109">
        <f t="shared" si="592"/>
        <v>0</v>
      </c>
      <c r="N429" s="109">
        <f t="shared" si="593"/>
        <v>1155</v>
      </c>
      <c r="O429" s="109">
        <f t="shared" si="594"/>
        <v>0</v>
      </c>
      <c r="P429" s="109">
        <f t="shared" si="595"/>
        <v>0</v>
      </c>
      <c r="Q429" s="109">
        <f t="shared" si="596"/>
        <v>1155</v>
      </c>
      <c r="R429" s="121" t="s">
        <v>2346</v>
      </c>
      <c r="T429" s="188"/>
    </row>
    <row r="430" spans="1:20" x14ac:dyDescent="0.25">
      <c r="A430" s="100"/>
      <c r="B430" s="3">
        <v>3</v>
      </c>
      <c r="C430" s="5" t="s">
        <v>81</v>
      </c>
      <c r="D430" s="3" t="s">
        <v>82</v>
      </c>
      <c r="E430" s="100" t="str">
        <f>IFERROR(VLOOKUP(C430,Resources!B:D,3,FALSE)," ")</f>
        <v>M</v>
      </c>
      <c r="F430" s="8">
        <v>1</v>
      </c>
      <c r="G430" s="8">
        <v>1</v>
      </c>
      <c r="H430" s="8">
        <f>H427/3</f>
        <v>7</v>
      </c>
      <c r="I430" s="109">
        <f>IFERROR(VLOOKUP(C430,Resources!B:G,6,FALSE)," ")</f>
        <v>24</v>
      </c>
      <c r="J430" s="109">
        <f t="shared" si="589"/>
        <v>168</v>
      </c>
      <c r="K430" s="8"/>
      <c r="L430" s="8" t="str">
        <f t="shared" si="591"/>
        <v xml:space="preserve"> </v>
      </c>
      <c r="M430" s="109">
        <f t="shared" si="592"/>
        <v>0</v>
      </c>
      <c r="N430" s="109">
        <f t="shared" si="593"/>
        <v>168</v>
      </c>
      <c r="O430" s="109">
        <f t="shared" si="594"/>
        <v>0</v>
      </c>
      <c r="P430" s="109">
        <f t="shared" si="595"/>
        <v>0</v>
      </c>
      <c r="Q430" s="109">
        <f t="shared" si="596"/>
        <v>168</v>
      </c>
      <c r="R430" s="121" t="s">
        <v>2341</v>
      </c>
      <c r="T430" s="188"/>
    </row>
    <row r="431" spans="1:20" x14ac:dyDescent="0.25">
      <c r="A431" s="100"/>
      <c r="B431" s="3">
        <v>4</v>
      </c>
      <c r="C431" s="5" t="s">
        <v>8</v>
      </c>
      <c r="D431" s="3" t="s">
        <v>48</v>
      </c>
      <c r="E431" s="100" t="str">
        <f>IFERROR(VLOOKUP(C431,Resources!B:D,3,FALSE)," ")</f>
        <v>L</v>
      </c>
      <c r="F431" s="8">
        <v>3</v>
      </c>
      <c r="G431" s="8">
        <f>G428</f>
        <v>4.2</v>
      </c>
      <c r="H431" s="8">
        <f>H427</f>
        <v>21</v>
      </c>
      <c r="I431" s="109">
        <f>IFERROR(VLOOKUP(C431,Resources!B:G,6,FALSE)," ")</f>
        <v>42</v>
      </c>
      <c r="J431" s="109">
        <f t="shared" si="589"/>
        <v>629.99999999999989</v>
      </c>
      <c r="K431" s="8">
        <f t="shared" si="590"/>
        <v>15</v>
      </c>
      <c r="L431" s="8">
        <f t="shared" si="591"/>
        <v>5</v>
      </c>
      <c r="M431" s="109">
        <f t="shared" si="592"/>
        <v>629.99999999999989</v>
      </c>
      <c r="N431" s="109">
        <f t="shared" si="593"/>
        <v>0</v>
      </c>
      <c r="O431" s="109">
        <f t="shared" si="594"/>
        <v>0</v>
      </c>
      <c r="P431" s="109">
        <f t="shared" si="595"/>
        <v>0</v>
      </c>
      <c r="Q431" s="109">
        <f t="shared" si="596"/>
        <v>629.99999999999989</v>
      </c>
      <c r="R431" s="121">
        <v>81</v>
      </c>
      <c r="T431" s="188"/>
    </row>
    <row r="432" spans="1:20" x14ac:dyDescent="0.25">
      <c r="A432" s="101"/>
      <c r="B432" s="4"/>
      <c r="C432" s="6"/>
      <c r="D432" s="4"/>
      <c r="E432" s="101" t="str">
        <f>IFERROR(VLOOKUP(C432,Resources!B:D,3,FALSE)," ")</f>
        <v xml:space="preserve"> </v>
      </c>
      <c r="F432" s="9"/>
      <c r="G432" s="9"/>
      <c r="H432" s="9"/>
      <c r="I432" s="38" t="str">
        <f>IFERROR(VLOOKUP(C432,Resources!B:G,6,FALSE)," ")</f>
        <v xml:space="preserve"> </v>
      </c>
      <c r="J432" s="38"/>
      <c r="K432" s="9"/>
      <c r="L432" s="9"/>
      <c r="M432" s="38"/>
      <c r="N432" s="38"/>
      <c r="O432" s="38"/>
      <c r="P432" s="38"/>
      <c r="Q432" s="38"/>
      <c r="R432" s="122"/>
      <c r="T432" s="188"/>
    </row>
    <row r="433" spans="1:20" ht="30" x14ac:dyDescent="0.25">
      <c r="A433" s="114">
        <v>58</v>
      </c>
      <c r="B433" s="1" t="s">
        <v>264</v>
      </c>
      <c r="C433" s="1" t="s">
        <v>265</v>
      </c>
      <c r="D433" s="2" t="s">
        <v>20</v>
      </c>
      <c r="E433" s="99" t="str">
        <f>IFERROR(VLOOKUP(C433,Resources!B:D,3,FALSE)," ")</f>
        <v xml:space="preserve"> </v>
      </c>
      <c r="F433" s="7"/>
      <c r="G433" s="7"/>
      <c r="H433" s="103">
        <f>VLOOKUP($A433,'Model Inputs'!$A:$D,4,FALSE)</f>
        <v>1</v>
      </c>
      <c r="I433" s="108" t="str">
        <f>IFERROR(VLOOKUP(C433,Resources!B:G,6,FALSE)," ")</f>
        <v xml:space="preserve"> </v>
      </c>
      <c r="J433" s="108">
        <f>SUBTOTAL(9,J435:J437)</f>
        <v>3950</v>
      </c>
      <c r="K433" s="7"/>
      <c r="L433" s="7">
        <f>ROUNDUP(L437/Workhrs,0)</f>
        <v>3</v>
      </c>
      <c r="M433" s="108">
        <f t="shared" ref="M433:Q433" si="597">SUBTOTAL(9,M435:M437)</f>
        <v>0</v>
      </c>
      <c r="N433" s="108">
        <f t="shared" si="597"/>
        <v>2250</v>
      </c>
      <c r="O433" s="108">
        <f t="shared" si="597"/>
        <v>0</v>
      </c>
      <c r="P433" s="108">
        <f t="shared" si="597"/>
        <v>1700</v>
      </c>
      <c r="Q433" s="108">
        <f t="shared" si="597"/>
        <v>3950</v>
      </c>
      <c r="R433" s="120"/>
      <c r="T433" s="188"/>
    </row>
    <row r="434" spans="1:20" x14ac:dyDescent="0.25">
      <c r="A434" s="100"/>
      <c r="B434" s="3">
        <v>1</v>
      </c>
      <c r="C434" s="5" t="s">
        <v>2369</v>
      </c>
      <c r="D434" s="3"/>
      <c r="E434" s="100" t="str">
        <f>IFERROR(VLOOKUP(C434,Resources!B:D,3,FALSE)," ")</f>
        <v xml:space="preserve"> </v>
      </c>
      <c r="F434" s="8"/>
      <c r="G434" s="8"/>
      <c r="H434" s="8">
        <f>H433*10</f>
        <v>10</v>
      </c>
      <c r="I434" s="109" t="str">
        <f>IFERROR(VLOOKUP(C434,Resources!B:G,6,FALSE)," ")</f>
        <v xml:space="preserve"> </v>
      </c>
      <c r="J434" s="109"/>
      <c r="K434" s="8"/>
      <c r="L434" s="8"/>
      <c r="M434" s="109"/>
      <c r="N434" s="109"/>
      <c r="O434" s="109"/>
      <c r="P434" s="109"/>
      <c r="Q434" s="109"/>
      <c r="R434" s="121"/>
      <c r="T434" s="188"/>
    </row>
    <row r="435" spans="1:20" x14ac:dyDescent="0.25">
      <c r="A435" s="100"/>
      <c r="B435" s="3">
        <v>2</v>
      </c>
      <c r="C435" s="5" t="s">
        <v>266</v>
      </c>
      <c r="D435" s="3" t="s">
        <v>89</v>
      </c>
      <c r="E435" s="100" t="str">
        <f>IFERROR(VLOOKUP(C435,Resources!B:D,3,FALSE)," ")</f>
        <v>M</v>
      </c>
      <c r="F435" s="8">
        <v>1</v>
      </c>
      <c r="G435" s="8">
        <v>1</v>
      </c>
      <c r="H435" s="8">
        <f>H434*6</f>
        <v>60</v>
      </c>
      <c r="I435" s="109">
        <f>IFERROR(VLOOKUP(C435,Resources!B:G,6,FALSE)," ")</f>
        <v>25</v>
      </c>
      <c r="J435" s="109">
        <f t="shared" ref="J435:J437" si="598">(H435/(G435/F435))*I435</f>
        <v>1500</v>
      </c>
      <c r="K435" s="8"/>
      <c r="L435" s="8" t="str">
        <f t="shared" ref="L435:L437" si="599">IF(E435="M"," ",H435/G435)</f>
        <v xml:space="preserve"> </v>
      </c>
      <c r="M435" s="109">
        <f t="shared" ref="M435:M437" si="600">IF($E435="L",$J435,0)</f>
        <v>0</v>
      </c>
      <c r="N435" s="109">
        <f t="shared" ref="N435:N437" si="601">IF($E435="M",$J435,0)</f>
        <v>1500</v>
      </c>
      <c r="O435" s="109">
        <f t="shared" ref="O435:O437" si="602">IF($E435="P",$J435,0)</f>
        <v>0</v>
      </c>
      <c r="P435" s="109">
        <f t="shared" ref="P435:P437" si="603">IF($E435="S",$J435,0)</f>
        <v>0</v>
      </c>
      <c r="Q435" s="109">
        <f t="shared" ref="Q435:Q437" si="604">SUM(M435:P435)</f>
        <v>1500</v>
      </c>
      <c r="R435" s="121" t="s">
        <v>2346</v>
      </c>
      <c r="T435" s="188"/>
    </row>
    <row r="436" spans="1:20" x14ac:dyDescent="0.25">
      <c r="A436" s="100"/>
      <c r="B436" s="3">
        <v>3</v>
      </c>
      <c r="C436" s="5" t="s">
        <v>267</v>
      </c>
      <c r="D436" s="3" t="s">
        <v>29</v>
      </c>
      <c r="E436" s="100" t="str">
        <f>IFERROR(VLOOKUP(C436,Resources!B:D,3,FALSE)," ")</f>
        <v>M</v>
      </c>
      <c r="F436" s="8">
        <v>1</v>
      </c>
      <c r="G436" s="8">
        <v>1</v>
      </c>
      <c r="H436" s="8">
        <f>H434</f>
        <v>10</v>
      </c>
      <c r="I436" s="109">
        <f>IFERROR(VLOOKUP(C436,Resources!B:G,6,FALSE)," ")</f>
        <v>75</v>
      </c>
      <c r="J436" s="109">
        <f t="shared" si="598"/>
        <v>750</v>
      </c>
      <c r="K436" s="8"/>
      <c r="L436" s="8" t="str">
        <f t="shared" si="599"/>
        <v xml:space="preserve"> </v>
      </c>
      <c r="M436" s="109">
        <f t="shared" si="600"/>
        <v>0</v>
      </c>
      <c r="N436" s="109">
        <f t="shared" si="601"/>
        <v>750</v>
      </c>
      <c r="O436" s="109">
        <f t="shared" si="602"/>
        <v>0</v>
      </c>
      <c r="P436" s="109">
        <f t="shared" si="603"/>
        <v>0</v>
      </c>
      <c r="Q436" s="109">
        <f t="shared" si="604"/>
        <v>750</v>
      </c>
      <c r="R436" s="121" t="s">
        <v>2346</v>
      </c>
      <c r="T436" s="188"/>
    </row>
    <row r="437" spans="1:20" x14ac:dyDescent="0.25">
      <c r="A437" s="100">
        <v>58.1</v>
      </c>
      <c r="B437" s="3">
        <v>4</v>
      </c>
      <c r="C437" s="5" t="s">
        <v>268</v>
      </c>
      <c r="D437" s="3" t="s">
        <v>48</v>
      </c>
      <c r="E437" s="100" t="str">
        <f>IFERROR(VLOOKUP(C437,Resources!B:D,3,FALSE)," ")</f>
        <v>S</v>
      </c>
      <c r="F437" s="8">
        <v>1</v>
      </c>
      <c r="G437" s="103">
        <f>VLOOKUP($A437,'Model Inputs'!$A:$D,4,FALSE)</f>
        <v>0.5</v>
      </c>
      <c r="H437" s="8">
        <f>H434</f>
        <v>10</v>
      </c>
      <c r="I437" s="109">
        <f>IFERROR(VLOOKUP(C437,Resources!B:G,6,FALSE)," ")</f>
        <v>85</v>
      </c>
      <c r="J437" s="109">
        <f t="shared" si="598"/>
        <v>1700</v>
      </c>
      <c r="K437" s="8">
        <f t="shared" ref="K437" si="605">L437*F437</f>
        <v>20</v>
      </c>
      <c r="L437" s="8">
        <f t="shared" si="599"/>
        <v>20</v>
      </c>
      <c r="M437" s="109">
        <f t="shared" si="600"/>
        <v>0</v>
      </c>
      <c r="N437" s="109">
        <f t="shared" si="601"/>
        <v>0</v>
      </c>
      <c r="O437" s="109">
        <f t="shared" si="602"/>
        <v>0</v>
      </c>
      <c r="P437" s="109">
        <f t="shared" si="603"/>
        <v>1700</v>
      </c>
      <c r="Q437" s="109">
        <f t="shared" si="604"/>
        <v>1700</v>
      </c>
      <c r="R437" s="121">
        <v>81</v>
      </c>
      <c r="T437" s="188"/>
    </row>
    <row r="438" spans="1:20" x14ac:dyDescent="0.25">
      <c r="A438" s="101"/>
      <c r="B438" s="4"/>
      <c r="C438" s="6"/>
      <c r="D438" s="4"/>
      <c r="E438" s="101" t="str">
        <f>IFERROR(VLOOKUP(C438,Resources!B:D,3,FALSE)," ")</f>
        <v xml:space="preserve"> </v>
      </c>
      <c r="F438" s="9"/>
      <c r="G438" s="9"/>
      <c r="H438" s="9"/>
      <c r="I438" s="38" t="str">
        <f>IFERROR(VLOOKUP(C438,Resources!B:G,6,FALSE)," ")</f>
        <v xml:space="preserve"> </v>
      </c>
      <c r="J438" s="38"/>
      <c r="K438" s="9"/>
      <c r="L438" s="9"/>
      <c r="M438" s="38"/>
      <c r="N438" s="38"/>
      <c r="O438" s="38"/>
      <c r="P438" s="38"/>
      <c r="Q438" s="38"/>
      <c r="R438" s="122"/>
      <c r="T438" s="188"/>
    </row>
    <row r="439" spans="1:20" ht="30" x14ac:dyDescent="0.25">
      <c r="A439" s="114">
        <v>59</v>
      </c>
      <c r="B439" s="1" t="s">
        <v>269</v>
      </c>
      <c r="C439" s="1" t="s">
        <v>270</v>
      </c>
      <c r="D439" s="2" t="s">
        <v>29</v>
      </c>
      <c r="E439" s="99" t="str">
        <f>IFERROR(VLOOKUP(C439,Resources!B:D,3,FALSE)," ")</f>
        <v xml:space="preserve"> </v>
      </c>
      <c r="F439" s="7"/>
      <c r="G439" s="7"/>
      <c r="H439" s="103">
        <f>VLOOKUP($A439,'Model Inputs'!$A:$D,4,FALSE)</f>
        <v>1</v>
      </c>
      <c r="I439" s="108" t="str">
        <f>IFERROR(VLOOKUP(C439,Resources!B:G,6,FALSE)," ")</f>
        <v xml:space="preserve"> </v>
      </c>
      <c r="J439" s="108">
        <f>SUBTOTAL(9,J440)</f>
        <v>2400</v>
      </c>
      <c r="K439" s="7"/>
      <c r="L439" s="7">
        <f>ROUNDUP(L440,0)</f>
        <v>2</v>
      </c>
      <c r="M439" s="108">
        <f t="shared" ref="M439" si="606">SUBTOTAL(9,M440)</f>
        <v>0</v>
      </c>
      <c r="N439" s="108">
        <f t="shared" ref="N439" si="607">SUBTOTAL(9,N440)</f>
        <v>0</v>
      </c>
      <c r="O439" s="108">
        <f t="shared" ref="O439" si="608">SUBTOTAL(9,O440)</f>
        <v>0</v>
      </c>
      <c r="P439" s="108">
        <f t="shared" ref="P439" si="609">SUBTOTAL(9,P440)</f>
        <v>2400</v>
      </c>
      <c r="Q439" s="108">
        <f t="shared" ref="Q439" si="610">SUBTOTAL(9,Q440)</f>
        <v>2400</v>
      </c>
      <c r="R439" s="120"/>
      <c r="T439" s="188"/>
    </row>
    <row r="440" spans="1:20" x14ac:dyDescent="0.25">
      <c r="A440" s="100"/>
      <c r="B440" s="3">
        <v>1</v>
      </c>
      <c r="C440" s="5" t="s">
        <v>176</v>
      </c>
      <c r="D440" s="3" t="s">
        <v>29</v>
      </c>
      <c r="E440" s="100" t="str">
        <f>IFERROR(VLOOKUP(C440,Resources!B:D,3,FALSE)," ")</f>
        <v>S</v>
      </c>
      <c r="F440" s="8">
        <v>1</v>
      </c>
      <c r="G440" s="8">
        <v>1</v>
      </c>
      <c r="H440" s="8">
        <f>H439*2</f>
        <v>2</v>
      </c>
      <c r="I440" s="109">
        <f>IFERROR(VLOOKUP(C440,Resources!B:G,6,FALSE)," ")</f>
        <v>1200</v>
      </c>
      <c r="J440" s="109">
        <f t="shared" ref="J440" si="611">(H440/(G440/F440))*I440</f>
        <v>2400</v>
      </c>
      <c r="K440" s="8">
        <f t="shared" ref="K440" si="612">L440*F440</f>
        <v>2</v>
      </c>
      <c r="L440" s="8">
        <f t="shared" ref="L440" si="613">IF(E440="M"," ",H440/G440)</f>
        <v>2</v>
      </c>
      <c r="M440" s="109">
        <f t="shared" ref="M440" si="614">IF($E440="L",$J440,0)</f>
        <v>0</v>
      </c>
      <c r="N440" s="109">
        <f t="shared" ref="N440" si="615">IF($E440="M",$J440,0)</f>
        <v>0</v>
      </c>
      <c r="O440" s="109">
        <f t="shared" ref="O440" si="616">IF($E440="P",$J440,0)</f>
        <v>0</v>
      </c>
      <c r="P440" s="109">
        <f t="shared" ref="P440" si="617">IF($E440="S",$J440,0)</f>
        <v>2400</v>
      </c>
      <c r="Q440" s="109">
        <f t="shared" ref="Q440" si="618">SUM(M440:P440)</f>
        <v>2400</v>
      </c>
      <c r="R440" s="121">
        <v>85</v>
      </c>
      <c r="T440" s="188"/>
    </row>
    <row r="441" spans="1:20" x14ac:dyDescent="0.25">
      <c r="A441" s="101"/>
      <c r="B441" s="4"/>
      <c r="C441" s="6"/>
      <c r="D441" s="4"/>
      <c r="E441" s="101" t="str">
        <f>IFERROR(VLOOKUP(C441,Resources!B:D,3,FALSE)," ")</f>
        <v xml:space="preserve"> </v>
      </c>
      <c r="F441" s="9"/>
      <c r="G441" s="9"/>
      <c r="H441" s="9"/>
      <c r="I441" s="38" t="str">
        <f>IFERROR(VLOOKUP(C441,Resources!B:G,6,FALSE)," ")</f>
        <v xml:space="preserve"> </v>
      </c>
      <c r="J441" s="38"/>
      <c r="K441" s="9"/>
      <c r="L441" s="9"/>
      <c r="M441" s="38"/>
      <c r="N441" s="38"/>
      <c r="O441" s="38"/>
      <c r="P441" s="38"/>
      <c r="Q441" s="38"/>
      <c r="R441" s="122"/>
      <c r="T441" s="188"/>
    </row>
    <row r="442" spans="1:20" ht="30" x14ac:dyDescent="0.25">
      <c r="A442" s="114">
        <v>60</v>
      </c>
      <c r="B442" s="1" t="s">
        <v>271</v>
      </c>
      <c r="C442" s="1" t="s">
        <v>195</v>
      </c>
      <c r="D442" s="2" t="s">
        <v>89</v>
      </c>
      <c r="E442" s="99" t="str">
        <f>IFERROR(VLOOKUP(C442,Resources!B:D,3,FALSE)," ")</f>
        <v xml:space="preserve"> </v>
      </c>
      <c r="F442" s="7"/>
      <c r="G442" s="7"/>
      <c r="H442" s="103">
        <f>VLOOKUP($A442,'Model Inputs'!$A:$D,4,FALSE)</f>
        <v>80</v>
      </c>
      <c r="I442" s="108" t="str">
        <f>IFERROR(VLOOKUP(C442,Resources!B:G,6,FALSE)," ")</f>
        <v xml:space="preserve"> </v>
      </c>
      <c r="J442" s="108">
        <f>SUBTOTAL(9,J444:J447)</f>
        <v>4253.0418604651168</v>
      </c>
      <c r="K442" s="7"/>
      <c r="L442" s="7">
        <f>ROUNDUP(L447/Workhrs,0)</f>
        <v>1</v>
      </c>
      <c r="M442" s="108">
        <f t="shared" ref="M442:Q442" si="619">SUBTOTAL(9,M444:M447)</f>
        <v>0</v>
      </c>
      <c r="N442" s="108">
        <f t="shared" si="619"/>
        <v>1853.0418604651163</v>
      </c>
      <c r="O442" s="108">
        <f t="shared" si="619"/>
        <v>0</v>
      </c>
      <c r="P442" s="108">
        <f t="shared" si="619"/>
        <v>2400</v>
      </c>
      <c r="Q442" s="108">
        <f t="shared" si="619"/>
        <v>4253.0418604651168</v>
      </c>
      <c r="R442" s="120"/>
      <c r="T442" s="188"/>
    </row>
    <row r="443" spans="1:20" ht="30" x14ac:dyDescent="0.25">
      <c r="A443" s="101"/>
      <c r="B443" s="4">
        <v>1</v>
      </c>
      <c r="C443" s="6" t="s">
        <v>196</v>
      </c>
      <c r="D443" s="4"/>
      <c r="E443" s="101" t="str">
        <f>IFERROR(VLOOKUP(C443,Resources!B:D,3,FALSE)," ")</f>
        <v xml:space="preserve"> </v>
      </c>
      <c r="F443" s="9"/>
      <c r="G443" s="9"/>
      <c r="H443" s="9"/>
      <c r="I443" s="38" t="str">
        <f>IFERROR(VLOOKUP(C443,Resources!B:G,6,FALSE)," ")</f>
        <v xml:space="preserve"> </v>
      </c>
      <c r="J443" s="38"/>
      <c r="K443" s="9"/>
      <c r="L443" s="9"/>
      <c r="M443" s="38"/>
      <c r="N443" s="38"/>
      <c r="O443" s="38"/>
      <c r="P443" s="38"/>
      <c r="Q443" s="38"/>
      <c r="R443" s="122"/>
      <c r="T443" s="188"/>
    </row>
    <row r="444" spans="1:20" x14ac:dyDescent="0.25">
      <c r="A444" s="100">
        <v>60.1</v>
      </c>
      <c r="B444" s="3">
        <v>2</v>
      </c>
      <c r="C444" s="5" t="s">
        <v>197</v>
      </c>
      <c r="D444" s="3" t="s">
        <v>86</v>
      </c>
      <c r="E444" s="100" t="str">
        <f>IFERROR(VLOOKUP(C444,Resources!B:D,3,FALSE)," ")</f>
        <v>M</v>
      </c>
      <c r="F444" s="103">
        <f>VLOOKUP($A444,'Model Inputs'!$A:$D,4,FALSE)</f>
        <v>8.6</v>
      </c>
      <c r="G444" s="8">
        <v>1</v>
      </c>
      <c r="H444" s="8">
        <f>H442/F444</f>
        <v>9.3023255813953494</v>
      </c>
      <c r="I444" s="109">
        <f>IFERROR(VLOOKUP(C444,Resources!B:G,6,FALSE)," ")</f>
        <v>190</v>
      </c>
      <c r="J444" s="109">
        <f>I444*H444</f>
        <v>1767.4418604651164</v>
      </c>
      <c r="K444" s="8"/>
      <c r="L444" s="8" t="str">
        <f t="shared" ref="L444:L446" si="620">IF(E444="M"," ",H444/G444)</f>
        <v xml:space="preserve"> </v>
      </c>
      <c r="M444" s="109">
        <f t="shared" ref="M444:M447" si="621">IF($E444="L",$J444,0)</f>
        <v>0</v>
      </c>
      <c r="N444" s="109">
        <f t="shared" ref="N444:N447" si="622">IF($E444="M",$J444,0)</f>
        <v>1767.4418604651164</v>
      </c>
      <c r="O444" s="109">
        <f t="shared" ref="O444:O447" si="623">IF($E444="P",$J444,0)</f>
        <v>0</v>
      </c>
      <c r="P444" s="109">
        <f t="shared" ref="P444:P447" si="624">IF($E444="S",$J444,0)</f>
        <v>0</v>
      </c>
      <c r="Q444" s="109">
        <f t="shared" ref="Q444:Q447" si="625">SUM(M444:P444)</f>
        <v>1767.4418604651164</v>
      </c>
      <c r="R444" s="121" t="s">
        <v>2337</v>
      </c>
      <c r="T444" s="188"/>
    </row>
    <row r="445" spans="1:20" x14ac:dyDescent="0.25">
      <c r="A445" s="100">
        <v>60.2</v>
      </c>
      <c r="B445" s="3">
        <v>3</v>
      </c>
      <c r="C445" s="5" t="s">
        <v>81</v>
      </c>
      <c r="D445" s="3" t="s">
        <v>82</v>
      </c>
      <c r="E445" s="100" t="str">
        <f>IFERROR(VLOOKUP(C445,Resources!B:D,3,FALSE)," ")</f>
        <v>M</v>
      </c>
      <c r="F445" s="103">
        <f>VLOOKUP($A445,'Model Inputs'!$A:$D,4,FALSE)</f>
        <v>75</v>
      </c>
      <c r="G445" s="8">
        <v>1</v>
      </c>
      <c r="H445" s="8">
        <f>H442/F445</f>
        <v>1.0666666666666667</v>
      </c>
      <c r="I445" s="109">
        <f>IFERROR(VLOOKUP(C445,Resources!B:G,6,FALSE)," ")</f>
        <v>24</v>
      </c>
      <c r="J445" s="109">
        <f t="shared" ref="J445:J446" si="626">I445*H445</f>
        <v>25.6</v>
      </c>
      <c r="K445" s="8"/>
      <c r="L445" s="8" t="str">
        <f t="shared" si="620"/>
        <v xml:space="preserve"> </v>
      </c>
      <c r="M445" s="109">
        <f t="shared" si="621"/>
        <v>0</v>
      </c>
      <c r="N445" s="109">
        <f t="shared" si="622"/>
        <v>25.6</v>
      </c>
      <c r="O445" s="109">
        <f t="shared" si="623"/>
        <v>0</v>
      </c>
      <c r="P445" s="109">
        <f t="shared" si="624"/>
        <v>0</v>
      </c>
      <c r="Q445" s="109">
        <f t="shared" si="625"/>
        <v>25.6</v>
      </c>
      <c r="R445" s="121" t="s">
        <v>2341</v>
      </c>
      <c r="T445" s="188"/>
    </row>
    <row r="446" spans="1:20" x14ac:dyDescent="0.25">
      <c r="A446" s="100">
        <v>60.3</v>
      </c>
      <c r="B446" s="3">
        <v>4</v>
      </c>
      <c r="C446" s="5" t="s">
        <v>109</v>
      </c>
      <c r="D446" s="3" t="s">
        <v>82</v>
      </c>
      <c r="E446" s="100" t="str">
        <f>IFERROR(VLOOKUP(C446,Resources!B:D,3,FALSE)," ")</f>
        <v>M</v>
      </c>
      <c r="F446" s="103">
        <f>VLOOKUP($A446,'Model Inputs'!$A:$D,4,FALSE)</f>
        <v>8</v>
      </c>
      <c r="G446" s="8">
        <v>1</v>
      </c>
      <c r="H446" s="8">
        <f>H445/F446</f>
        <v>0.13333333333333333</v>
      </c>
      <c r="I446" s="109">
        <f>IFERROR(VLOOKUP(C446,Resources!B:G,6,FALSE)," ")</f>
        <v>450</v>
      </c>
      <c r="J446" s="109">
        <f t="shared" si="626"/>
        <v>60</v>
      </c>
      <c r="K446" s="8"/>
      <c r="L446" s="8" t="str">
        <f t="shared" si="620"/>
        <v xml:space="preserve"> </v>
      </c>
      <c r="M446" s="109">
        <f t="shared" si="621"/>
        <v>0</v>
      </c>
      <c r="N446" s="109">
        <f t="shared" si="622"/>
        <v>60</v>
      </c>
      <c r="O446" s="109">
        <f t="shared" si="623"/>
        <v>0</v>
      </c>
      <c r="P446" s="109">
        <f t="shared" si="624"/>
        <v>0</v>
      </c>
      <c r="Q446" s="109">
        <f t="shared" si="625"/>
        <v>60</v>
      </c>
      <c r="R446" s="121" t="s">
        <v>2338</v>
      </c>
      <c r="T446" s="188"/>
    </row>
    <row r="447" spans="1:20" x14ac:dyDescent="0.25">
      <c r="A447" s="100"/>
      <c r="B447" s="3">
        <v>5</v>
      </c>
      <c r="C447" s="5" t="s">
        <v>198</v>
      </c>
      <c r="D447" s="3" t="s">
        <v>89</v>
      </c>
      <c r="E447" s="100" t="str">
        <f>IFERROR(VLOOKUP(C447,Resources!B:D,3,FALSE)," ")</f>
        <v>S</v>
      </c>
      <c r="F447" s="8">
        <v>1</v>
      </c>
      <c r="G447" s="8">
        <v>1</v>
      </c>
      <c r="H447" s="8">
        <f>H442</f>
        <v>80</v>
      </c>
      <c r="I447" s="109">
        <f>IFERROR(VLOOKUP(C447,Resources!B:G,6,FALSE)," ")</f>
        <v>30</v>
      </c>
      <c r="J447" s="109">
        <f t="shared" ref="J447" si="627">(H447/(G447/F447))*I447</f>
        <v>2400</v>
      </c>
      <c r="K447" s="8"/>
      <c r="L447" s="8">
        <f>H447/200</f>
        <v>0.4</v>
      </c>
      <c r="M447" s="109">
        <f t="shared" si="621"/>
        <v>0</v>
      </c>
      <c r="N447" s="109">
        <f t="shared" si="622"/>
        <v>0</v>
      </c>
      <c r="O447" s="109">
        <f t="shared" si="623"/>
        <v>0</v>
      </c>
      <c r="P447" s="109">
        <f t="shared" si="624"/>
        <v>2400</v>
      </c>
      <c r="Q447" s="109">
        <f t="shared" si="625"/>
        <v>2400</v>
      </c>
      <c r="R447" s="121">
        <v>71</v>
      </c>
      <c r="T447" s="188"/>
    </row>
    <row r="448" spans="1:20" x14ac:dyDescent="0.25">
      <c r="A448" s="101"/>
      <c r="B448" s="4"/>
      <c r="C448" s="6"/>
      <c r="D448" s="4"/>
      <c r="E448" s="101" t="str">
        <f>IFERROR(VLOOKUP(C448,Resources!B:D,3,FALSE)," ")</f>
        <v xml:space="preserve"> </v>
      </c>
      <c r="F448" s="9"/>
      <c r="G448" s="9"/>
      <c r="H448" s="9"/>
      <c r="I448" s="38" t="str">
        <f>IFERROR(VLOOKUP(C448,Resources!B:G,6,FALSE)," ")</f>
        <v xml:space="preserve"> </v>
      </c>
      <c r="J448" s="38"/>
      <c r="K448" s="9"/>
      <c r="L448" s="9"/>
      <c r="M448" s="38"/>
      <c r="N448" s="38"/>
      <c r="O448" s="38"/>
      <c r="P448" s="38"/>
      <c r="Q448" s="38"/>
      <c r="R448" s="122"/>
      <c r="T448" s="188"/>
    </row>
    <row r="449" spans="1:20" ht="30" x14ac:dyDescent="0.25">
      <c r="A449" s="114">
        <v>61</v>
      </c>
      <c r="B449" s="1" t="s">
        <v>272</v>
      </c>
      <c r="C449" s="1" t="s">
        <v>200</v>
      </c>
      <c r="D449" s="2" t="s">
        <v>89</v>
      </c>
      <c r="E449" s="99" t="str">
        <f>IFERROR(VLOOKUP(C449,Resources!B:D,3,FALSE)," ")</f>
        <v xml:space="preserve"> </v>
      </c>
      <c r="F449" s="7"/>
      <c r="G449" s="7"/>
      <c r="H449" s="103">
        <f>VLOOKUP($A449,'Model Inputs'!$A:$D,4,FALSE)</f>
        <v>12</v>
      </c>
      <c r="I449" s="108" t="str">
        <f>IFERROR(VLOOKUP(C449,Resources!B:G,6,FALSE)," ")</f>
        <v xml:space="preserve"> </v>
      </c>
      <c r="J449" s="108">
        <f>SUBTOTAL(9,J451:J454)</f>
        <v>1560.8400000000001</v>
      </c>
      <c r="K449" s="7"/>
      <c r="L449" s="7">
        <f>ROUNDUP(L454/Workhrs,0)</f>
        <v>1</v>
      </c>
      <c r="M449" s="108">
        <f t="shared" ref="M449:Q449" si="628">SUBTOTAL(9,M451:M454)</f>
        <v>0</v>
      </c>
      <c r="N449" s="108">
        <f t="shared" si="628"/>
        <v>780.84</v>
      </c>
      <c r="O449" s="108">
        <f t="shared" si="628"/>
        <v>0</v>
      </c>
      <c r="P449" s="108">
        <f t="shared" si="628"/>
        <v>780</v>
      </c>
      <c r="Q449" s="108">
        <f t="shared" si="628"/>
        <v>1560.8400000000001</v>
      </c>
      <c r="R449" s="120"/>
      <c r="T449" s="188"/>
    </row>
    <row r="450" spans="1:20" ht="30" x14ac:dyDescent="0.25">
      <c r="A450" s="101"/>
      <c r="B450" s="4">
        <v>1</v>
      </c>
      <c r="C450" s="6" t="s">
        <v>196</v>
      </c>
      <c r="D450" s="4"/>
      <c r="E450" s="101" t="str">
        <f>IFERROR(VLOOKUP(C450,Resources!B:D,3,FALSE)," ")</f>
        <v xml:space="preserve"> </v>
      </c>
      <c r="F450" s="9"/>
      <c r="G450" s="9"/>
      <c r="H450" s="9"/>
      <c r="I450" s="38" t="str">
        <f>IFERROR(VLOOKUP(C450,Resources!B:G,6,FALSE)," ")</f>
        <v xml:space="preserve"> </v>
      </c>
      <c r="J450" s="38"/>
      <c r="K450" s="9"/>
      <c r="L450" s="9"/>
      <c r="M450" s="38"/>
      <c r="N450" s="38"/>
      <c r="O450" s="38"/>
      <c r="P450" s="38"/>
      <c r="Q450" s="38"/>
      <c r="R450" s="122"/>
      <c r="T450" s="188"/>
    </row>
    <row r="451" spans="1:20" x14ac:dyDescent="0.25">
      <c r="A451" s="100">
        <v>61.1</v>
      </c>
      <c r="B451" s="3">
        <v>2</v>
      </c>
      <c r="C451" s="5" t="s">
        <v>85</v>
      </c>
      <c r="D451" s="3" t="s">
        <v>86</v>
      </c>
      <c r="E451" s="100" t="str">
        <f>IFERROR(VLOOKUP(C451,Resources!B:D,3,FALSE)," ")</f>
        <v>M</v>
      </c>
      <c r="F451" s="103">
        <f>VLOOKUP($A451,'Model Inputs'!$A:$D,4,FALSE)</f>
        <v>3</v>
      </c>
      <c r="G451" s="8">
        <v>1</v>
      </c>
      <c r="H451" s="8">
        <f>H449/F451</f>
        <v>4</v>
      </c>
      <c r="I451" s="109">
        <f>IFERROR(VLOOKUP(C451,Resources!B:G,6,FALSE)," ")</f>
        <v>192</v>
      </c>
      <c r="J451" s="109">
        <f>I451*H451</f>
        <v>768</v>
      </c>
      <c r="K451" s="8"/>
      <c r="L451" s="8" t="str">
        <f t="shared" ref="L451:L453" si="629">IF(E451="M"," ",H451/G451)</f>
        <v xml:space="preserve"> </v>
      </c>
      <c r="M451" s="109">
        <f t="shared" ref="M451:M454" si="630">IF($E451="L",$J451,0)</f>
        <v>0</v>
      </c>
      <c r="N451" s="109">
        <f t="shared" ref="N451:N454" si="631">IF($E451="M",$J451,0)</f>
        <v>768</v>
      </c>
      <c r="O451" s="109">
        <f t="shared" ref="O451:O454" si="632">IF($E451="P",$J451,0)</f>
        <v>0</v>
      </c>
      <c r="P451" s="109">
        <f t="shared" ref="P451:P454" si="633">IF($E451="S",$J451,0)</f>
        <v>0</v>
      </c>
      <c r="Q451" s="109">
        <f t="shared" ref="Q451:Q454" si="634">SUM(M451:P451)</f>
        <v>768</v>
      </c>
      <c r="R451" s="121" t="s">
        <v>2335</v>
      </c>
      <c r="T451" s="188"/>
    </row>
    <row r="452" spans="1:20" x14ac:dyDescent="0.25">
      <c r="A452" s="100">
        <v>61.2</v>
      </c>
      <c r="B452" s="3">
        <v>3</v>
      </c>
      <c r="C452" s="5" t="s">
        <v>81</v>
      </c>
      <c r="D452" s="3" t="s">
        <v>82</v>
      </c>
      <c r="E452" s="100" t="str">
        <f>IFERROR(VLOOKUP(C452,Resources!B:D,3,FALSE)," ")</f>
        <v>M</v>
      </c>
      <c r="F452" s="103">
        <f>VLOOKUP($A452,'Model Inputs'!$A:$D,4,FALSE)</f>
        <v>75</v>
      </c>
      <c r="G452" s="8">
        <v>1</v>
      </c>
      <c r="H452" s="8">
        <f>H449/F452</f>
        <v>0.16</v>
      </c>
      <c r="I452" s="109">
        <f>IFERROR(VLOOKUP(C452,Resources!B:G,6,FALSE)," ")</f>
        <v>24</v>
      </c>
      <c r="J452" s="109">
        <f t="shared" ref="J452:J453" si="635">I452*H452</f>
        <v>3.84</v>
      </c>
      <c r="K452" s="8"/>
      <c r="L452" s="8" t="str">
        <f t="shared" si="629"/>
        <v xml:space="preserve"> </v>
      </c>
      <c r="M452" s="109">
        <f t="shared" si="630"/>
        <v>0</v>
      </c>
      <c r="N452" s="109">
        <f t="shared" si="631"/>
        <v>3.84</v>
      </c>
      <c r="O452" s="109">
        <f t="shared" si="632"/>
        <v>0</v>
      </c>
      <c r="P452" s="109">
        <f t="shared" si="633"/>
        <v>0</v>
      </c>
      <c r="Q452" s="109">
        <f t="shared" si="634"/>
        <v>3.84</v>
      </c>
      <c r="R452" s="121" t="s">
        <v>2341</v>
      </c>
      <c r="T452" s="188"/>
    </row>
    <row r="453" spans="1:20" x14ac:dyDescent="0.25">
      <c r="A453" s="100">
        <v>61.3</v>
      </c>
      <c r="B453" s="3">
        <v>4</v>
      </c>
      <c r="C453" s="5" t="s">
        <v>109</v>
      </c>
      <c r="D453" s="3" t="s">
        <v>82</v>
      </c>
      <c r="E453" s="100" t="str">
        <f>IFERROR(VLOOKUP(C453,Resources!B:D,3,FALSE)," ")</f>
        <v>M</v>
      </c>
      <c r="F453" s="103">
        <f>VLOOKUP($A453,'Model Inputs'!$A:$D,4,FALSE)</f>
        <v>8</v>
      </c>
      <c r="G453" s="8">
        <v>1</v>
      </c>
      <c r="H453" s="8">
        <f>H452/F453</f>
        <v>0.02</v>
      </c>
      <c r="I453" s="109">
        <f>IFERROR(VLOOKUP(C453,Resources!B:G,6,FALSE)," ")</f>
        <v>450</v>
      </c>
      <c r="J453" s="109">
        <f t="shared" si="635"/>
        <v>9</v>
      </c>
      <c r="K453" s="8"/>
      <c r="L453" s="8" t="str">
        <f t="shared" si="629"/>
        <v xml:space="preserve"> </v>
      </c>
      <c r="M453" s="109">
        <f t="shared" si="630"/>
        <v>0</v>
      </c>
      <c r="N453" s="109">
        <f t="shared" si="631"/>
        <v>9</v>
      </c>
      <c r="O453" s="109">
        <f t="shared" si="632"/>
        <v>0</v>
      </c>
      <c r="P453" s="109">
        <f t="shared" si="633"/>
        <v>0</v>
      </c>
      <c r="Q453" s="109">
        <f t="shared" si="634"/>
        <v>9</v>
      </c>
      <c r="R453" s="121" t="s">
        <v>2338</v>
      </c>
      <c r="T453" s="188"/>
    </row>
    <row r="454" spans="1:20" x14ac:dyDescent="0.25">
      <c r="A454" s="100"/>
      <c r="B454" s="3">
        <v>5</v>
      </c>
      <c r="C454" s="5" t="s">
        <v>2247</v>
      </c>
      <c r="D454" s="3" t="s">
        <v>89</v>
      </c>
      <c r="E454" s="100" t="str">
        <f>IFERROR(VLOOKUP(C454,Resources!B:D,3,FALSE)," ")</f>
        <v>S</v>
      </c>
      <c r="F454" s="8">
        <v>1</v>
      </c>
      <c r="G454" s="8">
        <v>1</v>
      </c>
      <c r="H454" s="8">
        <f>H449</f>
        <v>12</v>
      </c>
      <c r="I454" s="109">
        <f>IFERROR(VLOOKUP(C454,Resources!B:G,6,FALSE)," ")</f>
        <v>65</v>
      </c>
      <c r="J454" s="109">
        <f t="shared" ref="J454" si="636">(H454/(G454/F454))*I454</f>
        <v>780</v>
      </c>
      <c r="K454" s="8"/>
      <c r="L454" s="8">
        <f>H454/200</f>
        <v>0.06</v>
      </c>
      <c r="M454" s="109">
        <f t="shared" si="630"/>
        <v>0</v>
      </c>
      <c r="N454" s="109">
        <f t="shared" si="631"/>
        <v>0</v>
      </c>
      <c r="O454" s="109">
        <f t="shared" si="632"/>
        <v>0</v>
      </c>
      <c r="P454" s="109">
        <f t="shared" si="633"/>
        <v>780</v>
      </c>
      <c r="Q454" s="109">
        <f t="shared" si="634"/>
        <v>780</v>
      </c>
      <c r="R454" s="121">
        <v>71</v>
      </c>
      <c r="T454" s="188"/>
    </row>
    <row r="455" spans="1:20" x14ac:dyDescent="0.25">
      <c r="A455" s="101"/>
      <c r="B455" s="4"/>
      <c r="C455" s="6"/>
      <c r="D455" s="4"/>
      <c r="E455" s="101" t="str">
        <f>IFERROR(VLOOKUP(C455,Resources!B:D,3,FALSE)," ")</f>
        <v xml:space="preserve"> </v>
      </c>
      <c r="F455" s="9"/>
      <c r="G455" s="9"/>
      <c r="H455" s="9"/>
      <c r="I455" s="38" t="str">
        <f>IFERROR(VLOOKUP(C455,Resources!B:G,6,FALSE)," ")</f>
        <v xml:space="preserve"> </v>
      </c>
      <c r="J455" s="38"/>
      <c r="K455" s="9"/>
      <c r="L455" s="9"/>
      <c r="M455" s="38"/>
      <c r="N455" s="38"/>
      <c r="O455" s="38"/>
      <c r="P455" s="38"/>
      <c r="Q455" s="38"/>
      <c r="R455" s="122"/>
      <c r="T455" s="188"/>
    </row>
    <row r="456" spans="1:20" ht="30" x14ac:dyDescent="0.25">
      <c r="A456" s="114">
        <v>62</v>
      </c>
      <c r="B456" s="1" t="s">
        <v>273</v>
      </c>
      <c r="C456" s="1" t="s">
        <v>202</v>
      </c>
      <c r="D456" s="2" t="s">
        <v>89</v>
      </c>
      <c r="E456" s="99" t="str">
        <f>IFERROR(VLOOKUP(C456,Resources!B:D,3,FALSE)," ")</f>
        <v xml:space="preserve"> </v>
      </c>
      <c r="F456" s="7"/>
      <c r="G456" s="7"/>
      <c r="H456" s="103">
        <f>VLOOKUP($A456,'Model Inputs'!$A:$D,4,FALSE)</f>
        <v>81</v>
      </c>
      <c r="I456" s="108" t="str">
        <f>IFERROR(VLOOKUP(C456,Resources!B:G,6,FALSE)," ")</f>
        <v xml:space="preserve"> </v>
      </c>
      <c r="J456" s="108">
        <f>SUBTOTAL(9,J458:J461)</f>
        <v>4306.2048837209304</v>
      </c>
      <c r="K456" s="7"/>
      <c r="L456" s="7">
        <f>ROUNDUP(L461/Workhrs,0)</f>
        <v>1</v>
      </c>
      <c r="M456" s="108">
        <f t="shared" ref="M456:Q456" si="637">SUBTOTAL(9,M458:M461)</f>
        <v>0</v>
      </c>
      <c r="N456" s="108">
        <f t="shared" si="637"/>
        <v>1876.2048837209304</v>
      </c>
      <c r="O456" s="108">
        <f t="shared" si="637"/>
        <v>0</v>
      </c>
      <c r="P456" s="108">
        <f t="shared" si="637"/>
        <v>2430</v>
      </c>
      <c r="Q456" s="108">
        <f t="shared" si="637"/>
        <v>4306.2048837209304</v>
      </c>
      <c r="R456" s="120"/>
      <c r="T456" s="188"/>
    </row>
    <row r="457" spans="1:20" ht="30" x14ac:dyDescent="0.25">
      <c r="A457" s="101"/>
      <c r="B457" s="4">
        <v>1</v>
      </c>
      <c r="C457" s="6" t="s">
        <v>196</v>
      </c>
      <c r="D457" s="4"/>
      <c r="E457" s="101" t="str">
        <f>IFERROR(VLOOKUP(C457,Resources!B:D,3,FALSE)," ")</f>
        <v xml:space="preserve"> </v>
      </c>
      <c r="F457" s="9"/>
      <c r="G457" s="9"/>
      <c r="H457" s="9"/>
      <c r="I457" s="38" t="str">
        <f>IFERROR(VLOOKUP(C457,Resources!B:G,6,FALSE)," ")</f>
        <v xml:space="preserve"> </v>
      </c>
      <c r="J457" s="38"/>
      <c r="K457" s="9"/>
      <c r="L457" s="9"/>
      <c r="M457" s="38"/>
      <c r="N457" s="38"/>
      <c r="O457" s="38"/>
      <c r="P457" s="38"/>
      <c r="Q457" s="38"/>
      <c r="R457" s="122"/>
      <c r="T457" s="188"/>
    </row>
    <row r="458" spans="1:20" x14ac:dyDescent="0.25">
      <c r="A458" s="100">
        <v>62.1</v>
      </c>
      <c r="B458" s="3">
        <v>2</v>
      </c>
      <c r="C458" s="5" t="s">
        <v>197</v>
      </c>
      <c r="D458" s="3" t="s">
        <v>86</v>
      </c>
      <c r="E458" s="100" t="str">
        <f>IFERROR(VLOOKUP(C458,Resources!B:D,3,FALSE)," ")</f>
        <v>M</v>
      </c>
      <c r="F458" s="103">
        <f>VLOOKUP($A458,'Model Inputs'!$A:$D,4,FALSE)</f>
        <v>8.6</v>
      </c>
      <c r="G458" s="8">
        <v>1</v>
      </c>
      <c r="H458" s="8">
        <f>H456/F458</f>
        <v>9.4186046511627914</v>
      </c>
      <c r="I458" s="109">
        <f>IFERROR(VLOOKUP(C458,Resources!B:G,6,FALSE)," ")</f>
        <v>190</v>
      </c>
      <c r="J458" s="109">
        <f>I458*H458</f>
        <v>1789.5348837209303</v>
      </c>
      <c r="K458" s="8"/>
      <c r="L458" s="8" t="str">
        <f t="shared" ref="L458:L460" si="638">IF(E458="M"," ",H458/G458)</f>
        <v xml:space="preserve"> </v>
      </c>
      <c r="M458" s="109">
        <f t="shared" ref="M458:M461" si="639">IF($E458="L",$J458,0)</f>
        <v>0</v>
      </c>
      <c r="N458" s="109">
        <f t="shared" ref="N458:N461" si="640">IF($E458="M",$J458,0)</f>
        <v>1789.5348837209303</v>
      </c>
      <c r="O458" s="109">
        <f t="shared" ref="O458:O461" si="641">IF($E458="P",$J458,0)</f>
        <v>0</v>
      </c>
      <c r="P458" s="109">
        <f t="shared" ref="P458:P461" si="642">IF($E458="S",$J458,0)</f>
        <v>0</v>
      </c>
      <c r="Q458" s="109">
        <f t="shared" ref="Q458:Q461" si="643">SUM(M458:P458)</f>
        <v>1789.5348837209303</v>
      </c>
      <c r="R458" s="121" t="s">
        <v>2337</v>
      </c>
      <c r="T458" s="188"/>
    </row>
    <row r="459" spans="1:20" x14ac:dyDescent="0.25">
      <c r="A459" s="100">
        <v>62.2</v>
      </c>
      <c r="B459" s="3">
        <v>3</v>
      </c>
      <c r="C459" s="5" t="s">
        <v>81</v>
      </c>
      <c r="D459" s="3" t="s">
        <v>82</v>
      </c>
      <c r="E459" s="100" t="str">
        <f>IFERROR(VLOOKUP(C459,Resources!B:D,3,FALSE)," ")</f>
        <v>M</v>
      </c>
      <c r="F459" s="103">
        <f>VLOOKUP($A459,'Model Inputs'!$A:$D,4,FALSE)</f>
        <v>75</v>
      </c>
      <c r="G459" s="8">
        <v>1</v>
      </c>
      <c r="H459" s="8">
        <f>H456/F459</f>
        <v>1.08</v>
      </c>
      <c r="I459" s="109">
        <f>IFERROR(VLOOKUP(C459,Resources!B:G,6,FALSE)," ")</f>
        <v>24</v>
      </c>
      <c r="J459" s="109">
        <f t="shared" ref="J459:J460" si="644">I459*H459</f>
        <v>25.92</v>
      </c>
      <c r="K459" s="8"/>
      <c r="L459" s="8" t="str">
        <f t="shared" si="638"/>
        <v xml:space="preserve"> </v>
      </c>
      <c r="M459" s="109">
        <f t="shared" si="639"/>
        <v>0</v>
      </c>
      <c r="N459" s="109">
        <f t="shared" si="640"/>
        <v>25.92</v>
      </c>
      <c r="O459" s="109">
        <f t="shared" si="641"/>
        <v>0</v>
      </c>
      <c r="P459" s="109">
        <f t="shared" si="642"/>
        <v>0</v>
      </c>
      <c r="Q459" s="109">
        <f t="shared" si="643"/>
        <v>25.92</v>
      </c>
      <c r="R459" s="121" t="s">
        <v>2341</v>
      </c>
      <c r="T459" s="188"/>
    </row>
    <row r="460" spans="1:20" x14ac:dyDescent="0.25">
      <c r="A460" s="100">
        <v>62.3</v>
      </c>
      <c r="B460" s="3">
        <v>4</v>
      </c>
      <c r="C460" s="5" t="s">
        <v>109</v>
      </c>
      <c r="D460" s="3" t="s">
        <v>82</v>
      </c>
      <c r="E460" s="100" t="str">
        <f>IFERROR(VLOOKUP(C460,Resources!B:D,3,FALSE)," ")</f>
        <v>M</v>
      </c>
      <c r="F460" s="103">
        <f>VLOOKUP($A460,'Model Inputs'!$A:$D,4,FALSE)</f>
        <v>8</v>
      </c>
      <c r="G460" s="8">
        <v>1</v>
      </c>
      <c r="H460" s="8">
        <f>H459/F460</f>
        <v>0.13500000000000001</v>
      </c>
      <c r="I460" s="109">
        <f>IFERROR(VLOOKUP(C460,Resources!B:G,6,FALSE)," ")</f>
        <v>450</v>
      </c>
      <c r="J460" s="109">
        <f t="shared" si="644"/>
        <v>60.750000000000007</v>
      </c>
      <c r="K460" s="8"/>
      <c r="L460" s="8" t="str">
        <f t="shared" si="638"/>
        <v xml:space="preserve"> </v>
      </c>
      <c r="M460" s="109">
        <f t="shared" si="639"/>
        <v>0</v>
      </c>
      <c r="N460" s="109">
        <f t="shared" si="640"/>
        <v>60.750000000000007</v>
      </c>
      <c r="O460" s="109">
        <f t="shared" si="641"/>
        <v>0</v>
      </c>
      <c r="P460" s="109">
        <f t="shared" si="642"/>
        <v>0</v>
      </c>
      <c r="Q460" s="109">
        <f t="shared" si="643"/>
        <v>60.750000000000007</v>
      </c>
      <c r="R460" s="121" t="s">
        <v>2338</v>
      </c>
      <c r="T460" s="188"/>
    </row>
    <row r="461" spans="1:20" x14ac:dyDescent="0.25">
      <c r="A461" s="100"/>
      <c r="B461" s="3">
        <v>5</v>
      </c>
      <c r="C461" s="5" t="s">
        <v>198</v>
      </c>
      <c r="D461" s="3" t="s">
        <v>89</v>
      </c>
      <c r="E461" s="100" t="str">
        <f>IFERROR(VLOOKUP(C461,Resources!B:D,3,FALSE)," ")</f>
        <v>S</v>
      </c>
      <c r="F461" s="8">
        <v>1</v>
      </c>
      <c r="G461" s="8">
        <v>1</v>
      </c>
      <c r="H461" s="8">
        <f>H456</f>
        <v>81</v>
      </c>
      <c r="I461" s="109">
        <f>IFERROR(VLOOKUP(C461,Resources!B:G,6,FALSE)," ")</f>
        <v>30</v>
      </c>
      <c r="J461" s="109">
        <f t="shared" ref="J461" si="645">(H461/(G461/F461))*I461</f>
        <v>2430</v>
      </c>
      <c r="K461" s="8"/>
      <c r="L461" s="8">
        <f>H461/200</f>
        <v>0.40500000000000003</v>
      </c>
      <c r="M461" s="109">
        <f t="shared" si="639"/>
        <v>0</v>
      </c>
      <c r="N461" s="109">
        <f t="shared" si="640"/>
        <v>0</v>
      </c>
      <c r="O461" s="109">
        <f t="shared" si="641"/>
        <v>0</v>
      </c>
      <c r="P461" s="109">
        <f t="shared" si="642"/>
        <v>2430</v>
      </c>
      <c r="Q461" s="109">
        <f t="shared" si="643"/>
        <v>2430</v>
      </c>
      <c r="R461" s="121">
        <v>71</v>
      </c>
      <c r="T461" s="188"/>
    </row>
    <row r="462" spans="1:20" x14ac:dyDescent="0.25">
      <c r="A462" s="101"/>
      <c r="B462" s="4"/>
      <c r="C462" s="6"/>
      <c r="D462" s="4"/>
      <c r="E462" s="101" t="str">
        <f>IFERROR(VLOOKUP(C462,Resources!B:D,3,FALSE)," ")</f>
        <v xml:space="preserve"> </v>
      </c>
      <c r="F462" s="9"/>
      <c r="G462" s="9"/>
      <c r="H462" s="9"/>
      <c r="I462" s="38" t="str">
        <f>IFERROR(VLOOKUP(C462,Resources!B:G,6,FALSE)," ")</f>
        <v xml:space="preserve"> </v>
      </c>
      <c r="J462" s="38"/>
      <c r="K462" s="9"/>
      <c r="L462" s="9"/>
      <c r="M462" s="38"/>
      <c r="N462" s="38"/>
      <c r="O462" s="38"/>
      <c r="P462" s="38"/>
      <c r="Q462" s="38"/>
      <c r="R462" s="122"/>
      <c r="T462" s="188"/>
    </row>
    <row r="463" spans="1:20" ht="30" x14ac:dyDescent="0.25">
      <c r="A463" s="114"/>
      <c r="B463" s="1" t="s">
        <v>274</v>
      </c>
      <c r="C463" s="1" t="s">
        <v>275</v>
      </c>
      <c r="D463" s="2"/>
      <c r="E463" s="99" t="str">
        <f>IFERROR(VLOOKUP(C463,Resources!B:D,3,FALSE)," ")</f>
        <v xml:space="preserve"> </v>
      </c>
      <c r="F463" s="7"/>
      <c r="G463" s="7"/>
      <c r="H463" s="7"/>
      <c r="I463" s="108" t="str">
        <f>IFERROR(VLOOKUP(C463,Resources!B:G,6,FALSE)," ")</f>
        <v xml:space="preserve"> </v>
      </c>
      <c r="J463" s="108"/>
      <c r="K463" s="7"/>
      <c r="L463" s="7"/>
      <c r="M463" s="108"/>
      <c r="N463" s="108"/>
      <c r="O463" s="108"/>
      <c r="P463" s="108"/>
      <c r="Q463" s="108"/>
      <c r="R463" s="120"/>
      <c r="T463" s="188"/>
    </row>
    <row r="464" spans="1:20" ht="30" x14ac:dyDescent="0.25">
      <c r="A464" s="114">
        <v>63</v>
      </c>
      <c r="B464" s="1" t="s">
        <v>276</v>
      </c>
      <c r="C464" s="1" t="s">
        <v>208</v>
      </c>
      <c r="D464" s="2" t="s">
        <v>89</v>
      </c>
      <c r="E464" s="99" t="str">
        <f>IFERROR(VLOOKUP(C464,Resources!B:D,3,FALSE)," ")</f>
        <v xml:space="preserve"> </v>
      </c>
      <c r="F464" s="7"/>
      <c r="G464" s="7"/>
      <c r="H464" s="103">
        <f>VLOOKUP($A464,'Model Inputs'!$A:$D,4,FALSE)</f>
        <v>312</v>
      </c>
      <c r="I464" s="108" t="str">
        <f>IFERROR(VLOOKUP(C464,Resources!B:G,6,FALSE)," ")</f>
        <v xml:space="preserve"> </v>
      </c>
      <c r="J464" s="108">
        <f>SUBTOTAL(9,J466:J472)</f>
        <v>12880.057576957697</v>
      </c>
      <c r="K464" s="7"/>
      <c r="L464" s="7">
        <f>ROUNDUP(MAX(L469:L472)/Workhrs,0)</f>
        <v>4</v>
      </c>
      <c r="M464" s="108">
        <f t="shared" ref="M464:Q464" si="646">SUBTOTAL(9,M466:M472)</f>
        <v>3538.4338433843386</v>
      </c>
      <c r="N464" s="108">
        <f t="shared" si="646"/>
        <v>1891.9680000000001</v>
      </c>
      <c r="O464" s="108">
        <f t="shared" si="646"/>
        <v>6557.3357335733572</v>
      </c>
      <c r="P464" s="108">
        <f t="shared" si="646"/>
        <v>892.32</v>
      </c>
      <c r="Q464" s="108">
        <f t="shared" si="646"/>
        <v>12880.057576957697</v>
      </c>
      <c r="R464" s="120"/>
      <c r="T464" s="188"/>
    </row>
    <row r="465" spans="1:20" ht="45" x14ac:dyDescent="0.25">
      <c r="A465" s="101"/>
      <c r="B465" s="4">
        <v>1</v>
      </c>
      <c r="C465" s="6" t="s">
        <v>209</v>
      </c>
      <c r="D465" s="4"/>
      <c r="E465" s="101" t="str">
        <f>IFERROR(VLOOKUP(C465,Resources!B:D,3,FALSE)," ")</f>
        <v xml:space="preserve"> </v>
      </c>
      <c r="F465" s="9"/>
      <c r="G465" s="9"/>
      <c r="H465" s="9"/>
      <c r="I465" s="38" t="str">
        <f>IFERROR(VLOOKUP(C465,Resources!B:G,6,FALSE)," ")</f>
        <v xml:space="preserve"> </v>
      </c>
      <c r="J465" s="38"/>
      <c r="K465" s="9"/>
      <c r="L465" s="9"/>
      <c r="M465" s="38"/>
      <c r="N465" s="38"/>
      <c r="O465" s="38"/>
      <c r="P465" s="38"/>
      <c r="Q465" s="38"/>
      <c r="R465" s="122"/>
      <c r="T465" s="188"/>
    </row>
    <row r="466" spans="1:20" x14ac:dyDescent="0.25">
      <c r="A466" s="100"/>
      <c r="B466" s="3">
        <v>2</v>
      </c>
      <c r="C466" s="5" t="s">
        <v>210</v>
      </c>
      <c r="D466" s="3" t="s">
        <v>89</v>
      </c>
      <c r="E466" s="100" t="str">
        <f>IFERROR(VLOOKUP(C466,Resources!B:D,3,FALSE)," ")</f>
        <v>M</v>
      </c>
      <c r="F466" s="8">
        <v>1</v>
      </c>
      <c r="G466" s="8">
        <v>1</v>
      </c>
      <c r="H466" s="8">
        <f>H464</f>
        <v>312</v>
      </c>
      <c r="I466" s="109">
        <f>IFERROR(VLOOKUP(C466,Resources!B:G,6,FALSE)," ")</f>
        <v>2.5</v>
      </c>
      <c r="J466" s="109">
        <f t="shared" ref="J466:J472" si="647">(H466/(G466/F466))*I466</f>
        <v>780</v>
      </c>
      <c r="K466" s="8"/>
      <c r="L466" s="8" t="str">
        <f t="shared" ref="L466:L472" si="648">IF(E466="M"," ",H466/G466)</f>
        <v xml:space="preserve"> </v>
      </c>
      <c r="M466" s="109">
        <f t="shared" ref="M466:M472" si="649">IF($E466="L",$J466,0)</f>
        <v>0</v>
      </c>
      <c r="N466" s="109">
        <f t="shared" ref="N466:N472" si="650">IF($E466="M",$J466,0)</f>
        <v>780</v>
      </c>
      <c r="O466" s="109">
        <f t="shared" ref="O466:O472" si="651">IF($E466="P",$J466,0)</f>
        <v>0</v>
      </c>
      <c r="P466" s="109">
        <f t="shared" ref="P466:P472" si="652">IF($E466="S",$J466,0)</f>
        <v>0</v>
      </c>
      <c r="Q466" s="109">
        <f t="shared" ref="Q466:Q472" si="653">SUM(M466:P466)</f>
        <v>780</v>
      </c>
      <c r="R466" s="121">
        <v>87</v>
      </c>
      <c r="T466" s="188"/>
    </row>
    <row r="467" spans="1:20" x14ac:dyDescent="0.25">
      <c r="A467" s="100"/>
      <c r="B467" s="3">
        <v>3</v>
      </c>
      <c r="C467" s="5" t="s">
        <v>211</v>
      </c>
      <c r="D467" s="3" t="s">
        <v>29</v>
      </c>
      <c r="E467" s="100" t="str">
        <f>IFERROR(VLOOKUP(C467,Resources!B:D,3,FALSE)," ")</f>
        <v>S</v>
      </c>
      <c r="F467" s="8">
        <v>1</v>
      </c>
      <c r="G467" s="8">
        <v>1</v>
      </c>
      <c r="H467" s="8">
        <f>H464/50</f>
        <v>6.24</v>
      </c>
      <c r="I467" s="109">
        <f>IFERROR(VLOOKUP(C467,Resources!B:G,6,FALSE)," ")</f>
        <v>143</v>
      </c>
      <c r="J467" s="109">
        <f t="shared" si="647"/>
        <v>892.32</v>
      </c>
      <c r="K467" s="8"/>
      <c r="L467" s="8"/>
      <c r="M467" s="109">
        <f t="shared" si="649"/>
        <v>0</v>
      </c>
      <c r="N467" s="109">
        <f t="shared" si="650"/>
        <v>0</v>
      </c>
      <c r="O467" s="109">
        <f t="shared" si="651"/>
        <v>0</v>
      </c>
      <c r="P467" s="109">
        <f t="shared" si="652"/>
        <v>892.32</v>
      </c>
      <c r="Q467" s="109">
        <f t="shared" si="653"/>
        <v>892.32</v>
      </c>
      <c r="R467" s="121">
        <v>87</v>
      </c>
      <c r="T467" s="188"/>
    </row>
    <row r="468" spans="1:20" x14ac:dyDescent="0.25">
      <c r="A468" s="100"/>
      <c r="B468" s="3">
        <v>4</v>
      </c>
      <c r="C468" s="5" t="s">
        <v>81</v>
      </c>
      <c r="D468" s="3" t="s">
        <v>82</v>
      </c>
      <c r="E468" s="100" t="str">
        <f>IFERROR(VLOOKUP(C468,Resources!B:D,3,FALSE)," ")</f>
        <v>M</v>
      </c>
      <c r="F468" s="8">
        <v>1</v>
      </c>
      <c r="G468" s="8">
        <v>1</v>
      </c>
      <c r="H468" s="8">
        <f>H464*0.3*0.3*1.5*1.1</f>
        <v>46.332000000000001</v>
      </c>
      <c r="I468" s="109">
        <f>IFERROR(VLOOKUP(C468,Resources!B:G,6,FALSE)," ")</f>
        <v>24</v>
      </c>
      <c r="J468" s="109">
        <f t="shared" si="647"/>
        <v>1111.9680000000001</v>
      </c>
      <c r="K468" s="8"/>
      <c r="L468" s="8" t="str">
        <f t="shared" si="648"/>
        <v xml:space="preserve"> </v>
      </c>
      <c r="M468" s="109">
        <f t="shared" si="649"/>
        <v>0</v>
      </c>
      <c r="N468" s="109">
        <f t="shared" si="650"/>
        <v>1111.9680000000001</v>
      </c>
      <c r="O468" s="109">
        <f t="shared" si="651"/>
        <v>0</v>
      </c>
      <c r="P468" s="109">
        <f t="shared" si="652"/>
        <v>0</v>
      </c>
      <c r="Q468" s="109">
        <f t="shared" si="653"/>
        <v>1111.9680000000001</v>
      </c>
      <c r="R468" s="121" t="s">
        <v>2341</v>
      </c>
      <c r="T468" s="188"/>
    </row>
    <row r="469" spans="1:20" x14ac:dyDescent="0.25">
      <c r="A469" s="100">
        <v>63.1</v>
      </c>
      <c r="B469" s="3">
        <v>5</v>
      </c>
      <c r="C469" s="5" t="s">
        <v>63</v>
      </c>
      <c r="D469" s="3" t="s">
        <v>48</v>
      </c>
      <c r="E469" s="100" t="str">
        <f>IFERROR(VLOOKUP(C469,Resources!B:D,3,FALSE)," ")</f>
        <v>P</v>
      </c>
      <c r="F469" s="8">
        <v>1</v>
      </c>
      <c r="G469" s="103">
        <f>VLOOKUP($A469,'Model Inputs'!$A:$D,4,FALSE)</f>
        <v>11.11</v>
      </c>
      <c r="H469" s="8">
        <f>H464</f>
        <v>312</v>
      </c>
      <c r="I469" s="109">
        <f>IFERROR(VLOOKUP(C469,Resources!B:G,6,FALSE)," ")</f>
        <v>135</v>
      </c>
      <c r="J469" s="109">
        <f t="shared" si="647"/>
        <v>3791.1791179117913</v>
      </c>
      <c r="K469" s="8">
        <f t="shared" ref="K469:K472" si="654">L469*F469</f>
        <v>28.082808280828083</v>
      </c>
      <c r="L469" s="8">
        <f t="shared" si="648"/>
        <v>28.082808280828083</v>
      </c>
      <c r="M469" s="109">
        <f t="shared" si="649"/>
        <v>0</v>
      </c>
      <c r="N469" s="109">
        <f t="shared" si="650"/>
        <v>0</v>
      </c>
      <c r="O469" s="109">
        <f t="shared" si="651"/>
        <v>3791.1791179117913</v>
      </c>
      <c r="P469" s="109">
        <f t="shared" si="652"/>
        <v>0</v>
      </c>
      <c r="Q469" s="109">
        <f t="shared" si="653"/>
        <v>3791.1791179117913</v>
      </c>
      <c r="R469" s="121">
        <v>87</v>
      </c>
      <c r="T469" s="188"/>
    </row>
    <row r="470" spans="1:20" x14ac:dyDescent="0.25">
      <c r="A470" s="100"/>
      <c r="B470" s="3">
        <v>6</v>
      </c>
      <c r="C470" s="5" t="s">
        <v>8</v>
      </c>
      <c r="D470" s="3" t="s">
        <v>48</v>
      </c>
      <c r="E470" s="100" t="str">
        <f>IFERROR(VLOOKUP(C470,Resources!B:D,3,FALSE)," ")</f>
        <v>L</v>
      </c>
      <c r="F470" s="8">
        <v>3</v>
      </c>
      <c r="G470" s="8">
        <f>G469</f>
        <v>11.11</v>
      </c>
      <c r="H470" s="8">
        <f>H464</f>
        <v>312</v>
      </c>
      <c r="I470" s="109">
        <f>IFERROR(VLOOKUP(C470,Resources!B:G,6,FALSE)," ")</f>
        <v>42</v>
      </c>
      <c r="J470" s="109">
        <f t="shared" si="647"/>
        <v>3538.4338433843386</v>
      </c>
      <c r="K470" s="8">
        <f t="shared" si="654"/>
        <v>84.248424842484241</v>
      </c>
      <c r="L470" s="8">
        <f t="shared" si="648"/>
        <v>28.082808280828083</v>
      </c>
      <c r="M470" s="109">
        <f t="shared" si="649"/>
        <v>3538.4338433843386</v>
      </c>
      <c r="N470" s="109">
        <f t="shared" si="650"/>
        <v>0</v>
      </c>
      <c r="O470" s="109">
        <f t="shared" si="651"/>
        <v>0</v>
      </c>
      <c r="P470" s="109">
        <f t="shared" si="652"/>
        <v>0</v>
      </c>
      <c r="Q470" s="109">
        <f t="shared" si="653"/>
        <v>3538.4338433843386</v>
      </c>
      <c r="R470" s="121">
        <v>87</v>
      </c>
      <c r="T470" s="188"/>
    </row>
    <row r="471" spans="1:20" x14ac:dyDescent="0.25">
      <c r="A471" s="100"/>
      <c r="B471" s="3">
        <v>7</v>
      </c>
      <c r="C471" s="5" t="s">
        <v>45</v>
      </c>
      <c r="D471" s="3" t="s">
        <v>48</v>
      </c>
      <c r="E471" s="100" t="str">
        <f>IFERROR(VLOOKUP(C471,Resources!B:D,3,FALSE)," ")</f>
        <v>P</v>
      </c>
      <c r="F471" s="8">
        <v>1</v>
      </c>
      <c r="G471" s="8">
        <f>G469</f>
        <v>11.11</v>
      </c>
      <c r="H471" s="8">
        <f>H464</f>
        <v>312</v>
      </c>
      <c r="I471" s="109">
        <f>IFERROR(VLOOKUP(C471,Resources!B:G,6,FALSE)," ")</f>
        <v>95</v>
      </c>
      <c r="J471" s="109">
        <f t="shared" si="647"/>
        <v>2667.8667866786677</v>
      </c>
      <c r="K471" s="8">
        <f t="shared" si="654"/>
        <v>28.082808280828083</v>
      </c>
      <c r="L471" s="8">
        <f t="shared" si="648"/>
        <v>28.082808280828083</v>
      </c>
      <c r="M471" s="109">
        <f t="shared" si="649"/>
        <v>0</v>
      </c>
      <c r="N471" s="109">
        <f t="shared" si="650"/>
        <v>0</v>
      </c>
      <c r="O471" s="109">
        <f t="shared" si="651"/>
        <v>2667.8667866786677</v>
      </c>
      <c r="P471" s="109">
        <f t="shared" si="652"/>
        <v>0</v>
      </c>
      <c r="Q471" s="109">
        <f t="shared" si="653"/>
        <v>2667.8667866786677</v>
      </c>
      <c r="R471" s="121">
        <v>87</v>
      </c>
      <c r="T471" s="188"/>
    </row>
    <row r="472" spans="1:20" x14ac:dyDescent="0.25">
      <c r="A472" s="100"/>
      <c r="B472" s="3">
        <v>8</v>
      </c>
      <c r="C472" s="5" t="s">
        <v>92</v>
      </c>
      <c r="D472" s="3" t="s">
        <v>48</v>
      </c>
      <c r="E472" s="100" t="str">
        <f>IFERROR(VLOOKUP(C472,Resources!B:D,3,FALSE)," ")</f>
        <v>P</v>
      </c>
      <c r="F472" s="8">
        <v>1</v>
      </c>
      <c r="G472" s="8">
        <f>G469</f>
        <v>11.11</v>
      </c>
      <c r="H472" s="8">
        <f>H464</f>
        <v>312</v>
      </c>
      <c r="I472" s="109">
        <f>IFERROR(VLOOKUP(C472,Resources!B:G,6,FALSE)," ")</f>
        <v>3.5</v>
      </c>
      <c r="J472" s="109">
        <f t="shared" si="647"/>
        <v>98.289828982898285</v>
      </c>
      <c r="K472" s="8">
        <f t="shared" si="654"/>
        <v>28.082808280828083</v>
      </c>
      <c r="L472" s="8">
        <f t="shared" si="648"/>
        <v>28.082808280828083</v>
      </c>
      <c r="M472" s="109">
        <f t="shared" si="649"/>
        <v>0</v>
      </c>
      <c r="N472" s="109">
        <f t="shared" si="650"/>
        <v>0</v>
      </c>
      <c r="O472" s="109">
        <f t="shared" si="651"/>
        <v>98.289828982898285</v>
      </c>
      <c r="P472" s="109">
        <f t="shared" si="652"/>
        <v>0</v>
      </c>
      <c r="Q472" s="109">
        <f t="shared" si="653"/>
        <v>98.289828982898285</v>
      </c>
      <c r="R472" s="121">
        <v>87</v>
      </c>
      <c r="T472" s="188"/>
    </row>
    <row r="473" spans="1:20" x14ac:dyDescent="0.25">
      <c r="A473" s="101"/>
      <c r="B473" s="4"/>
      <c r="C473" s="6"/>
      <c r="D473" s="4"/>
      <c r="E473" s="101" t="str">
        <f>IFERROR(VLOOKUP(C473,Resources!B:D,3,FALSE)," ")</f>
        <v xml:space="preserve"> </v>
      </c>
      <c r="F473" s="9"/>
      <c r="G473" s="9"/>
      <c r="H473" s="9"/>
      <c r="I473" s="38" t="str">
        <f>IFERROR(VLOOKUP(C473,Resources!B:G,6,FALSE)," ")</f>
        <v xml:space="preserve"> </v>
      </c>
      <c r="J473" s="38"/>
      <c r="K473" s="9"/>
      <c r="L473" s="9"/>
      <c r="M473" s="38"/>
      <c r="N473" s="38"/>
      <c r="O473" s="38"/>
      <c r="P473" s="38"/>
      <c r="Q473" s="38"/>
      <c r="R473" s="122"/>
      <c r="T473" s="188"/>
    </row>
    <row r="474" spans="1:20" ht="30" x14ac:dyDescent="0.25">
      <c r="A474" s="114">
        <v>64</v>
      </c>
      <c r="B474" s="1" t="s">
        <v>277</v>
      </c>
      <c r="C474" s="1" t="s">
        <v>213</v>
      </c>
      <c r="D474" s="2" t="s">
        <v>29</v>
      </c>
      <c r="E474" s="99" t="str">
        <f>IFERROR(VLOOKUP(C474,Resources!B:D,3,FALSE)," ")</f>
        <v xml:space="preserve"> </v>
      </c>
      <c r="F474" s="7"/>
      <c r="G474" s="7"/>
      <c r="H474" s="103">
        <f>VLOOKUP($A474,'Model Inputs'!$A:$D,4,FALSE)</f>
        <v>5</v>
      </c>
      <c r="I474" s="108" t="str">
        <f>IFERROR(VLOOKUP(C474,Resources!B:G,6,FALSE)," ")</f>
        <v xml:space="preserve"> </v>
      </c>
      <c r="J474" s="108">
        <f>SUBTOTAL(9,J475)</f>
        <v>715</v>
      </c>
      <c r="K474" s="7"/>
      <c r="L474" s="7">
        <f>L464</f>
        <v>4</v>
      </c>
      <c r="M474" s="108">
        <f t="shared" ref="M474:Q474" si="655">SUBTOTAL(9,M475)</f>
        <v>0</v>
      </c>
      <c r="N474" s="108">
        <f t="shared" si="655"/>
        <v>0</v>
      </c>
      <c r="O474" s="108">
        <f t="shared" si="655"/>
        <v>0</v>
      </c>
      <c r="P474" s="108">
        <f t="shared" si="655"/>
        <v>715</v>
      </c>
      <c r="Q474" s="108">
        <f t="shared" si="655"/>
        <v>715</v>
      </c>
      <c r="R474" s="120"/>
      <c r="T474" s="188"/>
    </row>
    <row r="475" spans="1:20" x14ac:dyDescent="0.25">
      <c r="A475" s="100"/>
      <c r="B475" s="3">
        <v>1</v>
      </c>
      <c r="C475" s="5" t="s">
        <v>211</v>
      </c>
      <c r="D475" s="3" t="s">
        <v>29</v>
      </c>
      <c r="E475" s="100" t="str">
        <f>IFERROR(VLOOKUP(C475,Resources!B:D,3,FALSE)," ")</f>
        <v>S</v>
      </c>
      <c r="F475" s="8">
        <v>1</v>
      </c>
      <c r="G475" s="8">
        <v>1</v>
      </c>
      <c r="H475" s="8">
        <f>H474</f>
        <v>5</v>
      </c>
      <c r="I475" s="109">
        <f>IFERROR(VLOOKUP(C475,Resources!B:G,6,FALSE)," ")</f>
        <v>143</v>
      </c>
      <c r="J475" s="109">
        <f t="shared" ref="J475" si="656">(H475/(G475/F475))*I475</f>
        <v>715</v>
      </c>
      <c r="K475" s="8"/>
      <c r="L475" s="8"/>
      <c r="M475" s="109">
        <f t="shared" ref="M475" si="657">IF($E475="L",$J475,0)</f>
        <v>0</v>
      </c>
      <c r="N475" s="109">
        <f t="shared" ref="N475" si="658">IF($E475="M",$J475,0)</f>
        <v>0</v>
      </c>
      <c r="O475" s="109">
        <f t="shared" ref="O475" si="659">IF($E475="P",$J475,0)</f>
        <v>0</v>
      </c>
      <c r="P475" s="109">
        <f t="shared" ref="P475" si="660">IF($E475="S",$J475,0)</f>
        <v>715</v>
      </c>
      <c r="Q475" s="109">
        <f t="shared" ref="Q475" si="661">SUM(M475:P475)</f>
        <v>715</v>
      </c>
      <c r="R475" s="121">
        <v>87</v>
      </c>
      <c r="T475" s="188"/>
    </row>
    <row r="476" spans="1:20" x14ac:dyDescent="0.25">
      <c r="A476" s="101"/>
      <c r="B476" s="4"/>
      <c r="C476" s="6"/>
      <c r="D476" s="4"/>
      <c r="E476" s="101" t="str">
        <f>IFERROR(VLOOKUP(C476,Resources!B:D,3,FALSE)," ")</f>
        <v xml:space="preserve"> </v>
      </c>
      <c r="F476" s="9"/>
      <c r="G476" s="9"/>
      <c r="H476" s="9"/>
      <c r="I476" s="38" t="str">
        <f>IFERROR(VLOOKUP(C476,Resources!B:G,6,FALSE)," ")</f>
        <v xml:space="preserve"> </v>
      </c>
      <c r="J476" s="38"/>
      <c r="K476" s="9"/>
      <c r="L476" s="9"/>
      <c r="M476" s="38"/>
      <c r="N476" s="38"/>
      <c r="O476" s="38"/>
      <c r="P476" s="38"/>
      <c r="Q476" s="38"/>
      <c r="R476" s="122"/>
      <c r="T476" s="188"/>
    </row>
    <row r="477" spans="1:20" ht="30" x14ac:dyDescent="0.25">
      <c r="A477" s="114"/>
      <c r="B477" s="1" t="s">
        <v>278</v>
      </c>
      <c r="C477" s="1" t="s">
        <v>111</v>
      </c>
      <c r="D477" s="2"/>
      <c r="E477" s="99" t="str">
        <f>IFERROR(VLOOKUP(C477,Resources!B:D,3,FALSE)," ")</f>
        <v xml:space="preserve"> </v>
      </c>
      <c r="F477" s="7"/>
      <c r="G477" s="7"/>
      <c r="H477" s="7"/>
      <c r="I477" s="108" t="str">
        <f>IFERROR(VLOOKUP(C477,Resources!B:G,6,FALSE)," ")</f>
        <v xml:space="preserve"> </v>
      </c>
      <c r="J477" s="108"/>
      <c r="K477" s="7"/>
      <c r="L477" s="7"/>
      <c r="M477" s="108"/>
      <c r="N477" s="108"/>
      <c r="O477" s="108"/>
      <c r="P477" s="108"/>
      <c r="Q477" s="108"/>
      <c r="R477" s="120"/>
      <c r="T477" s="188"/>
    </row>
    <row r="478" spans="1:20" ht="30" x14ac:dyDescent="0.25">
      <c r="A478" s="114">
        <v>65</v>
      </c>
      <c r="B478" s="1" t="s">
        <v>279</v>
      </c>
      <c r="C478" s="1" t="s">
        <v>219</v>
      </c>
      <c r="D478" s="2" t="s">
        <v>62</v>
      </c>
      <c r="E478" s="99" t="str">
        <f>IFERROR(VLOOKUP(C478,Resources!B:D,3,FALSE)," ")</f>
        <v xml:space="preserve"> </v>
      </c>
      <c r="F478" s="7"/>
      <c r="G478" s="7"/>
      <c r="H478" s="103">
        <f>VLOOKUP($A478,'Model Inputs'!$A:$D,4,FALSE)</f>
        <v>314</v>
      </c>
      <c r="I478" s="108" t="str">
        <f>IFERROR(VLOOKUP(C478,Resources!B:G,6,FALSE)," ")</f>
        <v xml:space="preserve"> </v>
      </c>
      <c r="J478" s="108">
        <f>SUBTOTAL(9,J480:J491)</f>
        <v>24537.313244765432</v>
      </c>
      <c r="K478" s="7"/>
      <c r="L478" s="7">
        <f>ROUNDUP((MAX((L480+2),MAX(L482:L486))+MAX(L488:L491))/Workhrs,0)</f>
        <v>6</v>
      </c>
      <c r="M478" s="108">
        <f t="shared" ref="M478:Q478" si="662">SUBTOTAL(9,M480:M491)</f>
        <v>3906.8710092485762</v>
      </c>
      <c r="N478" s="108">
        <f t="shared" si="662"/>
        <v>0</v>
      </c>
      <c r="O478" s="108">
        <f t="shared" si="662"/>
        <v>20630.442235516857</v>
      </c>
      <c r="P478" s="108">
        <f t="shared" si="662"/>
        <v>0</v>
      </c>
      <c r="Q478" s="108">
        <f t="shared" si="662"/>
        <v>24537.313244765432</v>
      </c>
      <c r="R478" s="120"/>
      <c r="T478" s="188"/>
    </row>
    <row r="479" spans="1:20" x14ac:dyDescent="0.25">
      <c r="A479" s="100">
        <v>65.099999999999994</v>
      </c>
      <c r="B479" s="3">
        <v>1</v>
      </c>
      <c r="C479" s="5" t="s">
        <v>2370</v>
      </c>
      <c r="D479" s="3"/>
      <c r="E479" s="100" t="str">
        <f>IFERROR(VLOOKUP(C479,Resources!B:D,3,FALSE)," ")</f>
        <v xml:space="preserve"> </v>
      </c>
      <c r="F479" s="103">
        <f>VLOOKUP($A479,'Model Inputs'!$A:$D,4,FALSE)</f>
        <v>2.4</v>
      </c>
      <c r="G479" s="8"/>
      <c r="H479" s="8">
        <f>H478*F479</f>
        <v>753.6</v>
      </c>
      <c r="I479" s="109" t="str">
        <f>IFERROR(VLOOKUP(C479,Resources!B:G,6,FALSE)," ")</f>
        <v xml:space="preserve"> </v>
      </c>
      <c r="J479" s="109"/>
      <c r="K479" s="8"/>
      <c r="L479" s="8"/>
      <c r="M479" s="109"/>
      <c r="N479" s="109"/>
      <c r="O479" s="109"/>
      <c r="P479" s="109"/>
      <c r="Q479" s="109"/>
      <c r="R479" s="121"/>
      <c r="T479" s="188"/>
    </row>
    <row r="480" spans="1:20" x14ac:dyDescent="0.25">
      <c r="A480" s="100">
        <v>65.2</v>
      </c>
      <c r="B480" s="3">
        <v>2</v>
      </c>
      <c r="C480" s="5" t="s">
        <v>44</v>
      </c>
      <c r="D480" s="3" t="s">
        <v>48</v>
      </c>
      <c r="E480" s="100" t="str">
        <f>IFERROR(VLOOKUP(C480,Resources!B:D,3,FALSE)," ")</f>
        <v>P</v>
      </c>
      <c r="F480" s="103">
        <f>VLOOKUP($A480,'Model Inputs'!$A:$D,4,FALSE)</f>
        <v>3</v>
      </c>
      <c r="G480" s="8">
        <v>37</v>
      </c>
      <c r="H480" s="8">
        <f>H479</f>
        <v>753.6</v>
      </c>
      <c r="I480" s="109">
        <f>IFERROR(VLOOKUP(C480,Resources!B:G,6,FALSE)," ")</f>
        <v>145</v>
      </c>
      <c r="J480" s="109">
        <f t="shared" ref="J480" si="663">(H480/(G480/F480))*I480</f>
        <v>8859.8918918918916</v>
      </c>
      <c r="K480" s="8">
        <f t="shared" ref="K480" si="664">L480*F480</f>
        <v>61.102702702702707</v>
      </c>
      <c r="L480" s="8">
        <f t="shared" ref="L480" si="665">IF(E480="M"," ",H480/G480)</f>
        <v>20.367567567567569</v>
      </c>
      <c r="M480" s="109">
        <f t="shared" ref="M480" si="666">IF($E480="L",$J480,0)</f>
        <v>0</v>
      </c>
      <c r="N480" s="109">
        <f t="shared" ref="N480" si="667">IF($E480="M",$J480,0)</f>
        <v>0</v>
      </c>
      <c r="O480" s="109">
        <f t="shared" ref="O480" si="668">IF($E480="P",$J480,0)</f>
        <v>8859.8918918918916</v>
      </c>
      <c r="P480" s="109">
        <f t="shared" ref="P480" si="669">IF($E480="S",$J480,0)</f>
        <v>0</v>
      </c>
      <c r="Q480" s="109">
        <f t="shared" ref="Q480" si="670">SUM(M480:P480)</f>
        <v>8859.8918918918916</v>
      </c>
      <c r="R480" s="121">
        <v>62</v>
      </c>
      <c r="T480" s="188"/>
    </row>
    <row r="481" spans="1:20" x14ac:dyDescent="0.25">
      <c r="A481" s="101"/>
      <c r="B481" s="4">
        <v>3</v>
      </c>
      <c r="C481" s="6" t="s">
        <v>114</v>
      </c>
      <c r="D481" s="4"/>
      <c r="E481" s="101" t="str">
        <f>IFERROR(VLOOKUP(C481,Resources!B:D,3,FALSE)," ")</f>
        <v xml:space="preserve"> </v>
      </c>
      <c r="F481" s="9"/>
      <c r="G481" s="9"/>
      <c r="H481" s="9"/>
      <c r="I481" s="38" t="str">
        <f>IFERROR(VLOOKUP(C481,Resources!B:G,6,FALSE)," ")</f>
        <v xml:space="preserve"> </v>
      </c>
      <c r="J481" s="38"/>
      <c r="K481" s="9"/>
      <c r="L481" s="9"/>
      <c r="M481" s="38"/>
      <c r="N481" s="38"/>
      <c r="O481" s="38"/>
      <c r="P481" s="38"/>
      <c r="Q481" s="38"/>
      <c r="R481" s="122"/>
      <c r="T481" s="188"/>
    </row>
    <row r="482" spans="1:20" x14ac:dyDescent="0.25">
      <c r="A482" s="100">
        <v>65.3</v>
      </c>
      <c r="B482" s="3">
        <v>4</v>
      </c>
      <c r="C482" s="5" t="s">
        <v>39</v>
      </c>
      <c r="D482" s="3" t="s">
        <v>48</v>
      </c>
      <c r="E482" s="100" t="str">
        <f>IFERROR(VLOOKUP(C482,Resources!B:D,3,FALSE)," ")</f>
        <v>P</v>
      </c>
      <c r="F482" s="8">
        <v>1</v>
      </c>
      <c r="G482" s="103">
        <f>VLOOKUP($A482,'Model Inputs'!$A:$D,4,FALSE)</f>
        <v>44.44</v>
      </c>
      <c r="H482" s="8">
        <f>H479</f>
        <v>753.6</v>
      </c>
      <c r="I482" s="109">
        <f>IFERROR(VLOOKUP(C482,Resources!B:G,6,FALSE)," ")</f>
        <v>145</v>
      </c>
      <c r="J482" s="109">
        <f t="shared" ref="J482:J486" si="671">(H482/(G482/F482))*I482</f>
        <v>2458.8658865886591</v>
      </c>
      <c r="K482" s="8">
        <f t="shared" ref="K482:K486" si="672">L482*F482</f>
        <v>16.957695769576958</v>
      </c>
      <c r="L482" s="8">
        <f t="shared" ref="L482:L486" si="673">IF(E482="M"," ",H482/G482)</f>
        <v>16.957695769576958</v>
      </c>
      <c r="M482" s="109">
        <f t="shared" ref="M482:M486" si="674">IF($E482="L",$J482,0)</f>
        <v>0</v>
      </c>
      <c r="N482" s="109">
        <f t="shared" ref="N482:N486" si="675">IF($E482="M",$J482,0)</f>
        <v>0</v>
      </c>
      <c r="O482" s="109">
        <f t="shared" ref="O482:O486" si="676">IF($E482="P",$J482,0)</f>
        <v>2458.8658865886591</v>
      </c>
      <c r="P482" s="109">
        <f t="shared" ref="P482:P486" si="677">IF($E482="S",$J482,0)</f>
        <v>0</v>
      </c>
      <c r="Q482" s="109">
        <f t="shared" ref="Q482:Q486" si="678">SUM(M482:P482)</f>
        <v>2458.8658865886591</v>
      </c>
      <c r="R482" s="121">
        <v>62</v>
      </c>
      <c r="T482" s="188"/>
    </row>
    <row r="483" spans="1:20" x14ac:dyDescent="0.25">
      <c r="A483" s="100"/>
      <c r="B483" s="3">
        <v>5</v>
      </c>
      <c r="C483" s="5" t="s">
        <v>64</v>
      </c>
      <c r="D483" s="3" t="s">
        <v>48</v>
      </c>
      <c r="E483" s="100" t="str">
        <f>IFERROR(VLOOKUP(C483,Resources!B:D,3,FALSE)," ")</f>
        <v>P</v>
      </c>
      <c r="F483" s="8">
        <v>1</v>
      </c>
      <c r="G483" s="8">
        <f>G482</f>
        <v>44.44</v>
      </c>
      <c r="H483" s="8">
        <f>H479</f>
        <v>753.6</v>
      </c>
      <c r="I483" s="109">
        <f>IFERROR(VLOOKUP(C483,Resources!B:G,6,FALSE)," ")</f>
        <v>100</v>
      </c>
      <c r="J483" s="109">
        <f t="shared" si="671"/>
        <v>1695.7695769576958</v>
      </c>
      <c r="K483" s="8">
        <f t="shared" si="672"/>
        <v>16.957695769576958</v>
      </c>
      <c r="L483" s="8">
        <f t="shared" si="673"/>
        <v>16.957695769576958</v>
      </c>
      <c r="M483" s="109">
        <f t="shared" si="674"/>
        <v>0</v>
      </c>
      <c r="N483" s="109">
        <f t="shared" si="675"/>
        <v>0</v>
      </c>
      <c r="O483" s="109">
        <f t="shared" si="676"/>
        <v>1695.7695769576958</v>
      </c>
      <c r="P483" s="109">
        <f t="shared" si="677"/>
        <v>0</v>
      </c>
      <c r="Q483" s="109">
        <f t="shared" si="678"/>
        <v>1695.7695769576958</v>
      </c>
      <c r="R483" s="121">
        <v>62</v>
      </c>
      <c r="T483" s="188"/>
    </row>
    <row r="484" spans="1:20" x14ac:dyDescent="0.25">
      <c r="A484" s="100"/>
      <c r="B484" s="3">
        <v>6</v>
      </c>
      <c r="C484" s="5" t="s">
        <v>69</v>
      </c>
      <c r="D484" s="3" t="s">
        <v>48</v>
      </c>
      <c r="E484" s="100" t="str">
        <f>IFERROR(VLOOKUP(C484,Resources!B:D,3,FALSE)," ")</f>
        <v>P</v>
      </c>
      <c r="F484" s="8">
        <v>1</v>
      </c>
      <c r="G484" s="8">
        <f>G482</f>
        <v>44.44</v>
      </c>
      <c r="H484" s="8">
        <f>H479</f>
        <v>753.6</v>
      </c>
      <c r="I484" s="109">
        <f>IFERROR(VLOOKUP(C484,Resources!B:G,6,FALSE)," ")</f>
        <v>55</v>
      </c>
      <c r="J484" s="109">
        <f t="shared" si="671"/>
        <v>932.67326732673268</v>
      </c>
      <c r="K484" s="8">
        <f t="shared" si="672"/>
        <v>16.957695769576958</v>
      </c>
      <c r="L484" s="8">
        <f t="shared" si="673"/>
        <v>16.957695769576958</v>
      </c>
      <c r="M484" s="109">
        <f t="shared" si="674"/>
        <v>0</v>
      </c>
      <c r="N484" s="109">
        <f t="shared" si="675"/>
        <v>0</v>
      </c>
      <c r="O484" s="109">
        <f t="shared" si="676"/>
        <v>932.67326732673268</v>
      </c>
      <c r="P484" s="109">
        <f t="shared" si="677"/>
        <v>0</v>
      </c>
      <c r="Q484" s="109">
        <f t="shared" si="678"/>
        <v>932.67326732673268</v>
      </c>
      <c r="R484" s="121">
        <v>62</v>
      </c>
      <c r="T484" s="188"/>
    </row>
    <row r="485" spans="1:20" x14ac:dyDescent="0.25">
      <c r="A485" s="100"/>
      <c r="B485" s="3">
        <v>7</v>
      </c>
      <c r="C485" s="5" t="s">
        <v>8</v>
      </c>
      <c r="D485" s="3" t="s">
        <v>48</v>
      </c>
      <c r="E485" s="100" t="str">
        <f>IFERROR(VLOOKUP(C485,Resources!B:D,3,FALSE)," ")</f>
        <v>L</v>
      </c>
      <c r="F485" s="8">
        <v>3</v>
      </c>
      <c r="G485" s="8">
        <f>G482</f>
        <v>44.44</v>
      </c>
      <c r="H485" s="8">
        <f>H479</f>
        <v>753.6</v>
      </c>
      <c r="I485" s="109">
        <f>IFERROR(VLOOKUP(C485,Resources!B:G,6,FALSE)," ")</f>
        <v>42</v>
      </c>
      <c r="J485" s="109">
        <f t="shared" si="671"/>
        <v>2136.6696669666967</v>
      </c>
      <c r="K485" s="8">
        <f t="shared" si="672"/>
        <v>50.873087308730874</v>
      </c>
      <c r="L485" s="8">
        <f t="shared" si="673"/>
        <v>16.957695769576958</v>
      </c>
      <c r="M485" s="109">
        <f t="shared" si="674"/>
        <v>2136.6696669666967</v>
      </c>
      <c r="N485" s="109">
        <f t="shared" si="675"/>
        <v>0</v>
      </c>
      <c r="O485" s="109">
        <f t="shared" si="676"/>
        <v>0</v>
      </c>
      <c r="P485" s="109">
        <f t="shared" si="677"/>
        <v>0</v>
      </c>
      <c r="Q485" s="109">
        <f t="shared" si="678"/>
        <v>2136.6696669666967</v>
      </c>
      <c r="R485" s="121">
        <v>62</v>
      </c>
      <c r="T485" s="188"/>
    </row>
    <row r="486" spans="1:20" x14ac:dyDescent="0.25">
      <c r="A486" s="100"/>
      <c r="B486" s="3">
        <v>8</v>
      </c>
      <c r="C486" s="5" t="s">
        <v>115</v>
      </c>
      <c r="D486" s="3" t="s">
        <v>48</v>
      </c>
      <c r="E486" s="100" t="str">
        <f>IFERROR(VLOOKUP(C486,Resources!B:D,3,FALSE)," ")</f>
        <v>P</v>
      </c>
      <c r="F486" s="8">
        <v>1</v>
      </c>
      <c r="G486" s="8">
        <f>G482</f>
        <v>44.44</v>
      </c>
      <c r="H486" s="8">
        <f>H479</f>
        <v>753.6</v>
      </c>
      <c r="I486" s="109">
        <f>IFERROR(VLOOKUP(C486,Resources!B:G,6,FALSE)," ")</f>
        <v>100</v>
      </c>
      <c r="J486" s="109">
        <f t="shared" si="671"/>
        <v>1695.7695769576958</v>
      </c>
      <c r="K486" s="8">
        <f t="shared" si="672"/>
        <v>16.957695769576958</v>
      </c>
      <c r="L486" s="8">
        <f t="shared" si="673"/>
        <v>16.957695769576958</v>
      </c>
      <c r="M486" s="109">
        <f t="shared" si="674"/>
        <v>0</v>
      </c>
      <c r="N486" s="109">
        <f t="shared" si="675"/>
        <v>0</v>
      </c>
      <c r="O486" s="109">
        <f t="shared" si="676"/>
        <v>1695.7695769576958</v>
      </c>
      <c r="P486" s="109">
        <f t="shared" si="677"/>
        <v>0</v>
      </c>
      <c r="Q486" s="109">
        <f t="shared" si="678"/>
        <v>1695.7695769576958</v>
      </c>
      <c r="R486" s="121">
        <v>62</v>
      </c>
      <c r="T486" s="188"/>
    </row>
    <row r="487" spans="1:20" x14ac:dyDescent="0.25">
      <c r="A487" s="101"/>
      <c r="B487" s="4">
        <v>9</v>
      </c>
      <c r="C487" s="6" t="s">
        <v>116</v>
      </c>
      <c r="D487" s="4"/>
      <c r="E487" s="101" t="str">
        <f>IFERROR(VLOOKUP(C487,Resources!B:D,3,FALSE)," ")</f>
        <v xml:space="preserve"> </v>
      </c>
      <c r="F487" s="9"/>
      <c r="G487" s="9"/>
      <c r="H487" s="9"/>
      <c r="I487" s="38" t="str">
        <f>IFERROR(VLOOKUP(C487,Resources!B:G,6,FALSE)," ")</f>
        <v xml:space="preserve"> </v>
      </c>
      <c r="J487" s="38"/>
      <c r="K487" s="9"/>
      <c r="L487" s="9"/>
      <c r="M487" s="38"/>
      <c r="N487" s="38"/>
      <c r="O487" s="38"/>
      <c r="P487" s="38"/>
      <c r="Q487" s="38"/>
      <c r="R487" s="122"/>
      <c r="T487" s="188"/>
    </row>
    <row r="488" spans="1:20" x14ac:dyDescent="0.25">
      <c r="A488" s="100">
        <v>65.400000000000006</v>
      </c>
      <c r="B488" s="3">
        <v>10</v>
      </c>
      <c r="C488" s="5" t="s">
        <v>39</v>
      </c>
      <c r="D488" s="3" t="s">
        <v>48</v>
      </c>
      <c r="E488" s="100" t="str">
        <f>IFERROR(VLOOKUP(C488,Resources!B:D,3,FALSE)," ")</f>
        <v>P</v>
      </c>
      <c r="F488" s="8">
        <v>1</v>
      </c>
      <c r="G488" s="103">
        <f>VLOOKUP($A488,'Model Inputs'!$A:$D,4,FALSE)</f>
        <v>150</v>
      </c>
      <c r="H488" s="8">
        <f>H478/0.149</f>
        <v>2107.3825503355706</v>
      </c>
      <c r="I488" s="109">
        <f>IFERROR(VLOOKUP(C488,Resources!B:G,6,FALSE)," ")</f>
        <v>145</v>
      </c>
      <c r="J488" s="109">
        <f t="shared" ref="J488:J491" si="679">(H488/(G488/F488))*I488</f>
        <v>2037.136465324385</v>
      </c>
      <c r="K488" s="8">
        <f t="shared" ref="K488:K491" si="680">L488*F488</f>
        <v>14.049217002237137</v>
      </c>
      <c r="L488" s="8">
        <f t="shared" ref="L488:L491" si="681">IF(E488="M"," ",H488/G488)</f>
        <v>14.049217002237137</v>
      </c>
      <c r="M488" s="109">
        <f t="shared" ref="M488:M491" si="682">IF($E488="L",$J488,0)</f>
        <v>0</v>
      </c>
      <c r="N488" s="109">
        <f t="shared" ref="N488:N491" si="683">IF($E488="M",$J488,0)</f>
        <v>0</v>
      </c>
      <c r="O488" s="109">
        <f t="shared" ref="O488:O491" si="684">IF($E488="P",$J488,0)</f>
        <v>2037.136465324385</v>
      </c>
      <c r="P488" s="109">
        <f t="shared" ref="P488:P491" si="685">IF($E488="S",$J488,0)</f>
        <v>0</v>
      </c>
      <c r="Q488" s="109">
        <f t="shared" ref="Q488:Q491" si="686">SUM(M488:P488)</f>
        <v>2037.136465324385</v>
      </c>
      <c r="R488" s="121">
        <v>63</v>
      </c>
      <c r="T488" s="188"/>
    </row>
    <row r="489" spans="1:20" x14ac:dyDescent="0.25">
      <c r="A489" s="100"/>
      <c r="B489" s="3">
        <v>11</v>
      </c>
      <c r="C489" s="5" t="s">
        <v>64</v>
      </c>
      <c r="D489" s="3" t="s">
        <v>48</v>
      </c>
      <c r="E489" s="100" t="str">
        <f>IFERROR(VLOOKUP(C489,Resources!B:D,3,FALSE)," ")</f>
        <v>P</v>
      </c>
      <c r="F489" s="8">
        <v>1</v>
      </c>
      <c r="G489" s="8">
        <f>G488</f>
        <v>150</v>
      </c>
      <c r="H489" s="8">
        <f>H488</f>
        <v>2107.3825503355706</v>
      </c>
      <c r="I489" s="109">
        <f>IFERROR(VLOOKUP(C489,Resources!B:G,6,FALSE)," ")</f>
        <v>100</v>
      </c>
      <c r="J489" s="109">
        <f t="shared" si="679"/>
        <v>1404.9217002237137</v>
      </c>
      <c r="K489" s="8">
        <f t="shared" si="680"/>
        <v>14.049217002237137</v>
      </c>
      <c r="L489" s="8">
        <f t="shared" si="681"/>
        <v>14.049217002237137</v>
      </c>
      <c r="M489" s="109">
        <f t="shared" si="682"/>
        <v>0</v>
      </c>
      <c r="N489" s="109">
        <f t="shared" si="683"/>
        <v>0</v>
      </c>
      <c r="O489" s="109">
        <f t="shared" si="684"/>
        <v>1404.9217002237137</v>
      </c>
      <c r="P489" s="109">
        <f t="shared" si="685"/>
        <v>0</v>
      </c>
      <c r="Q489" s="109">
        <f t="shared" si="686"/>
        <v>1404.9217002237137</v>
      </c>
      <c r="R489" s="121">
        <v>63</v>
      </c>
      <c r="T489" s="188"/>
    </row>
    <row r="490" spans="1:20" x14ac:dyDescent="0.25">
      <c r="A490" s="100"/>
      <c r="B490" s="3">
        <v>12</v>
      </c>
      <c r="C490" s="5" t="s">
        <v>43</v>
      </c>
      <c r="D490" s="3" t="s">
        <v>48</v>
      </c>
      <c r="E490" s="100" t="str">
        <f>IFERROR(VLOOKUP(C490,Resources!B:D,3,FALSE)," ")</f>
        <v>P</v>
      </c>
      <c r="F490" s="8">
        <v>1</v>
      </c>
      <c r="G490" s="8">
        <f>G488/2</f>
        <v>75</v>
      </c>
      <c r="H490" s="8">
        <f>H488</f>
        <v>2107.3825503355706</v>
      </c>
      <c r="I490" s="109">
        <f>IFERROR(VLOOKUP(C490,Resources!B:G,6,FALSE)," ")</f>
        <v>55</v>
      </c>
      <c r="J490" s="109">
        <f t="shared" si="679"/>
        <v>1545.413870246085</v>
      </c>
      <c r="K490" s="8">
        <f t="shared" si="680"/>
        <v>28.098434004474274</v>
      </c>
      <c r="L490" s="8">
        <f t="shared" si="681"/>
        <v>28.098434004474274</v>
      </c>
      <c r="M490" s="109">
        <f t="shared" si="682"/>
        <v>0</v>
      </c>
      <c r="N490" s="109">
        <f t="shared" si="683"/>
        <v>0</v>
      </c>
      <c r="O490" s="109">
        <f t="shared" si="684"/>
        <v>1545.413870246085</v>
      </c>
      <c r="P490" s="109">
        <f t="shared" si="685"/>
        <v>0</v>
      </c>
      <c r="Q490" s="109">
        <f t="shared" si="686"/>
        <v>1545.413870246085</v>
      </c>
      <c r="R490" s="121">
        <v>63</v>
      </c>
      <c r="T490" s="188"/>
    </row>
    <row r="491" spans="1:20" x14ac:dyDescent="0.25">
      <c r="A491" s="100"/>
      <c r="B491" s="3">
        <v>13</v>
      </c>
      <c r="C491" s="5" t="s">
        <v>8</v>
      </c>
      <c r="D491" s="3" t="s">
        <v>48</v>
      </c>
      <c r="E491" s="100" t="str">
        <f>IFERROR(VLOOKUP(C491,Resources!B:D,3,FALSE)," ")</f>
        <v>L</v>
      </c>
      <c r="F491" s="8">
        <v>3</v>
      </c>
      <c r="G491" s="8">
        <f>G488</f>
        <v>150</v>
      </c>
      <c r="H491" s="8">
        <f>H488</f>
        <v>2107.3825503355706</v>
      </c>
      <c r="I491" s="109">
        <f>IFERROR(VLOOKUP(C491,Resources!B:G,6,FALSE)," ")</f>
        <v>42</v>
      </c>
      <c r="J491" s="109">
        <f t="shared" si="679"/>
        <v>1770.2013422818793</v>
      </c>
      <c r="K491" s="8">
        <f t="shared" si="680"/>
        <v>42.147651006711413</v>
      </c>
      <c r="L491" s="8">
        <f t="shared" si="681"/>
        <v>14.049217002237137</v>
      </c>
      <c r="M491" s="109">
        <f t="shared" si="682"/>
        <v>1770.2013422818793</v>
      </c>
      <c r="N491" s="109">
        <f t="shared" si="683"/>
        <v>0</v>
      </c>
      <c r="O491" s="109">
        <f t="shared" si="684"/>
        <v>0</v>
      </c>
      <c r="P491" s="109">
        <f t="shared" si="685"/>
        <v>0</v>
      </c>
      <c r="Q491" s="109">
        <f t="shared" si="686"/>
        <v>1770.2013422818793</v>
      </c>
      <c r="R491" s="121">
        <v>63</v>
      </c>
      <c r="T491" s="188"/>
    </row>
    <row r="492" spans="1:20" x14ac:dyDescent="0.25">
      <c r="A492" s="101"/>
      <c r="B492" s="4"/>
      <c r="C492" s="6"/>
      <c r="D492" s="4"/>
      <c r="E492" s="101" t="str">
        <f>IFERROR(VLOOKUP(C492,Resources!B:D,3,FALSE)," ")</f>
        <v xml:space="preserve"> </v>
      </c>
      <c r="F492" s="9"/>
      <c r="G492" s="9"/>
      <c r="H492" s="9"/>
      <c r="I492" s="38" t="str">
        <f>IFERROR(VLOOKUP(C492,Resources!B:G,6,FALSE)," ")</f>
        <v xml:space="preserve"> </v>
      </c>
      <c r="J492" s="38"/>
      <c r="K492" s="9"/>
      <c r="L492" s="9"/>
      <c r="M492" s="38"/>
      <c r="N492" s="38"/>
      <c r="O492" s="38"/>
      <c r="P492" s="38"/>
      <c r="Q492" s="38"/>
      <c r="R492" s="122"/>
      <c r="T492" s="188"/>
    </row>
    <row r="493" spans="1:20" ht="30" x14ac:dyDescent="0.25">
      <c r="A493" s="114">
        <v>66</v>
      </c>
      <c r="B493" s="1" t="s">
        <v>280</v>
      </c>
      <c r="C493" s="1" t="s">
        <v>217</v>
      </c>
      <c r="D493" s="2" t="s">
        <v>62</v>
      </c>
      <c r="E493" s="99" t="str">
        <f>IFERROR(VLOOKUP(C493,Resources!B:D,3,FALSE)," ")</f>
        <v xml:space="preserve"> </v>
      </c>
      <c r="F493" s="7"/>
      <c r="G493" s="7"/>
      <c r="H493" s="103">
        <f>VLOOKUP($A493,'Model Inputs'!$A:$D,4,FALSE)</f>
        <v>187</v>
      </c>
      <c r="I493" s="108" t="str">
        <f>IFERROR(VLOOKUP(C493,Resources!B:G,6,FALSE)," ")</f>
        <v xml:space="preserve"> </v>
      </c>
      <c r="J493" s="108">
        <f>SUBTOTAL(9,J495:J501)</f>
        <v>10588.511640353225</v>
      </c>
      <c r="K493" s="7"/>
      <c r="L493" s="7">
        <f>ROUNDUP(MAX(L495+2,MAX(L497:L501))/Workhrs,0)</f>
        <v>2</v>
      </c>
      <c r="M493" s="108">
        <f t="shared" ref="M493:Q493" si="687">SUBTOTAL(9,M495:M501)</f>
        <v>1272.4752475247526</v>
      </c>
      <c r="N493" s="108">
        <f t="shared" si="687"/>
        <v>0</v>
      </c>
      <c r="O493" s="108">
        <f t="shared" si="687"/>
        <v>9316.0363928284714</v>
      </c>
      <c r="P493" s="108">
        <f t="shared" si="687"/>
        <v>0</v>
      </c>
      <c r="Q493" s="108">
        <f t="shared" si="687"/>
        <v>10588.511640353225</v>
      </c>
      <c r="R493" s="120"/>
      <c r="T493" s="188"/>
    </row>
    <row r="494" spans="1:20" x14ac:dyDescent="0.25">
      <c r="A494" s="100">
        <v>66.099999999999994</v>
      </c>
      <c r="B494" s="3">
        <v>1</v>
      </c>
      <c r="C494" s="5" t="s">
        <v>2361</v>
      </c>
      <c r="D494" s="3"/>
      <c r="E494" s="100" t="str">
        <f>IFERROR(VLOOKUP(C494,Resources!B:D,3,FALSE)," ")</f>
        <v xml:space="preserve"> </v>
      </c>
      <c r="F494" s="103">
        <f>VLOOKUP($A494,'Model Inputs'!$A:$D,4,FALSE)</f>
        <v>2.4</v>
      </c>
      <c r="G494" s="8"/>
      <c r="H494" s="8">
        <f>H493*F494</f>
        <v>448.8</v>
      </c>
      <c r="I494" s="109" t="str">
        <f>IFERROR(VLOOKUP(C494,Resources!B:G,6,FALSE)," ")</f>
        <v xml:space="preserve"> </v>
      </c>
      <c r="J494" s="109"/>
      <c r="K494" s="8"/>
      <c r="L494" s="8"/>
      <c r="M494" s="109"/>
      <c r="N494" s="109"/>
      <c r="O494" s="109"/>
      <c r="P494" s="109"/>
      <c r="Q494" s="109"/>
      <c r="R494" s="121"/>
      <c r="T494" s="188"/>
    </row>
    <row r="495" spans="1:20" x14ac:dyDescent="0.25">
      <c r="A495" s="100">
        <v>66.2</v>
      </c>
      <c r="B495" s="3">
        <v>2</v>
      </c>
      <c r="C495" s="5" t="s">
        <v>44</v>
      </c>
      <c r="D495" s="3" t="s">
        <v>48</v>
      </c>
      <c r="E495" s="100" t="str">
        <f>IFERROR(VLOOKUP(C495,Resources!B:D,3,FALSE)," ")</f>
        <v>P</v>
      </c>
      <c r="F495" s="103">
        <f>VLOOKUP($A495,'Model Inputs'!$A:$D,4,FALSE)</f>
        <v>3</v>
      </c>
      <c r="G495" s="8">
        <v>37</v>
      </c>
      <c r="H495" s="8">
        <f>H494</f>
        <v>448.8</v>
      </c>
      <c r="I495" s="109">
        <f>IFERROR(VLOOKUP(C495,Resources!B:G,6,FALSE)," ")</f>
        <v>145</v>
      </c>
      <c r="J495" s="109">
        <f t="shared" ref="J495" si="688">(H495/(G495/F495))*I495</f>
        <v>5276.4324324324325</v>
      </c>
      <c r="K495" s="8">
        <f t="shared" ref="K495" si="689">L495*F495</f>
        <v>36.389189189189189</v>
      </c>
      <c r="L495" s="8">
        <f t="shared" ref="L495" si="690">IF(E495="M"," ",H495/G495)</f>
        <v>12.12972972972973</v>
      </c>
      <c r="M495" s="109">
        <f t="shared" ref="M495" si="691">IF($E495="L",$J495,0)</f>
        <v>0</v>
      </c>
      <c r="N495" s="109">
        <f t="shared" ref="N495" si="692">IF($E495="M",$J495,0)</f>
        <v>0</v>
      </c>
      <c r="O495" s="109">
        <f t="shared" ref="O495" si="693">IF($E495="P",$J495,0)</f>
        <v>5276.4324324324325</v>
      </c>
      <c r="P495" s="109">
        <f t="shared" ref="P495" si="694">IF($E495="S",$J495,0)</f>
        <v>0</v>
      </c>
      <c r="Q495" s="109">
        <f t="shared" ref="Q495" si="695">SUM(M495:P495)</f>
        <v>5276.4324324324325</v>
      </c>
      <c r="R495" s="121">
        <v>62</v>
      </c>
      <c r="T495" s="188"/>
    </row>
    <row r="496" spans="1:20" x14ac:dyDescent="0.25">
      <c r="A496" s="101"/>
      <c r="B496" s="4">
        <v>3</v>
      </c>
      <c r="C496" s="6" t="s">
        <v>114</v>
      </c>
      <c r="D496" s="4"/>
      <c r="E496" s="101" t="str">
        <f>IFERROR(VLOOKUP(C496,Resources!B:D,3,FALSE)," ")</f>
        <v xml:space="preserve"> </v>
      </c>
      <c r="F496" s="9"/>
      <c r="G496" s="9"/>
      <c r="H496" s="9"/>
      <c r="I496" s="38" t="str">
        <f>IFERROR(VLOOKUP(C496,Resources!B:G,6,FALSE)," ")</f>
        <v xml:space="preserve"> </v>
      </c>
      <c r="J496" s="38"/>
      <c r="K496" s="9"/>
      <c r="L496" s="9"/>
      <c r="M496" s="38"/>
      <c r="N496" s="38"/>
      <c r="O496" s="38"/>
      <c r="P496" s="38"/>
      <c r="Q496" s="38"/>
      <c r="R496" s="122"/>
      <c r="T496" s="188"/>
    </row>
    <row r="497" spans="1:20" x14ac:dyDescent="0.25">
      <c r="A497" s="100">
        <v>66.3</v>
      </c>
      <c r="B497" s="3">
        <v>4</v>
      </c>
      <c r="C497" s="5" t="s">
        <v>39</v>
      </c>
      <c r="D497" s="3" t="s">
        <v>48</v>
      </c>
      <c r="E497" s="100" t="str">
        <f>IFERROR(VLOOKUP(C497,Resources!B:D,3,FALSE)," ")</f>
        <v>P</v>
      </c>
      <c r="F497" s="8">
        <v>1</v>
      </c>
      <c r="G497" s="103">
        <f>VLOOKUP($A497,'Model Inputs'!$A:$D,4,FALSE)</f>
        <v>44.44</v>
      </c>
      <c r="H497" s="8">
        <f>H494</f>
        <v>448.8</v>
      </c>
      <c r="I497" s="109">
        <f>IFERROR(VLOOKUP(C497,Resources!B:G,6,FALSE)," ")</f>
        <v>145</v>
      </c>
      <c r="J497" s="109">
        <f t="shared" ref="J497:J501" si="696">(H497/(G497/F497))*I497</f>
        <v>1464.3564356435643</v>
      </c>
      <c r="K497" s="8">
        <f t="shared" ref="K497:K501" si="697">L497*F497</f>
        <v>10.099009900990099</v>
      </c>
      <c r="L497" s="8">
        <f t="shared" ref="L497:L501" si="698">IF(E497="M"," ",H497/G497)</f>
        <v>10.099009900990099</v>
      </c>
      <c r="M497" s="109">
        <f t="shared" ref="M497:M501" si="699">IF($E497="L",$J497,0)</f>
        <v>0</v>
      </c>
      <c r="N497" s="109">
        <f t="shared" ref="N497:N501" si="700">IF($E497="M",$J497,0)</f>
        <v>0</v>
      </c>
      <c r="O497" s="109">
        <f t="shared" ref="O497:O501" si="701">IF($E497="P",$J497,0)</f>
        <v>1464.3564356435643</v>
      </c>
      <c r="P497" s="109">
        <f t="shared" ref="P497:P501" si="702">IF($E497="S",$J497,0)</f>
        <v>0</v>
      </c>
      <c r="Q497" s="109">
        <f t="shared" ref="Q497:Q501" si="703">SUM(M497:P497)</f>
        <v>1464.3564356435643</v>
      </c>
      <c r="R497" s="121">
        <v>62</v>
      </c>
      <c r="T497" s="188"/>
    </row>
    <row r="498" spans="1:20" x14ac:dyDescent="0.25">
      <c r="A498" s="100"/>
      <c r="B498" s="3">
        <v>5</v>
      </c>
      <c r="C498" s="5" t="s">
        <v>64</v>
      </c>
      <c r="D498" s="3" t="s">
        <v>48</v>
      </c>
      <c r="E498" s="100" t="str">
        <f>IFERROR(VLOOKUP(C498,Resources!B:D,3,FALSE)," ")</f>
        <v>P</v>
      </c>
      <c r="F498" s="8">
        <v>1</v>
      </c>
      <c r="G498" s="8">
        <f>G497</f>
        <v>44.44</v>
      </c>
      <c r="H498" s="8">
        <f>H494</f>
        <v>448.8</v>
      </c>
      <c r="I498" s="109">
        <f>IFERROR(VLOOKUP(C498,Resources!B:G,6,FALSE)," ")</f>
        <v>100</v>
      </c>
      <c r="J498" s="109">
        <f t="shared" si="696"/>
        <v>1009.90099009901</v>
      </c>
      <c r="K498" s="8">
        <f t="shared" si="697"/>
        <v>10.099009900990099</v>
      </c>
      <c r="L498" s="8">
        <f t="shared" si="698"/>
        <v>10.099009900990099</v>
      </c>
      <c r="M498" s="109">
        <f t="shared" si="699"/>
        <v>0</v>
      </c>
      <c r="N498" s="109">
        <f t="shared" si="700"/>
        <v>0</v>
      </c>
      <c r="O498" s="109">
        <f t="shared" si="701"/>
        <v>1009.90099009901</v>
      </c>
      <c r="P498" s="109">
        <f t="shared" si="702"/>
        <v>0</v>
      </c>
      <c r="Q498" s="109">
        <f t="shared" si="703"/>
        <v>1009.90099009901</v>
      </c>
      <c r="R498" s="121">
        <v>62</v>
      </c>
      <c r="T498" s="188"/>
    </row>
    <row r="499" spans="1:20" x14ac:dyDescent="0.25">
      <c r="A499" s="100"/>
      <c r="B499" s="3">
        <v>6</v>
      </c>
      <c r="C499" s="5" t="s">
        <v>69</v>
      </c>
      <c r="D499" s="3" t="s">
        <v>48</v>
      </c>
      <c r="E499" s="100" t="str">
        <f>IFERROR(VLOOKUP(C499,Resources!B:D,3,FALSE)," ")</f>
        <v>P</v>
      </c>
      <c r="F499" s="8">
        <v>1</v>
      </c>
      <c r="G499" s="8">
        <f>G497</f>
        <v>44.44</v>
      </c>
      <c r="H499" s="8">
        <f>H494</f>
        <v>448.8</v>
      </c>
      <c r="I499" s="109">
        <f>IFERROR(VLOOKUP(C499,Resources!B:G,6,FALSE)," ")</f>
        <v>55</v>
      </c>
      <c r="J499" s="109">
        <f t="shared" si="696"/>
        <v>555.44554455445541</v>
      </c>
      <c r="K499" s="8">
        <f t="shared" si="697"/>
        <v>10.099009900990099</v>
      </c>
      <c r="L499" s="8">
        <f t="shared" si="698"/>
        <v>10.099009900990099</v>
      </c>
      <c r="M499" s="109">
        <f t="shared" si="699"/>
        <v>0</v>
      </c>
      <c r="N499" s="109">
        <f t="shared" si="700"/>
        <v>0</v>
      </c>
      <c r="O499" s="109">
        <f t="shared" si="701"/>
        <v>555.44554455445541</v>
      </c>
      <c r="P499" s="109">
        <f t="shared" si="702"/>
        <v>0</v>
      </c>
      <c r="Q499" s="109">
        <f t="shared" si="703"/>
        <v>555.44554455445541</v>
      </c>
      <c r="R499" s="121">
        <v>62</v>
      </c>
      <c r="T499" s="188"/>
    </row>
    <row r="500" spans="1:20" x14ac:dyDescent="0.25">
      <c r="A500" s="100"/>
      <c r="B500" s="3">
        <v>7</v>
      </c>
      <c r="C500" s="5" t="s">
        <v>8</v>
      </c>
      <c r="D500" s="3" t="s">
        <v>48</v>
      </c>
      <c r="E500" s="100" t="str">
        <f>IFERROR(VLOOKUP(C500,Resources!B:D,3,FALSE)," ")</f>
        <v>L</v>
      </c>
      <c r="F500" s="8">
        <v>3</v>
      </c>
      <c r="G500" s="8">
        <f>G497</f>
        <v>44.44</v>
      </c>
      <c r="H500" s="8">
        <f>H494</f>
        <v>448.8</v>
      </c>
      <c r="I500" s="109">
        <f>IFERROR(VLOOKUP(C500,Resources!B:G,6,FALSE)," ")</f>
        <v>42</v>
      </c>
      <c r="J500" s="109">
        <f t="shared" si="696"/>
        <v>1272.4752475247526</v>
      </c>
      <c r="K500" s="8">
        <f t="shared" si="697"/>
        <v>30.297029702970299</v>
      </c>
      <c r="L500" s="8">
        <f t="shared" si="698"/>
        <v>10.099009900990099</v>
      </c>
      <c r="M500" s="109">
        <f t="shared" si="699"/>
        <v>1272.4752475247526</v>
      </c>
      <c r="N500" s="109">
        <f t="shared" si="700"/>
        <v>0</v>
      </c>
      <c r="O500" s="109">
        <f t="shared" si="701"/>
        <v>0</v>
      </c>
      <c r="P500" s="109">
        <f t="shared" si="702"/>
        <v>0</v>
      </c>
      <c r="Q500" s="109">
        <f t="shared" si="703"/>
        <v>1272.4752475247526</v>
      </c>
      <c r="R500" s="121">
        <v>62</v>
      </c>
      <c r="T500" s="188"/>
    </row>
    <row r="501" spans="1:20" x14ac:dyDescent="0.25">
      <c r="A501" s="100"/>
      <c r="B501" s="3">
        <v>8</v>
      </c>
      <c r="C501" s="5" t="s">
        <v>115</v>
      </c>
      <c r="D501" s="3" t="s">
        <v>48</v>
      </c>
      <c r="E501" s="100" t="str">
        <f>IFERROR(VLOOKUP(C501,Resources!B:D,3,FALSE)," ")</f>
        <v>P</v>
      </c>
      <c r="F501" s="8">
        <v>1</v>
      </c>
      <c r="G501" s="8">
        <f>G497</f>
        <v>44.44</v>
      </c>
      <c r="H501" s="8">
        <f>H494</f>
        <v>448.8</v>
      </c>
      <c r="I501" s="109">
        <f>IFERROR(VLOOKUP(C501,Resources!B:G,6,FALSE)," ")</f>
        <v>100</v>
      </c>
      <c r="J501" s="109">
        <f t="shared" si="696"/>
        <v>1009.90099009901</v>
      </c>
      <c r="K501" s="8">
        <f t="shared" si="697"/>
        <v>10.099009900990099</v>
      </c>
      <c r="L501" s="8">
        <f t="shared" si="698"/>
        <v>10.099009900990099</v>
      </c>
      <c r="M501" s="109">
        <f t="shared" si="699"/>
        <v>0</v>
      </c>
      <c r="N501" s="109">
        <f t="shared" si="700"/>
        <v>0</v>
      </c>
      <c r="O501" s="109">
        <f t="shared" si="701"/>
        <v>1009.90099009901</v>
      </c>
      <c r="P501" s="109">
        <f t="shared" si="702"/>
        <v>0</v>
      </c>
      <c r="Q501" s="109">
        <f t="shared" si="703"/>
        <v>1009.90099009901</v>
      </c>
      <c r="R501" s="121">
        <v>62</v>
      </c>
      <c r="T501" s="188"/>
    </row>
    <row r="502" spans="1:20" x14ac:dyDescent="0.25">
      <c r="A502" s="101"/>
      <c r="B502" s="4"/>
      <c r="C502" s="6"/>
      <c r="D502" s="4"/>
      <c r="E502" s="101" t="str">
        <f>IFERROR(VLOOKUP(C502,Resources!B:D,3,FALSE)," ")</f>
        <v xml:space="preserve"> </v>
      </c>
      <c r="F502" s="9"/>
      <c r="G502" s="9"/>
      <c r="H502" s="9"/>
      <c r="I502" s="38" t="str">
        <f>IFERROR(VLOOKUP(C502,Resources!B:G,6,FALSE)," ")</f>
        <v xml:space="preserve"> </v>
      </c>
      <c r="J502" s="38"/>
      <c r="K502" s="9"/>
      <c r="L502" s="9"/>
      <c r="M502" s="38"/>
      <c r="N502" s="38"/>
      <c r="O502" s="38"/>
      <c r="P502" s="38"/>
      <c r="Q502" s="38"/>
      <c r="R502" s="122"/>
      <c r="T502" s="188"/>
    </row>
    <row r="503" spans="1:20" ht="30" x14ac:dyDescent="0.25">
      <c r="A503" s="114">
        <v>67</v>
      </c>
      <c r="B503" s="1" t="s">
        <v>281</v>
      </c>
      <c r="C503" s="1" t="s">
        <v>221</v>
      </c>
      <c r="D503" s="2" t="s">
        <v>107</v>
      </c>
      <c r="E503" s="99" t="str">
        <f>IFERROR(VLOOKUP(C503,Resources!B:D,3,FALSE)," ")</f>
        <v xml:space="preserve"> </v>
      </c>
      <c r="F503" s="7"/>
      <c r="G503" s="7"/>
      <c r="H503" s="103">
        <f>VLOOKUP($A503,'Model Inputs'!$A:$D,4,FALSE)</f>
        <v>2103</v>
      </c>
      <c r="I503" s="108" t="str">
        <f>IFERROR(VLOOKUP(C503,Resources!B:G,6,FALSE)," ")</f>
        <v xml:space="preserve"> </v>
      </c>
      <c r="J503" s="108">
        <f>SUBTOTAL(9,J504:J506)</f>
        <v>12532.810052631579</v>
      </c>
      <c r="K503" s="7"/>
      <c r="L503" s="7">
        <f>ROUNDUP(MAX(L505:L506)/Workhrs,0)</f>
        <v>1</v>
      </c>
      <c r="M503" s="108">
        <f t="shared" ref="M503:Q503" si="704">SUBTOTAL(9,M504:M506)</f>
        <v>511.36105263157901</v>
      </c>
      <c r="N503" s="108">
        <f t="shared" si="704"/>
        <v>11635.899000000001</v>
      </c>
      <c r="O503" s="108">
        <f t="shared" si="704"/>
        <v>385.55</v>
      </c>
      <c r="P503" s="108">
        <f t="shared" si="704"/>
        <v>0</v>
      </c>
      <c r="Q503" s="108">
        <f t="shared" si="704"/>
        <v>12532.810052631579</v>
      </c>
      <c r="R503" s="120"/>
      <c r="T503" s="188"/>
    </row>
    <row r="504" spans="1:20" x14ac:dyDescent="0.25">
      <c r="A504" s="100">
        <v>67.099999999999994</v>
      </c>
      <c r="B504" s="3">
        <v>1</v>
      </c>
      <c r="C504" s="5" t="s">
        <v>2180</v>
      </c>
      <c r="D504" s="3" t="s">
        <v>83</v>
      </c>
      <c r="E504" s="100" t="str">
        <f>IFERROR(VLOOKUP(C504,Resources!B:D,3,FALSE)," ")</f>
        <v>M</v>
      </c>
      <c r="F504" s="103">
        <f>VLOOKUP($A504,'Model Inputs'!$A:$D,4,FALSE)</f>
        <v>1.1000000000000001</v>
      </c>
      <c r="G504" s="8">
        <v>1</v>
      </c>
      <c r="H504" s="8">
        <f>H503*F504</f>
        <v>2313.3000000000002</v>
      </c>
      <c r="I504" s="109">
        <f>IFERROR(VLOOKUP(C504,Resources!B:G,6,FALSE)," ")</f>
        <v>5.03</v>
      </c>
      <c r="J504" s="109">
        <f>I504*H504</f>
        <v>11635.899000000001</v>
      </c>
      <c r="K504" s="8"/>
      <c r="L504" s="8" t="str">
        <f t="shared" ref="L504:L506" si="705">IF(E504="M"," ",H504/G504)</f>
        <v xml:space="preserve"> </v>
      </c>
      <c r="M504" s="109">
        <f t="shared" ref="M504:M506" si="706">IF($E504="L",$J504,0)</f>
        <v>0</v>
      </c>
      <c r="N504" s="109">
        <f t="shared" ref="N504:N506" si="707">IF($E504="M",$J504,0)</f>
        <v>11635.899000000001</v>
      </c>
      <c r="O504" s="109">
        <f t="shared" ref="O504:O506" si="708">IF($E504="P",$J504,0)</f>
        <v>0</v>
      </c>
      <c r="P504" s="109">
        <f t="shared" ref="P504:P506" si="709">IF($E504="S",$J504,0)</f>
        <v>0</v>
      </c>
      <c r="Q504" s="109">
        <f t="shared" ref="Q504:Q506" si="710">SUM(M504:P504)</f>
        <v>11635.899000000001</v>
      </c>
      <c r="R504" s="121">
        <v>222</v>
      </c>
      <c r="T504" s="188"/>
    </row>
    <row r="505" spans="1:20" x14ac:dyDescent="0.25">
      <c r="A505" s="100">
        <v>67.2</v>
      </c>
      <c r="B505" s="3">
        <v>2</v>
      </c>
      <c r="C505" s="5" t="s">
        <v>8</v>
      </c>
      <c r="D505" s="3" t="s">
        <v>48</v>
      </c>
      <c r="E505" s="100" t="str">
        <f>IFERROR(VLOOKUP(C505,Resources!B:D,3,FALSE)," ")</f>
        <v>L</v>
      </c>
      <c r="F505" s="8">
        <v>3</v>
      </c>
      <c r="G505" s="103">
        <f>VLOOKUP($A505,'Model Inputs'!$A:$D,4,FALSE)</f>
        <v>570</v>
      </c>
      <c r="H505" s="8">
        <f>H504</f>
        <v>2313.3000000000002</v>
      </c>
      <c r="I505" s="109">
        <f>IFERROR(VLOOKUP(C505,Resources!B:G,6,FALSE)," ")</f>
        <v>42</v>
      </c>
      <c r="J505" s="109">
        <f t="shared" ref="J505:J506" si="711">(H505/(G505/F505))*I505</f>
        <v>511.36105263157901</v>
      </c>
      <c r="K505" s="8">
        <f t="shared" ref="K505:K506" si="712">L505*F505</f>
        <v>12.175263157894737</v>
      </c>
      <c r="L505" s="8">
        <f t="shared" si="705"/>
        <v>4.0584210526315792</v>
      </c>
      <c r="M505" s="109">
        <f t="shared" si="706"/>
        <v>511.36105263157901</v>
      </c>
      <c r="N505" s="109">
        <f t="shared" si="707"/>
        <v>0</v>
      </c>
      <c r="O505" s="109">
        <f t="shared" si="708"/>
        <v>0</v>
      </c>
      <c r="P505" s="109">
        <f t="shared" si="709"/>
        <v>0</v>
      </c>
      <c r="Q505" s="109">
        <f t="shared" si="710"/>
        <v>511.36105263157901</v>
      </c>
      <c r="R505" s="121">
        <v>222</v>
      </c>
      <c r="T505" s="188"/>
    </row>
    <row r="506" spans="1:20" x14ac:dyDescent="0.25">
      <c r="A506" s="100"/>
      <c r="B506" s="3">
        <v>3</v>
      </c>
      <c r="C506" s="5" t="s">
        <v>45</v>
      </c>
      <c r="D506" s="3" t="s">
        <v>48</v>
      </c>
      <c r="E506" s="100" t="str">
        <f>IFERROR(VLOOKUP(C506,Resources!B:D,3,FALSE)," ")</f>
        <v>P</v>
      </c>
      <c r="F506" s="8">
        <v>1</v>
      </c>
      <c r="G506" s="8">
        <f>G505</f>
        <v>570</v>
      </c>
      <c r="H506" s="8">
        <f>H504</f>
        <v>2313.3000000000002</v>
      </c>
      <c r="I506" s="109">
        <f>IFERROR(VLOOKUP(C506,Resources!B:G,6,FALSE)," ")</f>
        <v>95</v>
      </c>
      <c r="J506" s="109">
        <f t="shared" si="711"/>
        <v>385.55</v>
      </c>
      <c r="K506" s="8">
        <f t="shared" si="712"/>
        <v>4.0584210526315792</v>
      </c>
      <c r="L506" s="8">
        <f t="shared" si="705"/>
        <v>4.0584210526315792</v>
      </c>
      <c r="M506" s="109">
        <f t="shared" si="706"/>
        <v>0</v>
      </c>
      <c r="N506" s="109">
        <f t="shared" si="707"/>
        <v>0</v>
      </c>
      <c r="O506" s="109">
        <f t="shared" si="708"/>
        <v>385.55</v>
      </c>
      <c r="P506" s="109">
        <f t="shared" si="709"/>
        <v>0</v>
      </c>
      <c r="Q506" s="109">
        <f t="shared" si="710"/>
        <v>385.55</v>
      </c>
      <c r="R506" s="121">
        <v>222</v>
      </c>
      <c r="T506" s="188"/>
    </row>
    <row r="507" spans="1:20" x14ac:dyDescent="0.25">
      <c r="A507" s="101"/>
      <c r="B507" s="4"/>
      <c r="C507" s="6"/>
      <c r="D507" s="4"/>
      <c r="E507" s="101" t="str">
        <f>IFERROR(VLOOKUP(C507,Resources!B:D,3,FALSE)," ")</f>
        <v xml:space="preserve"> </v>
      </c>
      <c r="F507" s="9"/>
      <c r="G507" s="9"/>
      <c r="H507" s="9"/>
      <c r="I507" s="38" t="str">
        <f>IFERROR(VLOOKUP(C507,Resources!B:G,6,FALSE)," ")</f>
        <v xml:space="preserve"> </v>
      </c>
      <c r="J507" s="38"/>
      <c r="K507" s="9"/>
      <c r="L507" s="9"/>
      <c r="M507" s="38"/>
      <c r="N507" s="38"/>
      <c r="O507" s="38"/>
      <c r="P507" s="38"/>
      <c r="Q507" s="38"/>
      <c r="R507" s="122"/>
      <c r="T507" s="188"/>
    </row>
    <row r="508" spans="1:20" ht="30" x14ac:dyDescent="0.25">
      <c r="A508" s="114">
        <v>68</v>
      </c>
      <c r="B508" s="1" t="s">
        <v>282</v>
      </c>
      <c r="C508" s="1" t="s">
        <v>223</v>
      </c>
      <c r="D508" s="2" t="s">
        <v>107</v>
      </c>
      <c r="E508" s="99" t="str">
        <f>IFERROR(VLOOKUP(C508,Resources!B:D,3,FALSE)," ")</f>
        <v xml:space="preserve"> </v>
      </c>
      <c r="F508" s="7"/>
      <c r="G508" s="7"/>
      <c r="H508" s="103">
        <f>VLOOKUP($A508,'Model Inputs'!$A:$D,4,FALSE)</f>
        <v>2103</v>
      </c>
      <c r="I508" s="108" t="str">
        <f>IFERROR(VLOOKUP(C508,Resources!B:G,6,FALSE)," ")</f>
        <v xml:space="preserve"> </v>
      </c>
      <c r="J508" s="108">
        <f>SUBTOTAL(9,J509:J511)</f>
        <v>3325.8760526315791</v>
      </c>
      <c r="K508" s="7"/>
      <c r="L508" s="7">
        <f>ROUNDUP(MAX(L510:L511)/Workhrs,0)</f>
        <v>1</v>
      </c>
      <c r="M508" s="108">
        <f t="shared" ref="M508" si="713">SUBTOTAL(9,M509:M511)</f>
        <v>511.36105263157901</v>
      </c>
      <c r="N508" s="108">
        <f t="shared" ref="N508" si="714">SUBTOTAL(9,N509:N511)</f>
        <v>2428.9650000000001</v>
      </c>
      <c r="O508" s="108">
        <f t="shared" ref="O508" si="715">SUBTOTAL(9,O509:O511)</f>
        <v>385.55</v>
      </c>
      <c r="P508" s="108">
        <f t="shared" ref="P508" si="716">SUBTOTAL(9,P509:P511)</f>
        <v>0</v>
      </c>
      <c r="Q508" s="108">
        <f t="shared" ref="Q508" si="717">SUBTOTAL(9,Q509:Q511)</f>
        <v>3325.8760526315791</v>
      </c>
      <c r="R508" s="120"/>
      <c r="T508" s="188"/>
    </row>
    <row r="509" spans="1:20" x14ac:dyDescent="0.25">
      <c r="A509" s="100">
        <v>68.099999999999994</v>
      </c>
      <c r="B509" s="3">
        <v>1</v>
      </c>
      <c r="C509" s="5" t="s">
        <v>2088</v>
      </c>
      <c r="D509" s="3" t="s">
        <v>83</v>
      </c>
      <c r="E509" s="100" t="str">
        <f>IFERROR(VLOOKUP(C509,Resources!B:D,3,FALSE)," ")</f>
        <v>M</v>
      </c>
      <c r="F509" s="103">
        <f>VLOOKUP($A509,'Model Inputs'!$A:$D,4,FALSE)</f>
        <v>1.1000000000000001</v>
      </c>
      <c r="G509" s="8">
        <v>1</v>
      </c>
      <c r="H509" s="8">
        <f>H508*F509</f>
        <v>2313.3000000000002</v>
      </c>
      <c r="I509" s="109">
        <f>IFERROR(VLOOKUP(C509,Resources!B:G,6,FALSE)," ")</f>
        <v>1.05</v>
      </c>
      <c r="J509" s="109">
        <f>I509*H509</f>
        <v>2428.9650000000001</v>
      </c>
      <c r="K509" s="8"/>
      <c r="L509" s="8" t="str">
        <f t="shared" ref="L509:L511" si="718">IF(E509="M"," ",H509/G509)</f>
        <v xml:space="preserve"> </v>
      </c>
      <c r="M509" s="109">
        <f t="shared" ref="M509:M511" si="719">IF($E509="L",$J509,0)</f>
        <v>0</v>
      </c>
      <c r="N509" s="109">
        <f t="shared" ref="N509:N511" si="720">IF($E509="M",$J509,0)</f>
        <v>2428.9650000000001</v>
      </c>
      <c r="O509" s="109">
        <f t="shared" ref="O509:O511" si="721">IF($E509="P",$J509,0)</f>
        <v>0</v>
      </c>
      <c r="P509" s="109">
        <f t="shared" ref="P509:P511" si="722">IF($E509="S",$J509,0)</f>
        <v>0</v>
      </c>
      <c r="Q509" s="109">
        <f t="shared" ref="Q509:Q511" si="723">SUM(M509:P509)</f>
        <v>2428.9650000000001</v>
      </c>
      <c r="R509" s="121">
        <v>222</v>
      </c>
      <c r="T509" s="188"/>
    </row>
    <row r="510" spans="1:20" x14ac:dyDescent="0.25">
      <c r="A510" s="100">
        <v>68.2</v>
      </c>
      <c r="B510" s="3">
        <v>2</v>
      </c>
      <c r="C510" s="5" t="s">
        <v>8</v>
      </c>
      <c r="D510" s="3" t="s">
        <v>48</v>
      </c>
      <c r="E510" s="100" t="str">
        <f>IFERROR(VLOOKUP(C510,Resources!B:D,3,FALSE)," ")</f>
        <v>L</v>
      </c>
      <c r="F510" s="8">
        <v>3</v>
      </c>
      <c r="G510" s="103">
        <f>VLOOKUP($A510,'Model Inputs'!$A:$D,4,FALSE)</f>
        <v>570</v>
      </c>
      <c r="H510" s="8">
        <f>H509</f>
        <v>2313.3000000000002</v>
      </c>
      <c r="I510" s="109">
        <f>IFERROR(VLOOKUP(C510,Resources!B:G,6,FALSE)," ")</f>
        <v>42</v>
      </c>
      <c r="J510" s="109">
        <f t="shared" ref="J510:J511" si="724">(H510/(G510/F510))*I510</f>
        <v>511.36105263157901</v>
      </c>
      <c r="K510" s="8">
        <f t="shared" ref="K510:K511" si="725">L510*F510</f>
        <v>12.175263157894737</v>
      </c>
      <c r="L510" s="8">
        <f t="shared" si="718"/>
        <v>4.0584210526315792</v>
      </c>
      <c r="M510" s="109">
        <f t="shared" si="719"/>
        <v>511.36105263157901</v>
      </c>
      <c r="N510" s="109">
        <f t="shared" si="720"/>
        <v>0</v>
      </c>
      <c r="O510" s="109">
        <f t="shared" si="721"/>
        <v>0</v>
      </c>
      <c r="P510" s="109">
        <f t="shared" si="722"/>
        <v>0</v>
      </c>
      <c r="Q510" s="109">
        <f t="shared" si="723"/>
        <v>511.36105263157901</v>
      </c>
      <c r="R510" s="121">
        <v>222</v>
      </c>
      <c r="T510" s="188"/>
    </row>
    <row r="511" spans="1:20" x14ac:dyDescent="0.25">
      <c r="A511" s="100"/>
      <c r="B511" s="3">
        <v>3</v>
      </c>
      <c r="C511" s="5" t="s">
        <v>45</v>
      </c>
      <c r="D511" s="3" t="s">
        <v>48</v>
      </c>
      <c r="E511" s="100" t="str">
        <f>IFERROR(VLOOKUP(C511,Resources!B:D,3,FALSE)," ")</f>
        <v>P</v>
      </c>
      <c r="F511" s="8">
        <v>1</v>
      </c>
      <c r="G511" s="8">
        <v>570</v>
      </c>
      <c r="H511" s="8">
        <f>H509</f>
        <v>2313.3000000000002</v>
      </c>
      <c r="I511" s="109">
        <f>IFERROR(VLOOKUP(C511,Resources!B:G,6,FALSE)," ")</f>
        <v>95</v>
      </c>
      <c r="J511" s="109">
        <f t="shared" si="724"/>
        <v>385.55</v>
      </c>
      <c r="K511" s="8">
        <f t="shared" si="725"/>
        <v>4.0584210526315792</v>
      </c>
      <c r="L511" s="8">
        <f t="shared" si="718"/>
        <v>4.0584210526315792</v>
      </c>
      <c r="M511" s="109">
        <f t="shared" si="719"/>
        <v>0</v>
      </c>
      <c r="N511" s="109">
        <f t="shared" si="720"/>
        <v>0</v>
      </c>
      <c r="O511" s="109">
        <f t="shared" si="721"/>
        <v>385.55</v>
      </c>
      <c r="P511" s="109">
        <f t="shared" si="722"/>
        <v>0</v>
      </c>
      <c r="Q511" s="109">
        <f t="shared" si="723"/>
        <v>385.55</v>
      </c>
      <c r="R511" s="121">
        <v>222</v>
      </c>
      <c r="T511" s="188"/>
    </row>
    <row r="512" spans="1:20" x14ac:dyDescent="0.25">
      <c r="A512" s="101"/>
      <c r="B512" s="4"/>
      <c r="C512" s="6"/>
      <c r="D512" s="4"/>
      <c r="E512" s="101" t="str">
        <f>IFERROR(VLOOKUP(C512,Resources!B:D,3,FALSE)," ")</f>
        <v xml:space="preserve"> </v>
      </c>
      <c r="F512" s="9"/>
      <c r="G512" s="9"/>
      <c r="H512" s="9"/>
      <c r="I512" s="38" t="str">
        <f>IFERROR(VLOOKUP(C512,Resources!B:G,6,FALSE)," ")</f>
        <v xml:space="preserve"> </v>
      </c>
      <c r="J512" s="38"/>
      <c r="K512" s="9"/>
      <c r="L512" s="9"/>
      <c r="M512" s="38"/>
      <c r="N512" s="38"/>
      <c r="O512" s="38"/>
      <c r="P512" s="38"/>
      <c r="Q512" s="38"/>
      <c r="R512" s="122"/>
      <c r="T512" s="188"/>
    </row>
    <row r="513" spans="1:20" ht="30" x14ac:dyDescent="0.25">
      <c r="A513" s="114">
        <v>69</v>
      </c>
      <c r="B513" s="1" t="s">
        <v>283</v>
      </c>
      <c r="C513" s="1" t="s">
        <v>124</v>
      </c>
      <c r="D513" s="2" t="s">
        <v>107</v>
      </c>
      <c r="E513" s="99" t="str">
        <f>IFERROR(VLOOKUP(C513,Resources!B:D,3,FALSE)," ")</f>
        <v xml:space="preserve"> </v>
      </c>
      <c r="F513" s="7"/>
      <c r="G513" s="7"/>
      <c r="H513" s="103">
        <f>VLOOKUP($A513,'Model Inputs'!$A:$D,4,FALSE)</f>
        <v>2103</v>
      </c>
      <c r="I513" s="108" t="str">
        <f>IFERROR(VLOOKUP(C513,Resources!B:G,6,FALSE)," ")</f>
        <v xml:space="preserve"> </v>
      </c>
      <c r="J513" s="108">
        <f>SUBTOTAL(9,J514)</f>
        <v>16781.939999999999</v>
      </c>
      <c r="K513" s="7"/>
      <c r="L513" s="7">
        <f>ROUNDUP(L514,0)</f>
        <v>1</v>
      </c>
      <c r="M513" s="108">
        <f t="shared" ref="M513:Q513" si="726">SUBTOTAL(9,M514)</f>
        <v>0</v>
      </c>
      <c r="N513" s="108">
        <f t="shared" si="726"/>
        <v>0</v>
      </c>
      <c r="O513" s="108">
        <f t="shared" si="726"/>
        <v>0</v>
      </c>
      <c r="P513" s="108">
        <f t="shared" si="726"/>
        <v>16781.939999999999</v>
      </c>
      <c r="Q513" s="108">
        <f t="shared" si="726"/>
        <v>16781.939999999999</v>
      </c>
      <c r="R513" s="120"/>
      <c r="T513" s="188"/>
    </row>
    <row r="514" spans="1:20" x14ac:dyDescent="0.25">
      <c r="A514" s="100">
        <v>69.099999999999994</v>
      </c>
      <c r="B514" s="3">
        <v>1</v>
      </c>
      <c r="C514" s="5" t="s">
        <v>2268</v>
      </c>
      <c r="D514" s="3" t="s">
        <v>83</v>
      </c>
      <c r="E514" s="100" t="str">
        <f>IFERROR(VLOOKUP(C514,Resources!B:D,3,FALSE)," ")</f>
        <v>S</v>
      </c>
      <c r="F514" s="103">
        <f>VLOOKUP($A514,'Model Inputs'!$A:$D,4,FALSE)</f>
        <v>1.05</v>
      </c>
      <c r="G514" s="8">
        <v>1</v>
      </c>
      <c r="H514" s="8">
        <f>H513*F514</f>
        <v>2208.15</v>
      </c>
      <c r="I514" s="109">
        <f>IFERROR(VLOOKUP(C514,Resources!B:G,6,FALSE)," ")</f>
        <v>7.6</v>
      </c>
      <c r="J514" s="109">
        <f>I514*H514</f>
        <v>16781.939999999999</v>
      </c>
      <c r="K514" s="8"/>
      <c r="L514" s="8">
        <f>H514/8000</f>
        <v>0.27601875000000003</v>
      </c>
      <c r="M514" s="109">
        <f t="shared" ref="M514" si="727">IF($E514="L",$J514,0)</f>
        <v>0</v>
      </c>
      <c r="N514" s="109">
        <f t="shared" ref="N514" si="728">IF($E514="M",$J514,0)</f>
        <v>0</v>
      </c>
      <c r="O514" s="109">
        <f t="shared" ref="O514" si="729">IF($E514="P",$J514,0)</f>
        <v>0</v>
      </c>
      <c r="P514" s="109">
        <f t="shared" ref="P514" si="730">IF($E514="S",$J514,0)</f>
        <v>16781.939999999999</v>
      </c>
      <c r="Q514" s="109">
        <f t="shared" ref="Q514" si="731">SUM(M514:P514)</f>
        <v>16781.939999999999</v>
      </c>
      <c r="R514" s="121">
        <v>64</v>
      </c>
      <c r="T514" s="188"/>
    </row>
    <row r="515" spans="1:20" x14ac:dyDescent="0.25">
      <c r="A515" s="101"/>
      <c r="B515" s="4"/>
      <c r="C515" s="6"/>
      <c r="D515" s="4"/>
      <c r="E515" s="101" t="str">
        <f>IFERROR(VLOOKUP(C515,Resources!B:D,3,FALSE)," ")</f>
        <v xml:space="preserve"> </v>
      </c>
      <c r="F515" s="9"/>
      <c r="G515" s="9"/>
      <c r="H515" s="9"/>
      <c r="I515" s="38" t="str">
        <f>IFERROR(VLOOKUP(C515,Resources!B:G,6,FALSE)," ")</f>
        <v xml:space="preserve"> </v>
      </c>
      <c r="J515" s="38"/>
      <c r="K515" s="9"/>
      <c r="L515" s="9"/>
      <c r="M515" s="38"/>
      <c r="N515" s="38"/>
      <c r="O515" s="38"/>
      <c r="P515" s="38"/>
      <c r="Q515" s="38"/>
      <c r="R515" s="122"/>
      <c r="T515" s="188"/>
    </row>
    <row r="516" spans="1:20" ht="30" x14ac:dyDescent="0.25">
      <c r="A516" s="114">
        <v>70</v>
      </c>
      <c r="B516" s="1" t="s">
        <v>284</v>
      </c>
      <c r="C516" s="1" t="s">
        <v>228</v>
      </c>
      <c r="D516" s="2" t="s">
        <v>82</v>
      </c>
      <c r="E516" s="99" t="str">
        <f>IFERROR(VLOOKUP(C516,Resources!B:D,3,FALSE)," ")</f>
        <v xml:space="preserve"> </v>
      </c>
      <c r="F516" s="7"/>
      <c r="G516" s="7"/>
      <c r="H516" s="103">
        <f>VLOOKUP($A516,'Model Inputs'!$A:$D,4,FALSE)</f>
        <v>202</v>
      </c>
      <c r="I516" s="108" t="str">
        <f>IFERROR(VLOOKUP(C516,Resources!B:G,6,FALSE)," ")</f>
        <v xml:space="preserve"> </v>
      </c>
      <c r="J516" s="108">
        <f>SUBTOTAL(9,J517)</f>
        <v>58539.600000000006</v>
      </c>
      <c r="K516" s="7"/>
      <c r="L516" s="7">
        <f>ROUNDUP(L517,0)</f>
        <v>1</v>
      </c>
      <c r="M516" s="108">
        <f t="shared" ref="M516" si="732">SUBTOTAL(9,M517)</f>
        <v>0</v>
      </c>
      <c r="N516" s="108">
        <f t="shared" ref="N516" si="733">SUBTOTAL(9,N517)</f>
        <v>0</v>
      </c>
      <c r="O516" s="108">
        <f t="shared" ref="O516" si="734">SUBTOTAL(9,O517)</f>
        <v>0</v>
      </c>
      <c r="P516" s="108">
        <f t="shared" ref="P516" si="735">SUBTOTAL(9,P517)</f>
        <v>58539.600000000006</v>
      </c>
      <c r="Q516" s="108">
        <f t="shared" ref="Q516" si="736">SUBTOTAL(9,Q517)</f>
        <v>58539.600000000006</v>
      </c>
      <c r="R516" s="120"/>
      <c r="T516" s="188"/>
    </row>
    <row r="517" spans="1:20" x14ac:dyDescent="0.25">
      <c r="A517" s="100"/>
      <c r="B517" s="3">
        <v>1</v>
      </c>
      <c r="C517" s="5" t="s">
        <v>2235</v>
      </c>
      <c r="D517" s="3" t="s">
        <v>82</v>
      </c>
      <c r="E517" s="100" t="str">
        <f>IFERROR(VLOOKUP(C517,Resources!B:D,3,FALSE)," ")</f>
        <v>S</v>
      </c>
      <c r="F517" s="8">
        <v>1.05</v>
      </c>
      <c r="G517" s="8">
        <v>1</v>
      </c>
      <c r="H517" s="8">
        <f>H516*F517</f>
        <v>212.10000000000002</v>
      </c>
      <c r="I517" s="109">
        <f>IFERROR(VLOOKUP(C517,Resources!B:G,6,FALSE)," ")</f>
        <v>276</v>
      </c>
      <c r="J517" s="109">
        <f>I517*H517</f>
        <v>58539.600000000006</v>
      </c>
      <c r="K517" s="8"/>
      <c r="L517" s="8">
        <f>H517/250</f>
        <v>0.84840000000000004</v>
      </c>
      <c r="M517" s="109">
        <f t="shared" ref="M517" si="737">IF($E517="L",$J517,0)</f>
        <v>0</v>
      </c>
      <c r="N517" s="109">
        <f t="shared" ref="N517" si="738">IF($E517="M",$J517,0)</f>
        <v>0</v>
      </c>
      <c r="O517" s="109">
        <f t="shared" ref="O517" si="739">IF($E517="P",$J517,0)</f>
        <v>0</v>
      </c>
      <c r="P517" s="109">
        <f t="shared" ref="P517" si="740">IF($E517="S",$J517,0)</f>
        <v>58539.600000000006</v>
      </c>
      <c r="Q517" s="109">
        <f t="shared" ref="Q517" si="741">SUM(M517:P517)</f>
        <v>58539.600000000006</v>
      </c>
      <c r="R517" s="121">
        <v>65</v>
      </c>
      <c r="T517" s="188"/>
    </row>
    <row r="518" spans="1:20" x14ac:dyDescent="0.25">
      <c r="A518" s="101"/>
      <c r="B518" s="4"/>
      <c r="C518" s="6"/>
      <c r="D518" s="4"/>
      <c r="E518" s="101" t="str">
        <f>IFERROR(VLOOKUP(C518,Resources!B:D,3,FALSE)," ")</f>
        <v xml:space="preserve"> </v>
      </c>
      <c r="F518" s="9"/>
      <c r="G518" s="9"/>
      <c r="H518" s="9"/>
      <c r="I518" s="38" t="str">
        <f>IFERROR(VLOOKUP(C518,Resources!B:G,6,FALSE)," ")</f>
        <v xml:space="preserve"> </v>
      </c>
      <c r="J518" s="38"/>
      <c r="K518" s="9"/>
      <c r="L518" s="9"/>
      <c r="M518" s="38"/>
      <c r="N518" s="38"/>
      <c r="O518" s="38"/>
      <c r="P518" s="38"/>
      <c r="Q518" s="38"/>
      <c r="R518" s="122"/>
      <c r="T518" s="188"/>
    </row>
    <row r="519" spans="1:20" ht="30" x14ac:dyDescent="0.25">
      <c r="A519" s="114"/>
      <c r="B519" s="1" t="s">
        <v>285</v>
      </c>
      <c r="C519" s="1" t="s">
        <v>286</v>
      </c>
      <c r="D519" s="2"/>
      <c r="E519" s="99" t="str">
        <f>IFERROR(VLOOKUP(C519,Resources!B:D,3,FALSE)," ")</f>
        <v xml:space="preserve"> </v>
      </c>
      <c r="F519" s="7"/>
      <c r="G519" s="7"/>
      <c r="H519" s="7"/>
      <c r="I519" s="108" t="str">
        <f>IFERROR(VLOOKUP(C519,Resources!B:G,6,FALSE)," ")</f>
        <v xml:space="preserve"> </v>
      </c>
      <c r="J519" s="108"/>
      <c r="K519" s="7"/>
      <c r="L519" s="7"/>
      <c r="M519" s="108"/>
      <c r="N519" s="108"/>
      <c r="O519" s="108"/>
      <c r="P519" s="108"/>
      <c r="Q519" s="108"/>
      <c r="R519" s="120"/>
      <c r="T519" s="188"/>
    </row>
    <row r="520" spans="1:20" ht="30" x14ac:dyDescent="0.25">
      <c r="A520" s="114">
        <v>71</v>
      </c>
      <c r="B520" s="1" t="s">
        <v>287</v>
      </c>
      <c r="C520" s="1" t="s">
        <v>288</v>
      </c>
      <c r="D520" s="2" t="s">
        <v>89</v>
      </c>
      <c r="E520" s="99" t="str">
        <f>IFERROR(VLOOKUP(C520,Resources!B:D,3,FALSE)," ")</f>
        <v xml:space="preserve"> </v>
      </c>
      <c r="F520" s="7"/>
      <c r="G520" s="7"/>
      <c r="H520" s="103">
        <f>VLOOKUP($A520,'Model Inputs'!$A:$D,4,FALSE)</f>
        <v>434</v>
      </c>
      <c r="I520" s="108" t="str">
        <f>IFERROR(VLOOKUP(C520,Resources!B:G,6,FALSE)," ")</f>
        <v xml:space="preserve"> </v>
      </c>
      <c r="J520" s="108">
        <f>SUBTOTAL(9,J521)</f>
        <v>5000</v>
      </c>
      <c r="K520" s="7"/>
      <c r="L520" s="7">
        <v>1</v>
      </c>
      <c r="M520" s="108">
        <f t="shared" ref="M520:Q520" si="742">SUBTOTAL(9,M521)</f>
        <v>0</v>
      </c>
      <c r="N520" s="108">
        <f t="shared" si="742"/>
        <v>0</v>
      </c>
      <c r="O520" s="108">
        <f t="shared" si="742"/>
        <v>0</v>
      </c>
      <c r="P520" s="108">
        <f t="shared" si="742"/>
        <v>5000</v>
      </c>
      <c r="Q520" s="108">
        <f t="shared" si="742"/>
        <v>5000</v>
      </c>
      <c r="R520" s="120"/>
      <c r="T520" s="188"/>
    </row>
    <row r="521" spans="1:20" x14ac:dyDescent="0.25">
      <c r="A521" s="100"/>
      <c r="B521" s="3">
        <v>1</v>
      </c>
      <c r="C521" s="5" t="s">
        <v>289</v>
      </c>
      <c r="D521" s="3" t="s">
        <v>83</v>
      </c>
      <c r="E521" s="100" t="str">
        <f>IFERROR(VLOOKUP(C521,Resources!B:D,3,FALSE)," ")</f>
        <v>S</v>
      </c>
      <c r="F521" s="8">
        <v>1</v>
      </c>
      <c r="G521" s="8">
        <v>1</v>
      </c>
      <c r="H521" s="8">
        <f>H520*5000/434</f>
        <v>5000</v>
      </c>
      <c r="I521" s="109">
        <f>IFERROR(VLOOKUP(C521,Resources!B:G,6,FALSE)," ")</f>
        <v>1</v>
      </c>
      <c r="J521" s="109">
        <f t="shared" ref="J521" si="743">(H521/(G521/F521))*I521</f>
        <v>5000</v>
      </c>
      <c r="K521" s="8"/>
      <c r="L521" s="8"/>
      <c r="M521" s="109">
        <f t="shared" ref="M521" si="744">IF($E521="L",$J521,0)</f>
        <v>0</v>
      </c>
      <c r="N521" s="109">
        <f t="shared" ref="N521" si="745">IF($E521="M",$J521,0)</f>
        <v>0</v>
      </c>
      <c r="O521" s="109">
        <f t="shared" ref="O521" si="746">IF($E521="P",$J521,0)</f>
        <v>0</v>
      </c>
      <c r="P521" s="109">
        <f t="shared" ref="P521" si="747">IF($E521="S",$J521,0)</f>
        <v>5000</v>
      </c>
      <c r="Q521" s="109">
        <f t="shared" ref="Q521" si="748">SUM(M521:P521)</f>
        <v>5000</v>
      </c>
      <c r="R521" s="121">
        <v>66</v>
      </c>
      <c r="T521" s="188"/>
    </row>
    <row r="522" spans="1:20" x14ac:dyDescent="0.25">
      <c r="A522" s="101"/>
      <c r="B522" s="4"/>
      <c r="C522" s="6"/>
      <c r="D522" s="4"/>
      <c r="E522" s="101" t="str">
        <f>IFERROR(VLOOKUP(C522,Resources!B:D,3,FALSE)," ")</f>
        <v xml:space="preserve"> </v>
      </c>
      <c r="F522" s="9"/>
      <c r="G522" s="9"/>
      <c r="H522" s="9"/>
      <c r="I522" s="38" t="str">
        <f>IFERROR(VLOOKUP(C522,Resources!B:G,6,FALSE)," ")</f>
        <v xml:space="preserve"> </v>
      </c>
      <c r="J522" s="38"/>
      <c r="K522" s="9"/>
      <c r="L522" s="9"/>
      <c r="M522" s="38"/>
      <c r="N522" s="38"/>
      <c r="O522" s="38"/>
      <c r="P522" s="38"/>
      <c r="Q522" s="38"/>
      <c r="R522" s="122"/>
      <c r="T522" s="188"/>
    </row>
    <row r="523" spans="1:20" ht="45" x14ac:dyDescent="0.25">
      <c r="A523" s="114">
        <v>72</v>
      </c>
      <c r="B523" s="1" t="s">
        <v>290</v>
      </c>
      <c r="C523" s="1" t="s">
        <v>291</v>
      </c>
      <c r="D523" s="2" t="s">
        <v>33</v>
      </c>
      <c r="E523" s="99" t="str">
        <f>IFERROR(VLOOKUP(C523,Resources!B:D,3,FALSE)," ")</f>
        <v xml:space="preserve"> </v>
      </c>
      <c r="F523" s="7"/>
      <c r="G523" s="7"/>
      <c r="H523" s="103">
        <f>VLOOKUP($A523,'Model Inputs'!$A:$D,4,FALSE)</f>
        <v>1</v>
      </c>
      <c r="I523" s="108" t="str">
        <f>IFERROR(VLOOKUP(C523,Resources!B:G,6,FALSE)," ")</f>
        <v xml:space="preserve"> </v>
      </c>
      <c r="J523" s="108">
        <f>SUBTOTAL(9,J524)</f>
        <v>1500</v>
      </c>
      <c r="K523" s="7"/>
      <c r="L523" s="7">
        <v>1</v>
      </c>
      <c r="M523" s="108">
        <f t="shared" ref="M523" si="749">SUBTOTAL(9,M524)</f>
        <v>0</v>
      </c>
      <c r="N523" s="108">
        <f t="shared" ref="N523" si="750">SUBTOTAL(9,N524)</f>
        <v>0</v>
      </c>
      <c r="O523" s="108">
        <f t="shared" ref="O523" si="751">SUBTOTAL(9,O524)</f>
        <v>0</v>
      </c>
      <c r="P523" s="108">
        <f t="shared" ref="P523" si="752">SUBTOTAL(9,P524)</f>
        <v>1500</v>
      </c>
      <c r="Q523" s="108">
        <f t="shared" ref="Q523" si="753">SUBTOTAL(9,Q524)</f>
        <v>1500</v>
      </c>
      <c r="R523" s="120"/>
      <c r="T523" s="188"/>
    </row>
    <row r="524" spans="1:20" x14ac:dyDescent="0.25">
      <c r="A524" s="100"/>
      <c r="B524" s="3">
        <v>1</v>
      </c>
      <c r="C524" s="5" t="s">
        <v>289</v>
      </c>
      <c r="D524" s="3" t="s">
        <v>83</v>
      </c>
      <c r="E524" s="100" t="str">
        <f>IFERROR(VLOOKUP(C524,Resources!B:D,3,FALSE)," ")</f>
        <v>S</v>
      </c>
      <c r="F524" s="8">
        <v>1</v>
      </c>
      <c r="G524" s="8">
        <v>1</v>
      </c>
      <c r="H524" s="8">
        <f>H523*1500</f>
        <v>1500</v>
      </c>
      <c r="I524" s="109">
        <f>IFERROR(VLOOKUP(C524,Resources!B:G,6,FALSE)," ")</f>
        <v>1</v>
      </c>
      <c r="J524" s="109">
        <f t="shared" ref="J524" si="754">(H524/(G524/F524))*I524</f>
        <v>1500</v>
      </c>
      <c r="K524" s="8"/>
      <c r="L524" s="8"/>
      <c r="M524" s="109">
        <f t="shared" ref="M524" si="755">IF($E524="L",$J524,0)</f>
        <v>0</v>
      </c>
      <c r="N524" s="109">
        <f t="shared" ref="N524" si="756">IF($E524="M",$J524,0)</f>
        <v>0</v>
      </c>
      <c r="O524" s="109">
        <f t="shared" ref="O524" si="757">IF($E524="P",$J524,0)</f>
        <v>0</v>
      </c>
      <c r="P524" s="109">
        <f t="shared" ref="P524" si="758">IF($E524="S",$J524,0)</f>
        <v>1500</v>
      </c>
      <c r="Q524" s="109">
        <f t="shared" ref="Q524" si="759">SUM(M524:P524)</f>
        <v>1500</v>
      </c>
      <c r="R524" s="121">
        <v>66</v>
      </c>
      <c r="T524" s="188"/>
    </row>
    <row r="525" spans="1:20" x14ac:dyDescent="0.25">
      <c r="A525" s="101"/>
      <c r="B525" s="4"/>
      <c r="C525" s="6"/>
      <c r="D525" s="4"/>
      <c r="E525" s="101" t="str">
        <f>IFERROR(VLOOKUP(C525,Resources!B:D,3,FALSE)," ")</f>
        <v xml:space="preserve"> </v>
      </c>
      <c r="F525" s="9"/>
      <c r="G525" s="9"/>
      <c r="H525" s="9"/>
      <c r="I525" s="38" t="str">
        <f>IFERROR(VLOOKUP(C525,Resources!B:G,6,FALSE)," ")</f>
        <v xml:space="preserve"> </v>
      </c>
      <c r="J525" s="38"/>
      <c r="K525" s="9"/>
      <c r="L525" s="9"/>
      <c r="M525" s="38"/>
      <c r="N525" s="38"/>
      <c r="O525" s="38"/>
      <c r="P525" s="38"/>
      <c r="Q525" s="38"/>
      <c r="R525" s="122"/>
      <c r="T525" s="188"/>
    </row>
    <row r="526" spans="1:20" ht="30" x14ac:dyDescent="0.25">
      <c r="A526" s="114">
        <v>73</v>
      </c>
      <c r="B526" s="1" t="s">
        <v>292</v>
      </c>
      <c r="C526" s="1" t="s">
        <v>233</v>
      </c>
      <c r="D526" s="2" t="s">
        <v>107</v>
      </c>
      <c r="E526" s="99" t="str">
        <f>IFERROR(VLOOKUP(C526,Resources!B:D,3,FALSE)," ")</f>
        <v xml:space="preserve"> </v>
      </c>
      <c r="F526" s="7"/>
      <c r="G526" s="7"/>
      <c r="H526" s="103">
        <f>VLOOKUP($A526,'Model Inputs'!$A:$D,4,FALSE)</f>
        <v>180</v>
      </c>
      <c r="I526" s="108" t="str">
        <f>IFERROR(VLOOKUP(C526,Resources!B:G,6,FALSE)," ")</f>
        <v xml:space="preserve"> </v>
      </c>
      <c r="J526" s="108">
        <f>SUBTOTAL(9,J528:J538)</f>
        <v>12821.2</v>
      </c>
      <c r="K526" s="7"/>
      <c r="L526" s="7">
        <f>ROUNDUP((MAX(L533:L535)/Workhrs+L538),0)+1</f>
        <v>5</v>
      </c>
      <c r="M526" s="108">
        <f t="shared" ref="M526:Q526" si="760">SUBTOTAL(9,M528:M538)</f>
        <v>75.600000000000009</v>
      </c>
      <c r="N526" s="108">
        <f t="shared" si="760"/>
        <v>6571.6</v>
      </c>
      <c r="O526" s="108">
        <f t="shared" si="760"/>
        <v>414</v>
      </c>
      <c r="P526" s="108">
        <f t="shared" si="760"/>
        <v>5760</v>
      </c>
      <c r="Q526" s="108">
        <f t="shared" si="760"/>
        <v>12821.2</v>
      </c>
      <c r="R526" s="120"/>
      <c r="T526" s="188"/>
    </row>
    <row r="527" spans="1:20" x14ac:dyDescent="0.25">
      <c r="A527" s="101"/>
      <c r="B527" s="4">
        <v>1</v>
      </c>
      <c r="C527" s="6" t="s">
        <v>187</v>
      </c>
      <c r="D527" s="4"/>
      <c r="E527" s="101" t="str">
        <f>IFERROR(VLOOKUP(C527,Resources!B:D,3,FALSE)," ")</f>
        <v xml:space="preserve"> </v>
      </c>
      <c r="F527" s="9"/>
      <c r="G527" s="9"/>
      <c r="H527" s="9"/>
      <c r="I527" s="38" t="str">
        <f>IFERROR(VLOOKUP(C527,Resources!B:G,6,FALSE)," ")</f>
        <v xml:space="preserve"> </v>
      </c>
      <c r="J527" s="38"/>
      <c r="K527" s="9"/>
      <c r="L527" s="9"/>
      <c r="M527" s="38"/>
      <c r="N527" s="38"/>
      <c r="O527" s="38"/>
      <c r="P527" s="38"/>
      <c r="Q527" s="38"/>
      <c r="R527" s="122"/>
      <c r="T527" s="188"/>
    </row>
    <row r="528" spans="1:20" x14ac:dyDescent="0.25">
      <c r="A528" s="100"/>
      <c r="B528" s="3">
        <v>2</v>
      </c>
      <c r="C528" s="5" t="s">
        <v>188</v>
      </c>
      <c r="D528" s="3" t="s">
        <v>86</v>
      </c>
      <c r="E528" s="100" t="str">
        <f>IFERROR(VLOOKUP(C528,Resources!B:D,3,FALSE)," ")</f>
        <v>M</v>
      </c>
      <c r="F528" s="8">
        <v>1</v>
      </c>
      <c r="G528" s="8">
        <v>1</v>
      </c>
      <c r="H528" s="8">
        <f>H526*1.1*0.1</f>
        <v>19.800000000000004</v>
      </c>
      <c r="I528" s="109">
        <f>IFERROR(VLOOKUP(C528,Resources!B:G,6,FALSE)," ")</f>
        <v>170</v>
      </c>
      <c r="J528" s="109">
        <f t="shared" ref="J528:J531" si="761">(H528/(G528/F528))*I528</f>
        <v>3366.0000000000009</v>
      </c>
      <c r="K528" s="8"/>
      <c r="L528" s="8" t="str">
        <f t="shared" ref="L528:L531" si="762">IF(E528="M"," ",H528/G528)</f>
        <v xml:space="preserve"> </v>
      </c>
      <c r="M528" s="109">
        <f t="shared" ref="M528:M531" si="763">IF($E528="L",$J528,0)</f>
        <v>0</v>
      </c>
      <c r="N528" s="109">
        <f t="shared" ref="N528:N531" si="764">IF($E528="M",$J528,0)</f>
        <v>3366.0000000000009</v>
      </c>
      <c r="O528" s="109">
        <f t="shared" ref="O528:O531" si="765">IF($E528="P",$J528,0)</f>
        <v>0</v>
      </c>
      <c r="P528" s="109">
        <f t="shared" ref="P528:P531" si="766">IF($E528="S",$J528,0)</f>
        <v>0</v>
      </c>
      <c r="Q528" s="109">
        <f t="shared" ref="Q528:Q531" si="767">SUM(M528:P528)</f>
        <v>3366.0000000000009</v>
      </c>
      <c r="R528" s="121" t="s">
        <v>2334</v>
      </c>
      <c r="T528" s="188"/>
    </row>
    <row r="529" spans="1:20" x14ac:dyDescent="0.25">
      <c r="A529" s="100"/>
      <c r="B529" s="3">
        <v>3</v>
      </c>
      <c r="C529" s="5" t="s">
        <v>81</v>
      </c>
      <c r="D529" s="3" t="s">
        <v>82</v>
      </c>
      <c r="E529" s="100" t="str">
        <f>IFERROR(VLOOKUP(C529,Resources!B:D,3,FALSE)," ")</f>
        <v>M</v>
      </c>
      <c r="F529" s="8">
        <v>1</v>
      </c>
      <c r="G529" s="8">
        <v>1</v>
      </c>
      <c r="H529" s="8">
        <f>H526*0.1*1.5</f>
        <v>27</v>
      </c>
      <c r="I529" s="109">
        <f>IFERROR(VLOOKUP(C529,Resources!B:G,6,FALSE)," ")</f>
        <v>24</v>
      </c>
      <c r="J529" s="109">
        <f t="shared" si="761"/>
        <v>648</v>
      </c>
      <c r="K529" s="8"/>
      <c r="L529" s="8" t="str">
        <f t="shared" si="762"/>
        <v xml:space="preserve"> </v>
      </c>
      <c r="M529" s="109">
        <f t="shared" si="763"/>
        <v>0</v>
      </c>
      <c r="N529" s="109">
        <f t="shared" si="764"/>
        <v>648</v>
      </c>
      <c r="O529" s="109">
        <f t="shared" si="765"/>
        <v>0</v>
      </c>
      <c r="P529" s="109">
        <f t="shared" si="766"/>
        <v>0</v>
      </c>
      <c r="Q529" s="109">
        <f t="shared" si="767"/>
        <v>648</v>
      </c>
      <c r="R529" s="121" t="s">
        <v>2341</v>
      </c>
      <c r="T529" s="188"/>
    </row>
    <row r="530" spans="1:20" x14ac:dyDescent="0.25">
      <c r="A530" s="100"/>
      <c r="B530" s="3">
        <v>4</v>
      </c>
      <c r="C530" s="5" t="s">
        <v>189</v>
      </c>
      <c r="D530" s="3" t="s">
        <v>83</v>
      </c>
      <c r="E530" s="100" t="str">
        <f>IFERROR(VLOOKUP(C530,Resources!B:D,3,FALSE)," ")</f>
        <v>M</v>
      </c>
      <c r="F530" s="8">
        <v>1</v>
      </c>
      <c r="G530" s="8">
        <v>1</v>
      </c>
      <c r="H530" s="8">
        <f>H526*1.2</f>
        <v>216</v>
      </c>
      <c r="I530" s="109">
        <f>IFERROR(VLOOKUP(C530,Resources!B:G,6,FALSE)," ")</f>
        <v>9.1</v>
      </c>
      <c r="J530" s="109">
        <f t="shared" si="761"/>
        <v>1965.6</v>
      </c>
      <c r="K530" s="8"/>
      <c r="L530" s="8" t="str">
        <f t="shared" si="762"/>
        <v xml:space="preserve"> </v>
      </c>
      <c r="M530" s="109">
        <f t="shared" si="763"/>
        <v>0</v>
      </c>
      <c r="N530" s="109">
        <f t="shared" si="764"/>
        <v>1965.6</v>
      </c>
      <c r="O530" s="109">
        <f t="shared" si="765"/>
        <v>0</v>
      </c>
      <c r="P530" s="109">
        <f t="shared" si="766"/>
        <v>0</v>
      </c>
      <c r="Q530" s="109">
        <f t="shared" si="767"/>
        <v>1965.6</v>
      </c>
      <c r="R530" s="121" t="s">
        <v>2343</v>
      </c>
      <c r="T530" s="188"/>
    </row>
    <row r="531" spans="1:20" x14ac:dyDescent="0.25">
      <c r="A531" s="100"/>
      <c r="B531" s="3">
        <v>5</v>
      </c>
      <c r="C531" s="5" t="s">
        <v>190</v>
      </c>
      <c r="D531" s="3" t="s">
        <v>89</v>
      </c>
      <c r="E531" s="100" t="str">
        <f>IFERROR(VLOOKUP(C531,Resources!B:D,3,FALSE)," ")</f>
        <v>M</v>
      </c>
      <c r="F531" s="8">
        <v>1</v>
      </c>
      <c r="G531" s="8">
        <v>1</v>
      </c>
      <c r="H531" s="8">
        <f>H526*1.2/1.5</f>
        <v>144</v>
      </c>
      <c r="I531" s="109">
        <f>IFERROR(VLOOKUP(C531,Resources!B:G,6,FALSE)," ")</f>
        <v>3</v>
      </c>
      <c r="J531" s="109">
        <f t="shared" si="761"/>
        <v>432</v>
      </c>
      <c r="K531" s="8"/>
      <c r="L531" s="8" t="str">
        <f t="shared" si="762"/>
        <v xml:space="preserve"> </v>
      </c>
      <c r="M531" s="109">
        <f t="shared" si="763"/>
        <v>0</v>
      </c>
      <c r="N531" s="109">
        <f t="shared" si="764"/>
        <v>432</v>
      </c>
      <c r="O531" s="109">
        <f t="shared" si="765"/>
        <v>0</v>
      </c>
      <c r="P531" s="109">
        <f t="shared" si="766"/>
        <v>0</v>
      </c>
      <c r="Q531" s="109">
        <f t="shared" si="767"/>
        <v>432</v>
      </c>
      <c r="R531" s="121" t="s">
        <v>2343</v>
      </c>
      <c r="T531" s="188"/>
    </row>
    <row r="532" spans="1:20" x14ac:dyDescent="0.25">
      <c r="A532" s="101"/>
      <c r="B532" s="4">
        <v>6</v>
      </c>
      <c r="C532" s="6" t="s">
        <v>191</v>
      </c>
      <c r="D532" s="4"/>
      <c r="E532" s="101" t="str">
        <f>IFERROR(VLOOKUP(C532,Resources!B:D,3,FALSE)," ")</f>
        <v xml:space="preserve"> </v>
      </c>
      <c r="F532" s="9"/>
      <c r="G532" s="9"/>
      <c r="H532" s="9"/>
      <c r="I532" s="38" t="str">
        <f>IFERROR(VLOOKUP(C532,Resources!B:G,6,FALSE)," ")</f>
        <v xml:space="preserve"> </v>
      </c>
      <c r="J532" s="38"/>
      <c r="K532" s="9"/>
      <c r="L532" s="9"/>
      <c r="M532" s="38"/>
      <c r="N532" s="38"/>
      <c r="O532" s="38"/>
      <c r="P532" s="38"/>
      <c r="Q532" s="38"/>
      <c r="R532" s="122"/>
      <c r="T532" s="188"/>
    </row>
    <row r="533" spans="1:20" x14ac:dyDescent="0.25">
      <c r="A533" s="100">
        <v>73.099999999999994</v>
      </c>
      <c r="B533" s="3">
        <v>7</v>
      </c>
      <c r="C533" s="5" t="s">
        <v>63</v>
      </c>
      <c r="D533" s="3" t="s">
        <v>48</v>
      </c>
      <c r="E533" s="100" t="str">
        <f>IFERROR(VLOOKUP(C533,Resources!B:D,3,FALSE)," ")</f>
        <v>P</v>
      </c>
      <c r="F533" s="8">
        <v>1</v>
      </c>
      <c r="G533" s="103">
        <f>VLOOKUP($A533,'Model Inputs'!$A:$D,4,FALSE)</f>
        <v>10</v>
      </c>
      <c r="H533" s="8">
        <f>H526*0.1</f>
        <v>18</v>
      </c>
      <c r="I533" s="109">
        <f>IFERROR(VLOOKUP(C533,Resources!B:G,6,FALSE)," ")</f>
        <v>135</v>
      </c>
      <c r="J533" s="109">
        <f t="shared" ref="J533:J535" si="768">(H533/(G533/F533))*I533</f>
        <v>243</v>
      </c>
      <c r="K533" s="8">
        <f t="shared" ref="K533:K535" si="769">L533*F533</f>
        <v>1.8</v>
      </c>
      <c r="L533" s="8">
        <f t="shared" ref="L533:L535" si="770">IF(E533="M"," ",H533/G533)</f>
        <v>1.8</v>
      </c>
      <c r="M533" s="109">
        <f t="shared" ref="M533:M535" si="771">IF($E533="L",$J533,0)</f>
        <v>0</v>
      </c>
      <c r="N533" s="109">
        <f t="shared" ref="N533:N535" si="772">IF($E533="M",$J533,0)</f>
        <v>0</v>
      </c>
      <c r="O533" s="109">
        <f t="shared" ref="O533:O535" si="773">IF($E533="P",$J533,0)</f>
        <v>243</v>
      </c>
      <c r="P533" s="109">
        <f t="shared" ref="P533:P535" si="774">IF($E533="S",$J533,0)</f>
        <v>0</v>
      </c>
      <c r="Q533" s="109">
        <f t="shared" ref="Q533:Q535" si="775">SUM(M533:P533)</f>
        <v>243</v>
      </c>
      <c r="R533" s="121">
        <v>71</v>
      </c>
      <c r="T533" s="188"/>
    </row>
    <row r="534" spans="1:20" x14ac:dyDescent="0.25">
      <c r="A534" s="100"/>
      <c r="B534" s="3">
        <v>8</v>
      </c>
      <c r="C534" s="5" t="s">
        <v>173</v>
      </c>
      <c r="D534" s="3" t="s">
        <v>48</v>
      </c>
      <c r="E534" s="100" t="str">
        <f>IFERROR(VLOOKUP(C534,Resources!B:D,3,FALSE)," ")</f>
        <v>P</v>
      </c>
      <c r="F534" s="8">
        <v>1</v>
      </c>
      <c r="G534" s="8">
        <f>G533</f>
        <v>10</v>
      </c>
      <c r="H534" s="8">
        <f>H533</f>
        <v>18</v>
      </c>
      <c r="I534" s="109">
        <f>IFERROR(VLOOKUP(C534,Resources!B:G,6,FALSE)," ")</f>
        <v>95</v>
      </c>
      <c r="J534" s="109">
        <f t="shared" si="768"/>
        <v>171</v>
      </c>
      <c r="K534" s="8">
        <f t="shared" si="769"/>
        <v>1.8</v>
      </c>
      <c r="L534" s="8">
        <f t="shared" si="770"/>
        <v>1.8</v>
      </c>
      <c r="M534" s="109">
        <f t="shared" si="771"/>
        <v>0</v>
      </c>
      <c r="N534" s="109">
        <f t="shared" si="772"/>
        <v>0</v>
      </c>
      <c r="O534" s="109">
        <f t="shared" si="773"/>
        <v>171</v>
      </c>
      <c r="P534" s="109">
        <f t="shared" si="774"/>
        <v>0</v>
      </c>
      <c r="Q534" s="109">
        <f t="shared" si="775"/>
        <v>171</v>
      </c>
      <c r="R534" s="121">
        <v>71</v>
      </c>
      <c r="T534" s="188"/>
    </row>
    <row r="535" spans="1:20" x14ac:dyDescent="0.25">
      <c r="A535" s="100"/>
      <c r="B535" s="3">
        <v>9</v>
      </c>
      <c r="C535" s="5" t="s">
        <v>8</v>
      </c>
      <c r="D535" s="3" t="s">
        <v>48</v>
      </c>
      <c r="E535" s="100" t="str">
        <f>IFERROR(VLOOKUP(C535,Resources!B:D,3,FALSE)," ")</f>
        <v>L</v>
      </c>
      <c r="F535" s="8">
        <v>1</v>
      </c>
      <c r="G535" s="8">
        <f>G533</f>
        <v>10</v>
      </c>
      <c r="H535" s="8">
        <f>H533</f>
        <v>18</v>
      </c>
      <c r="I535" s="109">
        <f>IFERROR(VLOOKUP(C535,Resources!B:G,6,FALSE)," ")</f>
        <v>42</v>
      </c>
      <c r="J535" s="109">
        <f t="shared" si="768"/>
        <v>75.600000000000009</v>
      </c>
      <c r="K535" s="8">
        <f t="shared" si="769"/>
        <v>1.8</v>
      </c>
      <c r="L535" s="8">
        <f t="shared" si="770"/>
        <v>1.8</v>
      </c>
      <c r="M535" s="109">
        <f t="shared" si="771"/>
        <v>75.600000000000009</v>
      </c>
      <c r="N535" s="109">
        <f t="shared" si="772"/>
        <v>0</v>
      </c>
      <c r="O535" s="109">
        <f t="shared" si="773"/>
        <v>0</v>
      </c>
      <c r="P535" s="109">
        <f t="shared" si="774"/>
        <v>0</v>
      </c>
      <c r="Q535" s="109">
        <f t="shared" si="775"/>
        <v>75.600000000000009</v>
      </c>
      <c r="R535" s="121">
        <v>71</v>
      </c>
      <c r="T535" s="188"/>
    </row>
    <row r="536" spans="1:20" x14ac:dyDescent="0.25">
      <c r="A536" s="101"/>
      <c r="B536" s="4">
        <v>10</v>
      </c>
      <c r="C536" s="6" t="s">
        <v>192</v>
      </c>
      <c r="D536" s="4"/>
      <c r="E536" s="101" t="str">
        <f>IFERROR(VLOOKUP(C536,Resources!B:D,3,FALSE)," ")</f>
        <v xml:space="preserve"> </v>
      </c>
      <c r="F536" s="9"/>
      <c r="G536" s="9"/>
      <c r="H536" s="9"/>
      <c r="I536" s="38" t="str">
        <f>IFERROR(VLOOKUP(C536,Resources!B:G,6,FALSE)," ")</f>
        <v xml:space="preserve"> </v>
      </c>
      <c r="J536" s="38"/>
      <c r="K536" s="9"/>
      <c r="L536" s="9"/>
      <c r="M536" s="38"/>
      <c r="N536" s="38"/>
      <c r="O536" s="38"/>
      <c r="P536" s="38"/>
      <c r="Q536" s="38"/>
      <c r="R536" s="122"/>
      <c r="T536" s="188"/>
    </row>
    <row r="537" spans="1:20" x14ac:dyDescent="0.25">
      <c r="A537" s="100"/>
      <c r="B537" s="3">
        <v>11</v>
      </c>
      <c r="C537" s="5" t="s">
        <v>84</v>
      </c>
      <c r="D537" s="3" t="s">
        <v>29</v>
      </c>
      <c r="E537" s="100" t="str">
        <f>IFERROR(VLOOKUP(C537,Resources!B:D,3,FALSE)," ")</f>
        <v>M</v>
      </c>
      <c r="F537" s="8">
        <v>1</v>
      </c>
      <c r="G537" s="8">
        <v>1</v>
      </c>
      <c r="H537" s="8">
        <f>H526/0.9</f>
        <v>200</v>
      </c>
      <c r="I537" s="109">
        <f>IFERROR(VLOOKUP(C537,Resources!B:G,6,FALSE)," ")</f>
        <v>0.8</v>
      </c>
      <c r="J537" s="109">
        <f t="shared" ref="J537:J538" si="776">(H537/(G537/F537))*I537</f>
        <v>160</v>
      </c>
      <c r="K537" s="8"/>
      <c r="L537" s="8" t="str">
        <f t="shared" ref="L537" si="777">IF(E537="M"," ",H537/G537)</f>
        <v xml:space="preserve"> </v>
      </c>
      <c r="M537" s="109">
        <f t="shared" ref="M537:M538" si="778">IF($E537="L",$J537,0)</f>
        <v>0</v>
      </c>
      <c r="N537" s="109">
        <f t="shared" ref="N537:N538" si="779">IF($E537="M",$J537,0)</f>
        <v>160</v>
      </c>
      <c r="O537" s="109">
        <f t="shared" ref="O537:O538" si="780">IF($E537="P",$J537,0)</f>
        <v>0</v>
      </c>
      <c r="P537" s="109">
        <f t="shared" ref="P537:P538" si="781">IF($E537="S",$J537,0)</f>
        <v>0</v>
      </c>
      <c r="Q537" s="109">
        <f t="shared" ref="Q537:Q538" si="782">SUM(M537:P537)</f>
        <v>160</v>
      </c>
      <c r="R537" s="121" t="s">
        <v>2343</v>
      </c>
      <c r="T537" s="188"/>
    </row>
    <row r="538" spans="1:20" x14ac:dyDescent="0.25">
      <c r="A538" s="100"/>
      <c r="B538" s="3">
        <v>12</v>
      </c>
      <c r="C538" s="5" t="s">
        <v>193</v>
      </c>
      <c r="D538" s="3" t="s">
        <v>83</v>
      </c>
      <c r="E538" s="100" t="str">
        <f>IFERROR(VLOOKUP(C538,Resources!B:D,3,FALSE)," ")</f>
        <v>S</v>
      </c>
      <c r="F538" s="8">
        <v>1</v>
      </c>
      <c r="G538" s="8">
        <v>1</v>
      </c>
      <c r="H538" s="8">
        <f>H526</f>
        <v>180</v>
      </c>
      <c r="I538" s="109">
        <f>IFERROR(VLOOKUP(C538,Resources!B:G,6,FALSE)," ")</f>
        <v>32</v>
      </c>
      <c r="J538" s="109">
        <f t="shared" si="776"/>
        <v>5760</v>
      </c>
      <c r="K538" s="8"/>
      <c r="L538" s="8">
        <f>H538/50</f>
        <v>3.6</v>
      </c>
      <c r="M538" s="109">
        <f t="shared" si="778"/>
        <v>0</v>
      </c>
      <c r="N538" s="109">
        <f t="shared" si="779"/>
        <v>0</v>
      </c>
      <c r="O538" s="109">
        <f t="shared" si="780"/>
        <v>0</v>
      </c>
      <c r="P538" s="109">
        <f t="shared" si="781"/>
        <v>5760</v>
      </c>
      <c r="Q538" s="109">
        <f t="shared" si="782"/>
        <v>5760</v>
      </c>
      <c r="R538" s="121">
        <v>71</v>
      </c>
      <c r="T538" s="188"/>
    </row>
    <row r="539" spans="1:20" x14ac:dyDescent="0.25">
      <c r="A539" s="101"/>
      <c r="B539" s="4"/>
      <c r="C539" s="6"/>
      <c r="D539" s="4"/>
      <c r="E539" s="101" t="str">
        <f>IFERROR(VLOOKUP(C539,Resources!B:D,3,FALSE)," ")</f>
        <v xml:space="preserve"> </v>
      </c>
      <c r="F539" s="9"/>
      <c r="G539" s="9"/>
      <c r="H539" s="9"/>
      <c r="I539" s="38" t="str">
        <f>IFERROR(VLOOKUP(C539,Resources!B:G,6,FALSE)," ")</f>
        <v xml:space="preserve"> </v>
      </c>
      <c r="J539" s="38"/>
      <c r="K539" s="9"/>
      <c r="L539" s="9"/>
      <c r="M539" s="38"/>
      <c r="N539" s="38"/>
      <c r="O539" s="38"/>
      <c r="P539" s="38"/>
      <c r="Q539" s="38"/>
      <c r="R539" s="122"/>
      <c r="T539" s="188"/>
    </row>
    <row r="540" spans="1:20" ht="30" x14ac:dyDescent="0.25">
      <c r="A540" s="114">
        <v>74</v>
      </c>
      <c r="B540" s="1" t="s">
        <v>293</v>
      </c>
      <c r="C540" s="1" t="s">
        <v>235</v>
      </c>
      <c r="D540" s="2" t="s">
        <v>29</v>
      </c>
      <c r="E540" s="99" t="str">
        <f>IFERROR(VLOOKUP(C540,Resources!B:D,3,FALSE)," ")</f>
        <v xml:space="preserve"> </v>
      </c>
      <c r="F540" s="7"/>
      <c r="G540" s="7"/>
      <c r="H540" s="103">
        <f>VLOOKUP($A540,'Model Inputs'!$A:$D,4,FALSE)</f>
        <v>5</v>
      </c>
      <c r="I540" s="108" t="str">
        <f>IFERROR(VLOOKUP(C540,Resources!B:G,6,FALSE)," ")</f>
        <v xml:space="preserve"> </v>
      </c>
      <c r="J540" s="108">
        <f>SUBTOTAL(9,J541:J542)</f>
        <v>3925</v>
      </c>
      <c r="K540" s="7"/>
      <c r="L540" s="7">
        <f>ROUNDUP(L542,0)</f>
        <v>3</v>
      </c>
      <c r="M540" s="108">
        <f t="shared" ref="M540:Q540" si="783">SUBTOTAL(9,M541:M542)</f>
        <v>0</v>
      </c>
      <c r="N540" s="108">
        <f t="shared" si="783"/>
        <v>425</v>
      </c>
      <c r="O540" s="108">
        <f t="shared" si="783"/>
        <v>0</v>
      </c>
      <c r="P540" s="108">
        <f t="shared" si="783"/>
        <v>3500</v>
      </c>
      <c r="Q540" s="108">
        <f t="shared" si="783"/>
        <v>3925</v>
      </c>
      <c r="R540" s="120"/>
      <c r="T540" s="188"/>
    </row>
    <row r="541" spans="1:20" x14ac:dyDescent="0.25">
      <c r="A541" s="100"/>
      <c r="B541" s="3">
        <v>1</v>
      </c>
      <c r="C541" s="5" t="s">
        <v>188</v>
      </c>
      <c r="D541" s="3" t="s">
        <v>86</v>
      </c>
      <c r="E541" s="100" t="str">
        <f>IFERROR(VLOOKUP(C541,Resources!B:D,3,FALSE)," ")</f>
        <v>M</v>
      </c>
      <c r="F541" s="8">
        <v>1</v>
      </c>
      <c r="G541" s="8">
        <v>1</v>
      </c>
      <c r="H541" s="8">
        <f>H540/2</f>
        <v>2.5</v>
      </c>
      <c r="I541" s="109">
        <f>IFERROR(VLOOKUP(C541,Resources!B:G,6,FALSE)," ")</f>
        <v>170</v>
      </c>
      <c r="J541" s="109">
        <f t="shared" ref="J541:J542" si="784">(H541/(G541/F541))*I541</f>
        <v>425</v>
      </c>
      <c r="K541" s="8"/>
      <c r="L541" s="8"/>
      <c r="M541" s="109">
        <f t="shared" ref="M541:M542" si="785">IF($E541="L",$J541,0)</f>
        <v>0</v>
      </c>
      <c r="N541" s="109">
        <f t="shared" ref="N541:N542" si="786">IF($E541="M",$J541,0)</f>
        <v>425</v>
      </c>
      <c r="O541" s="109">
        <f t="shared" ref="O541:O542" si="787">IF($E541="P",$J541,0)</f>
        <v>0</v>
      </c>
      <c r="P541" s="109">
        <f t="shared" ref="P541:P542" si="788">IF($E541="S",$J541,0)</f>
        <v>0</v>
      </c>
      <c r="Q541" s="109">
        <f t="shared" ref="Q541:Q542" si="789">SUM(M541:P541)</f>
        <v>425</v>
      </c>
      <c r="R541" s="121" t="s">
        <v>2334</v>
      </c>
      <c r="T541" s="188"/>
    </row>
    <row r="542" spans="1:20" x14ac:dyDescent="0.25">
      <c r="A542" s="100"/>
      <c r="B542" s="3">
        <v>2</v>
      </c>
      <c r="C542" s="5" t="s">
        <v>236</v>
      </c>
      <c r="D542" s="3" t="s">
        <v>29</v>
      </c>
      <c r="E542" s="100" t="str">
        <f>IFERROR(VLOOKUP(C542,Resources!B:D,3,FALSE)," ")</f>
        <v>S</v>
      </c>
      <c r="F542" s="8">
        <v>1</v>
      </c>
      <c r="G542" s="8">
        <v>1</v>
      </c>
      <c r="H542" s="8">
        <f>H540</f>
        <v>5</v>
      </c>
      <c r="I542" s="109">
        <f>IFERROR(VLOOKUP(C542,Resources!B:G,6,FALSE)," ")</f>
        <v>700</v>
      </c>
      <c r="J542" s="109">
        <f t="shared" si="784"/>
        <v>3500</v>
      </c>
      <c r="K542" s="8"/>
      <c r="L542" s="8">
        <f>H542/2</f>
        <v>2.5</v>
      </c>
      <c r="M542" s="109">
        <f t="shared" si="785"/>
        <v>0</v>
      </c>
      <c r="N542" s="109">
        <f t="shared" si="786"/>
        <v>0</v>
      </c>
      <c r="O542" s="109">
        <f t="shared" si="787"/>
        <v>0</v>
      </c>
      <c r="P542" s="109">
        <f t="shared" si="788"/>
        <v>3500</v>
      </c>
      <c r="Q542" s="109">
        <f t="shared" si="789"/>
        <v>3500</v>
      </c>
      <c r="R542" s="121">
        <v>71</v>
      </c>
      <c r="T542" s="188"/>
    </row>
    <row r="543" spans="1:20" x14ac:dyDescent="0.25">
      <c r="A543" s="101"/>
      <c r="B543" s="4"/>
      <c r="C543" s="6"/>
      <c r="D543" s="4"/>
      <c r="E543" s="101" t="str">
        <f>IFERROR(VLOOKUP(C543,Resources!B:D,3,FALSE)," ")</f>
        <v xml:space="preserve"> </v>
      </c>
      <c r="F543" s="9"/>
      <c r="G543" s="9"/>
      <c r="H543" s="9"/>
      <c r="I543" s="38" t="str">
        <f>IFERROR(VLOOKUP(C543,Resources!B:G,6,FALSE)," ")</f>
        <v xml:space="preserve"> </v>
      </c>
      <c r="J543" s="38"/>
      <c r="K543" s="9"/>
      <c r="L543" s="9"/>
      <c r="M543" s="38"/>
      <c r="N543" s="38"/>
      <c r="O543" s="38"/>
      <c r="P543" s="38"/>
      <c r="Q543" s="38"/>
      <c r="R543" s="122"/>
      <c r="T543" s="188"/>
    </row>
    <row r="544" spans="1:20" ht="30" x14ac:dyDescent="0.25">
      <c r="A544" s="114">
        <v>75</v>
      </c>
      <c r="B544" s="1" t="s">
        <v>294</v>
      </c>
      <c r="C544" s="1" t="s">
        <v>295</v>
      </c>
      <c r="D544" s="2" t="s">
        <v>29</v>
      </c>
      <c r="E544" s="99" t="str">
        <f>IFERROR(VLOOKUP(C544,Resources!B:D,3,FALSE)," ")</f>
        <v xml:space="preserve"> </v>
      </c>
      <c r="F544" s="7"/>
      <c r="G544" s="7"/>
      <c r="H544" s="103">
        <f>VLOOKUP($A544,'Model Inputs'!$A:$D,4,FALSE)</f>
        <v>1</v>
      </c>
      <c r="I544" s="108" t="str">
        <f>IFERROR(VLOOKUP(C544,Resources!B:G,6,FALSE)," ")</f>
        <v xml:space="preserve"> </v>
      </c>
      <c r="J544" s="108">
        <f>SUBTOTAL(9,J546:J556)</f>
        <v>620.45333333333326</v>
      </c>
      <c r="K544" s="7"/>
      <c r="L544" s="7">
        <f>ROUNDUP((MAX(L551:L553)/Workhrs+L556),0)+1</f>
        <v>2</v>
      </c>
      <c r="M544" s="108">
        <f t="shared" ref="M544:Q544" si="790">SUBTOTAL(9,M546:M556)</f>
        <v>25.200000000000003</v>
      </c>
      <c r="N544" s="108">
        <f t="shared" si="790"/>
        <v>265.25333333333327</v>
      </c>
      <c r="O544" s="108">
        <f t="shared" si="790"/>
        <v>138.00000000000003</v>
      </c>
      <c r="P544" s="108">
        <f t="shared" si="790"/>
        <v>192</v>
      </c>
      <c r="Q544" s="108">
        <f t="shared" si="790"/>
        <v>620.45333333333326</v>
      </c>
      <c r="R544" s="120"/>
      <c r="T544" s="188"/>
    </row>
    <row r="545" spans="1:20" ht="30" x14ac:dyDescent="0.25">
      <c r="A545" s="101"/>
      <c r="B545" s="4">
        <v>1</v>
      </c>
      <c r="C545" s="6" t="s">
        <v>2371</v>
      </c>
      <c r="D545" s="4"/>
      <c r="E545" s="101" t="str">
        <f>IFERROR(VLOOKUP(C545,Resources!B:D,3,FALSE)," ")</f>
        <v xml:space="preserve"> </v>
      </c>
      <c r="F545" s="9"/>
      <c r="G545" s="9"/>
      <c r="H545" s="9"/>
      <c r="I545" s="38" t="str">
        <f>IFERROR(VLOOKUP(C545,Resources!B:G,6,FALSE)," ")</f>
        <v xml:space="preserve"> </v>
      </c>
      <c r="J545" s="38"/>
      <c r="K545" s="9"/>
      <c r="L545" s="9"/>
      <c r="M545" s="38"/>
      <c r="N545" s="38"/>
      <c r="O545" s="38"/>
      <c r="P545" s="38"/>
      <c r="Q545" s="38"/>
      <c r="R545" s="122"/>
      <c r="T545" s="188"/>
    </row>
    <row r="546" spans="1:20" x14ac:dyDescent="0.25">
      <c r="A546" s="100"/>
      <c r="B546" s="3">
        <v>2</v>
      </c>
      <c r="C546" s="5" t="s">
        <v>85</v>
      </c>
      <c r="D546" s="3" t="s">
        <v>86</v>
      </c>
      <c r="E546" s="100" t="str">
        <f>IFERROR(VLOOKUP(C546,Resources!B:D,3,FALSE)," ")</f>
        <v>M</v>
      </c>
      <c r="F546" s="8">
        <v>1</v>
      </c>
      <c r="G546" s="8">
        <v>1</v>
      </c>
      <c r="H546" s="8">
        <f>H544*6*0.125*1.1</f>
        <v>0.82500000000000007</v>
      </c>
      <c r="I546" s="109">
        <f>IFERROR(VLOOKUP(C546,Resources!B:G,6,FALSE)," ")</f>
        <v>192</v>
      </c>
      <c r="J546" s="109">
        <f t="shared" ref="J546:J549" si="791">(H546/(G546/F546))*I546</f>
        <v>158.4</v>
      </c>
      <c r="K546" s="8"/>
      <c r="L546" s="8" t="str">
        <f t="shared" ref="L546:L549" si="792">IF(E546="M"," ",H546/G546)</f>
        <v xml:space="preserve"> </v>
      </c>
      <c r="M546" s="109">
        <f t="shared" ref="M546:M549" si="793">IF($E546="L",$J546,0)</f>
        <v>0</v>
      </c>
      <c r="N546" s="109">
        <f t="shared" ref="N546:N549" si="794">IF($E546="M",$J546,0)</f>
        <v>158.4</v>
      </c>
      <c r="O546" s="109">
        <f t="shared" ref="O546:O549" si="795">IF($E546="P",$J546,0)</f>
        <v>0</v>
      </c>
      <c r="P546" s="109">
        <f t="shared" ref="P546:P549" si="796">IF($E546="S",$J546,0)</f>
        <v>0</v>
      </c>
      <c r="Q546" s="109">
        <f t="shared" ref="Q546:Q549" si="797">SUM(M546:P546)</f>
        <v>158.4</v>
      </c>
      <c r="R546" s="121" t="s">
        <v>2335</v>
      </c>
      <c r="T546" s="188"/>
    </row>
    <row r="547" spans="1:20" x14ac:dyDescent="0.25">
      <c r="A547" s="100"/>
      <c r="B547" s="3">
        <v>3</v>
      </c>
      <c r="C547" s="5" t="s">
        <v>81</v>
      </c>
      <c r="D547" s="3" t="s">
        <v>82</v>
      </c>
      <c r="E547" s="100" t="str">
        <f>IFERROR(VLOOKUP(C547,Resources!B:D,3,FALSE)," ")</f>
        <v>M</v>
      </c>
      <c r="F547" s="8">
        <v>1</v>
      </c>
      <c r="G547" s="8">
        <v>1</v>
      </c>
      <c r="H547" s="8">
        <f>H544*6*0.1*1.5</f>
        <v>0.90000000000000013</v>
      </c>
      <c r="I547" s="109">
        <f>IFERROR(VLOOKUP(C547,Resources!B:G,6,FALSE)," ")</f>
        <v>24</v>
      </c>
      <c r="J547" s="109">
        <f t="shared" si="791"/>
        <v>21.6</v>
      </c>
      <c r="K547" s="8"/>
      <c r="L547" s="8" t="str">
        <f t="shared" si="792"/>
        <v xml:space="preserve"> </v>
      </c>
      <c r="M547" s="109">
        <f t="shared" si="793"/>
        <v>0</v>
      </c>
      <c r="N547" s="109">
        <f t="shared" si="794"/>
        <v>21.6</v>
      </c>
      <c r="O547" s="109">
        <f t="shared" si="795"/>
        <v>0</v>
      </c>
      <c r="P547" s="109">
        <f t="shared" si="796"/>
        <v>0</v>
      </c>
      <c r="Q547" s="109">
        <f t="shared" si="797"/>
        <v>21.6</v>
      </c>
      <c r="R547" s="121" t="s">
        <v>2341</v>
      </c>
      <c r="T547" s="188"/>
    </row>
    <row r="548" spans="1:20" x14ac:dyDescent="0.25">
      <c r="A548" s="100"/>
      <c r="B548" s="3">
        <v>4</v>
      </c>
      <c r="C548" s="5" t="s">
        <v>189</v>
      </c>
      <c r="D548" s="3" t="s">
        <v>83</v>
      </c>
      <c r="E548" s="100" t="str">
        <f>IFERROR(VLOOKUP(C548,Resources!B:D,3,FALSE)," ")</f>
        <v>M</v>
      </c>
      <c r="F548" s="8">
        <v>1</v>
      </c>
      <c r="G548" s="8">
        <v>1</v>
      </c>
      <c r="H548" s="8">
        <f>H544*6*1.2</f>
        <v>7.1999999999999993</v>
      </c>
      <c r="I548" s="109">
        <f>IFERROR(VLOOKUP(C548,Resources!B:G,6,FALSE)," ")</f>
        <v>9.1</v>
      </c>
      <c r="J548" s="109">
        <f t="shared" si="791"/>
        <v>65.52</v>
      </c>
      <c r="K548" s="8"/>
      <c r="L548" s="8" t="str">
        <f t="shared" si="792"/>
        <v xml:space="preserve"> </v>
      </c>
      <c r="M548" s="109">
        <f t="shared" si="793"/>
        <v>0</v>
      </c>
      <c r="N548" s="109">
        <f t="shared" si="794"/>
        <v>65.52</v>
      </c>
      <c r="O548" s="109">
        <f t="shared" si="795"/>
        <v>0</v>
      </c>
      <c r="P548" s="109">
        <f t="shared" si="796"/>
        <v>0</v>
      </c>
      <c r="Q548" s="109">
        <f t="shared" si="797"/>
        <v>65.52</v>
      </c>
      <c r="R548" s="121" t="s">
        <v>2343</v>
      </c>
      <c r="T548" s="188"/>
    </row>
    <row r="549" spans="1:20" x14ac:dyDescent="0.25">
      <c r="A549" s="100"/>
      <c r="B549" s="3">
        <v>5</v>
      </c>
      <c r="C549" s="5" t="s">
        <v>190</v>
      </c>
      <c r="D549" s="3" t="s">
        <v>89</v>
      </c>
      <c r="E549" s="100" t="str">
        <f>IFERROR(VLOOKUP(C549,Resources!B:D,3,FALSE)," ")</f>
        <v>M</v>
      </c>
      <c r="F549" s="8">
        <v>1</v>
      </c>
      <c r="G549" s="8">
        <v>1</v>
      </c>
      <c r="H549" s="8">
        <f>H544*6*1.2/1.5</f>
        <v>4.8</v>
      </c>
      <c r="I549" s="109">
        <f>IFERROR(VLOOKUP(C549,Resources!B:G,6,FALSE)," ")</f>
        <v>3</v>
      </c>
      <c r="J549" s="109">
        <f t="shared" si="791"/>
        <v>14.399999999999999</v>
      </c>
      <c r="K549" s="8"/>
      <c r="L549" s="8" t="str">
        <f t="shared" si="792"/>
        <v xml:space="preserve"> </v>
      </c>
      <c r="M549" s="109">
        <f t="shared" si="793"/>
        <v>0</v>
      </c>
      <c r="N549" s="109">
        <f t="shared" si="794"/>
        <v>14.399999999999999</v>
      </c>
      <c r="O549" s="109">
        <f t="shared" si="795"/>
        <v>0</v>
      </c>
      <c r="P549" s="109">
        <f t="shared" si="796"/>
        <v>0</v>
      </c>
      <c r="Q549" s="109">
        <f t="shared" si="797"/>
        <v>14.399999999999999</v>
      </c>
      <c r="R549" s="121" t="s">
        <v>2343</v>
      </c>
      <c r="T549" s="188"/>
    </row>
    <row r="550" spans="1:20" x14ac:dyDescent="0.25">
      <c r="A550" s="101"/>
      <c r="B550" s="4">
        <v>6</v>
      </c>
      <c r="C550" s="6" t="s">
        <v>191</v>
      </c>
      <c r="D550" s="4"/>
      <c r="E550" s="101" t="str">
        <f>IFERROR(VLOOKUP(C550,Resources!B:D,3,FALSE)," ")</f>
        <v xml:space="preserve"> </v>
      </c>
      <c r="F550" s="9"/>
      <c r="G550" s="9"/>
      <c r="H550" s="9"/>
      <c r="I550" s="38" t="str">
        <f>IFERROR(VLOOKUP(C550,Resources!B:G,6,FALSE)," ")</f>
        <v xml:space="preserve"> </v>
      </c>
      <c r="J550" s="38"/>
      <c r="K550" s="9"/>
      <c r="L550" s="9"/>
      <c r="M550" s="38"/>
      <c r="N550" s="38"/>
      <c r="O550" s="38"/>
      <c r="P550" s="38"/>
      <c r="Q550" s="38"/>
      <c r="R550" s="122"/>
      <c r="T550" s="188"/>
    </row>
    <row r="551" spans="1:20" x14ac:dyDescent="0.25">
      <c r="A551" s="100">
        <v>75.099999999999994</v>
      </c>
      <c r="B551" s="3">
        <v>7</v>
      </c>
      <c r="C551" s="5" t="s">
        <v>63</v>
      </c>
      <c r="D551" s="3" t="s">
        <v>48</v>
      </c>
      <c r="E551" s="100" t="str">
        <f>IFERROR(VLOOKUP(C551,Resources!B:D,3,FALSE)," ")</f>
        <v>P</v>
      </c>
      <c r="F551" s="8">
        <v>1</v>
      </c>
      <c r="G551" s="103">
        <f>VLOOKUP($A551,'Model Inputs'!$A:$D,4,FALSE)</f>
        <v>1</v>
      </c>
      <c r="H551" s="8">
        <f>H544*6*0.1</f>
        <v>0.60000000000000009</v>
      </c>
      <c r="I551" s="109">
        <f>IFERROR(VLOOKUP(C551,Resources!B:G,6,FALSE)," ")</f>
        <v>135</v>
      </c>
      <c r="J551" s="109">
        <f t="shared" ref="J551:J553" si="798">(H551/(G551/F551))*I551</f>
        <v>81.000000000000014</v>
      </c>
      <c r="K551" s="8">
        <f t="shared" ref="K551:K553" si="799">L551*F551</f>
        <v>0.60000000000000009</v>
      </c>
      <c r="L551" s="8">
        <f t="shared" ref="L551:L553" si="800">IF(E551="M"," ",H551/G551)</f>
        <v>0.60000000000000009</v>
      </c>
      <c r="M551" s="109">
        <f t="shared" ref="M551:M553" si="801">IF($E551="L",$J551,0)</f>
        <v>0</v>
      </c>
      <c r="N551" s="109">
        <f t="shared" ref="N551:N553" si="802">IF($E551="M",$J551,0)</f>
        <v>0</v>
      </c>
      <c r="O551" s="109">
        <f t="shared" ref="O551:O553" si="803">IF($E551="P",$J551,0)</f>
        <v>81.000000000000014</v>
      </c>
      <c r="P551" s="109">
        <f t="shared" ref="P551:P553" si="804">IF($E551="S",$J551,0)</f>
        <v>0</v>
      </c>
      <c r="Q551" s="109">
        <f t="shared" ref="Q551:Q553" si="805">SUM(M551:P551)</f>
        <v>81.000000000000014</v>
      </c>
      <c r="R551" s="121">
        <v>71</v>
      </c>
      <c r="T551" s="188"/>
    </row>
    <row r="552" spans="1:20" x14ac:dyDescent="0.25">
      <c r="A552" s="100"/>
      <c r="B552" s="3">
        <v>8</v>
      </c>
      <c r="C552" s="5" t="s">
        <v>173</v>
      </c>
      <c r="D552" s="3" t="s">
        <v>48</v>
      </c>
      <c r="E552" s="100" t="str">
        <f>IFERROR(VLOOKUP(C552,Resources!B:D,3,FALSE)," ")</f>
        <v>P</v>
      </c>
      <c r="F552" s="8">
        <v>1</v>
      </c>
      <c r="G552" s="8">
        <f>G551</f>
        <v>1</v>
      </c>
      <c r="H552" s="8">
        <f>H551</f>
        <v>0.60000000000000009</v>
      </c>
      <c r="I552" s="109">
        <f>IFERROR(VLOOKUP(C552,Resources!B:G,6,FALSE)," ")</f>
        <v>95</v>
      </c>
      <c r="J552" s="109">
        <f t="shared" si="798"/>
        <v>57.000000000000007</v>
      </c>
      <c r="K552" s="8">
        <f t="shared" si="799"/>
        <v>0.60000000000000009</v>
      </c>
      <c r="L552" s="8">
        <f t="shared" si="800"/>
        <v>0.60000000000000009</v>
      </c>
      <c r="M552" s="109">
        <f t="shared" si="801"/>
        <v>0</v>
      </c>
      <c r="N552" s="109">
        <f t="shared" si="802"/>
        <v>0</v>
      </c>
      <c r="O552" s="109">
        <f t="shared" si="803"/>
        <v>57.000000000000007</v>
      </c>
      <c r="P552" s="109">
        <f t="shared" si="804"/>
        <v>0</v>
      </c>
      <c r="Q552" s="109">
        <f t="shared" si="805"/>
        <v>57.000000000000007</v>
      </c>
      <c r="R552" s="121">
        <v>71</v>
      </c>
      <c r="T552" s="188"/>
    </row>
    <row r="553" spans="1:20" x14ac:dyDescent="0.25">
      <c r="A553" s="100"/>
      <c r="B553" s="3">
        <v>9</v>
      </c>
      <c r="C553" s="5" t="s">
        <v>8</v>
      </c>
      <c r="D553" s="3" t="s">
        <v>48</v>
      </c>
      <c r="E553" s="100" t="str">
        <f>IFERROR(VLOOKUP(C553,Resources!B:D,3,FALSE)," ")</f>
        <v>L</v>
      </c>
      <c r="F553" s="8">
        <v>1</v>
      </c>
      <c r="G553" s="8">
        <f>G551</f>
        <v>1</v>
      </c>
      <c r="H553" s="8">
        <f>H551</f>
        <v>0.60000000000000009</v>
      </c>
      <c r="I553" s="109">
        <f>IFERROR(VLOOKUP(C553,Resources!B:G,6,FALSE)," ")</f>
        <v>42</v>
      </c>
      <c r="J553" s="109">
        <f t="shared" si="798"/>
        <v>25.200000000000003</v>
      </c>
      <c r="K553" s="8">
        <f t="shared" si="799"/>
        <v>0.60000000000000009</v>
      </c>
      <c r="L553" s="8">
        <f t="shared" si="800"/>
        <v>0.60000000000000009</v>
      </c>
      <c r="M553" s="109">
        <f t="shared" si="801"/>
        <v>25.200000000000003</v>
      </c>
      <c r="N553" s="109">
        <f t="shared" si="802"/>
        <v>0</v>
      </c>
      <c r="O553" s="109">
        <f t="shared" si="803"/>
        <v>0</v>
      </c>
      <c r="P553" s="109">
        <f t="shared" si="804"/>
        <v>0</v>
      </c>
      <c r="Q553" s="109">
        <f t="shared" si="805"/>
        <v>25.200000000000003</v>
      </c>
      <c r="R553" s="121">
        <v>71</v>
      </c>
      <c r="T553" s="188"/>
    </row>
    <row r="554" spans="1:20" x14ac:dyDescent="0.25">
      <c r="A554" s="101"/>
      <c r="B554" s="4">
        <v>10</v>
      </c>
      <c r="C554" s="6" t="s">
        <v>192</v>
      </c>
      <c r="D554" s="4"/>
      <c r="E554" s="101" t="str">
        <f>IFERROR(VLOOKUP(C554,Resources!B:D,3,FALSE)," ")</f>
        <v xml:space="preserve"> </v>
      </c>
      <c r="F554" s="9"/>
      <c r="G554" s="9"/>
      <c r="H554" s="9"/>
      <c r="I554" s="38" t="str">
        <f>IFERROR(VLOOKUP(C554,Resources!B:G,6,FALSE)," ")</f>
        <v xml:space="preserve"> </v>
      </c>
      <c r="J554" s="38"/>
      <c r="K554" s="9"/>
      <c r="L554" s="9"/>
      <c r="M554" s="38"/>
      <c r="N554" s="38"/>
      <c r="O554" s="38"/>
      <c r="P554" s="38"/>
      <c r="Q554" s="38"/>
      <c r="R554" s="122"/>
      <c r="T554" s="188"/>
    </row>
    <row r="555" spans="1:20" x14ac:dyDescent="0.25">
      <c r="A555" s="100"/>
      <c r="B555" s="3">
        <v>11</v>
      </c>
      <c r="C555" s="5" t="s">
        <v>84</v>
      </c>
      <c r="D555" s="3" t="s">
        <v>29</v>
      </c>
      <c r="E555" s="100" t="str">
        <f>IFERROR(VLOOKUP(C555,Resources!B:D,3,FALSE)," ")</f>
        <v>M</v>
      </c>
      <c r="F555" s="8">
        <v>1</v>
      </c>
      <c r="G555" s="8">
        <v>1</v>
      </c>
      <c r="H555" s="8">
        <f>H544*6/0.9</f>
        <v>6.6666666666666661</v>
      </c>
      <c r="I555" s="109">
        <f>IFERROR(VLOOKUP(C555,Resources!B:G,6,FALSE)," ")</f>
        <v>0.8</v>
      </c>
      <c r="J555" s="109">
        <f t="shared" ref="J555:J556" si="806">(H555/(G555/F555))*I555</f>
        <v>5.333333333333333</v>
      </c>
      <c r="K555" s="8"/>
      <c r="L555" s="8" t="str">
        <f t="shared" ref="L555" si="807">IF(E555="M"," ",H555/G555)</f>
        <v xml:space="preserve"> </v>
      </c>
      <c r="M555" s="109">
        <f t="shared" ref="M555:M556" si="808">IF($E555="L",$J555,0)</f>
        <v>0</v>
      </c>
      <c r="N555" s="109">
        <f t="shared" ref="N555:N556" si="809">IF($E555="M",$J555,0)</f>
        <v>5.333333333333333</v>
      </c>
      <c r="O555" s="109">
        <f t="shared" ref="O555:O556" si="810">IF($E555="P",$J555,0)</f>
        <v>0</v>
      </c>
      <c r="P555" s="109">
        <f t="shared" ref="P555:P556" si="811">IF($E555="S",$J555,0)</f>
        <v>0</v>
      </c>
      <c r="Q555" s="109">
        <f t="shared" ref="Q555:Q556" si="812">SUM(M555:P555)</f>
        <v>5.333333333333333</v>
      </c>
      <c r="R555" s="121" t="s">
        <v>2343</v>
      </c>
      <c r="T555" s="188"/>
    </row>
    <row r="556" spans="1:20" x14ac:dyDescent="0.25">
      <c r="A556" s="100"/>
      <c r="B556" s="3">
        <v>12</v>
      </c>
      <c r="C556" s="5" t="s">
        <v>193</v>
      </c>
      <c r="D556" s="3" t="s">
        <v>83</v>
      </c>
      <c r="E556" s="100" t="str">
        <f>IFERROR(VLOOKUP(C556,Resources!B:D,3,FALSE)," ")</f>
        <v>S</v>
      </c>
      <c r="F556" s="8">
        <v>1</v>
      </c>
      <c r="G556" s="8">
        <v>1</v>
      </c>
      <c r="H556" s="8">
        <f>H544*6</f>
        <v>6</v>
      </c>
      <c r="I556" s="109">
        <f>IFERROR(VLOOKUP(C556,Resources!B:G,6,FALSE)," ")</f>
        <v>32</v>
      </c>
      <c r="J556" s="109">
        <f t="shared" si="806"/>
        <v>192</v>
      </c>
      <c r="K556" s="8"/>
      <c r="L556" s="8">
        <f>H556/25</f>
        <v>0.24</v>
      </c>
      <c r="M556" s="109">
        <f t="shared" si="808"/>
        <v>0</v>
      </c>
      <c r="N556" s="109">
        <f t="shared" si="809"/>
        <v>0</v>
      </c>
      <c r="O556" s="109">
        <f t="shared" si="810"/>
        <v>0</v>
      </c>
      <c r="P556" s="109">
        <f t="shared" si="811"/>
        <v>192</v>
      </c>
      <c r="Q556" s="109">
        <f t="shared" si="812"/>
        <v>192</v>
      </c>
      <c r="R556" s="121">
        <v>71</v>
      </c>
      <c r="T556" s="188"/>
    </row>
    <row r="557" spans="1:20" x14ac:dyDescent="0.25">
      <c r="A557" s="101"/>
      <c r="B557" s="4"/>
      <c r="C557" s="6"/>
      <c r="D557" s="4"/>
      <c r="E557" s="101" t="str">
        <f>IFERROR(VLOOKUP(C557,Resources!B:D,3,FALSE)," ")</f>
        <v xml:space="preserve"> </v>
      </c>
      <c r="F557" s="9"/>
      <c r="G557" s="9"/>
      <c r="H557" s="9"/>
      <c r="I557" s="38" t="str">
        <f>IFERROR(VLOOKUP(C557,Resources!B:G,6,FALSE)," ")</f>
        <v xml:space="preserve"> </v>
      </c>
      <c r="J557" s="38"/>
      <c r="K557" s="9"/>
      <c r="L557" s="9"/>
      <c r="M557" s="38"/>
      <c r="N557" s="38"/>
      <c r="O557" s="38"/>
      <c r="P557" s="38"/>
      <c r="Q557" s="38"/>
      <c r="R557" s="122"/>
      <c r="T557" s="188"/>
    </row>
    <row r="558" spans="1:20" ht="30" x14ac:dyDescent="0.25">
      <c r="A558" s="114">
        <v>76</v>
      </c>
      <c r="B558" s="1" t="s">
        <v>297</v>
      </c>
      <c r="C558" s="1" t="s">
        <v>238</v>
      </c>
      <c r="D558" s="2" t="s">
        <v>29</v>
      </c>
      <c r="E558" s="99" t="str">
        <f>IFERROR(VLOOKUP(C558,Resources!B:D,3,FALSE)," ")</f>
        <v xml:space="preserve"> </v>
      </c>
      <c r="F558" s="7"/>
      <c r="G558" s="7"/>
      <c r="H558" s="103">
        <f>VLOOKUP($A558,'Model Inputs'!$A:$D,4,FALSE)</f>
        <v>1</v>
      </c>
      <c r="I558" s="108" t="str">
        <f>IFERROR(VLOOKUP(C558,Resources!B:G,6,FALSE)," ")</f>
        <v xml:space="preserve"> </v>
      </c>
      <c r="J558" s="108">
        <f>SUBTOTAL(9,J560:J570)</f>
        <v>1534.5700000000002</v>
      </c>
      <c r="K558" s="7"/>
      <c r="L558" s="7">
        <f>ROUNDUP((MAX(L565:L567)/Workhrs+L570),0)+1</f>
        <v>2</v>
      </c>
      <c r="M558" s="108">
        <f t="shared" ref="M558:Q558" si="813">SUBTOTAL(9,M560:M570)</f>
        <v>7.56</v>
      </c>
      <c r="N558" s="108">
        <f t="shared" si="813"/>
        <v>909.61000000000013</v>
      </c>
      <c r="O558" s="108">
        <f t="shared" si="813"/>
        <v>41.4</v>
      </c>
      <c r="P558" s="108">
        <f t="shared" si="813"/>
        <v>576</v>
      </c>
      <c r="Q558" s="108">
        <f t="shared" si="813"/>
        <v>1534.5700000000002</v>
      </c>
      <c r="R558" s="120"/>
      <c r="T558" s="188"/>
    </row>
    <row r="559" spans="1:20" ht="30" x14ac:dyDescent="0.25">
      <c r="A559" s="101"/>
      <c r="B559" s="4">
        <v>1</v>
      </c>
      <c r="C559" s="6" t="s">
        <v>2372</v>
      </c>
      <c r="D559" s="4"/>
      <c r="E559" s="101" t="str">
        <f>IFERROR(VLOOKUP(C559,Resources!B:D,3,FALSE)," ")</f>
        <v xml:space="preserve"> </v>
      </c>
      <c r="F559" s="9"/>
      <c r="G559" s="9"/>
      <c r="H559" s="9"/>
      <c r="I559" s="38" t="str">
        <f>IFERROR(VLOOKUP(C559,Resources!B:G,6,FALSE)," ")</f>
        <v xml:space="preserve"> </v>
      </c>
      <c r="J559" s="38"/>
      <c r="K559" s="9"/>
      <c r="L559" s="9"/>
      <c r="M559" s="38"/>
      <c r="N559" s="38"/>
      <c r="O559" s="38"/>
      <c r="P559" s="38"/>
      <c r="Q559" s="38"/>
      <c r="R559" s="122"/>
      <c r="T559" s="188"/>
    </row>
    <row r="560" spans="1:20" x14ac:dyDescent="0.25">
      <c r="A560" s="100"/>
      <c r="B560" s="3">
        <v>2</v>
      </c>
      <c r="C560" s="5" t="s">
        <v>188</v>
      </c>
      <c r="D560" s="3" t="s">
        <v>86</v>
      </c>
      <c r="E560" s="100" t="str">
        <f>IFERROR(VLOOKUP(C560,Resources!B:D,3,FALSE)," ")</f>
        <v>M</v>
      </c>
      <c r="F560" s="8">
        <v>1</v>
      </c>
      <c r="G560" s="8">
        <v>1</v>
      </c>
      <c r="H560" s="8">
        <f>H558*18*0.175*1.1</f>
        <v>3.4650000000000003</v>
      </c>
      <c r="I560" s="109">
        <f>IFERROR(VLOOKUP(C560,Resources!B:G,6,FALSE)," ")</f>
        <v>170</v>
      </c>
      <c r="J560" s="109">
        <f t="shared" ref="J560:J563" si="814">(H560/(G560/F560))*I560</f>
        <v>589.05000000000007</v>
      </c>
      <c r="K560" s="8"/>
      <c r="L560" s="8" t="str">
        <f t="shared" ref="L560:L563" si="815">IF(E560="M"," ",H560/G560)</f>
        <v xml:space="preserve"> </v>
      </c>
      <c r="M560" s="109">
        <f t="shared" ref="M560:M563" si="816">IF($E560="L",$J560,0)</f>
        <v>0</v>
      </c>
      <c r="N560" s="109">
        <f t="shared" ref="N560:N563" si="817">IF($E560="M",$J560,0)</f>
        <v>589.05000000000007</v>
      </c>
      <c r="O560" s="109">
        <f t="shared" ref="O560:O563" si="818">IF($E560="P",$J560,0)</f>
        <v>0</v>
      </c>
      <c r="P560" s="109">
        <f t="shared" ref="P560:P563" si="819">IF($E560="S",$J560,0)</f>
        <v>0</v>
      </c>
      <c r="Q560" s="109">
        <f t="shared" ref="Q560:Q563" si="820">SUM(M560:P560)</f>
        <v>589.05000000000007</v>
      </c>
      <c r="R560" s="121" t="s">
        <v>2334</v>
      </c>
      <c r="T560" s="188"/>
    </row>
    <row r="561" spans="1:20" x14ac:dyDescent="0.25">
      <c r="A561" s="100"/>
      <c r="B561" s="3">
        <v>3</v>
      </c>
      <c r="C561" s="5" t="s">
        <v>81</v>
      </c>
      <c r="D561" s="3" t="s">
        <v>82</v>
      </c>
      <c r="E561" s="100" t="str">
        <f>IFERROR(VLOOKUP(C561,Resources!B:D,3,FALSE)," ")</f>
        <v>M</v>
      </c>
      <c r="F561" s="8">
        <v>1</v>
      </c>
      <c r="G561" s="8">
        <v>1</v>
      </c>
      <c r="H561" s="8">
        <f>H558*18*0.1*1.5</f>
        <v>2.7</v>
      </c>
      <c r="I561" s="109">
        <f>IFERROR(VLOOKUP(C561,Resources!B:G,6,FALSE)," ")</f>
        <v>24</v>
      </c>
      <c r="J561" s="109">
        <f t="shared" si="814"/>
        <v>64.800000000000011</v>
      </c>
      <c r="K561" s="8"/>
      <c r="L561" s="8" t="str">
        <f t="shared" si="815"/>
        <v xml:space="preserve"> </v>
      </c>
      <c r="M561" s="109">
        <f t="shared" si="816"/>
        <v>0</v>
      </c>
      <c r="N561" s="109">
        <f t="shared" si="817"/>
        <v>64.800000000000011</v>
      </c>
      <c r="O561" s="109">
        <f t="shared" si="818"/>
        <v>0</v>
      </c>
      <c r="P561" s="109">
        <f t="shared" si="819"/>
        <v>0</v>
      </c>
      <c r="Q561" s="109">
        <f t="shared" si="820"/>
        <v>64.800000000000011</v>
      </c>
      <c r="R561" s="121" t="s">
        <v>2341</v>
      </c>
      <c r="T561" s="188"/>
    </row>
    <row r="562" spans="1:20" x14ac:dyDescent="0.25">
      <c r="A562" s="100"/>
      <c r="B562" s="3">
        <v>4</v>
      </c>
      <c r="C562" s="5" t="s">
        <v>189</v>
      </c>
      <c r="D562" s="3" t="s">
        <v>83</v>
      </c>
      <c r="E562" s="100" t="str">
        <f>IFERROR(VLOOKUP(C562,Resources!B:D,3,FALSE)," ")</f>
        <v>M</v>
      </c>
      <c r="F562" s="8">
        <v>1</v>
      </c>
      <c r="G562" s="8">
        <v>1</v>
      </c>
      <c r="H562" s="8">
        <f>H558*18*1.2</f>
        <v>21.599999999999998</v>
      </c>
      <c r="I562" s="109">
        <f>IFERROR(VLOOKUP(C562,Resources!B:G,6,FALSE)," ")</f>
        <v>9.1</v>
      </c>
      <c r="J562" s="109">
        <f t="shared" si="814"/>
        <v>196.55999999999997</v>
      </c>
      <c r="K562" s="8"/>
      <c r="L562" s="8" t="str">
        <f t="shared" si="815"/>
        <v xml:space="preserve"> </v>
      </c>
      <c r="M562" s="109">
        <f t="shared" si="816"/>
        <v>0</v>
      </c>
      <c r="N562" s="109">
        <f t="shared" si="817"/>
        <v>196.55999999999997</v>
      </c>
      <c r="O562" s="109">
        <f t="shared" si="818"/>
        <v>0</v>
      </c>
      <c r="P562" s="109">
        <f t="shared" si="819"/>
        <v>0</v>
      </c>
      <c r="Q562" s="109">
        <f t="shared" si="820"/>
        <v>196.55999999999997</v>
      </c>
      <c r="R562" s="121" t="s">
        <v>2343</v>
      </c>
      <c r="T562" s="188"/>
    </row>
    <row r="563" spans="1:20" x14ac:dyDescent="0.25">
      <c r="A563" s="100"/>
      <c r="B563" s="3">
        <v>5</v>
      </c>
      <c r="C563" s="5" t="s">
        <v>190</v>
      </c>
      <c r="D563" s="3" t="s">
        <v>89</v>
      </c>
      <c r="E563" s="100" t="str">
        <f>IFERROR(VLOOKUP(C563,Resources!B:D,3,FALSE)," ")</f>
        <v>M</v>
      </c>
      <c r="F563" s="8">
        <v>1</v>
      </c>
      <c r="G563" s="8">
        <v>1</v>
      </c>
      <c r="H563" s="8">
        <f>H558*18*1.2/1.5</f>
        <v>14.399999999999999</v>
      </c>
      <c r="I563" s="109">
        <f>IFERROR(VLOOKUP(C563,Resources!B:G,6,FALSE)," ")</f>
        <v>3</v>
      </c>
      <c r="J563" s="109">
        <f t="shared" si="814"/>
        <v>43.199999999999996</v>
      </c>
      <c r="K563" s="8"/>
      <c r="L563" s="8" t="str">
        <f t="shared" si="815"/>
        <v xml:space="preserve"> </v>
      </c>
      <c r="M563" s="109">
        <f t="shared" si="816"/>
        <v>0</v>
      </c>
      <c r="N563" s="109">
        <f t="shared" si="817"/>
        <v>43.199999999999996</v>
      </c>
      <c r="O563" s="109">
        <f t="shared" si="818"/>
        <v>0</v>
      </c>
      <c r="P563" s="109">
        <f t="shared" si="819"/>
        <v>0</v>
      </c>
      <c r="Q563" s="109">
        <f t="shared" si="820"/>
        <v>43.199999999999996</v>
      </c>
      <c r="R563" s="121" t="s">
        <v>2343</v>
      </c>
      <c r="T563" s="188"/>
    </row>
    <row r="564" spans="1:20" x14ac:dyDescent="0.25">
      <c r="A564" s="101"/>
      <c r="B564" s="4">
        <v>6</v>
      </c>
      <c r="C564" s="6" t="s">
        <v>191</v>
      </c>
      <c r="D564" s="4"/>
      <c r="E564" s="101" t="str">
        <f>IFERROR(VLOOKUP(C564,Resources!B:D,3,FALSE)," ")</f>
        <v xml:space="preserve"> </v>
      </c>
      <c r="F564" s="9"/>
      <c r="G564" s="9"/>
      <c r="H564" s="9"/>
      <c r="I564" s="38" t="str">
        <f>IFERROR(VLOOKUP(C564,Resources!B:G,6,FALSE)," ")</f>
        <v xml:space="preserve"> </v>
      </c>
      <c r="J564" s="38"/>
      <c r="K564" s="9"/>
      <c r="L564" s="9"/>
      <c r="M564" s="38"/>
      <c r="N564" s="38"/>
      <c r="O564" s="38"/>
      <c r="P564" s="38"/>
      <c r="Q564" s="38"/>
      <c r="R564" s="122"/>
      <c r="T564" s="188"/>
    </row>
    <row r="565" spans="1:20" x14ac:dyDescent="0.25">
      <c r="A565" s="100">
        <v>76.099999999999994</v>
      </c>
      <c r="B565" s="3">
        <v>7</v>
      </c>
      <c r="C565" s="5" t="s">
        <v>63</v>
      </c>
      <c r="D565" s="3" t="s">
        <v>48</v>
      </c>
      <c r="E565" s="100" t="str">
        <f>IFERROR(VLOOKUP(C565,Resources!B:D,3,FALSE)," ")</f>
        <v>P</v>
      </c>
      <c r="F565" s="8">
        <v>1</v>
      </c>
      <c r="G565" s="103">
        <f>VLOOKUP($A565,'Model Inputs'!$A:$D,4,FALSE)</f>
        <v>10</v>
      </c>
      <c r="H565" s="8">
        <f>H558*18*0.1</f>
        <v>1.8</v>
      </c>
      <c r="I565" s="109">
        <f>IFERROR(VLOOKUP(C565,Resources!B:G,6,FALSE)," ")</f>
        <v>135</v>
      </c>
      <c r="J565" s="109">
        <f t="shared" ref="J565:J567" si="821">(H565/(G565/F565))*I565</f>
        <v>24.3</v>
      </c>
      <c r="K565" s="8">
        <f t="shared" ref="K565:K567" si="822">L565*F565</f>
        <v>0.18</v>
      </c>
      <c r="L565" s="8">
        <f t="shared" ref="L565:L567" si="823">IF(E565="M"," ",H565/G565)</f>
        <v>0.18</v>
      </c>
      <c r="M565" s="109">
        <f t="shared" ref="M565:M567" si="824">IF($E565="L",$J565,0)</f>
        <v>0</v>
      </c>
      <c r="N565" s="109">
        <f t="shared" ref="N565:N567" si="825">IF($E565="M",$J565,0)</f>
        <v>0</v>
      </c>
      <c r="O565" s="109">
        <f t="shared" ref="O565:O567" si="826">IF($E565="P",$J565,0)</f>
        <v>24.3</v>
      </c>
      <c r="P565" s="109">
        <f t="shared" ref="P565:P567" si="827">IF($E565="S",$J565,0)</f>
        <v>0</v>
      </c>
      <c r="Q565" s="109">
        <f t="shared" ref="Q565:Q567" si="828">SUM(M565:P565)</f>
        <v>24.3</v>
      </c>
      <c r="R565" s="121">
        <v>71</v>
      </c>
      <c r="T565" s="188"/>
    </row>
    <row r="566" spans="1:20" x14ac:dyDescent="0.25">
      <c r="A566" s="100"/>
      <c r="B566" s="3">
        <v>8</v>
      </c>
      <c r="C566" s="5" t="s">
        <v>173</v>
      </c>
      <c r="D566" s="3" t="s">
        <v>48</v>
      </c>
      <c r="E566" s="100" t="str">
        <f>IFERROR(VLOOKUP(C566,Resources!B:D,3,FALSE)," ")</f>
        <v>P</v>
      </c>
      <c r="F566" s="8">
        <v>1</v>
      </c>
      <c r="G566" s="8">
        <f>G565</f>
        <v>10</v>
      </c>
      <c r="H566" s="8">
        <f>H565</f>
        <v>1.8</v>
      </c>
      <c r="I566" s="109">
        <f>IFERROR(VLOOKUP(C566,Resources!B:G,6,FALSE)," ")</f>
        <v>95</v>
      </c>
      <c r="J566" s="109">
        <f t="shared" si="821"/>
        <v>17.099999999999998</v>
      </c>
      <c r="K566" s="8">
        <f t="shared" si="822"/>
        <v>0.18</v>
      </c>
      <c r="L566" s="8">
        <f t="shared" si="823"/>
        <v>0.18</v>
      </c>
      <c r="M566" s="109">
        <f t="shared" si="824"/>
        <v>0</v>
      </c>
      <c r="N566" s="109">
        <f t="shared" si="825"/>
        <v>0</v>
      </c>
      <c r="O566" s="109">
        <f t="shared" si="826"/>
        <v>17.099999999999998</v>
      </c>
      <c r="P566" s="109">
        <f t="shared" si="827"/>
        <v>0</v>
      </c>
      <c r="Q566" s="109">
        <f t="shared" si="828"/>
        <v>17.099999999999998</v>
      </c>
      <c r="R566" s="121">
        <v>71</v>
      </c>
      <c r="T566" s="188"/>
    </row>
    <row r="567" spans="1:20" x14ac:dyDescent="0.25">
      <c r="A567" s="100"/>
      <c r="B567" s="3">
        <v>9</v>
      </c>
      <c r="C567" s="5" t="s">
        <v>8</v>
      </c>
      <c r="D567" s="3" t="s">
        <v>48</v>
      </c>
      <c r="E567" s="100" t="str">
        <f>IFERROR(VLOOKUP(C567,Resources!B:D,3,FALSE)," ")</f>
        <v>L</v>
      </c>
      <c r="F567" s="8">
        <v>1</v>
      </c>
      <c r="G567" s="8">
        <f>G565</f>
        <v>10</v>
      </c>
      <c r="H567" s="8">
        <f>H565</f>
        <v>1.8</v>
      </c>
      <c r="I567" s="109">
        <f>IFERROR(VLOOKUP(C567,Resources!B:G,6,FALSE)," ")</f>
        <v>42</v>
      </c>
      <c r="J567" s="109">
        <f t="shared" si="821"/>
        <v>7.56</v>
      </c>
      <c r="K567" s="8">
        <f t="shared" si="822"/>
        <v>0.18</v>
      </c>
      <c r="L567" s="8">
        <f t="shared" si="823"/>
        <v>0.18</v>
      </c>
      <c r="M567" s="109">
        <f t="shared" si="824"/>
        <v>7.56</v>
      </c>
      <c r="N567" s="109">
        <f t="shared" si="825"/>
        <v>0</v>
      </c>
      <c r="O567" s="109">
        <f t="shared" si="826"/>
        <v>0</v>
      </c>
      <c r="P567" s="109">
        <f t="shared" si="827"/>
        <v>0</v>
      </c>
      <c r="Q567" s="109">
        <f t="shared" si="828"/>
        <v>7.56</v>
      </c>
      <c r="R567" s="121">
        <v>71</v>
      </c>
      <c r="T567" s="188"/>
    </row>
    <row r="568" spans="1:20" x14ac:dyDescent="0.25">
      <c r="A568" s="101"/>
      <c r="B568" s="4">
        <v>10</v>
      </c>
      <c r="C568" s="6" t="s">
        <v>192</v>
      </c>
      <c r="D568" s="4"/>
      <c r="E568" s="101" t="str">
        <f>IFERROR(VLOOKUP(C568,Resources!B:D,3,FALSE)," ")</f>
        <v xml:space="preserve"> </v>
      </c>
      <c r="F568" s="9"/>
      <c r="G568" s="9"/>
      <c r="H568" s="9"/>
      <c r="I568" s="38" t="str">
        <f>IFERROR(VLOOKUP(C568,Resources!B:G,6,FALSE)," ")</f>
        <v xml:space="preserve"> </v>
      </c>
      <c r="J568" s="38"/>
      <c r="K568" s="9"/>
      <c r="L568" s="9"/>
      <c r="M568" s="38"/>
      <c r="N568" s="38"/>
      <c r="O568" s="38"/>
      <c r="P568" s="38"/>
      <c r="Q568" s="38"/>
      <c r="R568" s="122"/>
      <c r="T568" s="188"/>
    </row>
    <row r="569" spans="1:20" x14ac:dyDescent="0.25">
      <c r="A569" s="100"/>
      <c r="B569" s="3">
        <v>11</v>
      </c>
      <c r="C569" s="5" t="s">
        <v>84</v>
      </c>
      <c r="D569" s="3" t="s">
        <v>29</v>
      </c>
      <c r="E569" s="100" t="str">
        <f>IFERROR(VLOOKUP(C569,Resources!B:D,3,FALSE)," ")</f>
        <v>M</v>
      </c>
      <c r="F569" s="8">
        <v>1</v>
      </c>
      <c r="G569" s="8">
        <v>1</v>
      </c>
      <c r="H569" s="8">
        <f>H558*18/0.9</f>
        <v>20</v>
      </c>
      <c r="I569" s="109">
        <f>IFERROR(VLOOKUP(C569,Resources!B:G,6,FALSE)," ")</f>
        <v>0.8</v>
      </c>
      <c r="J569" s="109">
        <f t="shared" ref="J569:J570" si="829">(H569/(G569/F569))*I569</f>
        <v>16</v>
      </c>
      <c r="K569" s="8"/>
      <c r="L569" s="8" t="str">
        <f t="shared" ref="L569" si="830">IF(E569="M"," ",H569/G569)</f>
        <v xml:space="preserve"> </v>
      </c>
      <c r="M569" s="109">
        <f t="shared" ref="M569:M570" si="831">IF($E569="L",$J569,0)</f>
        <v>0</v>
      </c>
      <c r="N569" s="109">
        <f t="shared" ref="N569:N570" si="832">IF($E569="M",$J569,0)</f>
        <v>16</v>
      </c>
      <c r="O569" s="109">
        <f t="shared" ref="O569:O570" si="833">IF($E569="P",$J569,0)</f>
        <v>0</v>
      </c>
      <c r="P569" s="109">
        <f t="shared" ref="P569:P570" si="834">IF($E569="S",$J569,0)</f>
        <v>0</v>
      </c>
      <c r="Q569" s="109">
        <f t="shared" ref="Q569:Q570" si="835">SUM(M569:P569)</f>
        <v>16</v>
      </c>
      <c r="R569" s="121" t="s">
        <v>2343</v>
      </c>
      <c r="T569" s="188"/>
    </row>
    <row r="570" spans="1:20" x14ac:dyDescent="0.25">
      <c r="A570" s="100"/>
      <c r="B570" s="3">
        <v>12</v>
      </c>
      <c r="C570" s="5" t="s">
        <v>193</v>
      </c>
      <c r="D570" s="3" t="s">
        <v>83</v>
      </c>
      <c r="E570" s="100" t="str">
        <f>IFERROR(VLOOKUP(C570,Resources!B:D,3,FALSE)," ")</f>
        <v>S</v>
      </c>
      <c r="F570" s="8">
        <v>1</v>
      </c>
      <c r="G570" s="8">
        <v>1</v>
      </c>
      <c r="H570" s="8">
        <f>H558*18</f>
        <v>18</v>
      </c>
      <c r="I570" s="109">
        <f>IFERROR(VLOOKUP(C570,Resources!B:G,6,FALSE)," ")</f>
        <v>32</v>
      </c>
      <c r="J570" s="109">
        <f t="shared" si="829"/>
        <v>576</v>
      </c>
      <c r="K570" s="8"/>
      <c r="L570" s="8">
        <f>H570/25</f>
        <v>0.72</v>
      </c>
      <c r="M570" s="109">
        <f t="shared" si="831"/>
        <v>0</v>
      </c>
      <c r="N570" s="109">
        <f t="shared" si="832"/>
        <v>0</v>
      </c>
      <c r="O570" s="109">
        <f t="shared" si="833"/>
        <v>0</v>
      </c>
      <c r="P570" s="109">
        <f t="shared" si="834"/>
        <v>576</v>
      </c>
      <c r="Q570" s="109">
        <f t="shared" si="835"/>
        <v>576</v>
      </c>
      <c r="R570" s="121">
        <v>71</v>
      </c>
      <c r="T570" s="188"/>
    </row>
    <row r="571" spans="1:20" x14ac:dyDescent="0.25">
      <c r="A571" s="101"/>
      <c r="B571" s="4"/>
      <c r="C571" s="6"/>
      <c r="D571" s="4"/>
      <c r="E571" s="101" t="str">
        <f>IFERROR(VLOOKUP(C571,Resources!B:D,3,FALSE)," ")</f>
        <v xml:space="preserve"> </v>
      </c>
      <c r="F571" s="9"/>
      <c r="G571" s="9"/>
      <c r="H571" s="9"/>
      <c r="I571" s="38" t="str">
        <f>IFERROR(VLOOKUP(C571,Resources!B:G,6,FALSE)," ")</f>
        <v xml:space="preserve"> </v>
      </c>
      <c r="J571" s="38"/>
      <c r="K571" s="9"/>
      <c r="L571" s="9"/>
      <c r="M571" s="38"/>
      <c r="N571" s="38"/>
      <c r="O571" s="38"/>
      <c r="P571" s="38"/>
      <c r="Q571" s="38"/>
      <c r="R571" s="122"/>
      <c r="T571" s="188"/>
    </row>
    <row r="572" spans="1:20" ht="30" x14ac:dyDescent="0.25">
      <c r="A572" s="114">
        <v>77</v>
      </c>
      <c r="B572" s="1" t="s">
        <v>298</v>
      </c>
      <c r="C572" s="1" t="s">
        <v>299</v>
      </c>
      <c r="D572" s="2" t="s">
        <v>20</v>
      </c>
      <c r="E572" s="99" t="str">
        <f>IFERROR(VLOOKUP(C572,Resources!B:D,3,FALSE)," ")</f>
        <v xml:space="preserve"> </v>
      </c>
      <c r="F572" s="7"/>
      <c r="G572" s="7"/>
      <c r="H572" s="103">
        <f>VLOOKUP($A572,'Model Inputs'!$A:$D,4,FALSE)</f>
        <v>1</v>
      </c>
      <c r="I572" s="108" t="str">
        <f>IFERROR(VLOOKUP(C572,Resources!B:G,6,FALSE)," ")</f>
        <v xml:space="preserve"> </v>
      </c>
      <c r="J572" s="108">
        <f>SUBTOTAL(9,J573)</f>
        <v>5000</v>
      </c>
      <c r="K572" s="7"/>
      <c r="L572" s="7">
        <v>1</v>
      </c>
      <c r="M572" s="108">
        <f t="shared" ref="M572:Q572" si="836">SUBTOTAL(9,M573)</f>
        <v>0</v>
      </c>
      <c r="N572" s="108">
        <f t="shared" si="836"/>
        <v>0</v>
      </c>
      <c r="O572" s="108">
        <f t="shared" si="836"/>
        <v>0</v>
      </c>
      <c r="P572" s="108">
        <f t="shared" si="836"/>
        <v>5000</v>
      </c>
      <c r="Q572" s="108">
        <f t="shared" si="836"/>
        <v>5000</v>
      </c>
      <c r="R572" s="120"/>
      <c r="T572" s="188"/>
    </row>
    <row r="573" spans="1:20" x14ac:dyDescent="0.25">
      <c r="A573" s="100"/>
      <c r="B573" s="3">
        <v>1</v>
      </c>
      <c r="C573" s="5" t="s">
        <v>2277</v>
      </c>
      <c r="D573" s="3" t="s">
        <v>33</v>
      </c>
      <c r="E573" s="100" t="str">
        <f>IFERROR(VLOOKUP(C573,Resources!B:D,3,FALSE)," ")</f>
        <v>S</v>
      </c>
      <c r="F573" s="8">
        <v>1</v>
      </c>
      <c r="G573" s="8">
        <v>1</v>
      </c>
      <c r="H573" s="8">
        <f>H572*125</f>
        <v>125</v>
      </c>
      <c r="I573" s="109">
        <f>IFERROR(VLOOKUP(C573,Resources!B:G,6,FALSE)," ")</f>
        <v>40</v>
      </c>
      <c r="J573" s="109">
        <f t="shared" ref="J573" si="837">(H573/(G573/F573))*I573</f>
        <v>5000</v>
      </c>
      <c r="K573" s="8"/>
      <c r="L573" s="8"/>
      <c r="M573" s="109">
        <f t="shared" ref="M573" si="838">IF($E573="L",$J573,0)</f>
        <v>0</v>
      </c>
      <c r="N573" s="109">
        <f t="shared" ref="N573" si="839">IF($E573="M",$J573,0)</f>
        <v>0</v>
      </c>
      <c r="O573" s="109">
        <f t="shared" ref="O573" si="840">IF($E573="P",$J573,0)</f>
        <v>0</v>
      </c>
      <c r="P573" s="109">
        <f t="shared" ref="P573" si="841">IF($E573="S",$J573,0)</f>
        <v>5000</v>
      </c>
      <c r="Q573" s="109">
        <f t="shared" ref="Q573" si="842">SUM(M573:P573)</f>
        <v>5000</v>
      </c>
      <c r="R573" s="121">
        <v>67</v>
      </c>
      <c r="T573" s="188"/>
    </row>
    <row r="574" spans="1:20" x14ac:dyDescent="0.25">
      <c r="A574" s="101"/>
      <c r="B574" s="4"/>
      <c r="C574" s="6"/>
      <c r="D574" s="4"/>
      <c r="E574" s="101" t="str">
        <f>IFERROR(VLOOKUP(C574,Resources!B:D,3,FALSE)," ")</f>
        <v xml:space="preserve"> </v>
      </c>
      <c r="F574" s="9"/>
      <c r="G574" s="9"/>
      <c r="H574" s="9"/>
      <c r="I574" s="38" t="str">
        <f>IFERROR(VLOOKUP(C574,Resources!B:G,6,FALSE)," ")</f>
        <v xml:space="preserve"> </v>
      </c>
      <c r="J574" s="38"/>
      <c r="K574" s="9"/>
      <c r="L574" s="9"/>
      <c r="M574" s="38"/>
      <c r="N574" s="38"/>
      <c r="O574" s="38"/>
      <c r="P574" s="38"/>
      <c r="Q574" s="38"/>
      <c r="R574" s="122"/>
      <c r="T574" s="188"/>
    </row>
    <row r="575" spans="1:20" ht="30" x14ac:dyDescent="0.25">
      <c r="A575" s="114"/>
      <c r="B575" s="1" t="s">
        <v>300</v>
      </c>
      <c r="C575" s="1" t="s">
        <v>145</v>
      </c>
      <c r="D575" s="2"/>
      <c r="E575" s="99" t="str">
        <f>IFERROR(VLOOKUP(C575,Resources!B:D,3,FALSE)," ")</f>
        <v xml:space="preserve"> </v>
      </c>
      <c r="F575" s="7"/>
      <c r="G575" s="7"/>
      <c r="H575" s="7"/>
      <c r="I575" s="108" t="str">
        <f>IFERROR(VLOOKUP(C575,Resources!B:G,6,FALSE)," ")</f>
        <v xml:space="preserve"> </v>
      </c>
      <c r="J575" s="108"/>
      <c r="K575" s="7"/>
      <c r="L575" s="7"/>
      <c r="M575" s="108" t="s">
        <v>15</v>
      </c>
      <c r="N575" s="108"/>
      <c r="O575" s="108"/>
      <c r="P575" s="108"/>
      <c r="Q575" s="108"/>
      <c r="R575" s="120"/>
      <c r="T575" s="188"/>
    </row>
    <row r="576" spans="1:20" ht="30" x14ac:dyDescent="0.25">
      <c r="A576" s="114">
        <v>78</v>
      </c>
      <c r="B576" s="1" t="s">
        <v>301</v>
      </c>
      <c r="C576" s="1" t="s">
        <v>147</v>
      </c>
      <c r="D576" s="2" t="s">
        <v>20</v>
      </c>
      <c r="E576" s="99" t="str">
        <f>IFERROR(VLOOKUP(C576,Resources!B:D,3,FALSE)," ")</f>
        <v xml:space="preserve"> </v>
      </c>
      <c r="F576" s="7"/>
      <c r="G576" s="7"/>
      <c r="H576" s="103">
        <f>VLOOKUP($A576,'Model Inputs'!$A:$D,4,FALSE)</f>
        <v>1</v>
      </c>
      <c r="I576" s="108" t="str">
        <f>IFERROR(VLOOKUP(C576,Resources!B:G,6,FALSE)," ")</f>
        <v xml:space="preserve"> </v>
      </c>
      <c r="J576" s="108">
        <f>SUBTOTAL(9,J577)</f>
        <v>2500</v>
      </c>
      <c r="K576" s="7"/>
      <c r="L576" s="7">
        <f>ROUNDUP(L577/Workhrs,0)</f>
        <v>3</v>
      </c>
      <c r="M576" s="108">
        <f t="shared" ref="M576:Q576" si="843">SUBTOTAL(9,M577)</f>
        <v>0</v>
      </c>
      <c r="N576" s="108">
        <f t="shared" si="843"/>
        <v>0</v>
      </c>
      <c r="O576" s="108">
        <f t="shared" si="843"/>
        <v>0</v>
      </c>
      <c r="P576" s="108">
        <f t="shared" si="843"/>
        <v>2500</v>
      </c>
      <c r="Q576" s="108">
        <f t="shared" si="843"/>
        <v>2500</v>
      </c>
      <c r="R576" s="120"/>
      <c r="T576" s="188"/>
    </row>
    <row r="577" spans="1:20" x14ac:dyDescent="0.25">
      <c r="A577" s="100"/>
      <c r="B577" s="3">
        <v>1</v>
      </c>
      <c r="C577" s="5" t="s">
        <v>148</v>
      </c>
      <c r="D577" s="3" t="s">
        <v>33</v>
      </c>
      <c r="E577" s="100" t="str">
        <f>IFERROR(VLOOKUP(C577,Resources!B:D,3,FALSE)," ")</f>
        <v>S</v>
      </c>
      <c r="F577" s="8">
        <v>1</v>
      </c>
      <c r="G577" s="8">
        <v>1</v>
      </c>
      <c r="H577" s="8">
        <f>H576*2500</f>
        <v>2500</v>
      </c>
      <c r="I577" s="109">
        <f>IFERROR(VLOOKUP(C577,Resources!B:G,6,FALSE)," ")</f>
        <v>1</v>
      </c>
      <c r="J577" s="109">
        <f t="shared" ref="J577" si="844">(H577/(G577/F577))*I577</f>
        <v>2500</v>
      </c>
      <c r="K577" s="8"/>
      <c r="L577" s="8">
        <f>H577/125</f>
        <v>20</v>
      </c>
      <c r="M577" s="109">
        <f t="shared" ref="M577" si="845">IF($E577="L",$J577,0)</f>
        <v>0</v>
      </c>
      <c r="N577" s="109">
        <f t="shared" ref="N577" si="846">IF($E577="M",$J577,0)</f>
        <v>0</v>
      </c>
      <c r="O577" s="109">
        <f t="shared" ref="O577" si="847">IF($E577="P",$J577,0)</f>
        <v>0</v>
      </c>
      <c r="P577" s="109">
        <f t="shared" ref="P577" si="848">IF($E577="S",$J577,0)</f>
        <v>2500</v>
      </c>
      <c r="Q577" s="109">
        <f t="shared" ref="Q577" si="849">SUM(M577:P577)</f>
        <v>2500</v>
      </c>
      <c r="R577" s="121">
        <v>12</v>
      </c>
      <c r="T577" s="188"/>
    </row>
    <row r="578" spans="1:20" x14ac:dyDescent="0.25">
      <c r="A578" s="101"/>
      <c r="B578" s="4"/>
      <c r="C578" s="6"/>
      <c r="D578" s="4"/>
      <c r="E578" s="101" t="str">
        <f>IFERROR(VLOOKUP(C578,Resources!B:D,3,FALSE)," ")</f>
        <v xml:space="preserve"> </v>
      </c>
      <c r="F578" s="9"/>
      <c r="G578" s="9"/>
      <c r="H578" s="9"/>
      <c r="I578" s="38" t="str">
        <f>IFERROR(VLOOKUP(C578,Resources!B:G,6,FALSE)," ")</f>
        <v xml:space="preserve"> </v>
      </c>
      <c r="J578" s="38"/>
      <c r="K578" s="9"/>
      <c r="L578" s="9"/>
      <c r="M578" s="38"/>
      <c r="N578" s="38"/>
      <c r="O578" s="38"/>
      <c r="P578" s="38"/>
      <c r="Q578" s="38"/>
      <c r="R578" s="122"/>
      <c r="T578" s="188"/>
    </row>
    <row r="579" spans="1:20" ht="30" x14ac:dyDescent="0.25">
      <c r="A579" s="114">
        <v>400</v>
      </c>
      <c r="B579" s="1" t="s">
        <v>302</v>
      </c>
      <c r="C579" s="1" t="s">
        <v>303</v>
      </c>
      <c r="D579" s="2"/>
      <c r="E579" s="99" t="str">
        <f>IFERROR(VLOOKUP(C579,Resources!B:D,3,FALSE)," ")</f>
        <v xml:space="preserve"> </v>
      </c>
      <c r="F579" s="7"/>
      <c r="G579" s="7"/>
      <c r="H579" s="7"/>
      <c r="I579" s="108" t="str">
        <f>IFERROR(VLOOKUP(C579,Resources!B:G,6,FALSE)," ")</f>
        <v xml:space="preserve"> </v>
      </c>
      <c r="J579" s="108"/>
      <c r="K579" s="7"/>
      <c r="L579" s="7"/>
      <c r="M579" s="108" t="s">
        <v>15</v>
      </c>
      <c r="N579" s="108"/>
      <c r="O579" s="108"/>
      <c r="P579" s="108"/>
      <c r="Q579" s="108"/>
      <c r="R579" s="120"/>
      <c r="T579" s="188"/>
    </row>
    <row r="580" spans="1:20" ht="75" x14ac:dyDescent="0.25">
      <c r="A580" s="114">
        <v>79</v>
      </c>
      <c r="B580" s="1" t="s">
        <v>304</v>
      </c>
      <c r="C580" s="1" t="s">
        <v>305</v>
      </c>
      <c r="D580" s="2" t="s">
        <v>89</v>
      </c>
      <c r="E580" s="99" t="str">
        <f>IFERROR(VLOOKUP(C580,Resources!B:D,3,FALSE)," ")</f>
        <v xml:space="preserve"> </v>
      </c>
      <c r="F580" s="7"/>
      <c r="G580" s="7"/>
      <c r="H580" s="103">
        <f>VLOOKUP($A580,'Model Inputs'!$A:$D,4,FALSE)</f>
        <v>156</v>
      </c>
      <c r="I580" s="108" t="str">
        <f>IFERROR(VLOOKUP(C580,Resources!B:G,6,FALSE)," ")</f>
        <v xml:space="preserve"> </v>
      </c>
      <c r="J580" s="108">
        <f>SUBTOTAL(9,J581)</f>
        <v>7020</v>
      </c>
      <c r="K580" s="7"/>
      <c r="L580" s="7">
        <f>ROUNDUP(L581,0)</f>
        <v>2</v>
      </c>
      <c r="M580" s="108">
        <f t="shared" ref="M580" si="850">SUBTOTAL(9,M581)</f>
        <v>0</v>
      </c>
      <c r="N580" s="108">
        <f t="shared" ref="N580" si="851">SUBTOTAL(9,N581)</f>
        <v>0</v>
      </c>
      <c r="O580" s="108">
        <f t="shared" ref="O580" si="852">SUBTOTAL(9,O581)</f>
        <v>0</v>
      </c>
      <c r="P580" s="108">
        <f t="shared" ref="P580" si="853">SUBTOTAL(9,P581)</f>
        <v>7020</v>
      </c>
      <c r="Q580" s="108">
        <f t="shared" ref="Q580" si="854">SUBTOTAL(9,Q581)</f>
        <v>7020</v>
      </c>
      <c r="R580" s="120"/>
      <c r="T580" s="188"/>
    </row>
    <row r="581" spans="1:20" x14ac:dyDescent="0.25">
      <c r="A581" s="100"/>
      <c r="B581" s="3">
        <v>1</v>
      </c>
      <c r="C581" s="5" t="s">
        <v>306</v>
      </c>
      <c r="D581" s="3" t="s">
        <v>33</v>
      </c>
      <c r="E581" s="100" t="str">
        <f>IFERROR(VLOOKUP(C581,Resources!B:D,3,FALSE)," ")</f>
        <v>S</v>
      </c>
      <c r="F581" s="8">
        <v>1</v>
      </c>
      <c r="G581" s="8">
        <v>1</v>
      </c>
      <c r="H581" s="8">
        <f>H580*7020/156</f>
        <v>7020</v>
      </c>
      <c r="I581" s="109">
        <f>IFERROR(VLOOKUP(C581,Resources!B:G,6,FALSE)," ")</f>
        <v>1</v>
      </c>
      <c r="J581" s="109">
        <f t="shared" ref="J581" si="855">(H581/(G581/F581))*I581</f>
        <v>7020</v>
      </c>
      <c r="K581" s="8"/>
      <c r="L581" s="8">
        <f>H580/100</f>
        <v>1.56</v>
      </c>
      <c r="M581" s="109">
        <f t="shared" ref="M581" si="856">IF($E581="L",$J581,0)</f>
        <v>0</v>
      </c>
      <c r="N581" s="109">
        <f t="shared" ref="N581" si="857">IF($E581="M",$J581,0)</f>
        <v>0</v>
      </c>
      <c r="O581" s="109">
        <f t="shared" ref="O581" si="858">IF($E581="P",$J581,0)</f>
        <v>0</v>
      </c>
      <c r="P581" s="109">
        <f t="shared" ref="P581" si="859">IF($E581="S",$J581,0)</f>
        <v>7020</v>
      </c>
      <c r="Q581" s="109">
        <f t="shared" ref="Q581" si="860">SUM(M581:P581)</f>
        <v>7020</v>
      </c>
      <c r="R581" s="121">
        <v>103</v>
      </c>
      <c r="T581" s="188"/>
    </row>
    <row r="582" spans="1:20" x14ac:dyDescent="0.25">
      <c r="A582" s="101"/>
      <c r="B582" s="4"/>
      <c r="C582" s="6"/>
      <c r="D582" s="4"/>
      <c r="E582" s="101" t="str">
        <f>IFERROR(VLOOKUP(C582,Resources!B:D,3,FALSE)," ")</f>
        <v xml:space="preserve"> </v>
      </c>
      <c r="F582" s="9"/>
      <c r="G582" s="9"/>
      <c r="H582" s="9"/>
      <c r="I582" s="38" t="str">
        <f>IFERROR(VLOOKUP(C582,Resources!B:G,6,FALSE)," ")</f>
        <v xml:space="preserve"> </v>
      </c>
      <c r="J582" s="38"/>
      <c r="K582" s="9"/>
      <c r="L582" s="9"/>
      <c r="M582" s="38"/>
      <c r="N582" s="38"/>
      <c r="O582" s="38"/>
      <c r="P582" s="38"/>
      <c r="Q582" s="38"/>
      <c r="R582" s="122"/>
      <c r="T582" s="188"/>
    </row>
    <row r="583" spans="1:20" ht="30" x14ac:dyDescent="0.25">
      <c r="A583" s="114"/>
      <c r="B583" s="1" t="s">
        <v>307</v>
      </c>
      <c r="C583" s="1" t="s">
        <v>308</v>
      </c>
      <c r="D583" s="2"/>
      <c r="E583" s="99" t="str">
        <f>IFERROR(VLOOKUP(C583,Resources!B:D,3,FALSE)," ")</f>
        <v xml:space="preserve"> </v>
      </c>
      <c r="F583" s="7"/>
      <c r="G583" s="7"/>
      <c r="H583" s="7"/>
      <c r="I583" s="108" t="str">
        <f>IFERROR(VLOOKUP(C583,Resources!B:G,6,FALSE)," ")</f>
        <v xml:space="preserve"> </v>
      </c>
      <c r="J583" s="108"/>
      <c r="K583" s="7"/>
      <c r="L583" s="7"/>
      <c r="M583" s="108" t="s">
        <v>15</v>
      </c>
      <c r="N583" s="108"/>
      <c r="O583" s="108"/>
      <c r="P583" s="108"/>
      <c r="Q583" s="108"/>
      <c r="R583" s="120"/>
      <c r="T583" s="188"/>
    </row>
    <row r="584" spans="1:20" ht="30" x14ac:dyDescent="0.25">
      <c r="A584" s="114">
        <v>80</v>
      </c>
      <c r="B584" s="1" t="s">
        <v>309</v>
      </c>
      <c r="C584" s="1" t="s">
        <v>310</v>
      </c>
      <c r="D584" s="2" t="s">
        <v>89</v>
      </c>
      <c r="E584" s="99" t="str">
        <f>IFERROR(VLOOKUP(C584,Resources!B:D,3,FALSE)," ")</f>
        <v xml:space="preserve"> </v>
      </c>
      <c r="F584" s="7"/>
      <c r="G584" s="7"/>
      <c r="H584" s="103">
        <f>VLOOKUP($A584,'Model Inputs'!$A:$D,4,FALSE)</f>
        <v>156</v>
      </c>
      <c r="I584" s="108" t="str">
        <f>IFERROR(VLOOKUP(C584,Resources!B:G,6,FALSE)," ")</f>
        <v xml:space="preserve"> </v>
      </c>
      <c r="J584" s="108">
        <f>SUBTOTAL(9,J585)</f>
        <v>39000</v>
      </c>
      <c r="K584" s="7"/>
      <c r="L584" s="7">
        <f>ROUNDUP(L585,0)</f>
        <v>2</v>
      </c>
      <c r="M584" s="108">
        <f t="shared" ref="M584" si="861">SUBTOTAL(9,M585)</f>
        <v>0</v>
      </c>
      <c r="N584" s="108">
        <f t="shared" ref="N584" si="862">SUBTOTAL(9,N585)</f>
        <v>0</v>
      </c>
      <c r="O584" s="108">
        <f t="shared" ref="O584" si="863">SUBTOTAL(9,O585)</f>
        <v>0</v>
      </c>
      <c r="P584" s="108">
        <f t="shared" ref="P584" si="864">SUBTOTAL(9,P585)</f>
        <v>39000</v>
      </c>
      <c r="Q584" s="108">
        <f t="shared" ref="Q584" si="865">SUBTOTAL(9,Q585)</f>
        <v>39000</v>
      </c>
      <c r="R584" s="120"/>
      <c r="T584" s="188"/>
    </row>
    <row r="585" spans="1:20" x14ac:dyDescent="0.25">
      <c r="A585" s="100"/>
      <c r="B585" s="3">
        <v>1</v>
      </c>
      <c r="C585" s="5" t="s">
        <v>306</v>
      </c>
      <c r="D585" s="3" t="s">
        <v>33</v>
      </c>
      <c r="E585" s="100" t="str">
        <f>IFERROR(VLOOKUP(C585,Resources!B:D,3,FALSE)," ")</f>
        <v>S</v>
      </c>
      <c r="F585" s="8">
        <v>1</v>
      </c>
      <c r="G585" s="8">
        <v>1</v>
      </c>
      <c r="H585" s="8">
        <f>H584*39000/156</f>
        <v>39000</v>
      </c>
      <c r="I585" s="109">
        <f>IFERROR(VLOOKUP(C585,Resources!B:G,6,FALSE)," ")</f>
        <v>1</v>
      </c>
      <c r="J585" s="109">
        <f t="shared" ref="J585" si="866">(H585/(G585/F585))*I585</f>
        <v>39000</v>
      </c>
      <c r="K585" s="8"/>
      <c r="L585" s="8">
        <f>H584/100</f>
        <v>1.56</v>
      </c>
      <c r="M585" s="109">
        <f t="shared" ref="M585" si="867">IF($E585="L",$J585,0)</f>
        <v>0</v>
      </c>
      <c r="N585" s="109">
        <f t="shared" ref="N585" si="868">IF($E585="M",$J585,0)</f>
        <v>0</v>
      </c>
      <c r="O585" s="109">
        <f t="shared" ref="O585" si="869">IF($E585="P",$J585,0)</f>
        <v>0</v>
      </c>
      <c r="P585" s="109">
        <f t="shared" ref="P585" si="870">IF($E585="S",$J585,0)</f>
        <v>39000</v>
      </c>
      <c r="Q585" s="109">
        <f t="shared" ref="Q585" si="871">SUM(M585:P585)</f>
        <v>39000</v>
      </c>
      <c r="R585" s="121">
        <v>103</v>
      </c>
      <c r="T585" s="188"/>
    </row>
    <row r="586" spans="1:20" x14ac:dyDescent="0.25">
      <c r="A586" s="101"/>
      <c r="B586" s="4"/>
      <c r="C586" s="6"/>
      <c r="D586" s="4"/>
      <c r="E586" s="101" t="str">
        <f>IFERROR(VLOOKUP(C586,Resources!B:D,3,FALSE)," ")</f>
        <v xml:space="preserve"> </v>
      </c>
      <c r="F586" s="9"/>
      <c r="G586" s="9"/>
      <c r="H586" s="9"/>
      <c r="I586" s="38" t="str">
        <f>IFERROR(VLOOKUP(C586,Resources!B:G,6,FALSE)," ")</f>
        <v xml:space="preserve"> </v>
      </c>
      <c r="J586" s="38"/>
      <c r="K586" s="9"/>
      <c r="L586" s="9"/>
      <c r="M586" s="38"/>
      <c r="N586" s="38"/>
      <c r="O586" s="38"/>
      <c r="P586" s="38"/>
      <c r="Q586" s="38"/>
      <c r="R586" s="122"/>
      <c r="T586" s="188"/>
    </row>
    <row r="587" spans="1:20" ht="75" x14ac:dyDescent="0.25">
      <c r="A587" s="114"/>
      <c r="B587" s="1" t="s">
        <v>311</v>
      </c>
      <c r="C587" s="1" t="s">
        <v>312</v>
      </c>
      <c r="D587" s="2"/>
      <c r="E587" s="99" t="str">
        <f>IFERROR(VLOOKUP(C587,Resources!B:D,3,FALSE)," ")</f>
        <v xml:space="preserve"> </v>
      </c>
      <c r="F587" s="7"/>
      <c r="G587" s="7"/>
      <c r="H587" s="7"/>
      <c r="I587" s="108" t="str">
        <f>IFERROR(VLOOKUP(C587,Resources!B:G,6,FALSE)," ")</f>
        <v xml:space="preserve"> </v>
      </c>
      <c r="J587" s="108"/>
      <c r="K587" s="7"/>
      <c r="L587" s="7"/>
      <c r="M587" s="108"/>
      <c r="N587" s="108"/>
      <c r="O587" s="108"/>
      <c r="P587" s="108"/>
      <c r="Q587" s="108"/>
      <c r="R587" s="120"/>
      <c r="T587" s="188"/>
    </row>
    <row r="588" spans="1:20" ht="30" x14ac:dyDescent="0.25">
      <c r="A588" s="114">
        <v>81</v>
      </c>
      <c r="B588" s="1" t="s">
        <v>313</v>
      </c>
      <c r="C588" s="1" t="s">
        <v>314</v>
      </c>
      <c r="D588" s="2" t="s">
        <v>315</v>
      </c>
      <c r="E588" s="99" t="str">
        <f>IFERROR(VLOOKUP(C588,Resources!B:D,3,FALSE)," ")</f>
        <v xml:space="preserve"> </v>
      </c>
      <c r="F588" s="7"/>
      <c r="G588" s="7"/>
      <c r="H588" s="103">
        <f>VLOOKUP($A588,'Model Inputs'!$A:$D,4,FALSE)</f>
        <v>2</v>
      </c>
      <c r="I588" s="108" t="str">
        <f>IFERROR(VLOOKUP(C588,Resources!B:G,6,FALSE)," ")</f>
        <v xml:space="preserve"> </v>
      </c>
      <c r="J588" s="108">
        <f>SUBTOTAL(9,J589)</f>
        <v>4000</v>
      </c>
      <c r="K588" s="7"/>
      <c r="L588" s="7">
        <f>ROUNDUP(L589,0)</f>
        <v>1</v>
      </c>
      <c r="M588" s="108">
        <f t="shared" ref="M588" si="872">SUBTOTAL(9,M589)</f>
        <v>0</v>
      </c>
      <c r="N588" s="108">
        <f t="shared" ref="N588" si="873">SUBTOTAL(9,N589)</f>
        <v>0</v>
      </c>
      <c r="O588" s="108">
        <f t="shared" ref="O588" si="874">SUBTOTAL(9,O589)</f>
        <v>0</v>
      </c>
      <c r="P588" s="108">
        <f t="shared" ref="P588" si="875">SUBTOTAL(9,P589)</f>
        <v>4000</v>
      </c>
      <c r="Q588" s="108">
        <f t="shared" ref="Q588" si="876">SUBTOTAL(9,Q589)</f>
        <v>4000</v>
      </c>
      <c r="R588" s="120"/>
      <c r="T588" s="188"/>
    </row>
    <row r="589" spans="1:20" x14ac:dyDescent="0.25">
      <c r="A589" s="100"/>
      <c r="B589" s="3">
        <v>1</v>
      </c>
      <c r="C589" s="5" t="s">
        <v>306</v>
      </c>
      <c r="D589" s="3" t="s">
        <v>33</v>
      </c>
      <c r="E589" s="100" t="str">
        <f>IFERROR(VLOOKUP(C589,Resources!B:D,3,FALSE)," ")</f>
        <v>S</v>
      </c>
      <c r="F589" s="8">
        <v>1</v>
      </c>
      <c r="G589" s="8">
        <v>1</v>
      </c>
      <c r="H589" s="8">
        <f>H588*4000/2</f>
        <v>4000</v>
      </c>
      <c r="I589" s="109">
        <f>IFERROR(VLOOKUP(C589,Resources!B:G,6,FALSE)," ")</f>
        <v>1</v>
      </c>
      <c r="J589" s="109">
        <f t="shared" ref="J589" si="877">(H589/(G589/F589))*I589</f>
        <v>4000</v>
      </c>
      <c r="K589" s="8"/>
      <c r="L589" s="8">
        <f>H588/2</f>
        <v>1</v>
      </c>
      <c r="M589" s="109">
        <f t="shared" ref="M589" si="878">IF($E589="L",$J589,0)</f>
        <v>0</v>
      </c>
      <c r="N589" s="109">
        <f t="shared" ref="N589" si="879">IF($E589="M",$J589,0)</f>
        <v>0</v>
      </c>
      <c r="O589" s="109">
        <f t="shared" ref="O589" si="880">IF($E589="P",$J589,0)</f>
        <v>0</v>
      </c>
      <c r="P589" s="109">
        <f t="shared" ref="P589" si="881">IF($E589="S",$J589,0)</f>
        <v>4000</v>
      </c>
      <c r="Q589" s="109">
        <f t="shared" ref="Q589" si="882">SUM(M589:P589)</f>
        <v>4000</v>
      </c>
      <c r="R589" s="121">
        <v>103</v>
      </c>
      <c r="T589" s="188"/>
    </row>
    <row r="590" spans="1:20" x14ac:dyDescent="0.25">
      <c r="A590" s="101"/>
      <c r="B590" s="4"/>
      <c r="C590" s="6"/>
      <c r="D590" s="4"/>
      <c r="E590" s="101" t="str">
        <f>IFERROR(VLOOKUP(C590,Resources!B:D,3,FALSE)," ")</f>
        <v xml:space="preserve"> </v>
      </c>
      <c r="F590" s="9"/>
      <c r="G590" s="9"/>
      <c r="H590" s="9"/>
      <c r="I590" s="38" t="str">
        <f>IFERROR(VLOOKUP(C590,Resources!B:G,6,FALSE)," ")</f>
        <v xml:space="preserve"> </v>
      </c>
      <c r="J590" s="38"/>
      <c r="K590" s="9"/>
      <c r="L590" s="9"/>
      <c r="M590" s="38"/>
      <c r="N590" s="38"/>
      <c r="O590" s="38"/>
      <c r="P590" s="38"/>
      <c r="Q590" s="38"/>
      <c r="R590" s="122"/>
      <c r="T590" s="188"/>
    </row>
    <row r="591" spans="1:20" ht="60" x14ac:dyDescent="0.25">
      <c r="A591" s="114"/>
      <c r="B591" s="1" t="s">
        <v>316</v>
      </c>
      <c r="C591" s="1" t="s">
        <v>317</v>
      </c>
      <c r="D591" s="2"/>
      <c r="E591" s="99" t="str">
        <f>IFERROR(VLOOKUP(C591,Resources!B:D,3,FALSE)," ")</f>
        <v xml:space="preserve"> </v>
      </c>
      <c r="F591" s="7"/>
      <c r="G591" s="7"/>
      <c r="H591" s="7"/>
      <c r="I591" s="108" t="str">
        <f>IFERROR(VLOOKUP(C591,Resources!B:G,6,FALSE)," ")</f>
        <v xml:space="preserve"> </v>
      </c>
      <c r="J591" s="108"/>
      <c r="K591" s="7"/>
      <c r="L591" s="7"/>
      <c r="M591" s="108"/>
      <c r="N591" s="108"/>
      <c r="O591" s="108"/>
      <c r="P591" s="108"/>
      <c r="Q591" s="108"/>
      <c r="R591" s="120"/>
      <c r="T591" s="188"/>
    </row>
    <row r="592" spans="1:20" ht="30" x14ac:dyDescent="0.25">
      <c r="A592" s="114">
        <v>81.5</v>
      </c>
      <c r="B592" s="1" t="s">
        <v>318</v>
      </c>
      <c r="C592" s="1" t="s">
        <v>314</v>
      </c>
      <c r="D592" s="2" t="s">
        <v>315</v>
      </c>
      <c r="E592" s="99" t="str">
        <f>IFERROR(VLOOKUP(C592,Resources!B:D,3,FALSE)," ")</f>
        <v xml:space="preserve"> </v>
      </c>
      <c r="F592" s="7"/>
      <c r="G592" s="7"/>
      <c r="H592" s="103">
        <f>VLOOKUP($A592,'Model Inputs'!$A:$D,4,FALSE)</f>
        <v>3</v>
      </c>
      <c r="I592" s="108" t="str">
        <f>IFERROR(VLOOKUP(C592,Resources!B:G,6,FALSE)," ")</f>
        <v xml:space="preserve"> </v>
      </c>
      <c r="J592" s="108">
        <f>SUBTOTAL(9,J593)</f>
        <v>6000</v>
      </c>
      <c r="K592" s="7"/>
      <c r="L592" s="7">
        <f>ROUNDUP(L593,0)</f>
        <v>2</v>
      </c>
      <c r="M592" s="108">
        <f t="shared" ref="M592" si="883">SUBTOTAL(9,M593)</f>
        <v>0</v>
      </c>
      <c r="N592" s="108">
        <f t="shared" ref="N592" si="884">SUBTOTAL(9,N593)</f>
        <v>0</v>
      </c>
      <c r="O592" s="108">
        <f t="shared" ref="O592" si="885">SUBTOTAL(9,O593)</f>
        <v>0</v>
      </c>
      <c r="P592" s="108">
        <f t="shared" ref="P592" si="886">SUBTOTAL(9,P593)</f>
        <v>6000</v>
      </c>
      <c r="Q592" s="108">
        <f t="shared" ref="Q592" si="887">SUBTOTAL(9,Q593)</f>
        <v>6000</v>
      </c>
      <c r="R592" s="120"/>
      <c r="T592" s="188"/>
    </row>
    <row r="593" spans="1:20" x14ac:dyDescent="0.25">
      <c r="A593" s="100"/>
      <c r="B593" s="3">
        <v>1</v>
      </c>
      <c r="C593" s="5" t="s">
        <v>306</v>
      </c>
      <c r="D593" s="3" t="s">
        <v>33</v>
      </c>
      <c r="E593" s="100" t="str">
        <f>IFERROR(VLOOKUP(C593,Resources!B:D,3,FALSE)," ")</f>
        <v>S</v>
      </c>
      <c r="F593" s="8">
        <v>1</v>
      </c>
      <c r="G593" s="8">
        <v>1</v>
      </c>
      <c r="H593" s="8">
        <f>H592*6000/3</f>
        <v>6000</v>
      </c>
      <c r="I593" s="109">
        <f>IFERROR(VLOOKUP(C593,Resources!B:G,6,FALSE)," ")</f>
        <v>1</v>
      </c>
      <c r="J593" s="109">
        <f t="shared" ref="J593" si="888">(H593/(G593/F593))*I593</f>
        <v>6000</v>
      </c>
      <c r="K593" s="8"/>
      <c r="L593" s="8">
        <f>H592/2</f>
        <v>1.5</v>
      </c>
      <c r="M593" s="109">
        <f t="shared" ref="M593" si="889">IF($E593="L",$J593,0)</f>
        <v>0</v>
      </c>
      <c r="N593" s="109">
        <f t="shared" ref="N593" si="890">IF($E593="M",$J593,0)</f>
        <v>0</v>
      </c>
      <c r="O593" s="109">
        <f t="shared" ref="O593" si="891">IF($E593="P",$J593,0)</f>
        <v>0</v>
      </c>
      <c r="P593" s="109">
        <f t="shared" ref="P593" si="892">IF($E593="S",$J593,0)</f>
        <v>6000</v>
      </c>
      <c r="Q593" s="109">
        <f t="shared" ref="Q593" si="893">SUM(M593:P593)</f>
        <v>6000</v>
      </c>
      <c r="R593" s="121">
        <v>103</v>
      </c>
      <c r="T593" s="188"/>
    </row>
    <row r="594" spans="1:20" x14ac:dyDescent="0.25">
      <c r="A594" s="101"/>
      <c r="B594" s="4"/>
      <c r="C594" s="6"/>
      <c r="D594" s="4"/>
      <c r="E594" s="101" t="str">
        <f>IFERROR(VLOOKUP(C594,Resources!B:D,3,FALSE)," ")</f>
        <v xml:space="preserve"> </v>
      </c>
      <c r="F594" s="9"/>
      <c r="G594" s="9"/>
      <c r="H594" s="9"/>
      <c r="I594" s="38" t="str">
        <f>IFERROR(VLOOKUP(C594,Resources!B:G,6,FALSE)," ")</f>
        <v xml:space="preserve"> </v>
      </c>
      <c r="J594" s="38"/>
      <c r="K594" s="9"/>
      <c r="L594" s="9"/>
      <c r="M594" s="38"/>
      <c r="N594" s="38"/>
      <c r="O594" s="38"/>
      <c r="P594" s="38"/>
      <c r="Q594" s="38"/>
      <c r="R594" s="122"/>
      <c r="T594" s="188"/>
    </row>
    <row r="595" spans="1:20" ht="60" x14ac:dyDescent="0.25">
      <c r="A595" s="114"/>
      <c r="B595" s="1" t="s">
        <v>319</v>
      </c>
      <c r="C595" s="1" t="s">
        <v>320</v>
      </c>
      <c r="D595" s="2"/>
      <c r="E595" s="99" t="str">
        <f>IFERROR(VLOOKUP(C595,Resources!B:D,3,FALSE)," ")</f>
        <v xml:space="preserve"> </v>
      </c>
      <c r="F595" s="7"/>
      <c r="G595" s="7"/>
      <c r="H595" s="7"/>
      <c r="I595" s="108" t="str">
        <f>IFERROR(VLOOKUP(C595,Resources!B:G,6,FALSE)," ")</f>
        <v xml:space="preserve"> </v>
      </c>
      <c r="J595" s="108"/>
      <c r="K595" s="7"/>
      <c r="L595" s="7"/>
      <c r="M595" s="108"/>
      <c r="N595" s="108"/>
      <c r="O595" s="108"/>
      <c r="P595" s="108"/>
      <c r="Q595" s="108"/>
      <c r="R595" s="120"/>
      <c r="T595" s="188"/>
    </row>
    <row r="596" spans="1:20" ht="30" x14ac:dyDescent="0.25">
      <c r="A596" s="114"/>
      <c r="B596" s="1" t="s">
        <v>321</v>
      </c>
      <c r="C596" s="1" t="s">
        <v>322</v>
      </c>
      <c r="D596" s="2"/>
      <c r="E596" s="99" t="str">
        <f>IFERROR(VLOOKUP(C596,Resources!B:D,3,FALSE)," ")</f>
        <v xml:space="preserve"> </v>
      </c>
      <c r="F596" s="7"/>
      <c r="G596" s="7"/>
      <c r="H596" s="7"/>
      <c r="I596" s="108" t="str">
        <f>IFERROR(VLOOKUP(C596,Resources!B:G,6,FALSE)," ")</f>
        <v xml:space="preserve"> </v>
      </c>
      <c r="J596" s="108"/>
      <c r="K596" s="7"/>
      <c r="L596" s="7"/>
      <c r="M596" s="108"/>
      <c r="N596" s="108"/>
      <c r="O596" s="108"/>
      <c r="P596" s="108"/>
      <c r="Q596" s="108"/>
      <c r="R596" s="120"/>
      <c r="T596" s="188"/>
    </row>
    <row r="597" spans="1:20" ht="30" x14ac:dyDescent="0.25">
      <c r="A597" s="114">
        <v>82</v>
      </c>
      <c r="B597" s="1" t="s">
        <v>323</v>
      </c>
      <c r="C597" s="1" t="s">
        <v>324</v>
      </c>
      <c r="D597" s="2" t="s">
        <v>315</v>
      </c>
      <c r="E597" s="99" t="str">
        <f>IFERROR(VLOOKUP(C597,Resources!B:D,3,FALSE)," ")</f>
        <v xml:space="preserve"> </v>
      </c>
      <c r="F597" s="7"/>
      <c r="G597" s="7"/>
      <c r="H597" s="103">
        <f>VLOOKUP($A597,'Model Inputs'!$A:$D,4,FALSE)</f>
        <v>1</v>
      </c>
      <c r="I597" s="108" t="str">
        <f>IFERROR(VLOOKUP(C597,Resources!B:G,6,FALSE)," ")</f>
        <v xml:space="preserve"> </v>
      </c>
      <c r="J597" s="108">
        <f>SUBTOTAL(9,J598)</f>
        <v>220</v>
      </c>
      <c r="K597" s="7"/>
      <c r="L597" s="7">
        <f>ROUNDUP(L598,0)</f>
        <v>1</v>
      </c>
      <c r="M597" s="108">
        <f t="shared" ref="M597" si="894">SUBTOTAL(9,M598)</f>
        <v>0</v>
      </c>
      <c r="N597" s="108">
        <f t="shared" ref="N597" si="895">SUBTOTAL(9,N598)</f>
        <v>0</v>
      </c>
      <c r="O597" s="108">
        <f t="shared" ref="O597" si="896">SUBTOTAL(9,O598)</f>
        <v>0</v>
      </c>
      <c r="P597" s="108">
        <f t="shared" ref="P597" si="897">SUBTOTAL(9,P598)</f>
        <v>220</v>
      </c>
      <c r="Q597" s="108">
        <f t="shared" ref="Q597" si="898">SUBTOTAL(9,Q598)</f>
        <v>220</v>
      </c>
      <c r="R597" s="120"/>
      <c r="T597" s="188"/>
    </row>
    <row r="598" spans="1:20" x14ac:dyDescent="0.25">
      <c r="A598" s="100"/>
      <c r="B598" s="3">
        <v>1</v>
      </c>
      <c r="C598" s="5" t="s">
        <v>306</v>
      </c>
      <c r="D598" s="3" t="s">
        <v>33</v>
      </c>
      <c r="E598" s="100" t="str">
        <f>IFERROR(VLOOKUP(C598,Resources!B:D,3,FALSE)," ")</f>
        <v>S</v>
      </c>
      <c r="F598" s="8">
        <v>1</v>
      </c>
      <c r="G598" s="8">
        <v>1</v>
      </c>
      <c r="H598" s="8">
        <f>H597*220/1</f>
        <v>220</v>
      </c>
      <c r="I598" s="109">
        <f>IFERROR(VLOOKUP(C598,Resources!B:G,6,FALSE)," ")</f>
        <v>1</v>
      </c>
      <c r="J598" s="109">
        <f t="shared" ref="J598" si="899">(H598/(G598/F598))*I598</f>
        <v>220</v>
      </c>
      <c r="K598" s="8"/>
      <c r="L598" s="8">
        <f>H597/2</f>
        <v>0.5</v>
      </c>
      <c r="M598" s="109">
        <f t="shared" ref="M598" si="900">IF($E598="L",$J598,0)</f>
        <v>0</v>
      </c>
      <c r="N598" s="109">
        <f t="shared" ref="N598" si="901">IF($E598="M",$J598,0)</f>
        <v>0</v>
      </c>
      <c r="O598" s="109">
        <f t="shared" ref="O598" si="902">IF($E598="P",$J598,0)</f>
        <v>0</v>
      </c>
      <c r="P598" s="109">
        <f t="shared" ref="P598" si="903">IF($E598="S",$J598,0)</f>
        <v>220</v>
      </c>
      <c r="Q598" s="109">
        <f t="shared" ref="Q598" si="904">SUM(M598:P598)</f>
        <v>220</v>
      </c>
      <c r="R598" s="121">
        <v>103</v>
      </c>
      <c r="T598" s="188"/>
    </row>
    <row r="599" spans="1:20" x14ac:dyDescent="0.25">
      <c r="A599" s="101"/>
      <c r="B599" s="4"/>
      <c r="C599" s="6"/>
      <c r="D599" s="4"/>
      <c r="E599" s="101" t="str">
        <f>IFERROR(VLOOKUP(C599,Resources!B:D,3,FALSE)," ")</f>
        <v xml:space="preserve"> </v>
      </c>
      <c r="F599" s="9"/>
      <c r="G599" s="9"/>
      <c r="H599" s="9"/>
      <c r="I599" s="38" t="str">
        <f>IFERROR(VLOOKUP(C599,Resources!B:G,6,FALSE)," ")</f>
        <v xml:space="preserve"> </v>
      </c>
      <c r="J599" s="38"/>
      <c r="K599" s="9"/>
      <c r="L599" s="9"/>
      <c r="M599" s="38"/>
      <c r="N599" s="38"/>
      <c r="O599" s="38"/>
      <c r="P599" s="38"/>
      <c r="Q599" s="38"/>
      <c r="R599" s="122"/>
      <c r="T599" s="188"/>
    </row>
    <row r="600" spans="1:20" ht="30" x14ac:dyDescent="0.25">
      <c r="A600" s="114"/>
      <c r="B600" s="1" t="s">
        <v>325</v>
      </c>
      <c r="C600" s="1" t="s">
        <v>326</v>
      </c>
      <c r="D600" s="2"/>
      <c r="E600" s="99" t="str">
        <f>IFERROR(VLOOKUP(C600,Resources!B:D,3,FALSE)," ")</f>
        <v xml:space="preserve"> </v>
      </c>
      <c r="F600" s="7"/>
      <c r="G600" s="7"/>
      <c r="H600" s="7"/>
      <c r="I600" s="108" t="str">
        <f>IFERROR(VLOOKUP(C600,Resources!B:G,6,FALSE)," ")</f>
        <v xml:space="preserve"> </v>
      </c>
      <c r="J600" s="108"/>
      <c r="K600" s="7"/>
      <c r="L600" s="7"/>
      <c r="M600" s="108"/>
      <c r="N600" s="108"/>
      <c r="O600" s="108"/>
      <c r="P600" s="108"/>
      <c r="Q600" s="108"/>
      <c r="R600" s="120"/>
      <c r="T600" s="188"/>
    </row>
    <row r="601" spans="1:20" ht="30" x14ac:dyDescent="0.25">
      <c r="A601" s="114">
        <v>83</v>
      </c>
      <c r="B601" s="1" t="s">
        <v>327</v>
      </c>
      <c r="C601" s="1" t="s">
        <v>328</v>
      </c>
      <c r="D601" s="2" t="s">
        <v>315</v>
      </c>
      <c r="E601" s="99" t="str">
        <f>IFERROR(VLOOKUP(C601,Resources!B:D,3,FALSE)," ")</f>
        <v xml:space="preserve"> </v>
      </c>
      <c r="F601" s="7"/>
      <c r="G601" s="7"/>
      <c r="H601" s="103">
        <f>VLOOKUP($A601,'Model Inputs'!$A:$D,4,FALSE)</f>
        <v>6</v>
      </c>
      <c r="I601" s="108" t="str">
        <f>IFERROR(VLOOKUP(C601,Resources!B:G,6,FALSE)," ")</f>
        <v xml:space="preserve"> </v>
      </c>
      <c r="J601" s="108">
        <f>SUBTOTAL(9,J602)</f>
        <v>960</v>
      </c>
      <c r="K601" s="7"/>
      <c r="L601" s="7">
        <f>ROUNDUP(L602,0)</f>
        <v>3</v>
      </c>
      <c r="M601" s="108">
        <f t="shared" ref="M601" si="905">SUBTOTAL(9,M602)</f>
        <v>0</v>
      </c>
      <c r="N601" s="108">
        <f t="shared" ref="N601" si="906">SUBTOTAL(9,N602)</f>
        <v>0</v>
      </c>
      <c r="O601" s="108">
        <f t="shared" ref="O601" si="907">SUBTOTAL(9,O602)</f>
        <v>0</v>
      </c>
      <c r="P601" s="108">
        <f t="shared" ref="P601" si="908">SUBTOTAL(9,P602)</f>
        <v>960</v>
      </c>
      <c r="Q601" s="108">
        <f t="shared" ref="Q601" si="909">SUBTOTAL(9,Q602)</f>
        <v>960</v>
      </c>
      <c r="R601" s="120"/>
      <c r="T601" s="188"/>
    </row>
    <row r="602" spans="1:20" x14ac:dyDescent="0.25">
      <c r="A602" s="100"/>
      <c r="B602" s="3">
        <v>1</v>
      </c>
      <c r="C602" s="5" t="s">
        <v>306</v>
      </c>
      <c r="D602" s="3" t="s">
        <v>33</v>
      </c>
      <c r="E602" s="100" t="str">
        <f>IFERROR(VLOOKUP(C602,Resources!B:D,3,FALSE)," ")</f>
        <v>S</v>
      </c>
      <c r="F602" s="8">
        <v>1</v>
      </c>
      <c r="G602" s="8">
        <v>1</v>
      </c>
      <c r="H602" s="8">
        <f>H601*960/6</f>
        <v>960</v>
      </c>
      <c r="I602" s="109">
        <f>IFERROR(VLOOKUP(C602,Resources!B:G,6,FALSE)," ")</f>
        <v>1</v>
      </c>
      <c r="J602" s="109">
        <f t="shared" ref="J602" si="910">(H602/(G602/F602))*I602</f>
        <v>960</v>
      </c>
      <c r="K602" s="8"/>
      <c r="L602" s="8">
        <f>H601/2</f>
        <v>3</v>
      </c>
      <c r="M602" s="109">
        <f t="shared" ref="M602" si="911">IF($E602="L",$J602,0)</f>
        <v>0</v>
      </c>
      <c r="N602" s="109">
        <f t="shared" ref="N602" si="912">IF($E602="M",$J602,0)</f>
        <v>0</v>
      </c>
      <c r="O602" s="109">
        <f t="shared" ref="O602" si="913">IF($E602="P",$J602,0)</f>
        <v>0</v>
      </c>
      <c r="P602" s="109">
        <f t="shared" ref="P602" si="914">IF($E602="S",$J602,0)</f>
        <v>960</v>
      </c>
      <c r="Q602" s="109">
        <f t="shared" ref="Q602" si="915">SUM(M602:P602)</f>
        <v>960</v>
      </c>
      <c r="R602" s="121">
        <v>103</v>
      </c>
      <c r="T602" s="188"/>
    </row>
    <row r="603" spans="1:20" x14ac:dyDescent="0.25">
      <c r="A603" s="101"/>
      <c r="B603" s="4"/>
      <c r="C603" s="6"/>
      <c r="D603" s="4"/>
      <c r="E603" s="101" t="str">
        <f>IFERROR(VLOOKUP(C603,Resources!B:D,3,FALSE)," ")</f>
        <v xml:space="preserve"> </v>
      </c>
      <c r="F603" s="9"/>
      <c r="G603" s="9"/>
      <c r="H603" s="9"/>
      <c r="I603" s="38" t="str">
        <f>IFERROR(VLOOKUP(C603,Resources!B:G,6,FALSE)," ")</f>
        <v xml:space="preserve"> </v>
      </c>
      <c r="J603" s="38"/>
      <c r="K603" s="9"/>
      <c r="L603" s="9"/>
      <c r="M603" s="38"/>
      <c r="N603" s="38"/>
      <c r="O603" s="38"/>
      <c r="P603" s="38"/>
      <c r="Q603" s="38"/>
      <c r="R603" s="122"/>
      <c r="T603" s="188"/>
    </row>
    <row r="604" spans="1:20" ht="30" x14ac:dyDescent="0.25">
      <c r="A604" s="114"/>
      <c r="B604" s="1" t="s">
        <v>329</v>
      </c>
      <c r="C604" s="1" t="s">
        <v>330</v>
      </c>
      <c r="D604" s="2"/>
      <c r="E604" s="99" t="str">
        <f>IFERROR(VLOOKUP(C604,Resources!B:D,3,FALSE)," ")</f>
        <v xml:space="preserve"> </v>
      </c>
      <c r="F604" s="7"/>
      <c r="G604" s="7"/>
      <c r="H604" s="7"/>
      <c r="I604" s="108" t="str">
        <f>IFERROR(VLOOKUP(C604,Resources!B:G,6,FALSE)," ")</f>
        <v xml:space="preserve"> </v>
      </c>
      <c r="J604" s="108"/>
      <c r="K604" s="7"/>
      <c r="L604" s="7"/>
      <c r="M604" s="108"/>
      <c r="N604" s="108"/>
      <c r="O604" s="108"/>
      <c r="P604" s="108"/>
      <c r="Q604" s="108"/>
      <c r="R604" s="120"/>
      <c r="T604" s="188"/>
    </row>
    <row r="605" spans="1:20" ht="30" x14ac:dyDescent="0.25">
      <c r="A605" s="114">
        <v>84</v>
      </c>
      <c r="B605" s="1" t="s">
        <v>331</v>
      </c>
      <c r="C605" s="1" t="s">
        <v>332</v>
      </c>
      <c r="D605" s="2" t="s">
        <v>315</v>
      </c>
      <c r="E605" s="99" t="str">
        <f>IFERROR(VLOOKUP(C605,Resources!B:D,3,FALSE)," ")</f>
        <v xml:space="preserve"> </v>
      </c>
      <c r="F605" s="7"/>
      <c r="G605" s="7"/>
      <c r="H605" s="103">
        <f>VLOOKUP($A605,'Model Inputs'!$A:$D,4,FALSE)</f>
        <v>3</v>
      </c>
      <c r="I605" s="108" t="str">
        <f>IFERROR(VLOOKUP(C605,Resources!B:G,6,FALSE)," ")</f>
        <v xml:space="preserve"> </v>
      </c>
      <c r="J605" s="108">
        <f>SUBTOTAL(9,J606)</f>
        <v>800</v>
      </c>
      <c r="K605" s="7"/>
      <c r="L605" s="7">
        <f>ROUNDUP(L606,0)</f>
        <v>2</v>
      </c>
      <c r="M605" s="108">
        <f t="shared" ref="M605" si="916">SUBTOTAL(9,M606)</f>
        <v>0</v>
      </c>
      <c r="N605" s="108">
        <f t="shared" ref="N605" si="917">SUBTOTAL(9,N606)</f>
        <v>0</v>
      </c>
      <c r="O605" s="108">
        <f t="shared" ref="O605" si="918">SUBTOTAL(9,O606)</f>
        <v>0</v>
      </c>
      <c r="P605" s="108">
        <f t="shared" ref="P605" si="919">SUBTOTAL(9,P606)</f>
        <v>800</v>
      </c>
      <c r="Q605" s="108">
        <f t="shared" ref="Q605" si="920">SUBTOTAL(9,Q606)</f>
        <v>800</v>
      </c>
      <c r="R605" s="120"/>
      <c r="T605" s="188"/>
    </row>
    <row r="606" spans="1:20" x14ac:dyDescent="0.25">
      <c r="A606" s="100"/>
      <c r="B606" s="3">
        <v>1</v>
      </c>
      <c r="C606" s="5" t="s">
        <v>306</v>
      </c>
      <c r="D606" s="3" t="s">
        <v>33</v>
      </c>
      <c r="E606" s="100" t="str">
        <f>IFERROR(VLOOKUP(C606,Resources!B:D,3,FALSE)," ")</f>
        <v>S</v>
      </c>
      <c r="F606" s="8">
        <v>1</v>
      </c>
      <c r="G606" s="8">
        <v>1</v>
      </c>
      <c r="H606" s="8">
        <f>H605*800/3</f>
        <v>800</v>
      </c>
      <c r="I606" s="109">
        <f>IFERROR(VLOOKUP(C606,Resources!B:G,6,FALSE)," ")</f>
        <v>1</v>
      </c>
      <c r="J606" s="109">
        <f t="shared" ref="J606" si="921">(H606/(G606/F606))*I606</f>
        <v>800</v>
      </c>
      <c r="K606" s="8"/>
      <c r="L606" s="8">
        <f>H605/2</f>
        <v>1.5</v>
      </c>
      <c r="M606" s="109">
        <f t="shared" ref="M606" si="922">IF($E606="L",$J606,0)</f>
        <v>0</v>
      </c>
      <c r="N606" s="109">
        <f t="shared" ref="N606" si="923">IF($E606="M",$J606,0)</f>
        <v>0</v>
      </c>
      <c r="O606" s="109">
        <f t="shared" ref="O606" si="924">IF($E606="P",$J606,0)</f>
        <v>0</v>
      </c>
      <c r="P606" s="109">
        <f t="shared" ref="P606" si="925">IF($E606="S",$J606,0)</f>
        <v>800</v>
      </c>
      <c r="Q606" s="109">
        <f t="shared" ref="Q606" si="926">SUM(M606:P606)</f>
        <v>800</v>
      </c>
      <c r="R606" s="121">
        <v>103</v>
      </c>
      <c r="T606" s="188"/>
    </row>
    <row r="607" spans="1:20" x14ac:dyDescent="0.25">
      <c r="A607" s="101"/>
      <c r="B607" s="4"/>
      <c r="C607" s="6"/>
      <c r="D607" s="4"/>
      <c r="E607" s="101" t="str">
        <f>IFERROR(VLOOKUP(C607,Resources!B:D,3,FALSE)," ")</f>
        <v xml:space="preserve"> </v>
      </c>
      <c r="F607" s="9"/>
      <c r="G607" s="9"/>
      <c r="H607" s="9"/>
      <c r="I607" s="38" t="str">
        <f>IFERROR(VLOOKUP(C607,Resources!B:G,6,FALSE)," ")</f>
        <v xml:space="preserve"> </v>
      </c>
      <c r="J607" s="38"/>
      <c r="K607" s="9"/>
      <c r="L607" s="9"/>
      <c r="M607" s="38"/>
      <c r="N607" s="38"/>
      <c r="O607" s="38"/>
      <c r="P607" s="38"/>
      <c r="Q607" s="38"/>
      <c r="R607" s="122"/>
      <c r="T607" s="188"/>
    </row>
    <row r="608" spans="1:20" ht="30" x14ac:dyDescent="0.25">
      <c r="A608" s="114"/>
      <c r="B608" s="1" t="s">
        <v>333</v>
      </c>
      <c r="C608" s="1" t="s">
        <v>334</v>
      </c>
      <c r="D608" s="2"/>
      <c r="E608" s="99" t="str">
        <f>IFERROR(VLOOKUP(C608,Resources!B:D,3,FALSE)," ")</f>
        <v xml:space="preserve"> </v>
      </c>
      <c r="F608" s="7"/>
      <c r="G608" s="7"/>
      <c r="H608" s="7"/>
      <c r="I608" s="108" t="str">
        <f>IFERROR(VLOOKUP(C608,Resources!B:G,6,FALSE)," ")</f>
        <v xml:space="preserve"> </v>
      </c>
      <c r="J608" s="108"/>
      <c r="K608" s="7"/>
      <c r="L608" s="7"/>
      <c r="M608" s="108"/>
      <c r="N608" s="108"/>
      <c r="O608" s="108"/>
      <c r="P608" s="108"/>
      <c r="Q608" s="108"/>
      <c r="R608" s="120"/>
      <c r="T608" s="188"/>
    </row>
    <row r="609" spans="1:20" ht="30" x14ac:dyDescent="0.25">
      <c r="A609" s="114">
        <v>85</v>
      </c>
      <c r="B609" s="1" t="s">
        <v>335</v>
      </c>
      <c r="C609" s="1" t="s">
        <v>332</v>
      </c>
      <c r="D609" s="2" t="s">
        <v>315</v>
      </c>
      <c r="E609" s="99" t="str">
        <f>IFERROR(VLOOKUP(C609,Resources!B:D,3,FALSE)," ")</f>
        <v xml:space="preserve"> </v>
      </c>
      <c r="F609" s="7"/>
      <c r="G609" s="7"/>
      <c r="H609" s="103">
        <f>VLOOKUP($A609,'Model Inputs'!$A:$D,4,FALSE)</f>
        <v>1</v>
      </c>
      <c r="I609" s="108" t="str">
        <f>IFERROR(VLOOKUP(C609,Resources!B:G,6,FALSE)," ")</f>
        <v xml:space="preserve"> </v>
      </c>
      <c r="J609" s="108">
        <f>SUBTOTAL(9,J610)</f>
        <v>250</v>
      </c>
      <c r="K609" s="7"/>
      <c r="L609" s="7">
        <f>ROUNDUP(L610,0)</f>
        <v>1</v>
      </c>
      <c r="M609" s="108">
        <f t="shared" ref="M609" si="927">SUBTOTAL(9,M610)</f>
        <v>0</v>
      </c>
      <c r="N609" s="108">
        <f t="shared" ref="N609" si="928">SUBTOTAL(9,N610)</f>
        <v>0</v>
      </c>
      <c r="O609" s="108">
        <f t="shared" ref="O609" si="929">SUBTOTAL(9,O610)</f>
        <v>0</v>
      </c>
      <c r="P609" s="108">
        <f t="shared" ref="P609" si="930">SUBTOTAL(9,P610)</f>
        <v>250</v>
      </c>
      <c r="Q609" s="108">
        <f t="shared" ref="Q609" si="931">SUBTOTAL(9,Q610)</f>
        <v>250</v>
      </c>
      <c r="R609" s="120"/>
      <c r="T609" s="188"/>
    </row>
    <row r="610" spans="1:20" x14ac:dyDescent="0.25">
      <c r="A610" s="100"/>
      <c r="B610" s="3">
        <v>1</v>
      </c>
      <c r="C610" s="5" t="s">
        <v>306</v>
      </c>
      <c r="D610" s="3" t="s">
        <v>33</v>
      </c>
      <c r="E610" s="100" t="str">
        <f>IFERROR(VLOOKUP(C610,Resources!B:D,3,FALSE)," ")</f>
        <v>S</v>
      </c>
      <c r="F610" s="8">
        <v>1</v>
      </c>
      <c r="G610" s="8">
        <v>1</v>
      </c>
      <c r="H610" s="8">
        <f>H609*250/1</f>
        <v>250</v>
      </c>
      <c r="I610" s="109">
        <f>IFERROR(VLOOKUP(C610,Resources!B:G,6,FALSE)," ")</f>
        <v>1</v>
      </c>
      <c r="J610" s="109">
        <f t="shared" ref="J610" si="932">(H610/(G610/F610))*I610</f>
        <v>250</v>
      </c>
      <c r="K610" s="8"/>
      <c r="L610" s="8">
        <f>H609/2</f>
        <v>0.5</v>
      </c>
      <c r="M610" s="109">
        <f t="shared" ref="M610" si="933">IF($E610="L",$J610,0)</f>
        <v>0</v>
      </c>
      <c r="N610" s="109">
        <f t="shared" ref="N610" si="934">IF($E610="M",$J610,0)</f>
        <v>0</v>
      </c>
      <c r="O610" s="109">
        <f t="shared" ref="O610" si="935">IF($E610="P",$J610,0)</f>
        <v>0</v>
      </c>
      <c r="P610" s="109">
        <f t="shared" ref="P610" si="936">IF($E610="S",$J610,0)</f>
        <v>250</v>
      </c>
      <c r="Q610" s="109">
        <f t="shared" ref="Q610" si="937">SUM(M610:P610)</f>
        <v>250</v>
      </c>
      <c r="R610" s="121">
        <v>103</v>
      </c>
      <c r="T610" s="188"/>
    </row>
    <row r="611" spans="1:20" x14ac:dyDescent="0.25">
      <c r="A611" s="101"/>
      <c r="B611" s="4"/>
      <c r="C611" s="6"/>
      <c r="D611" s="4"/>
      <c r="E611" s="101" t="str">
        <f>IFERROR(VLOOKUP(C611,Resources!B:D,3,FALSE)," ")</f>
        <v xml:space="preserve"> </v>
      </c>
      <c r="F611" s="9"/>
      <c r="G611" s="9"/>
      <c r="H611" s="9"/>
      <c r="I611" s="38" t="str">
        <f>IFERROR(VLOOKUP(C611,Resources!B:G,6,FALSE)," ")</f>
        <v xml:space="preserve"> </v>
      </c>
      <c r="J611" s="38"/>
      <c r="K611" s="9"/>
      <c r="L611" s="9"/>
      <c r="M611" s="38"/>
      <c r="N611" s="38"/>
      <c r="O611" s="38"/>
      <c r="P611" s="38"/>
      <c r="Q611" s="38"/>
      <c r="R611" s="122"/>
      <c r="T611" s="188"/>
    </row>
    <row r="612" spans="1:20" ht="30" x14ac:dyDescent="0.25">
      <c r="A612" s="114"/>
      <c r="B612" s="1" t="s">
        <v>336</v>
      </c>
      <c r="C612" s="1" t="s">
        <v>337</v>
      </c>
      <c r="D612" s="2"/>
      <c r="E612" s="99" t="str">
        <f>IFERROR(VLOOKUP(C612,Resources!B:D,3,FALSE)," ")</f>
        <v xml:space="preserve"> </v>
      </c>
      <c r="F612" s="7"/>
      <c r="G612" s="7"/>
      <c r="H612" s="7"/>
      <c r="I612" s="108" t="str">
        <f>IFERROR(VLOOKUP(C612,Resources!B:G,6,FALSE)," ")</f>
        <v xml:space="preserve"> </v>
      </c>
      <c r="J612" s="108"/>
      <c r="K612" s="7"/>
      <c r="L612" s="7"/>
      <c r="M612" s="108"/>
      <c r="N612" s="108"/>
      <c r="O612" s="108"/>
      <c r="P612" s="108"/>
      <c r="Q612" s="108"/>
      <c r="R612" s="120"/>
      <c r="T612" s="188"/>
    </row>
    <row r="613" spans="1:20" ht="30" x14ac:dyDescent="0.25">
      <c r="A613" s="114">
        <v>86</v>
      </c>
      <c r="B613" s="1" t="s">
        <v>338</v>
      </c>
      <c r="C613" s="1" t="s">
        <v>339</v>
      </c>
      <c r="D613" s="2" t="s">
        <v>315</v>
      </c>
      <c r="E613" s="99" t="str">
        <f>IFERROR(VLOOKUP(C613,Resources!B:D,3,FALSE)," ")</f>
        <v xml:space="preserve"> </v>
      </c>
      <c r="F613" s="7"/>
      <c r="G613" s="7"/>
      <c r="H613" s="103">
        <f>VLOOKUP($A613,'Model Inputs'!$A:$D,4,FALSE)</f>
        <v>4</v>
      </c>
      <c r="I613" s="108" t="str">
        <f>IFERROR(VLOOKUP(C613,Resources!B:G,6,FALSE)," ")</f>
        <v xml:space="preserve"> </v>
      </c>
      <c r="J613" s="108">
        <f>SUBTOTAL(9,J614)</f>
        <v>8400</v>
      </c>
      <c r="K613" s="7"/>
      <c r="L613" s="7">
        <f>ROUNDUP(L614,0)</f>
        <v>4</v>
      </c>
      <c r="M613" s="108">
        <f t="shared" ref="M613" si="938">SUBTOTAL(9,M614)</f>
        <v>0</v>
      </c>
      <c r="N613" s="108">
        <f t="shared" ref="N613" si="939">SUBTOTAL(9,N614)</f>
        <v>0</v>
      </c>
      <c r="O613" s="108">
        <f t="shared" ref="O613" si="940">SUBTOTAL(9,O614)</f>
        <v>0</v>
      </c>
      <c r="P613" s="108">
        <f t="shared" ref="P613" si="941">SUBTOTAL(9,P614)</f>
        <v>8400</v>
      </c>
      <c r="Q613" s="108">
        <f t="shared" ref="Q613" si="942">SUBTOTAL(9,Q614)</f>
        <v>8400</v>
      </c>
      <c r="R613" s="120"/>
      <c r="T613" s="188"/>
    </row>
    <row r="614" spans="1:20" x14ac:dyDescent="0.25">
      <c r="A614" s="100"/>
      <c r="B614" s="3">
        <v>1</v>
      </c>
      <c r="C614" s="5" t="s">
        <v>306</v>
      </c>
      <c r="D614" s="3" t="s">
        <v>33</v>
      </c>
      <c r="E614" s="100" t="str">
        <f>IFERROR(VLOOKUP(C614,Resources!B:D,3,FALSE)," ")</f>
        <v>S</v>
      </c>
      <c r="F614" s="8">
        <v>1</v>
      </c>
      <c r="G614" s="8">
        <v>1</v>
      </c>
      <c r="H614" s="8">
        <f>H613*8400/4</f>
        <v>8400</v>
      </c>
      <c r="I614" s="109">
        <f>IFERROR(VLOOKUP(C614,Resources!B:G,6,FALSE)," ")</f>
        <v>1</v>
      </c>
      <c r="J614" s="109">
        <f t="shared" ref="J614" si="943">(H614/(G614/F614))*I614</f>
        <v>8400</v>
      </c>
      <c r="K614" s="8"/>
      <c r="L614" s="8">
        <f>H613</f>
        <v>4</v>
      </c>
      <c r="M614" s="109">
        <f t="shared" ref="M614" si="944">IF($E614="L",$J614,0)</f>
        <v>0</v>
      </c>
      <c r="N614" s="109">
        <f t="shared" ref="N614" si="945">IF($E614="M",$J614,0)</f>
        <v>0</v>
      </c>
      <c r="O614" s="109">
        <f t="shared" ref="O614" si="946">IF($E614="P",$J614,0)</f>
        <v>0</v>
      </c>
      <c r="P614" s="109">
        <f t="shared" ref="P614" si="947">IF($E614="S",$J614,0)</f>
        <v>8400</v>
      </c>
      <c r="Q614" s="109">
        <f t="shared" ref="Q614" si="948">SUM(M614:P614)</f>
        <v>8400</v>
      </c>
      <c r="R614" s="121">
        <v>103</v>
      </c>
      <c r="T614" s="188"/>
    </row>
    <row r="615" spans="1:20" x14ac:dyDescent="0.25">
      <c r="A615" s="101"/>
      <c r="B615" s="4"/>
      <c r="C615" s="6"/>
      <c r="D615" s="4"/>
      <c r="E615" s="101" t="str">
        <f>IFERROR(VLOOKUP(C615,Resources!B:D,3,FALSE)," ")</f>
        <v xml:space="preserve"> </v>
      </c>
      <c r="F615" s="9"/>
      <c r="G615" s="9"/>
      <c r="H615" s="9"/>
      <c r="I615" s="38" t="str">
        <f>IFERROR(VLOOKUP(C615,Resources!B:G,6,FALSE)," ")</f>
        <v xml:space="preserve"> </v>
      </c>
      <c r="J615" s="38"/>
      <c r="K615" s="9"/>
      <c r="L615" s="9"/>
      <c r="M615" s="38"/>
      <c r="N615" s="38"/>
      <c r="O615" s="38"/>
      <c r="P615" s="38"/>
      <c r="Q615" s="38"/>
      <c r="R615" s="122"/>
      <c r="T615" s="188"/>
    </row>
    <row r="616" spans="1:20" ht="30" x14ac:dyDescent="0.25">
      <c r="A616" s="114">
        <v>87</v>
      </c>
      <c r="B616" s="1" t="s">
        <v>340</v>
      </c>
      <c r="C616" s="1" t="s">
        <v>341</v>
      </c>
      <c r="D616" s="2" t="s">
        <v>315</v>
      </c>
      <c r="E616" s="99" t="str">
        <f>IFERROR(VLOOKUP(C616,Resources!B:D,3,FALSE)," ")</f>
        <v xml:space="preserve"> </v>
      </c>
      <c r="F616" s="7"/>
      <c r="G616" s="7"/>
      <c r="H616" s="103">
        <f>VLOOKUP($A616,'Model Inputs'!$A:$D,4,FALSE)</f>
        <v>2</v>
      </c>
      <c r="I616" s="108" t="str">
        <f>IFERROR(VLOOKUP(C616,Resources!B:G,6,FALSE)," ")</f>
        <v xml:space="preserve"> </v>
      </c>
      <c r="J616" s="108">
        <f>SUBTOTAL(9,J617)</f>
        <v>4320</v>
      </c>
      <c r="K616" s="7"/>
      <c r="L616" s="7">
        <f>ROUNDUP(L617,0)</f>
        <v>2</v>
      </c>
      <c r="M616" s="108">
        <f t="shared" ref="M616" si="949">SUBTOTAL(9,M617)</f>
        <v>0</v>
      </c>
      <c r="N616" s="108">
        <f t="shared" ref="N616" si="950">SUBTOTAL(9,N617)</f>
        <v>0</v>
      </c>
      <c r="O616" s="108">
        <f t="shared" ref="O616" si="951">SUBTOTAL(9,O617)</f>
        <v>0</v>
      </c>
      <c r="P616" s="108">
        <f t="shared" ref="P616" si="952">SUBTOTAL(9,P617)</f>
        <v>4320</v>
      </c>
      <c r="Q616" s="108">
        <f t="shared" ref="Q616" si="953">SUBTOTAL(9,Q617)</f>
        <v>4320</v>
      </c>
      <c r="R616" s="120"/>
      <c r="T616" s="188"/>
    </row>
    <row r="617" spans="1:20" x14ac:dyDescent="0.25">
      <c r="A617" s="100"/>
      <c r="B617" s="3">
        <v>1</v>
      </c>
      <c r="C617" s="5" t="s">
        <v>306</v>
      </c>
      <c r="D617" s="3" t="s">
        <v>33</v>
      </c>
      <c r="E617" s="100" t="str">
        <f>IFERROR(VLOOKUP(C617,Resources!B:D,3,FALSE)," ")</f>
        <v>S</v>
      </c>
      <c r="F617" s="8">
        <v>1</v>
      </c>
      <c r="G617" s="8">
        <v>1</v>
      </c>
      <c r="H617" s="8">
        <f>H616*4320/2</f>
        <v>4320</v>
      </c>
      <c r="I617" s="109">
        <f>IFERROR(VLOOKUP(C617,Resources!B:G,6,FALSE)," ")</f>
        <v>1</v>
      </c>
      <c r="J617" s="109">
        <f t="shared" ref="J617" si="954">(H617/(G617/F617))*I617</f>
        <v>4320</v>
      </c>
      <c r="K617" s="8"/>
      <c r="L617" s="8">
        <f>H616</f>
        <v>2</v>
      </c>
      <c r="M617" s="109">
        <f t="shared" ref="M617" si="955">IF($E617="L",$J617,0)</f>
        <v>0</v>
      </c>
      <c r="N617" s="109">
        <f t="shared" ref="N617" si="956">IF($E617="M",$J617,0)</f>
        <v>0</v>
      </c>
      <c r="O617" s="109">
        <f t="shared" ref="O617" si="957">IF($E617="P",$J617,0)</f>
        <v>0</v>
      </c>
      <c r="P617" s="109">
        <f t="shared" ref="P617" si="958">IF($E617="S",$J617,0)</f>
        <v>4320</v>
      </c>
      <c r="Q617" s="109">
        <f t="shared" ref="Q617" si="959">SUM(M617:P617)</f>
        <v>4320</v>
      </c>
      <c r="R617" s="121">
        <v>103</v>
      </c>
      <c r="T617" s="188"/>
    </row>
    <row r="618" spans="1:20" x14ac:dyDescent="0.25">
      <c r="A618" s="101"/>
      <c r="B618" s="4"/>
      <c r="C618" s="6"/>
      <c r="D618" s="4"/>
      <c r="E618" s="101" t="str">
        <f>IFERROR(VLOOKUP(C618,Resources!B:D,3,FALSE)," ")</f>
        <v xml:space="preserve"> </v>
      </c>
      <c r="F618" s="9"/>
      <c r="G618" s="9"/>
      <c r="H618" s="9"/>
      <c r="I618" s="38" t="str">
        <f>IFERROR(VLOOKUP(C618,Resources!B:G,6,FALSE)," ")</f>
        <v xml:space="preserve"> </v>
      </c>
      <c r="J618" s="38"/>
      <c r="K618" s="9"/>
      <c r="L618" s="9"/>
      <c r="M618" s="38"/>
      <c r="N618" s="38"/>
      <c r="O618" s="38"/>
      <c r="P618" s="38"/>
      <c r="Q618" s="38"/>
      <c r="R618" s="122"/>
      <c r="T618" s="188"/>
    </row>
    <row r="619" spans="1:20" ht="45" x14ac:dyDescent="0.25">
      <c r="A619" s="114">
        <v>88</v>
      </c>
      <c r="B619" s="1" t="s">
        <v>342</v>
      </c>
      <c r="C619" s="1" t="s">
        <v>343</v>
      </c>
      <c r="D619" s="2" t="s">
        <v>33</v>
      </c>
      <c r="E619" s="99" t="str">
        <f>IFERROR(VLOOKUP(C619,Resources!B:D,3,FALSE)," ")</f>
        <v xml:space="preserve"> </v>
      </c>
      <c r="F619" s="7"/>
      <c r="G619" s="7"/>
      <c r="H619" s="103">
        <f>VLOOKUP($A619,'Model Inputs'!$A:$D,4,FALSE)</f>
        <v>1</v>
      </c>
      <c r="I619" s="108" t="str">
        <f>IFERROR(VLOOKUP(C619,Resources!B:G,6,FALSE)," ")</f>
        <v xml:space="preserve"> </v>
      </c>
      <c r="J619" s="108">
        <f>SUBTOTAL(9,J620)</f>
        <v>2000</v>
      </c>
      <c r="K619" s="7"/>
      <c r="L619" s="7">
        <f>ROUNDUP(L620,0)</f>
        <v>3</v>
      </c>
      <c r="M619" s="108">
        <f t="shared" ref="M619" si="960">SUBTOTAL(9,M620)</f>
        <v>0</v>
      </c>
      <c r="N619" s="108">
        <f t="shared" ref="N619" si="961">SUBTOTAL(9,N620)</f>
        <v>0</v>
      </c>
      <c r="O619" s="108">
        <f t="shared" ref="O619" si="962">SUBTOTAL(9,O620)</f>
        <v>0</v>
      </c>
      <c r="P619" s="108">
        <f t="shared" ref="P619" si="963">SUBTOTAL(9,P620)</f>
        <v>2000</v>
      </c>
      <c r="Q619" s="108">
        <f t="shared" ref="Q619" si="964">SUBTOTAL(9,Q620)</f>
        <v>2000</v>
      </c>
      <c r="R619" s="120"/>
      <c r="T619" s="188"/>
    </row>
    <row r="620" spans="1:20" x14ac:dyDescent="0.25">
      <c r="A620" s="100"/>
      <c r="B620" s="3">
        <v>1</v>
      </c>
      <c r="C620" s="5" t="s">
        <v>306</v>
      </c>
      <c r="D620" s="3" t="s">
        <v>33</v>
      </c>
      <c r="E620" s="100" t="str">
        <f>IFERROR(VLOOKUP(C620,Resources!B:D,3,FALSE)," ")</f>
        <v>S</v>
      </c>
      <c r="F620" s="8">
        <v>1</v>
      </c>
      <c r="G620" s="8">
        <v>1</v>
      </c>
      <c r="H620" s="8">
        <f>H619*2000</f>
        <v>2000</v>
      </c>
      <c r="I620" s="109">
        <f>IFERROR(VLOOKUP(C620,Resources!B:G,6,FALSE)," ")</f>
        <v>1</v>
      </c>
      <c r="J620" s="109">
        <f t="shared" ref="J620" si="965">(H620/(G620/F620))*I620</f>
        <v>2000</v>
      </c>
      <c r="K620" s="8"/>
      <c r="L620" s="8">
        <f>H619*3</f>
        <v>3</v>
      </c>
      <c r="M620" s="109">
        <f t="shared" ref="M620" si="966">IF($E620="L",$J620,0)</f>
        <v>0</v>
      </c>
      <c r="N620" s="109">
        <f t="shared" ref="N620" si="967">IF($E620="M",$J620,0)</f>
        <v>0</v>
      </c>
      <c r="O620" s="109">
        <f t="shared" ref="O620" si="968">IF($E620="P",$J620,0)</f>
        <v>0</v>
      </c>
      <c r="P620" s="109">
        <f t="shared" ref="P620" si="969">IF($E620="S",$J620,0)</f>
        <v>2000</v>
      </c>
      <c r="Q620" s="109">
        <f t="shared" ref="Q620" si="970">SUM(M620:P620)</f>
        <v>2000</v>
      </c>
      <c r="R620" s="121">
        <v>103</v>
      </c>
      <c r="T620" s="188"/>
    </row>
    <row r="621" spans="1:20" x14ac:dyDescent="0.25">
      <c r="A621" s="101"/>
      <c r="B621" s="4"/>
      <c r="C621" s="6"/>
      <c r="D621" s="4"/>
      <c r="E621" s="101" t="str">
        <f>IFERROR(VLOOKUP(C621,Resources!B:D,3,FALSE)," ")</f>
        <v xml:space="preserve"> </v>
      </c>
      <c r="F621" s="9"/>
      <c r="G621" s="9"/>
      <c r="H621" s="9"/>
      <c r="I621" s="38" t="str">
        <f>IFERROR(VLOOKUP(C621,Resources!B:G,6,FALSE)," ")</f>
        <v xml:space="preserve"> </v>
      </c>
      <c r="J621" s="38"/>
      <c r="K621" s="9"/>
      <c r="L621" s="9"/>
      <c r="M621" s="38"/>
      <c r="N621" s="38"/>
      <c r="O621" s="38"/>
      <c r="P621" s="38"/>
      <c r="Q621" s="38"/>
      <c r="R621" s="122"/>
      <c r="T621" s="188"/>
    </row>
    <row r="622" spans="1:20" ht="45" x14ac:dyDescent="0.25">
      <c r="A622" s="114">
        <v>89</v>
      </c>
      <c r="B622" s="1" t="s">
        <v>344</v>
      </c>
      <c r="C622" s="1" t="s">
        <v>345</v>
      </c>
      <c r="D622" s="2" t="s">
        <v>346</v>
      </c>
      <c r="E622" s="99" t="str">
        <f>IFERROR(VLOOKUP(C622,Resources!B:D,3,FALSE)," ")</f>
        <v xml:space="preserve"> </v>
      </c>
      <c r="F622" s="7"/>
      <c r="G622" s="7"/>
      <c r="H622" s="103">
        <f>VLOOKUP($A622,'Model Inputs'!$A:$D,4,FALSE)</f>
        <v>1</v>
      </c>
      <c r="I622" s="108" t="str">
        <f>IFERROR(VLOOKUP(C622,Resources!B:G,6,FALSE)," ")</f>
        <v xml:space="preserve"> </v>
      </c>
      <c r="J622" s="108">
        <f>SUBTOTAL(9,J623)</f>
        <v>5400</v>
      </c>
      <c r="K622" s="7"/>
      <c r="L622" s="7">
        <f>ROUNDUP(L623,0)</f>
        <v>1</v>
      </c>
      <c r="M622" s="108">
        <f t="shared" ref="M622" si="971">SUBTOTAL(9,M623)</f>
        <v>0</v>
      </c>
      <c r="N622" s="108">
        <f t="shared" ref="N622" si="972">SUBTOTAL(9,N623)</f>
        <v>0</v>
      </c>
      <c r="O622" s="108">
        <f t="shared" ref="O622" si="973">SUBTOTAL(9,O623)</f>
        <v>0</v>
      </c>
      <c r="P622" s="108">
        <f t="shared" ref="P622" si="974">SUBTOTAL(9,P623)</f>
        <v>5400</v>
      </c>
      <c r="Q622" s="108">
        <f t="shared" ref="Q622" si="975">SUBTOTAL(9,Q623)</f>
        <v>5400</v>
      </c>
      <c r="R622" s="120"/>
      <c r="T622" s="188"/>
    </row>
    <row r="623" spans="1:20" x14ac:dyDescent="0.25">
      <c r="A623" s="100"/>
      <c r="B623" s="3">
        <v>1</v>
      </c>
      <c r="C623" s="5" t="s">
        <v>306</v>
      </c>
      <c r="D623" s="3" t="s">
        <v>33</v>
      </c>
      <c r="E623" s="100" t="str">
        <f>IFERROR(VLOOKUP(C623,Resources!B:D,3,FALSE)," ")</f>
        <v>S</v>
      </c>
      <c r="F623" s="8">
        <v>1</v>
      </c>
      <c r="G623" s="8">
        <v>1</v>
      </c>
      <c r="H623" s="8">
        <f>H622*5400</f>
        <v>5400</v>
      </c>
      <c r="I623" s="109">
        <f>IFERROR(VLOOKUP(C623,Resources!B:G,6,FALSE)," ")</f>
        <v>1</v>
      </c>
      <c r="J623" s="109">
        <f t="shared" ref="J623" si="976">(H623/(G623/F623))*I623</f>
        <v>5400</v>
      </c>
      <c r="K623" s="8"/>
      <c r="L623" s="8">
        <f>H622</f>
        <v>1</v>
      </c>
      <c r="M623" s="109">
        <f t="shared" ref="M623" si="977">IF($E623="L",$J623,0)</f>
        <v>0</v>
      </c>
      <c r="N623" s="109">
        <f t="shared" ref="N623" si="978">IF($E623="M",$J623,0)</f>
        <v>0</v>
      </c>
      <c r="O623" s="109">
        <f t="shared" ref="O623" si="979">IF($E623="P",$J623,0)</f>
        <v>0</v>
      </c>
      <c r="P623" s="109">
        <f t="shared" ref="P623" si="980">IF($E623="S",$J623,0)</f>
        <v>5400</v>
      </c>
      <c r="Q623" s="109">
        <f t="shared" ref="Q623" si="981">SUM(M623:P623)</f>
        <v>5400</v>
      </c>
      <c r="R623" s="121">
        <v>103</v>
      </c>
      <c r="T623" s="188"/>
    </row>
    <row r="624" spans="1:20" x14ac:dyDescent="0.25">
      <c r="A624" s="101"/>
      <c r="B624" s="4"/>
      <c r="C624" s="6"/>
      <c r="D624" s="4"/>
      <c r="E624" s="101" t="str">
        <f>IFERROR(VLOOKUP(C624,Resources!B:D,3,FALSE)," ")</f>
        <v xml:space="preserve"> </v>
      </c>
      <c r="F624" s="9"/>
      <c r="G624" s="9"/>
      <c r="H624" s="9"/>
      <c r="I624" s="38" t="str">
        <f>IFERROR(VLOOKUP(C624,Resources!B:G,6,FALSE)," ")</f>
        <v xml:space="preserve"> </v>
      </c>
      <c r="J624" s="38"/>
      <c r="K624" s="9"/>
      <c r="L624" s="9"/>
      <c r="M624" s="38"/>
      <c r="N624" s="38"/>
      <c r="O624" s="38"/>
      <c r="P624" s="38"/>
      <c r="Q624" s="38"/>
      <c r="R624" s="122"/>
      <c r="T624" s="188"/>
    </row>
    <row r="625" spans="1:20" ht="30" x14ac:dyDescent="0.25">
      <c r="A625" s="114">
        <v>90</v>
      </c>
      <c r="B625" s="1" t="s">
        <v>347</v>
      </c>
      <c r="C625" s="1" t="s">
        <v>147</v>
      </c>
      <c r="D625" s="2" t="s">
        <v>33</v>
      </c>
      <c r="E625" s="99" t="str">
        <f>IFERROR(VLOOKUP(C625,Resources!B:D,3,FALSE)," ")</f>
        <v xml:space="preserve"> </v>
      </c>
      <c r="F625" s="7"/>
      <c r="G625" s="7"/>
      <c r="H625" s="103">
        <f>VLOOKUP($A625,'Model Inputs'!$A:$D,4,FALSE)</f>
        <v>1</v>
      </c>
      <c r="I625" s="108" t="str">
        <f>IFERROR(VLOOKUP(C625,Resources!B:G,6,FALSE)," ")</f>
        <v xml:space="preserve"> </v>
      </c>
      <c r="J625" s="108">
        <f>SUBTOTAL(9,J626)</f>
        <v>4000</v>
      </c>
      <c r="K625" s="7"/>
      <c r="L625" s="7">
        <f>ROUNDUP(L626/Workhrs,0)</f>
        <v>4</v>
      </c>
      <c r="M625" s="108">
        <f t="shared" ref="M625" si="982">SUBTOTAL(9,M626)</f>
        <v>0</v>
      </c>
      <c r="N625" s="108">
        <f t="shared" ref="N625" si="983">SUBTOTAL(9,N626)</f>
        <v>0</v>
      </c>
      <c r="O625" s="108">
        <f t="shared" ref="O625" si="984">SUBTOTAL(9,O626)</f>
        <v>0</v>
      </c>
      <c r="P625" s="108">
        <f t="shared" ref="P625" si="985">SUBTOTAL(9,P626)</f>
        <v>4000</v>
      </c>
      <c r="Q625" s="108">
        <f t="shared" ref="Q625" si="986">SUBTOTAL(9,Q626)</f>
        <v>4000</v>
      </c>
      <c r="R625" s="120"/>
      <c r="T625" s="188"/>
    </row>
    <row r="626" spans="1:20" x14ac:dyDescent="0.25">
      <c r="A626" s="100"/>
      <c r="B626" s="3">
        <v>1</v>
      </c>
      <c r="C626" s="5" t="s">
        <v>148</v>
      </c>
      <c r="D626" s="3" t="s">
        <v>33</v>
      </c>
      <c r="E626" s="100" t="str">
        <f>IFERROR(VLOOKUP(C626,Resources!B:D,3,FALSE)," ")</f>
        <v>S</v>
      </c>
      <c r="F626" s="8">
        <v>1</v>
      </c>
      <c r="G626" s="8">
        <v>1</v>
      </c>
      <c r="H626" s="8">
        <f>H625*4000</f>
        <v>4000</v>
      </c>
      <c r="I626" s="109">
        <f>IFERROR(VLOOKUP(C626,Resources!B:G,6,FALSE)," ")</f>
        <v>1</v>
      </c>
      <c r="J626" s="109">
        <f t="shared" ref="J626" si="987">(H626/(G626/F626))*I626</f>
        <v>4000</v>
      </c>
      <c r="K626" s="8"/>
      <c r="L626" s="8">
        <f>H626/125</f>
        <v>32</v>
      </c>
      <c r="M626" s="109">
        <f t="shared" ref="M626" si="988">IF($E626="L",$J626,0)</f>
        <v>0</v>
      </c>
      <c r="N626" s="109">
        <f t="shared" ref="N626" si="989">IF($E626="M",$J626,0)</f>
        <v>0</v>
      </c>
      <c r="O626" s="109">
        <f t="shared" ref="O626" si="990">IF($E626="P",$J626,0)</f>
        <v>0</v>
      </c>
      <c r="P626" s="109">
        <f t="shared" ref="P626" si="991">IF($E626="S",$J626,0)</f>
        <v>4000</v>
      </c>
      <c r="Q626" s="109">
        <f t="shared" ref="Q626" si="992">SUM(M626:P626)</f>
        <v>4000</v>
      </c>
      <c r="R626" s="121">
        <v>12</v>
      </c>
      <c r="T626" s="188"/>
    </row>
    <row r="627" spans="1:20" x14ac:dyDescent="0.25">
      <c r="A627" s="101"/>
      <c r="B627" s="4"/>
      <c r="C627" s="6"/>
      <c r="D627" s="4"/>
      <c r="E627" s="101" t="str">
        <f>IFERROR(VLOOKUP(C627,Resources!B:D,3,FALSE)," ")</f>
        <v xml:space="preserve"> </v>
      </c>
      <c r="F627" s="9"/>
      <c r="G627" s="9"/>
      <c r="H627" s="9"/>
      <c r="I627" s="38" t="str">
        <f>IFERROR(VLOOKUP(C627,Resources!B:G,6,FALSE)," ")</f>
        <v xml:space="preserve"> </v>
      </c>
      <c r="J627" s="38"/>
      <c r="K627" s="9"/>
      <c r="L627" s="9"/>
      <c r="M627" s="38"/>
      <c r="N627" s="38"/>
      <c r="O627" s="38"/>
      <c r="P627" s="38"/>
      <c r="Q627" s="38"/>
      <c r="R627" s="122"/>
      <c r="T627" s="188"/>
    </row>
    <row r="628" spans="1:20" ht="30" x14ac:dyDescent="0.25">
      <c r="A628" s="114">
        <v>500</v>
      </c>
      <c r="B628" s="1" t="s">
        <v>348</v>
      </c>
      <c r="C628" s="1" t="s">
        <v>349</v>
      </c>
      <c r="D628" s="2"/>
      <c r="E628" s="99" t="str">
        <f>IFERROR(VLOOKUP(C628,Resources!B:D,3,FALSE)," ")</f>
        <v xml:space="preserve"> </v>
      </c>
      <c r="F628" s="7"/>
      <c r="G628" s="7"/>
      <c r="H628" s="7"/>
      <c r="I628" s="108" t="str">
        <f>IFERROR(VLOOKUP(C628,Resources!B:G,6,FALSE)," ")</f>
        <v xml:space="preserve"> </v>
      </c>
      <c r="J628" s="108"/>
      <c r="K628" s="7"/>
      <c r="L628" s="7"/>
      <c r="M628" s="108"/>
      <c r="N628" s="108"/>
      <c r="O628" s="108"/>
      <c r="P628" s="108"/>
      <c r="Q628" s="108"/>
      <c r="R628" s="120"/>
      <c r="T628" s="188"/>
    </row>
    <row r="629" spans="1:20" ht="30" x14ac:dyDescent="0.25">
      <c r="A629" s="114"/>
      <c r="B629" s="1" t="s">
        <v>350</v>
      </c>
      <c r="C629" s="1" t="s">
        <v>17</v>
      </c>
      <c r="D629" s="2"/>
      <c r="E629" s="99" t="str">
        <f>IFERROR(VLOOKUP(C629,Resources!B:D,3,FALSE)," ")</f>
        <v xml:space="preserve"> </v>
      </c>
      <c r="F629" s="7"/>
      <c r="G629" s="7"/>
      <c r="H629" s="7"/>
      <c r="I629" s="108" t="str">
        <f>IFERROR(VLOOKUP(C629,Resources!B:G,6,FALSE)," ")</f>
        <v xml:space="preserve"> </v>
      </c>
      <c r="J629" s="108"/>
      <c r="K629" s="7"/>
      <c r="L629" s="7"/>
      <c r="M629" s="108"/>
      <c r="N629" s="108"/>
      <c r="O629" s="108"/>
      <c r="P629" s="108"/>
      <c r="Q629" s="108"/>
      <c r="R629" s="120"/>
      <c r="T629" s="188"/>
    </row>
    <row r="630" spans="1:20" ht="30" x14ac:dyDescent="0.25">
      <c r="A630" s="114"/>
      <c r="B630" s="1" t="s">
        <v>351</v>
      </c>
      <c r="C630" s="1" t="s">
        <v>25</v>
      </c>
      <c r="D630" s="2"/>
      <c r="E630" s="99" t="str">
        <f>IFERROR(VLOOKUP(C630,Resources!B:D,3,FALSE)," ")</f>
        <v xml:space="preserve"> </v>
      </c>
      <c r="F630" s="7"/>
      <c r="G630" s="7"/>
      <c r="H630" s="7"/>
      <c r="I630" s="108" t="str">
        <f>IFERROR(VLOOKUP(C630,Resources!B:G,6,FALSE)," ")</f>
        <v xml:space="preserve"> </v>
      </c>
      <c r="J630" s="108"/>
      <c r="K630" s="7"/>
      <c r="L630" s="7"/>
      <c r="M630" s="108"/>
      <c r="N630" s="108"/>
      <c r="O630" s="108"/>
      <c r="P630" s="108"/>
      <c r="Q630" s="108"/>
      <c r="R630" s="120"/>
      <c r="T630" s="188"/>
    </row>
    <row r="631" spans="1:20" ht="30" x14ac:dyDescent="0.25">
      <c r="A631" s="114">
        <v>91</v>
      </c>
      <c r="B631" s="1" t="s">
        <v>352</v>
      </c>
      <c r="C631" s="1" t="s">
        <v>27</v>
      </c>
      <c r="D631" s="2" t="s">
        <v>20</v>
      </c>
      <c r="E631" s="99" t="str">
        <f>IFERROR(VLOOKUP(C631,Resources!B:D,3,FALSE)," ")</f>
        <v xml:space="preserve"> </v>
      </c>
      <c r="F631" s="7"/>
      <c r="G631" s="7"/>
      <c r="H631" s="103">
        <f>VLOOKUP($A631,'Model Inputs'!$A:$D,4,FALSE)</f>
        <v>1</v>
      </c>
      <c r="I631" s="108" t="str">
        <f>IFERROR(VLOOKUP(C631,Resources!B:G,6,FALSE)," ")</f>
        <v xml:space="preserve"> </v>
      </c>
      <c r="J631" s="108">
        <f>SUBTOTAL(9,J632:J638)</f>
        <v>13160</v>
      </c>
      <c r="K631" s="7"/>
      <c r="L631" s="7">
        <v>0</v>
      </c>
      <c r="M631" s="108">
        <f t="shared" ref="M631:Q631" si="993">SUBTOTAL(9,M632:M638)</f>
        <v>3250</v>
      </c>
      <c r="N631" s="108">
        <f t="shared" si="993"/>
        <v>0</v>
      </c>
      <c r="O631" s="108">
        <f t="shared" si="993"/>
        <v>0</v>
      </c>
      <c r="P631" s="108">
        <f t="shared" si="993"/>
        <v>9910</v>
      </c>
      <c r="Q631" s="108">
        <f t="shared" si="993"/>
        <v>13160</v>
      </c>
      <c r="R631" s="120"/>
      <c r="T631" s="188"/>
    </row>
    <row r="632" spans="1:20" x14ac:dyDescent="0.25">
      <c r="A632" s="100"/>
      <c r="B632" s="3">
        <v>1</v>
      </c>
      <c r="C632" s="5" t="s">
        <v>21</v>
      </c>
      <c r="D632" s="3" t="s">
        <v>22</v>
      </c>
      <c r="E632" s="100" t="str">
        <f>IFERROR(VLOOKUP(C632,Resources!B:D,3,FALSE)," ")</f>
        <v>L</v>
      </c>
      <c r="F632" s="8">
        <v>1</v>
      </c>
      <c r="G632" s="8">
        <v>1</v>
      </c>
      <c r="H632" s="8">
        <f>H631</f>
        <v>1</v>
      </c>
      <c r="I632" s="109">
        <f>IFERROR(VLOOKUP(C632,Resources!B:G,6,FALSE)," ")</f>
        <v>3250</v>
      </c>
      <c r="J632" s="109">
        <f t="shared" ref="J632" si="994">(H632/(G632/F632))*I632</f>
        <v>3250</v>
      </c>
      <c r="K632" s="8"/>
      <c r="L632" s="8"/>
      <c r="M632" s="109">
        <f t="shared" ref="M632" si="995">IF($E632="L",$J632,0)</f>
        <v>3250</v>
      </c>
      <c r="N632" s="109">
        <f t="shared" ref="N632" si="996">IF($E632="M",$J632,0)</f>
        <v>0</v>
      </c>
      <c r="O632" s="109">
        <f t="shared" ref="O632" si="997">IF($E632="P",$J632,0)</f>
        <v>0</v>
      </c>
      <c r="P632" s="109">
        <f t="shared" ref="P632" si="998">IF($E632="S",$J632,0)</f>
        <v>0</v>
      </c>
      <c r="Q632" s="109">
        <f t="shared" ref="Q632" si="999">SUM(M632:P632)</f>
        <v>3250</v>
      </c>
      <c r="R632" s="121">
        <v>901</v>
      </c>
      <c r="T632" s="188"/>
    </row>
    <row r="633" spans="1:20" x14ac:dyDescent="0.25">
      <c r="A633" s="100">
        <v>91.1</v>
      </c>
      <c r="B633" s="3">
        <v>2</v>
      </c>
      <c r="C633" s="5" t="s">
        <v>2367</v>
      </c>
      <c r="D633" s="3"/>
      <c r="E633" s="100" t="str">
        <f>IFERROR(VLOOKUP(C633,Resources!B:D,3,FALSE)," ")</f>
        <v xml:space="preserve"> </v>
      </c>
      <c r="F633" s="8"/>
      <c r="G633" s="8"/>
      <c r="H633" s="103">
        <f>VLOOKUP($A633,'Model Inputs'!$A:$D,4,FALSE)</f>
        <v>12</v>
      </c>
      <c r="I633" s="109" t="str">
        <f>IFERROR(VLOOKUP(C633,Resources!B:G,6,FALSE)," ")</f>
        <v xml:space="preserve"> </v>
      </c>
      <c r="J633" s="109"/>
      <c r="K633" s="8"/>
      <c r="L633" s="8"/>
      <c r="M633" s="109"/>
      <c r="N633" s="109"/>
      <c r="O633" s="109"/>
      <c r="P633" s="109"/>
      <c r="Q633" s="109"/>
      <c r="R633" s="121"/>
      <c r="T633" s="188"/>
    </row>
    <row r="634" spans="1:20" x14ac:dyDescent="0.25">
      <c r="A634" s="100">
        <v>91.2</v>
      </c>
      <c r="B634" s="3">
        <v>3</v>
      </c>
      <c r="C634" s="5" t="s">
        <v>2363</v>
      </c>
      <c r="D634" s="3"/>
      <c r="E634" s="100" t="str">
        <f>IFERROR(VLOOKUP(C634,Resources!B:D,3,FALSE)," ")</f>
        <v xml:space="preserve"> </v>
      </c>
      <c r="F634" s="8"/>
      <c r="G634" s="8"/>
      <c r="H634" s="103">
        <f>VLOOKUP($A634,'Model Inputs'!$A:$D,4,FALSE)</f>
        <v>6</v>
      </c>
      <c r="I634" s="109" t="str">
        <f>IFERROR(VLOOKUP(C634,Resources!B:G,6,FALSE)," ")</f>
        <v xml:space="preserve"> </v>
      </c>
      <c r="J634" s="109"/>
      <c r="K634" s="8"/>
      <c r="L634" s="8"/>
      <c r="M634" s="109"/>
      <c r="N634" s="109"/>
      <c r="O634" s="109"/>
      <c r="P634" s="109"/>
      <c r="Q634" s="109"/>
      <c r="R634" s="121"/>
      <c r="T634" s="188"/>
    </row>
    <row r="635" spans="1:20" x14ac:dyDescent="0.25">
      <c r="A635" s="100"/>
      <c r="B635" s="3">
        <v>4</v>
      </c>
      <c r="C635" s="5" t="s">
        <v>28</v>
      </c>
      <c r="D635" s="3" t="s">
        <v>29</v>
      </c>
      <c r="E635" s="100" t="str">
        <f>IFERROR(VLOOKUP(C635,Resources!B:D,3,FALSE)," ")</f>
        <v>S</v>
      </c>
      <c r="F635" s="8">
        <v>1</v>
      </c>
      <c r="G635" s="8">
        <v>1</v>
      </c>
      <c r="H635" s="8">
        <f>H633</f>
        <v>12</v>
      </c>
      <c r="I635" s="109">
        <f>IFERROR(VLOOKUP(C635,Resources!B:G,6,FALSE)," ")</f>
        <v>45</v>
      </c>
      <c r="J635" s="109">
        <f t="shared" ref="J635:J637" si="1000">(H635/(G635/F635))*I635</f>
        <v>540</v>
      </c>
      <c r="K635" s="8"/>
      <c r="L635" s="8"/>
      <c r="M635" s="109">
        <f t="shared" ref="M635:M638" si="1001">IF($E635="L",$J635,0)</f>
        <v>0</v>
      </c>
      <c r="N635" s="109">
        <f t="shared" ref="N635:N638" si="1002">IF($E635="M",$J635,0)</f>
        <v>0</v>
      </c>
      <c r="O635" s="109">
        <f t="shared" ref="O635:O638" si="1003">IF($E635="P",$J635,0)</f>
        <v>0</v>
      </c>
      <c r="P635" s="109">
        <f t="shared" ref="P635:P638" si="1004">IF($E635="S",$J635,0)</f>
        <v>540</v>
      </c>
      <c r="Q635" s="109">
        <f t="shared" ref="Q635:Q638" si="1005">SUM(M635:P635)</f>
        <v>540</v>
      </c>
      <c r="R635" s="121">
        <v>13</v>
      </c>
      <c r="T635" s="188"/>
    </row>
    <row r="636" spans="1:20" x14ac:dyDescent="0.25">
      <c r="A636" s="100"/>
      <c r="B636" s="3">
        <v>5</v>
      </c>
      <c r="C636" s="5" t="s">
        <v>30</v>
      </c>
      <c r="D636" s="3" t="s">
        <v>29</v>
      </c>
      <c r="E636" s="100" t="str">
        <f>IFERROR(VLOOKUP(C636,Resources!B:D,3,FALSE)," ")</f>
        <v>S</v>
      </c>
      <c r="F636" s="8">
        <v>1</v>
      </c>
      <c r="G636" s="8">
        <v>1</v>
      </c>
      <c r="H636" s="8">
        <v>3</v>
      </c>
      <c r="I636" s="109">
        <f>IFERROR(VLOOKUP(C636,Resources!B:G,6,FALSE)," ")</f>
        <v>390</v>
      </c>
      <c r="J636" s="109">
        <f t="shared" si="1000"/>
        <v>1170</v>
      </c>
      <c r="K636" s="8"/>
      <c r="L636" s="8"/>
      <c r="M636" s="109">
        <f t="shared" si="1001"/>
        <v>0</v>
      </c>
      <c r="N636" s="109">
        <f t="shared" si="1002"/>
        <v>0</v>
      </c>
      <c r="O636" s="109">
        <f t="shared" si="1003"/>
        <v>0</v>
      </c>
      <c r="P636" s="109">
        <f t="shared" si="1004"/>
        <v>1170</v>
      </c>
      <c r="Q636" s="109">
        <f t="shared" si="1005"/>
        <v>1170</v>
      </c>
      <c r="R636" s="121">
        <v>13</v>
      </c>
      <c r="T636" s="188"/>
    </row>
    <row r="637" spans="1:20" x14ac:dyDescent="0.25">
      <c r="A637" s="100"/>
      <c r="B637" s="3">
        <v>6</v>
      </c>
      <c r="C637" s="5" t="s">
        <v>31</v>
      </c>
      <c r="D637" s="3" t="s">
        <v>29</v>
      </c>
      <c r="E637" s="100" t="str">
        <f>IFERROR(VLOOKUP(C637,Resources!B:D,3,FALSE)," ")</f>
        <v>S</v>
      </c>
      <c r="F637" s="8">
        <v>1</v>
      </c>
      <c r="G637" s="8">
        <v>1</v>
      </c>
      <c r="H637" s="8">
        <f>H634</f>
        <v>6</v>
      </c>
      <c r="I637" s="109">
        <f>IFERROR(VLOOKUP(C637,Resources!B:G,6,FALSE)," ")</f>
        <v>150</v>
      </c>
      <c r="J637" s="109">
        <f t="shared" si="1000"/>
        <v>900</v>
      </c>
      <c r="K637" s="8"/>
      <c r="L637" s="8"/>
      <c r="M637" s="109">
        <f t="shared" si="1001"/>
        <v>0</v>
      </c>
      <c r="N637" s="109">
        <f t="shared" si="1002"/>
        <v>0</v>
      </c>
      <c r="O637" s="109">
        <f t="shared" si="1003"/>
        <v>0</v>
      </c>
      <c r="P637" s="109">
        <f t="shared" si="1004"/>
        <v>900</v>
      </c>
      <c r="Q637" s="109">
        <f t="shared" si="1005"/>
        <v>900</v>
      </c>
      <c r="R637" s="121">
        <v>13</v>
      </c>
      <c r="T637" s="188"/>
    </row>
    <row r="638" spans="1:20" x14ac:dyDescent="0.25">
      <c r="A638" s="100">
        <v>91.3</v>
      </c>
      <c r="B638" s="3">
        <v>7</v>
      </c>
      <c r="C638" s="5" t="s">
        <v>148</v>
      </c>
      <c r="D638" s="3" t="s">
        <v>33</v>
      </c>
      <c r="E638" s="100" t="str">
        <f>IFERROR(VLOOKUP(C638,Resources!B:D,3,FALSE)," ")</f>
        <v>S</v>
      </c>
      <c r="F638" s="103">
        <f>VLOOKUP($A638,'Model Inputs'!$A:$D,4,FALSE)</f>
        <v>7300</v>
      </c>
      <c r="G638" s="8">
        <v>1</v>
      </c>
      <c r="H638" s="8">
        <f>H631*F638</f>
        <v>7300</v>
      </c>
      <c r="I638" s="109">
        <f>IFERROR(VLOOKUP(C638,Resources!B:G,6,FALSE)," ")</f>
        <v>1</v>
      </c>
      <c r="J638" s="109">
        <f>I638*H638</f>
        <v>7300</v>
      </c>
      <c r="K638" s="8"/>
      <c r="L638" s="8">
        <f t="shared" ref="L638" si="1006">H638/125</f>
        <v>58.4</v>
      </c>
      <c r="M638" s="109">
        <f t="shared" si="1001"/>
        <v>0</v>
      </c>
      <c r="N638" s="109">
        <f t="shared" si="1002"/>
        <v>0</v>
      </c>
      <c r="O638" s="109">
        <f t="shared" si="1003"/>
        <v>0</v>
      </c>
      <c r="P638" s="109">
        <f t="shared" si="1004"/>
        <v>7300</v>
      </c>
      <c r="Q638" s="109">
        <f t="shared" si="1005"/>
        <v>7300</v>
      </c>
      <c r="R638" s="121">
        <v>11</v>
      </c>
      <c r="T638" s="188"/>
    </row>
    <row r="639" spans="1:20" x14ac:dyDescent="0.25">
      <c r="A639" s="101"/>
      <c r="B639" s="4"/>
      <c r="C639" s="6"/>
      <c r="D639" s="4"/>
      <c r="E639" s="101" t="str">
        <f>IFERROR(VLOOKUP(C639,Resources!B:D,3,FALSE)," ")</f>
        <v xml:space="preserve"> </v>
      </c>
      <c r="F639" s="9"/>
      <c r="G639" s="9"/>
      <c r="H639" s="9"/>
      <c r="I639" s="38" t="str">
        <f>IFERROR(VLOOKUP(C639,Resources!B:G,6,FALSE)," ")</f>
        <v xml:space="preserve"> </v>
      </c>
      <c r="J639" s="38"/>
      <c r="K639" s="9"/>
      <c r="L639" s="9"/>
      <c r="M639" s="38"/>
      <c r="N639" s="38"/>
      <c r="O639" s="38"/>
      <c r="P639" s="38"/>
      <c r="Q639" s="38"/>
      <c r="R639" s="122"/>
      <c r="T639" s="188"/>
    </row>
    <row r="640" spans="1:20" ht="30" x14ac:dyDescent="0.25">
      <c r="A640" s="114"/>
      <c r="B640" s="1" t="s">
        <v>353</v>
      </c>
      <c r="C640" s="1" t="s">
        <v>35</v>
      </c>
      <c r="D640" s="2"/>
      <c r="E640" s="99" t="str">
        <f>IFERROR(VLOOKUP(C640,Resources!B:D,3,FALSE)," ")</f>
        <v xml:space="preserve"> </v>
      </c>
      <c r="F640" s="7"/>
      <c r="G640" s="7"/>
      <c r="H640" s="7"/>
      <c r="I640" s="108" t="str">
        <f>IFERROR(VLOOKUP(C640,Resources!B:G,6,FALSE)," ")</f>
        <v xml:space="preserve"> </v>
      </c>
      <c r="J640" s="108"/>
      <c r="K640" s="7"/>
      <c r="L640" s="7"/>
      <c r="M640" s="108"/>
      <c r="N640" s="108"/>
      <c r="O640" s="108"/>
      <c r="P640" s="108"/>
      <c r="Q640" s="108"/>
      <c r="R640" s="120"/>
      <c r="T640" s="188"/>
    </row>
    <row r="641" spans="1:20" ht="30" x14ac:dyDescent="0.25">
      <c r="A641" s="114"/>
      <c r="B641" s="1" t="s">
        <v>354</v>
      </c>
      <c r="C641" s="1" t="s">
        <v>36</v>
      </c>
      <c r="D641" s="2"/>
      <c r="E641" s="99" t="str">
        <f>IFERROR(VLOOKUP(C641,Resources!B:D,3,FALSE)," ")</f>
        <v xml:space="preserve"> </v>
      </c>
      <c r="F641" s="7"/>
      <c r="G641" s="7"/>
      <c r="H641" s="7"/>
      <c r="I641" s="108" t="str">
        <f>IFERROR(VLOOKUP(C641,Resources!B:G,6,FALSE)," ")</f>
        <v xml:space="preserve"> </v>
      </c>
      <c r="J641" s="108"/>
      <c r="K641" s="7"/>
      <c r="L641" s="7"/>
      <c r="M641" s="108"/>
      <c r="N641" s="108"/>
      <c r="O641" s="108"/>
      <c r="P641" s="108"/>
      <c r="Q641" s="108"/>
      <c r="R641" s="120"/>
      <c r="T641" s="188"/>
    </row>
    <row r="642" spans="1:20" ht="30" x14ac:dyDescent="0.25">
      <c r="A642" s="114"/>
      <c r="B642" s="1" t="s">
        <v>355</v>
      </c>
      <c r="C642" s="1" t="s">
        <v>38</v>
      </c>
      <c r="D642" s="2" t="s">
        <v>20</v>
      </c>
      <c r="E642" s="99" t="str">
        <f>IFERROR(VLOOKUP(C642,Resources!B:D,3,FALSE)," ")</f>
        <v xml:space="preserve"> </v>
      </c>
      <c r="F642" s="7"/>
      <c r="G642" s="7"/>
      <c r="H642" s="7">
        <v>1</v>
      </c>
      <c r="I642" s="108" t="str">
        <f>IFERROR(VLOOKUP(C642,Resources!B:G,6,FALSE)," ")</f>
        <v xml:space="preserve"> </v>
      </c>
      <c r="J642" s="108"/>
      <c r="K642" s="7"/>
      <c r="L642" s="7"/>
      <c r="M642" s="108"/>
      <c r="N642" s="108"/>
      <c r="O642" s="108"/>
      <c r="P642" s="108"/>
      <c r="Q642" s="108"/>
      <c r="R642" s="120"/>
      <c r="T642" s="188"/>
    </row>
    <row r="643" spans="1:20" x14ac:dyDescent="0.25">
      <c r="A643" s="101"/>
      <c r="B643" s="4"/>
      <c r="C643" s="6"/>
      <c r="D643" s="4"/>
      <c r="E643" s="101" t="str">
        <f>IFERROR(VLOOKUP(C643,Resources!B:D,3,FALSE)," ")</f>
        <v xml:space="preserve"> </v>
      </c>
      <c r="F643" s="9"/>
      <c r="G643" s="9"/>
      <c r="H643" s="9"/>
      <c r="I643" s="38" t="str">
        <f>IFERROR(VLOOKUP(C643,Resources!B:G,6,FALSE)," ")</f>
        <v xml:space="preserve"> </v>
      </c>
      <c r="J643" s="38"/>
      <c r="K643" s="9"/>
      <c r="L643" s="9"/>
      <c r="M643" s="38"/>
      <c r="N643" s="38"/>
      <c r="O643" s="38"/>
      <c r="P643" s="38"/>
      <c r="Q643" s="38"/>
      <c r="R643" s="122"/>
      <c r="T643" s="188"/>
    </row>
    <row r="644" spans="1:20" ht="30" x14ac:dyDescent="0.25">
      <c r="A644" s="114"/>
      <c r="B644" s="1" t="s">
        <v>356</v>
      </c>
      <c r="C644" s="1" t="s">
        <v>50</v>
      </c>
      <c r="D644" s="2"/>
      <c r="E644" s="99" t="str">
        <f>IFERROR(VLOOKUP(C644,Resources!B:D,3,FALSE)," ")</f>
        <v xml:space="preserve"> </v>
      </c>
      <c r="F644" s="7"/>
      <c r="G644" s="7"/>
      <c r="H644" s="7"/>
      <c r="I644" s="108" t="str">
        <f>IFERROR(VLOOKUP(C644,Resources!B:G,6,FALSE)," ")</f>
        <v xml:space="preserve"> </v>
      </c>
      <c r="J644" s="108"/>
      <c r="K644" s="7"/>
      <c r="L644" s="7"/>
      <c r="M644" s="108"/>
      <c r="N644" s="108"/>
      <c r="O644" s="108"/>
      <c r="P644" s="108"/>
      <c r="Q644" s="108"/>
      <c r="R644" s="120"/>
      <c r="T644" s="188"/>
    </row>
    <row r="645" spans="1:20" ht="30" x14ac:dyDescent="0.25">
      <c r="A645" s="114"/>
      <c r="B645" s="1" t="s">
        <v>357</v>
      </c>
      <c r="C645" s="1" t="s">
        <v>52</v>
      </c>
      <c r="D645" s="2"/>
      <c r="E645" s="99" t="str">
        <f>IFERROR(VLOOKUP(C645,Resources!B:D,3,FALSE)," ")</f>
        <v xml:space="preserve"> </v>
      </c>
      <c r="F645" s="7"/>
      <c r="G645" s="7"/>
      <c r="H645" s="7"/>
      <c r="I645" s="108" t="str">
        <f>IFERROR(VLOOKUP(C645,Resources!B:G,6,FALSE)," ")</f>
        <v xml:space="preserve"> </v>
      </c>
      <c r="J645" s="108"/>
      <c r="K645" s="7"/>
      <c r="L645" s="7"/>
      <c r="M645" s="108"/>
      <c r="N645" s="108"/>
      <c r="O645" s="108"/>
      <c r="P645" s="108"/>
      <c r="Q645" s="108"/>
      <c r="R645" s="120"/>
      <c r="T645" s="188"/>
    </row>
    <row r="646" spans="1:20" ht="30" x14ac:dyDescent="0.25">
      <c r="A646" s="114">
        <v>92</v>
      </c>
      <c r="B646" s="1" t="s">
        <v>358</v>
      </c>
      <c r="C646" s="1" t="s">
        <v>54</v>
      </c>
      <c r="D646" s="2" t="s">
        <v>20</v>
      </c>
      <c r="E646" s="99" t="str">
        <f>IFERROR(VLOOKUP(C646,Resources!B:D,3,FALSE)," ")</f>
        <v xml:space="preserve"> </v>
      </c>
      <c r="F646" s="7"/>
      <c r="G646" s="7"/>
      <c r="H646" s="103">
        <f>VLOOKUP($A646,'Model Inputs'!$A:$D,4,FALSE)</f>
        <v>1</v>
      </c>
      <c r="I646" s="108" t="str">
        <f>IFERROR(VLOOKUP(C646,Resources!B:G,6,FALSE)," ")</f>
        <v xml:space="preserve"> </v>
      </c>
      <c r="J646" s="108">
        <f>SUBTOTAL(9,J648)</f>
        <v>23292.48</v>
      </c>
      <c r="K646" s="7"/>
      <c r="L646" s="7">
        <f>ROUNDUP(L648,0)</f>
        <v>20</v>
      </c>
      <c r="M646" s="108">
        <f t="shared" ref="M646:Q646" si="1007">SUBTOTAL(9,M648)</f>
        <v>0</v>
      </c>
      <c r="N646" s="108">
        <f t="shared" si="1007"/>
        <v>0</v>
      </c>
      <c r="O646" s="108">
        <f t="shared" si="1007"/>
        <v>0</v>
      </c>
      <c r="P646" s="108">
        <f t="shared" si="1007"/>
        <v>23292.48</v>
      </c>
      <c r="Q646" s="108">
        <f t="shared" si="1007"/>
        <v>23292.48</v>
      </c>
      <c r="R646" s="120"/>
      <c r="T646" s="188"/>
    </row>
    <row r="647" spans="1:20" x14ac:dyDescent="0.25">
      <c r="A647" s="100">
        <v>92.1</v>
      </c>
      <c r="B647" s="3">
        <v>1</v>
      </c>
      <c r="C647" s="5" t="s">
        <v>2373</v>
      </c>
      <c r="D647" s="3"/>
      <c r="E647" s="100" t="str">
        <f>IFERROR(VLOOKUP(C647,Resources!B:D,3,FALSE)," ")</f>
        <v xml:space="preserve"> </v>
      </c>
      <c r="F647" s="103">
        <f>VLOOKUP($A647,'Model Inputs'!$A:$D,4,FALSE)</f>
        <v>4</v>
      </c>
      <c r="G647" s="8"/>
      <c r="H647" s="8">
        <f>H646*F647</f>
        <v>4</v>
      </c>
      <c r="I647" s="109" t="str">
        <f>IFERROR(VLOOKUP(C647,Resources!B:G,6,FALSE)," ")</f>
        <v xml:space="preserve"> </v>
      </c>
      <c r="J647" s="109"/>
      <c r="K647" s="8"/>
      <c r="L647" s="8"/>
      <c r="M647" s="109"/>
      <c r="N647" s="109"/>
      <c r="O647" s="109"/>
      <c r="P647" s="109"/>
      <c r="Q647" s="109"/>
      <c r="R647" s="121"/>
      <c r="T647" s="188"/>
    </row>
    <row r="648" spans="1:20" x14ac:dyDescent="0.25">
      <c r="A648" s="100"/>
      <c r="B648" s="3">
        <v>2</v>
      </c>
      <c r="C648" s="5" t="s">
        <v>55</v>
      </c>
      <c r="D648" s="3" t="s">
        <v>48</v>
      </c>
      <c r="E648" s="100" t="str">
        <f>IFERROR(VLOOKUP(C648,Resources!B:D,3,FALSE)," ")</f>
        <v>S</v>
      </c>
      <c r="F648" s="8">
        <v>6</v>
      </c>
      <c r="G648" s="8">
        <v>1</v>
      </c>
      <c r="H648" s="8">
        <f>H647*F648*9.5</f>
        <v>228</v>
      </c>
      <c r="I648" s="109">
        <f>IFERROR(VLOOKUP(C648,Resources!B:G,6,FALSE)," ")</f>
        <v>102.16</v>
      </c>
      <c r="J648" s="109">
        <f>I648*H648</f>
        <v>23292.48</v>
      </c>
      <c r="K648" s="8"/>
      <c r="L648" s="8">
        <f>H647*5</f>
        <v>20</v>
      </c>
      <c r="M648" s="109">
        <f t="shared" ref="M648" si="1008">IF($E648="L",$J648,0)</f>
        <v>0</v>
      </c>
      <c r="N648" s="109">
        <f t="shared" ref="N648" si="1009">IF($E648="M",$J648,0)</f>
        <v>0</v>
      </c>
      <c r="O648" s="109">
        <f t="shared" ref="O648" si="1010">IF($E648="P",$J648,0)</f>
        <v>0</v>
      </c>
      <c r="P648" s="109">
        <f t="shared" ref="P648" si="1011">IF($E648="S",$J648,0)</f>
        <v>23292.48</v>
      </c>
      <c r="Q648" s="109">
        <f t="shared" ref="Q648" si="1012">SUM(M648:P648)</f>
        <v>23292.48</v>
      </c>
      <c r="R648" s="121">
        <v>141</v>
      </c>
      <c r="T648" s="188"/>
    </row>
    <row r="649" spans="1:20" x14ac:dyDescent="0.25">
      <c r="A649" s="101"/>
      <c r="B649" s="4"/>
      <c r="C649" s="6"/>
      <c r="D649" s="4"/>
      <c r="E649" s="101" t="str">
        <f>IFERROR(VLOOKUP(C649,Resources!B:D,3,FALSE)," ")</f>
        <v xml:space="preserve"> </v>
      </c>
      <c r="F649" s="9"/>
      <c r="G649" s="9"/>
      <c r="H649" s="9"/>
      <c r="I649" s="38" t="str">
        <f>IFERROR(VLOOKUP(C649,Resources!B:G,6,FALSE)," ")</f>
        <v xml:space="preserve"> </v>
      </c>
      <c r="J649" s="38"/>
      <c r="K649" s="9"/>
      <c r="L649" s="9"/>
      <c r="M649" s="38"/>
      <c r="N649" s="38"/>
      <c r="O649" s="38"/>
      <c r="P649" s="38"/>
      <c r="Q649" s="38"/>
      <c r="R649" s="122"/>
      <c r="T649" s="188"/>
    </row>
    <row r="650" spans="1:20" ht="30" x14ac:dyDescent="0.25">
      <c r="A650" s="114"/>
      <c r="B650" s="1" t="s">
        <v>359</v>
      </c>
      <c r="C650" s="1" t="s">
        <v>161</v>
      </c>
      <c r="D650" s="2"/>
      <c r="E650" s="99" t="str">
        <f>IFERROR(VLOOKUP(C650,Resources!B:D,3,FALSE)," ")</f>
        <v xml:space="preserve"> </v>
      </c>
      <c r="F650" s="7"/>
      <c r="G650" s="7"/>
      <c r="H650" s="7"/>
      <c r="I650" s="108" t="str">
        <f>IFERROR(VLOOKUP(C650,Resources!B:G,6,FALSE)," ")</f>
        <v xml:space="preserve"> </v>
      </c>
      <c r="J650" s="108"/>
      <c r="K650" s="7"/>
      <c r="L650" s="7"/>
      <c r="M650" s="108"/>
      <c r="N650" s="108"/>
      <c r="O650" s="108"/>
      <c r="P650" s="108"/>
      <c r="Q650" s="108"/>
      <c r="R650" s="120"/>
      <c r="T650" s="188"/>
    </row>
    <row r="651" spans="1:20" ht="45" x14ac:dyDescent="0.25">
      <c r="A651" s="114">
        <v>93</v>
      </c>
      <c r="B651" s="1" t="s">
        <v>360</v>
      </c>
      <c r="C651" s="1" t="s">
        <v>163</v>
      </c>
      <c r="D651" s="2" t="s">
        <v>20</v>
      </c>
      <c r="E651" s="99" t="str">
        <f>IFERROR(VLOOKUP(C651,Resources!B:D,3,FALSE)," ")</f>
        <v xml:space="preserve"> </v>
      </c>
      <c r="F651" s="7"/>
      <c r="G651" s="7"/>
      <c r="H651" s="103">
        <f>VLOOKUP($A651,'Model Inputs'!$A:$D,4,FALSE)</f>
        <v>1</v>
      </c>
      <c r="I651" s="108" t="str">
        <f>IFERROR(VLOOKUP(C651,Resources!B:G,6,FALSE)," ")</f>
        <v xml:space="preserve"> </v>
      </c>
      <c r="J651" s="108">
        <f>SUBTOTAL(9,J652:J653)</f>
        <v>11050</v>
      </c>
      <c r="K651" s="7"/>
      <c r="L651" s="7">
        <f>ROUNDUP(MAX(L652:L653)/Workhrs,0)</f>
        <v>6</v>
      </c>
      <c r="M651" s="108">
        <f t="shared" ref="M651:Q651" si="1013">SUBTOTAL(9,M652:M653)</f>
        <v>6300</v>
      </c>
      <c r="N651" s="108">
        <f t="shared" si="1013"/>
        <v>0</v>
      </c>
      <c r="O651" s="108">
        <f t="shared" si="1013"/>
        <v>4750</v>
      </c>
      <c r="P651" s="108">
        <f t="shared" si="1013"/>
        <v>0</v>
      </c>
      <c r="Q651" s="108">
        <f t="shared" si="1013"/>
        <v>11050</v>
      </c>
      <c r="R651" s="120"/>
      <c r="T651" s="188"/>
    </row>
    <row r="652" spans="1:20" x14ac:dyDescent="0.25">
      <c r="A652" s="100">
        <v>93.1</v>
      </c>
      <c r="B652" s="3">
        <v>1</v>
      </c>
      <c r="C652" s="5" t="s">
        <v>8</v>
      </c>
      <c r="D652" s="3" t="s">
        <v>48</v>
      </c>
      <c r="E652" s="100" t="str">
        <f>IFERROR(VLOOKUP(C652,Resources!B:D,3,FALSE)," ")</f>
        <v>L</v>
      </c>
      <c r="F652" s="103">
        <f>VLOOKUP($A652,'Model Inputs'!$A:$D,4,FALSE)</f>
        <v>3</v>
      </c>
      <c r="G652" s="8">
        <v>1</v>
      </c>
      <c r="H652" s="8">
        <f>H651*50</f>
        <v>50</v>
      </c>
      <c r="I652" s="109">
        <f>IFERROR(VLOOKUP(C652,Resources!B:G,6,FALSE)," ")</f>
        <v>42</v>
      </c>
      <c r="J652" s="109">
        <f t="shared" ref="J652:J653" si="1014">(H652/(G652/F652))*I652</f>
        <v>6300</v>
      </c>
      <c r="K652" s="8">
        <f t="shared" ref="K652:K653" si="1015">L652*F652</f>
        <v>150</v>
      </c>
      <c r="L652" s="8">
        <f t="shared" ref="L652:L653" si="1016">IF(E652="M"," ",H652/G652)</f>
        <v>50</v>
      </c>
      <c r="M652" s="109">
        <f t="shared" ref="M652:M653" si="1017">IF($E652="L",$J652,0)</f>
        <v>6300</v>
      </c>
      <c r="N652" s="109">
        <f t="shared" ref="N652:N653" si="1018">IF($E652="M",$J652,0)</f>
        <v>0</v>
      </c>
      <c r="O652" s="109">
        <f t="shared" ref="O652:O653" si="1019">IF($E652="P",$J652,0)</f>
        <v>0</v>
      </c>
      <c r="P652" s="109">
        <f t="shared" ref="P652:P653" si="1020">IF($E652="S",$J652,0)</f>
        <v>0</v>
      </c>
      <c r="Q652" s="109">
        <f t="shared" ref="Q652:Q653" si="1021">SUM(M652:P652)</f>
        <v>6300</v>
      </c>
      <c r="R652" s="121">
        <v>151</v>
      </c>
      <c r="T652" s="188"/>
    </row>
    <row r="653" spans="1:20" x14ac:dyDescent="0.25">
      <c r="A653" s="100"/>
      <c r="B653" s="3">
        <v>2</v>
      </c>
      <c r="C653" s="5" t="s">
        <v>45</v>
      </c>
      <c r="D653" s="3" t="s">
        <v>48</v>
      </c>
      <c r="E653" s="100" t="str">
        <f>IFERROR(VLOOKUP(C653,Resources!B:D,3,FALSE)," ")</f>
        <v>P</v>
      </c>
      <c r="F653" s="8">
        <v>1</v>
      </c>
      <c r="G653" s="8">
        <v>1</v>
      </c>
      <c r="H653" s="8">
        <f>H652</f>
        <v>50</v>
      </c>
      <c r="I653" s="109">
        <f>IFERROR(VLOOKUP(C653,Resources!B:G,6,FALSE)," ")</f>
        <v>95</v>
      </c>
      <c r="J653" s="109">
        <f t="shared" si="1014"/>
        <v>4750</v>
      </c>
      <c r="K653" s="8">
        <f t="shared" si="1015"/>
        <v>50</v>
      </c>
      <c r="L653" s="8">
        <f t="shared" si="1016"/>
        <v>50</v>
      </c>
      <c r="M653" s="109">
        <f t="shared" si="1017"/>
        <v>0</v>
      </c>
      <c r="N653" s="109">
        <f t="shared" si="1018"/>
        <v>0</v>
      </c>
      <c r="O653" s="109">
        <f t="shared" si="1019"/>
        <v>4750</v>
      </c>
      <c r="P653" s="109">
        <f t="shared" si="1020"/>
        <v>0</v>
      </c>
      <c r="Q653" s="109">
        <f t="shared" si="1021"/>
        <v>4750</v>
      </c>
      <c r="R653" s="121">
        <v>151</v>
      </c>
      <c r="T653" s="188"/>
    </row>
    <row r="654" spans="1:20" x14ac:dyDescent="0.25">
      <c r="A654" s="101"/>
      <c r="B654" s="4"/>
      <c r="C654" s="6"/>
      <c r="D654" s="4"/>
      <c r="E654" s="101" t="str">
        <f>IFERROR(VLOOKUP(C654,Resources!B:D,3,FALSE)," ")</f>
        <v xml:space="preserve"> </v>
      </c>
      <c r="F654" s="9"/>
      <c r="G654" s="9"/>
      <c r="H654" s="9"/>
      <c r="I654" s="38" t="str">
        <f>IFERROR(VLOOKUP(C654,Resources!B:G,6,FALSE)," ")</f>
        <v xml:space="preserve"> </v>
      </c>
      <c r="J654" s="38"/>
      <c r="K654" s="9"/>
      <c r="L654" s="9"/>
      <c r="M654" s="38"/>
      <c r="N654" s="38"/>
      <c r="O654" s="38"/>
      <c r="P654" s="38"/>
      <c r="Q654" s="38"/>
      <c r="R654" s="122"/>
      <c r="T654" s="188"/>
    </row>
    <row r="655" spans="1:20" ht="30" x14ac:dyDescent="0.25">
      <c r="A655" s="114"/>
      <c r="B655" s="1" t="s">
        <v>361</v>
      </c>
      <c r="C655" s="1" t="s">
        <v>362</v>
      </c>
      <c r="D655" s="2"/>
      <c r="E655" s="99" t="str">
        <f>IFERROR(VLOOKUP(C655,Resources!B:D,3,FALSE)," ")</f>
        <v xml:space="preserve"> </v>
      </c>
      <c r="F655" s="7"/>
      <c r="G655" s="7"/>
      <c r="H655" s="7"/>
      <c r="I655" s="108" t="str">
        <f>IFERROR(VLOOKUP(C655,Resources!B:G,6,FALSE)," ")</f>
        <v xml:space="preserve"> </v>
      </c>
      <c r="J655" s="108"/>
      <c r="K655" s="7"/>
      <c r="L655" s="7"/>
      <c r="M655" s="108"/>
      <c r="N655" s="108"/>
      <c r="O655" s="108"/>
      <c r="P655" s="108"/>
      <c r="Q655" s="108"/>
      <c r="R655" s="120"/>
      <c r="T655" s="188"/>
    </row>
    <row r="656" spans="1:20" ht="30" x14ac:dyDescent="0.25">
      <c r="A656" s="114">
        <v>94</v>
      </c>
      <c r="B656" s="1" t="s">
        <v>363</v>
      </c>
      <c r="C656" s="1" t="s">
        <v>364</v>
      </c>
      <c r="D656" s="2" t="s">
        <v>20</v>
      </c>
      <c r="E656" s="99" t="str">
        <f>IFERROR(VLOOKUP(C656,Resources!B:D,3,FALSE)," ")</f>
        <v xml:space="preserve"> </v>
      </c>
      <c r="F656" s="7"/>
      <c r="G656" s="7"/>
      <c r="H656" s="103">
        <f>VLOOKUP($A656,'Model Inputs'!$A:$D,4,FALSE)</f>
        <v>1</v>
      </c>
      <c r="I656" s="108" t="str">
        <f>IFERROR(VLOOKUP(C656,Resources!B:G,6,FALSE)," ")</f>
        <v xml:space="preserve"> </v>
      </c>
      <c r="J656" s="108">
        <f>SUBTOTAL(9,J657:J660)</f>
        <v>10066.666666666666</v>
      </c>
      <c r="K656" s="7"/>
      <c r="L656" s="7">
        <f>ROUNDUP(MAX(L657:L660)/Workhrs,0)</f>
        <v>2</v>
      </c>
      <c r="M656" s="108">
        <f t="shared" ref="M656:Q656" si="1022">SUBTOTAL(9,M657:M660)</f>
        <v>1400</v>
      </c>
      <c r="N656" s="108">
        <f t="shared" si="1022"/>
        <v>0</v>
      </c>
      <c r="O656" s="108">
        <f t="shared" si="1022"/>
        <v>8666.6666666666661</v>
      </c>
      <c r="P656" s="108">
        <f t="shared" si="1022"/>
        <v>0</v>
      </c>
      <c r="Q656" s="108">
        <f t="shared" si="1022"/>
        <v>10066.666666666666</v>
      </c>
      <c r="R656" s="120"/>
      <c r="T656" s="188"/>
    </row>
    <row r="657" spans="1:20" x14ac:dyDescent="0.25">
      <c r="A657" s="100">
        <v>94.1</v>
      </c>
      <c r="B657" s="3">
        <v>1</v>
      </c>
      <c r="C657" s="5" t="s">
        <v>63</v>
      </c>
      <c r="D657" s="3" t="s">
        <v>48</v>
      </c>
      <c r="E657" s="100" t="str">
        <f>IFERROR(VLOOKUP(C657,Resources!B:D,3,FALSE)," ")</f>
        <v>P</v>
      </c>
      <c r="F657" s="8">
        <v>1</v>
      </c>
      <c r="G657" s="103">
        <f>VLOOKUP($A657,'Model Inputs'!$A:$D,4,FALSE)</f>
        <v>0.06</v>
      </c>
      <c r="H657" s="8">
        <f>H656</f>
        <v>1</v>
      </c>
      <c r="I657" s="109">
        <f>IFERROR(VLOOKUP(C657,Resources!B:G,6,FALSE)," ")</f>
        <v>135</v>
      </c>
      <c r="J657" s="109">
        <f t="shared" ref="J657:J660" si="1023">(H657/(G657/F657))*I657</f>
        <v>2250</v>
      </c>
      <c r="K657" s="8">
        <f t="shared" ref="K657:K660" si="1024">L657*F657</f>
        <v>16.666666666666668</v>
      </c>
      <c r="L657" s="8">
        <f t="shared" ref="L657:L660" si="1025">IF(E657="M"," ",H657/G657)</f>
        <v>16.666666666666668</v>
      </c>
      <c r="M657" s="109">
        <f t="shared" ref="M657:M660" si="1026">IF($E657="L",$J657,0)</f>
        <v>0</v>
      </c>
      <c r="N657" s="109">
        <f t="shared" ref="N657:N660" si="1027">IF($E657="M",$J657,0)</f>
        <v>0</v>
      </c>
      <c r="O657" s="109">
        <f t="shared" ref="O657:O660" si="1028">IF($E657="P",$J657,0)</f>
        <v>2250</v>
      </c>
      <c r="P657" s="109">
        <f t="shared" ref="P657:P660" si="1029">IF($E657="S",$J657,0)</f>
        <v>0</v>
      </c>
      <c r="Q657" s="109">
        <f t="shared" ref="Q657:Q660" si="1030">SUM(M657:P657)</f>
        <v>2250</v>
      </c>
      <c r="R657" s="121">
        <v>41</v>
      </c>
      <c r="T657" s="188"/>
    </row>
    <row r="658" spans="1:20" x14ac:dyDescent="0.25">
      <c r="A658" s="100">
        <v>94.2</v>
      </c>
      <c r="B658" s="3">
        <v>2</v>
      </c>
      <c r="C658" s="5" t="s">
        <v>173</v>
      </c>
      <c r="D658" s="3" t="s">
        <v>48</v>
      </c>
      <c r="E658" s="100" t="str">
        <f>IFERROR(VLOOKUP(C658,Resources!B:D,3,FALSE)," ")</f>
        <v>P</v>
      </c>
      <c r="F658" s="103">
        <f>VLOOKUP($A658,'Model Inputs'!$A:$D,4,FALSE)</f>
        <v>3</v>
      </c>
      <c r="G658" s="8">
        <f>G657</f>
        <v>0.06</v>
      </c>
      <c r="H658" s="8">
        <f>H656</f>
        <v>1</v>
      </c>
      <c r="I658" s="109">
        <f>IFERROR(VLOOKUP(C658,Resources!B:G,6,FALSE)," ")</f>
        <v>95</v>
      </c>
      <c r="J658" s="109">
        <f t="shared" si="1023"/>
        <v>4750</v>
      </c>
      <c r="K658" s="8">
        <f t="shared" si="1024"/>
        <v>50</v>
      </c>
      <c r="L658" s="8">
        <f t="shared" si="1025"/>
        <v>16.666666666666668</v>
      </c>
      <c r="M658" s="109">
        <f t="shared" si="1026"/>
        <v>0</v>
      </c>
      <c r="N658" s="109">
        <f t="shared" si="1027"/>
        <v>0</v>
      </c>
      <c r="O658" s="109">
        <f t="shared" si="1028"/>
        <v>4750</v>
      </c>
      <c r="P658" s="109">
        <f t="shared" si="1029"/>
        <v>0</v>
      </c>
      <c r="Q658" s="109">
        <f t="shared" si="1030"/>
        <v>4750</v>
      </c>
      <c r="R658" s="121">
        <v>41</v>
      </c>
      <c r="T658" s="188"/>
    </row>
    <row r="659" spans="1:20" x14ac:dyDescent="0.25">
      <c r="A659" s="100"/>
      <c r="B659" s="3">
        <v>3</v>
      </c>
      <c r="C659" s="5" t="s">
        <v>64</v>
      </c>
      <c r="D659" s="3" t="s">
        <v>48</v>
      </c>
      <c r="E659" s="100" t="str">
        <f>IFERROR(VLOOKUP(C659,Resources!B:D,3,FALSE)," ")</f>
        <v>P</v>
      </c>
      <c r="F659" s="8">
        <v>1</v>
      </c>
      <c r="G659" s="8">
        <f>G657</f>
        <v>0.06</v>
      </c>
      <c r="H659" s="8">
        <f>H656</f>
        <v>1</v>
      </c>
      <c r="I659" s="109">
        <f>IFERROR(VLOOKUP(C659,Resources!B:G,6,FALSE)," ")</f>
        <v>100</v>
      </c>
      <c r="J659" s="109">
        <f t="shared" si="1023"/>
        <v>1666.6666666666667</v>
      </c>
      <c r="K659" s="8">
        <f t="shared" si="1024"/>
        <v>16.666666666666668</v>
      </c>
      <c r="L659" s="8">
        <f t="shared" si="1025"/>
        <v>16.666666666666668</v>
      </c>
      <c r="M659" s="109">
        <f t="shared" si="1026"/>
        <v>0</v>
      </c>
      <c r="N659" s="109">
        <f t="shared" si="1027"/>
        <v>0</v>
      </c>
      <c r="O659" s="109">
        <f t="shared" si="1028"/>
        <v>1666.6666666666667</v>
      </c>
      <c r="P659" s="109">
        <f t="shared" si="1029"/>
        <v>0</v>
      </c>
      <c r="Q659" s="109">
        <f t="shared" si="1030"/>
        <v>1666.6666666666667</v>
      </c>
      <c r="R659" s="121">
        <v>41</v>
      </c>
      <c r="T659" s="188"/>
    </row>
    <row r="660" spans="1:20" x14ac:dyDescent="0.25">
      <c r="A660" s="100"/>
      <c r="B660" s="3">
        <v>4</v>
      </c>
      <c r="C660" s="5" t="s">
        <v>8</v>
      </c>
      <c r="D660" s="3" t="s">
        <v>48</v>
      </c>
      <c r="E660" s="100" t="str">
        <f>IFERROR(VLOOKUP(C660,Resources!B:D,3,FALSE)," ")</f>
        <v>L</v>
      </c>
      <c r="F660" s="8">
        <v>2</v>
      </c>
      <c r="G660" s="8">
        <f>G657</f>
        <v>0.06</v>
      </c>
      <c r="H660" s="8">
        <f>H656</f>
        <v>1</v>
      </c>
      <c r="I660" s="109">
        <f>IFERROR(VLOOKUP(C660,Resources!B:G,6,FALSE)," ")</f>
        <v>42</v>
      </c>
      <c r="J660" s="109">
        <f t="shared" si="1023"/>
        <v>1400</v>
      </c>
      <c r="K660" s="8">
        <f t="shared" si="1024"/>
        <v>33.333333333333336</v>
      </c>
      <c r="L660" s="8">
        <f t="shared" si="1025"/>
        <v>16.666666666666668</v>
      </c>
      <c r="M660" s="109">
        <f t="shared" si="1026"/>
        <v>1400</v>
      </c>
      <c r="N660" s="109">
        <f t="shared" si="1027"/>
        <v>0</v>
      </c>
      <c r="O660" s="109">
        <f t="shared" si="1028"/>
        <v>0</v>
      </c>
      <c r="P660" s="109">
        <f t="shared" si="1029"/>
        <v>0</v>
      </c>
      <c r="Q660" s="109">
        <f t="shared" si="1030"/>
        <v>1400</v>
      </c>
      <c r="R660" s="121">
        <v>41</v>
      </c>
      <c r="T660" s="188"/>
    </row>
    <row r="661" spans="1:20" x14ac:dyDescent="0.25">
      <c r="A661" s="101"/>
      <c r="B661" s="4"/>
      <c r="C661" s="6"/>
      <c r="D661" s="4"/>
      <c r="E661" s="101" t="str">
        <f>IFERROR(VLOOKUP(C661,Resources!B:D,3,FALSE)," ")</f>
        <v xml:space="preserve"> </v>
      </c>
      <c r="F661" s="9"/>
      <c r="G661" s="9"/>
      <c r="H661" s="9"/>
      <c r="I661" s="38" t="str">
        <f>IFERROR(VLOOKUP(C661,Resources!B:G,6,FALSE)," ")</f>
        <v xml:space="preserve"> </v>
      </c>
      <c r="J661" s="38"/>
      <c r="K661" s="9"/>
      <c r="L661" s="9"/>
      <c r="M661" s="38"/>
      <c r="N661" s="38"/>
      <c r="O661" s="38"/>
      <c r="P661" s="38"/>
      <c r="Q661" s="38"/>
      <c r="R661" s="122"/>
      <c r="T661" s="188"/>
    </row>
    <row r="662" spans="1:20" ht="30" x14ac:dyDescent="0.25">
      <c r="A662" s="114"/>
      <c r="B662" s="1" t="s">
        <v>365</v>
      </c>
      <c r="C662" s="1" t="s">
        <v>59</v>
      </c>
      <c r="D662" s="2"/>
      <c r="E662" s="99" t="str">
        <f>IFERROR(VLOOKUP(C662,Resources!B:D,3,FALSE)," ")</f>
        <v xml:space="preserve"> </v>
      </c>
      <c r="F662" s="7"/>
      <c r="G662" s="7"/>
      <c r="H662" s="7"/>
      <c r="I662" s="108" t="str">
        <f>IFERROR(VLOOKUP(C662,Resources!B:G,6,FALSE)," ")</f>
        <v xml:space="preserve"> </v>
      </c>
      <c r="J662" s="108"/>
      <c r="K662" s="7"/>
      <c r="L662" s="7"/>
      <c r="M662" s="108"/>
      <c r="N662" s="108"/>
      <c r="O662" s="108"/>
      <c r="P662" s="108"/>
      <c r="Q662" s="108"/>
      <c r="R662" s="120"/>
      <c r="T662" s="188"/>
    </row>
    <row r="663" spans="1:20" ht="30" x14ac:dyDescent="0.25">
      <c r="A663" s="114">
        <v>95</v>
      </c>
      <c r="B663" s="1" t="s">
        <v>366</v>
      </c>
      <c r="C663" s="1" t="s">
        <v>61</v>
      </c>
      <c r="D663" s="2" t="s">
        <v>62</v>
      </c>
      <c r="E663" s="99" t="str">
        <f>IFERROR(VLOOKUP(C663,Resources!B:D,3,FALSE)," ")</f>
        <v xml:space="preserve"> </v>
      </c>
      <c r="F663" s="7"/>
      <c r="G663" s="7"/>
      <c r="H663" s="103">
        <f>VLOOKUP($A663,'Model Inputs'!$A:$D,4,FALSE)</f>
        <v>1430</v>
      </c>
      <c r="I663" s="108" t="str">
        <f>IFERROR(VLOOKUP(C663,Resources!B:G,6,FALSE)," ")</f>
        <v xml:space="preserve"> </v>
      </c>
      <c r="J663" s="108">
        <f>SUBTOTAL(9,J664:J672)</f>
        <v>29655.241379310348</v>
      </c>
      <c r="K663" s="7"/>
      <c r="L663" s="7">
        <f>ROUNDUP((MAX(L664:L667)+MAX(L669:L672))/Workhrs,0)</f>
        <v>6</v>
      </c>
      <c r="M663" s="108">
        <f t="shared" ref="M663:Q663" si="1031">SUBTOTAL(9,M664:M672)</f>
        <v>2744.1206896551726</v>
      </c>
      <c r="N663" s="108">
        <f t="shared" si="1031"/>
        <v>0</v>
      </c>
      <c r="O663" s="108">
        <f t="shared" si="1031"/>
        <v>26911.120689655174</v>
      </c>
      <c r="P663" s="108">
        <f t="shared" si="1031"/>
        <v>0</v>
      </c>
      <c r="Q663" s="108">
        <f t="shared" si="1031"/>
        <v>29655.241379310348</v>
      </c>
      <c r="R663" s="120"/>
      <c r="T663" s="188"/>
    </row>
    <row r="664" spans="1:20" x14ac:dyDescent="0.25">
      <c r="A664" s="100">
        <v>95.1</v>
      </c>
      <c r="B664" s="3">
        <v>1</v>
      </c>
      <c r="C664" s="5" t="s">
        <v>63</v>
      </c>
      <c r="D664" s="3" t="s">
        <v>48</v>
      </c>
      <c r="E664" s="100" t="str">
        <f>IFERROR(VLOOKUP(C664,Resources!B:D,3,FALSE)," ")</f>
        <v>P</v>
      </c>
      <c r="F664" s="8">
        <v>1</v>
      </c>
      <c r="G664" s="103">
        <f>VLOOKUP($A664,'Model Inputs'!$A:$D,4,FALSE)</f>
        <v>40</v>
      </c>
      <c r="H664" s="8">
        <f>H663</f>
        <v>1430</v>
      </c>
      <c r="I664" s="109">
        <f>IFERROR(VLOOKUP(C664,Resources!B:G,6,FALSE)," ")</f>
        <v>135</v>
      </c>
      <c r="J664" s="109">
        <f t="shared" ref="J664:J667" si="1032">(H664/(G664/F664))*I664</f>
        <v>4826.25</v>
      </c>
      <c r="K664" s="8">
        <f t="shared" ref="K664:K667" si="1033">L664*F664</f>
        <v>35.75</v>
      </c>
      <c r="L664" s="8">
        <f t="shared" ref="L664:L667" si="1034">IF(E664="M"," ",H664/G664)</f>
        <v>35.75</v>
      </c>
      <c r="M664" s="109">
        <f t="shared" ref="M664:M667" si="1035">IF($E664="L",$J664,0)</f>
        <v>0</v>
      </c>
      <c r="N664" s="109">
        <f t="shared" ref="N664:N667" si="1036">IF($E664="M",$J664,0)</f>
        <v>0</v>
      </c>
      <c r="O664" s="109">
        <f t="shared" ref="O664:O667" si="1037">IF($E664="P",$J664,0)</f>
        <v>4826.25</v>
      </c>
      <c r="P664" s="109">
        <f t="shared" ref="P664:P667" si="1038">IF($E664="S",$J664,0)</f>
        <v>0</v>
      </c>
      <c r="Q664" s="109">
        <f t="shared" ref="Q664:Q667" si="1039">SUM(M664:P664)</f>
        <v>4826.25</v>
      </c>
      <c r="R664" s="121">
        <v>53</v>
      </c>
      <c r="T664" s="188"/>
    </row>
    <row r="665" spans="1:20" x14ac:dyDescent="0.25">
      <c r="A665" s="100">
        <v>95.2</v>
      </c>
      <c r="B665" s="3">
        <v>2</v>
      </c>
      <c r="C665" s="5" t="s">
        <v>44</v>
      </c>
      <c r="D665" s="3" t="s">
        <v>48</v>
      </c>
      <c r="E665" s="100" t="str">
        <f>IFERROR(VLOOKUP(C665,Resources!B:D,3,FALSE)," ")</f>
        <v>P</v>
      </c>
      <c r="F665" s="103">
        <f>VLOOKUP($A665,'Model Inputs'!$A:$D,4,FALSE)</f>
        <v>3</v>
      </c>
      <c r="G665" s="8">
        <f>G664</f>
        <v>40</v>
      </c>
      <c r="H665" s="8">
        <f>H663</f>
        <v>1430</v>
      </c>
      <c r="I665" s="109">
        <f>IFERROR(VLOOKUP(C665,Resources!B:G,6,FALSE)," ")</f>
        <v>145</v>
      </c>
      <c r="J665" s="109">
        <f t="shared" si="1032"/>
        <v>15551.25</v>
      </c>
      <c r="K665" s="8">
        <f t="shared" si="1033"/>
        <v>107.25</v>
      </c>
      <c r="L665" s="8">
        <f t="shared" si="1034"/>
        <v>35.75</v>
      </c>
      <c r="M665" s="109">
        <f t="shared" si="1035"/>
        <v>0</v>
      </c>
      <c r="N665" s="109">
        <f t="shared" si="1036"/>
        <v>0</v>
      </c>
      <c r="O665" s="109">
        <f t="shared" si="1037"/>
        <v>15551.25</v>
      </c>
      <c r="P665" s="109">
        <f t="shared" si="1038"/>
        <v>0</v>
      </c>
      <c r="Q665" s="109">
        <f t="shared" si="1039"/>
        <v>15551.25</v>
      </c>
      <c r="R665" s="121">
        <v>53</v>
      </c>
      <c r="T665" s="188"/>
    </row>
    <row r="666" spans="1:20" x14ac:dyDescent="0.25">
      <c r="A666" s="100"/>
      <c r="B666" s="3">
        <v>3</v>
      </c>
      <c r="C666" s="5" t="s">
        <v>64</v>
      </c>
      <c r="D666" s="3" t="s">
        <v>48</v>
      </c>
      <c r="E666" s="100" t="str">
        <f>IFERROR(VLOOKUP(C666,Resources!B:D,3,FALSE)," ")</f>
        <v>P</v>
      </c>
      <c r="F666" s="8">
        <v>1</v>
      </c>
      <c r="G666" s="8">
        <f>G664</f>
        <v>40</v>
      </c>
      <c r="H666" s="8">
        <f>H663</f>
        <v>1430</v>
      </c>
      <c r="I666" s="109">
        <f>IFERROR(VLOOKUP(C666,Resources!B:G,6,FALSE)," ")</f>
        <v>100</v>
      </c>
      <c r="J666" s="109">
        <f t="shared" si="1032"/>
        <v>3575</v>
      </c>
      <c r="K666" s="8">
        <f t="shared" si="1033"/>
        <v>35.75</v>
      </c>
      <c r="L666" s="8">
        <f t="shared" si="1034"/>
        <v>35.75</v>
      </c>
      <c r="M666" s="109">
        <f t="shared" si="1035"/>
        <v>0</v>
      </c>
      <c r="N666" s="109">
        <f t="shared" si="1036"/>
        <v>0</v>
      </c>
      <c r="O666" s="109">
        <f t="shared" si="1037"/>
        <v>3575</v>
      </c>
      <c r="P666" s="109">
        <f t="shared" si="1038"/>
        <v>0</v>
      </c>
      <c r="Q666" s="109">
        <f t="shared" si="1039"/>
        <v>3575</v>
      </c>
      <c r="R666" s="121">
        <v>53</v>
      </c>
      <c r="T666" s="188"/>
    </row>
    <row r="667" spans="1:20" x14ac:dyDescent="0.25">
      <c r="A667" s="100"/>
      <c r="B667" s="3">
        <v>4</v>
      </c>
      <c r="C667" s="5" t="s">
        <v>8</v>
      </c>
      <c r="D667" s="3" t="s">
        <v>48</v>
      </c>
      <c r="E667" s="100" t="str">
        <f>IFERROR(VLOOKUP(C667,Resources!B:D,3,FALSE)," ")</f>
        <v>L</v>
      </c>
      <c r="F667" s="8">
        <v>1</v>
      </c>
      <c r="G667" s="8">
        <f>G664</f>
        <v>40</v>
      </c>
      <c r="H667" s="8">
        <f>H663</f>
        <v>1430</v>
      </c>
      <c r="I667" s="109">
        <f>IFERROR(VLOOKUP(C667,Resources!B:G,6,FALSE)," ")</f>
        <v>42</v>
      </c>
      <c r="J667" s="109">
        <f t="shared" si="1032"/>
        <v>1501.5</v>
      </c>
      <c r="K667" s="8">
        <f t="shared" si="1033"/>
        <v>35.75</v>
      </c>
      <c r="L667" s="8">
        <f t="shared" si="1034"/>
        <v>35.75</v>
      </c>
      <c r="M667" s="109">
        <f t="shared" si="1035"/>
        <v>1501.5</v>
      </c>
      <c r="N667" s="109">
        <f t="shared" si="1036"/>
        <v>0</v>
      </c>
      <c r="O667" s="109">
        <f t="shared" si="1037"/>
        <v>0</v>
      </c>
      <c r="P667" s="109">
        <f t="shared" si="1038"/>
        <v>0</v>
      </c>
      <c r="Q667" s="109">
        <f t="shared" si="1039"/>
        <v>1501.5</v>
      </c>
      <c r="R667" s="121">
        <v>53</v>
      </c>
      <c r="T667" s="188"/>
    </row>
    <row r="668" spans="1:20" x14ac:dyDescent="0.25">
      <c r="A668" s="101"/>
      <c r="B668" s="4">
        <v>5</v>
      </c>
      <c r="C668" s="6" t="s">
        <v>65</v>
      </c>
      <c r="D668" s="4"/>
      <c r="E668" s="101" t="str">
        <f>IFERROR(VLOOKUP(C668,Resources!B:D,3,FALSE)," ")</f>
        <v xml:space="preserve"> </v>
      </c>
      <c r="F668" s="9"/>
      <c r="G668" s="9"/>
      <c r="H668" s="9"/>
      <c r="I668" s="38" t="str">
        <f>IFERROR(VLOOKUP(C668,Resources!B:G,6,FALSE)," ")</f>
        <v xml:space="preserve"> </v>
      </c>
      <c r="J668" s="38"/>
      <c r="K668" s="9"/>
      <c r="L668" s="9"/>
      <c r="M668" s="38"/>
      <c r="N668" s="38"/>
      <c r="O668" s="38"/>
      <c r="P668" s="38"/>
      <c r="Q668" s="38"/>
      <c r="R668" s="122"/>
      <c r="T668" s="188"/>
    </row>
    <row r="669" spans="1:20" x14ac:dyDescent="0.25">
      <c r="A669" s="100">
        <v>95.3</v>
      </c>
      <c r="B669" s="3">
        <v>6</v>
      </c>
      <c r="C669" s="5" t="s">
        <v>39</v>
      </c>
      <c r="D669" s="3" t="s">
        <v>48</v>
      </c>
      <c r="E669" s="100" t="str">
        <f>IFERROR(VLOOKUP(C669,Resources!B:D,3,FALSE)," ")</f>
        <v>P</v>
      </c>
      <c r="F669" s="8">
        <v>1</v>
      </c>
      <c r="G669" s="102">
        <v>250</v>
      </c>
      <c r="H669" s="8">
        <f>H663/0.58</f>
        <v>2465.5172413793107</v>
      </c>
      <c r="I669" s="109">
        <f>IFERROR(VLOOKUP(C669,Resources!B:G,6,FALSE)," ")</f>
        <v>145</v>
      </c>
      <c r="J669" s="109">
        <f t="shared" ref="J669:J672" si="1040">(H669/(G669/F669))*I669</f>
        <v>1430</v>
      </c>
      <c r="K669" s="8">
        <f t="shared" ref="K669:K672" si="1041">L669*F669</f>
        <v>9.862068965517242</v>
      </c>
      <c r="L669" s="8">
        <f t="shared" ref="L669:L672" si="1042">IF(E669="M"," ",H669/G669)</f>
        <v>9.862068965517242</v>
      </c>
      <c r="M669" s="109">
        <f t="shared" ref="M669:M672" si="1043">IF($E669="L",$J669,0)</f>
        <v>0</v>
      </c>
      <c r="N669" s="109">
        <f t="shared" ref="N669:N672" si="1044">IF($E669="M",$J669,0)</f>
        <v>0</v>
      </c>
      <c r="O669" s="109">
        <f t="shared" ref="O669:O672" si="1045">IF($E669="P",$J669,0)</f>
        <v>1430</v>
      </c>
      <c r="P669" s="109">
        <f t="shared" ref="P669:P672" si="1046">IF($E669="S",$J669,0)</f>
        <v>0</v>
      </c>
      <c r="Q669" s="109">
        <f t="shared" ref="Q669:Q672" si="1047">SUM(M669:P669)</f>
        <v>1430</v>
      </c>
      <c r="R669" s="121">
        <v>61</v>
      </c>
      <c r="T669" s="188"/>
    </row>
    <row r="670" spans="1:20" x14ac:dyDescent="0.25">
      <c r="A670" s="100"/>
      <c r="B670" s="3">
        <v>7</v>
      </c>
      <c r="C670" s="5" t="s">
        <v>64</v>
      </c>
      <c r="D670" s="3" t="s">
        <v>48</v>
      </c>
      <c r="E670" s="100" t="str">
        <f>IFERROR(VLOOKUP(C670,Resources!B:D,3,FALSE)," ")</f>
        <v>P</v>
      </c>
      <c r="F670" s="8">
        <v>1</v>
      </c>
      <c r="G670" s="8">
        <f>G669</f>
        <v>250</v>
      </c>
      <c r="H670" s="8">
        <f>H669</f>
        <v>2465.5172413793107</v>
      </c>
      <c r="I670" s="109">
        <f>IFERROR(VLOOKUP(C670,Resources!B:G,6,FALSE)," ")</f>
        <v>100</v>
      </c>
      <c r="J670" s="109">
        <f t="shared" si="1040"/>
        <v>986.20689655172418</v>
      </c>
      <c r="K670" s="8">
        <f t="shared" si="1041"/>
        <v>9.862068965517242</v>
      </c>
      <c r="L670" s="8">
        <f t="shared" si="1042"/>
        <v>9.862068965517242</v>
      </c>
      <c r="M670" s="109">
        <f t="shared" si="1043"/>
        <v>0</v>
      </c>
      <c r="N670" s="109">
        <f t="shared" si="1044"/>
        <v>0</v>
      </c>
      <c r="O670" s="109">
        <f t="shared" si="1045"/>
        <v>986.20689655172418</v>
      </c>
      <c r="P670" s="109">
        <f t="shared" si="1046"/>
        <v>0</v>
      </c>
      <c r="Q670" s="109">
        <f t="shared" si="1047"/>
        <v>986.20689655172418</v>
      </c>
      <c r="R670" s="121">
        <v>61</v>
      </c>
      <c r="T670" s="188"/>
    </row>
    <row r="671" spans="1:20" x14ac:dyDescent="0.25">
      <c r="A671" s="100"/>
      <c r="B671" s="3">
        <v>8</v>
      </c>
      <c r="C671" s="5" t="s">
        <v>69</v>
      </c>
      <c r="D671" s="3" t="s">
        <v>48</v>
      </c>
      <c r="E671" s="100" t="str">
        <f>IFERROR(VLOOKUP(C671,Resources!B:D,3,FALSE)," ")</f>
        <v>P</v>
      </c>
      <c r="F671" s="8">
        <v>1</v>
      </c>
      <c r="G671" s="8">
        <f>G669</f>
        <v>250</v>
      </c>
      <c r="H671" s="8">
        <f>H669</f>
        <v>2465.5172413793107</v>
      </c>
      <c r="I671" s="109">
        <f>IFERROR(VLOOKUP(C671,Resources!B:G,6,FALSE)," ")</f>
        <v>55</v>
      </c>
      <c r="J671" s="109">
        <f t="shared" si="1040"/>
        <v>542.41379310344826</v>
      </c>
      <c r="K671" s="8">
        <f t="shared" si="1041"/>
        <v>9.862068965517242</v>
      </c>
      <c r="L671" s="8">
        <f t="shared" si="1042"/>
        <v>9.862068965517242</v>
      </c>
      <c r="M671" s="109">
        <f t="shared" si="1043"/>
        <v>0</v>
      </c>
      <c r="N671" s="109">
        <f t="shared" si="1044"/>
        <v>0</v>
      </c>
      <c r="O671" s="109">
        <f t="shared" si="1045"/>
        <v>542.41379310344826</v>
      </c>
      <c r="P671" s="109">
        <f t="shared" si="1046"/>
        <v>0</v>
      </c>
      <c r="Q671" s="109">
        <f t="shared" si="1047"/>
        <v>542.41379310344826</v>
      </c>
      <c r="R671" s="121">
        <v>61</v>
      </c>
      <c r="T671" s="188"/>
    </row>
    <row r="672" spans="1:20" x14ac:dyDescent="0.25">
      <c r="A672" s="100"/>
      <c r="B672" s="3">
        <v>9</v>
      </c>
      <c r="C672" s="5" t="s">
        <v>8</v>
      </c>
      <c r="D672" s="3" t="s">
        <v>48</v>
      </c>
      <c r="E672" s="100" t="str">
        <f>IFERROR(VLOOKUP(C672,Resources!B:D,3,FALSE)," ")</f>
        <v>L</v>
      </c>
      <c r="F672" s="8">
        <v>3</v>
      </c>
      <c r="G672" s="8">
        <f>G669</f>
        <v>250</v>
      </c>
      <c r="H672" s="8">
        <f>H669</f>
        <v>2465.5172413793107</v>
      </c>
      <c r="I672" s="109">
        <f>IFERROR(VLOOKUP(C672,Resources!B:G,6,FALSE)," ")</f>
        <v>42</v>
      </c>
      <c r="J672" s="109">
        <f t="shared" si="1040"/>
        <v>1242.6206896551726</v>
      </c>
      <c r="K672" s="8">
        <f t="shared" si="1041"/>
        <v>29.586206896551726</v>
      </c>
      <c r="L672" s="8">
        <f t="shared" si="1042"/>
        <v>9.862068965517242</v>
      </c>
      <c r="M672" s="109">
        <f t="shared" si="1043"/>
        <v>1242.6206896551726</v>
      </c>
      <c r="N672" s="109">
        <f t="shared" si="1044"/>
        <v>0</v>
      </c>
      <c r="O672" s="109">
        <f t="shared" si="1045"/>
        <v>0</v>
      </c>
      <c r="P672" s="109">
        <f t="shared" si="1046"/>
        <v>0</v>
      </c>
      <c r="Q672" s="109">
        <f t="shared" si="1047"/>
        <v>1242.6206896551726</v>
      </c>
      <c r="R672" s="121">
        <v>61</v>
      </c>
      <c r="T672" s="188"/>
    </row>
    <row r="673" spans="1:20" x14ac:dyDescent="0.25">
      <c r="A673" s="101"/>
      <c r="B673" s="4"/>
      <c r="C673" s="6"/>
      <c r="D673" s="4"/>
      <c r="E673" s="101" t="str">
        <f>IFERROR(VLOOKUP(C673,Resources!B:D,3,FALSE)," ")</f>
        <v xml:space="preserve"> </v>
      </c>
      <c r="F673" s="9"/>
      <c r="G673" s="9"/>
      <c r="H673" s="9"/>
      <c r="I673" s="38" t="str">
        <f>IFERROR(VLOOKUP(C673,Resources!B:G,6,FALSE)," ")</f>
        <v xml:space="preserve"> </v>
      </c>
      <c r="J673" s="38"/>
      <c r="K673" s="9"/>
      <c r="L673" s="9"/>
      <c r="M673" s="38"/>
      <c r="N673" s="38"/>
      <c r="O673" s="38"/>
      <c r="P673" s="38"/>
      <c r="Q673" s="38"/>
      <c r="R673" s="122"/>
      <c r="T673" s="188"/>
    </row>
    <row r="674" spans="1:20" ht="30" x14ac:dyDescent="0.25">
      <c r="A674" s="114"/>
      <c r="B674" s="1" t="s">
        <v>367</v>
      </c>
      <c r="C674" s="1" t="s">
        <v>71</v>
      </c>
      <c r="D674" s="2"/>
      <c r="E674" s="99" t="str">
        <f>IFERROR(VLOOKUP(C674,Resources!B:D,3,FALSE)," ")</f>
        <v xml:space="preserve"> </v>
      </c>
      <c r="F674" s="7"/>
      <c r="G674" s="7"/>
      <c r="H674" s="7"/>
      <c r="I674" s="108" t="str">
        <f>IFERROR(VLOOKUP(C674,Resources!B:G,6,FALSE)," ")</f>
        <v xml:space="preserve"> </v>
      </c>
      <c r="J674" s="108"/>
      <c r="K674" s="7"/>
      <c r="L674" s="7"/>
      <c r="M674" s="108"/>
      <c r="N674" s="108"/>
      <c r="O674" s="108"/>
      <c r="P674" s="108"/>
      <c r="Q674" s="108"/>
      <c r="R674" s="120"/>
      <c r="T674" s="188"/>
    </row>
    <row r="675" spans="1:20" ht="30" x14ac:dyDescent="0.25">
      <c r="A675" s="114"/>
      <c r="B675" s="1" t="s">
        <v>368</v>
      </c>
      <c r="C675" s="1" t="s">
        <v>170</v>
      </c>
      <c r="D675" s="2"/>
      <c r="E675" s="99" t="str">
        <f>IFERROR(VLOOKUP(C675,Resources!B:D,3,FALSE)," ")</f>
        <v xml:space="preserve"> </v>
      </c>
      <c r="F675" s="7"/>
      <c r="G675" s="7"/>
      <c r="H675" s="7"/>
      <c r="I675" s="108" t="str">
        <f>IFERROR(VLOOKUP(C675,Resources!B:G,6,FALSE)," ")</f>
        <v xml:space="preserve"> </v>
      </c>
      <c r="J675" s="108"/>
      <c r="K675" s="7"/>
      <c r="L675" s="7"/>
      <c r="M675" s="108"/>
      <c r="N675" s="108"/>
      <c r="O675" s="108"/>
      <c r="P675" s="108"/>
      <c r="Q675" s="108"/>
      <c r="R675" s="120"/>
      <c r="T675" s="188"/>
    </row>
    <row r="676" spans="1:20" ht="30" x14ac:dyDescent="0.25">
      <c r="A676" s="114">
        <v>96</v>
      </c>
      <c r="B676" s="1" t="s">
        <v>369</v>
      </c>
      <c r="C676" s="1" t="s">
        <v>172</v>
      </c>
      <c r="D676" s="2" t="s">
        <v>20</v>
      </c>
      <c r="E676" s="99" t="str">
        <f>IFERROR(VLOOKUP(C676,Resources!B:D,3,FALSE)," ")</f>
        <v xml:space="preserve"> </v>
      </c>
      <c r="F676" s="7"/>
      <c r="G676" s="7"/>
      <c r="H676" s="103">
        <f>VLOOKUP($A676,'Model Inputs'!$A:$D,4,FALSE)</f>
        <v>1</v>
      </c>
      <c r="I676" s="108" t="str">
        <f>IFERROR(VLOOKUP(C676,Resources!B:G,6,FALSE)," ")</f>
        <v xml:space="preserve"> </v>
      </c>
      <c r="J676" s="108">
        <f>SUBTOTAL(9,J677:J680)</f>
        <v>5490.9090909090919</v>
      </c>
      <c r="K676" s="7"/>
      <c r="L676" s="7">
        <f>ROUNDUP(MAX(L677:L680)/Workhrs,0)</f>
        <v>2</v>
      </c>
      <c r="M676" s="108">
        <f t="shared" ref="M676:Q676" si="1048">SUBTOTAL(9,M677:M680)</f>
        <v>763.63636363636374</v>
      </c>
      <c r="N676" s="108">
        <f t="shared" si="1048"/>
        <v>0</v>
      </c>
      <c r="O676" s="108">
        <f t="shared" si="1048"/>
        <v>4727.2727272727279</v>
      </c>
      <c r="P676" s="108">
        <f t="shared" si="1048"/>
        <v>0</v>
      </c>
      <c r="Q676" s="108">
        <f t="shared" si="1048"/>
        <v>5490.9090909090919</v>
      </c>
      <c r="R676" s="120"/>
      <c r="T676" s="188"/>
    </row>
    <row r="677" spans="1:20" x14ac:dyDescent="0.25">
      <c r="A677" s="100">
        <v>96.1</v>
      </c>
      <c r="B677" s="3">
        <v>1</v>
      </c>
      <c r="C677" s="5" t="s">
        <v>63</v>
      </c>
      <c r="D677" s="3" t="s">
        <v>48</v>
      </c>
      <c r="E677" s="100" t="str">
        <f>IFERROR(VLOOKUP(C677,Resources!B:D,3,FALSE)," ")</f>
        <v>P</v>
      </c>
      <c r="F677" s="8">
        <v>1</v>
      </c>
      <c r="G677" s="103">
        <f>VLOOKUP($A677,'Model Inputs'!$A:$D,4,FALSE)</f>
        <v>0.11</v>
      </c>
      <c r="H677" s="8">
        <f>H676</f>
        <v>1</v>
      </c>
      <c r="I677" s="109">
        <f>IFERROR(VLOOKUP(C677,Resources!B:G,6,FALSE)," ")</f>
        <v>135</v>
      </c>
      <c r="J677" s="109">
        <f t="shared" ref="J677:J680" si="1049">(H677/(G677/F677))*I677</f>
        <v>1227.2727272727275</v>
      </c>
      <c r="K677" s="8">
        <f t="shared" ref="K677:K680" si="1050">L677*F677</f>
        <v>9.0909090909090917</v>
      </c>
      <c r="L677" s="8">
        <f t="shared" ref="L677:L680" si="1051">IF(E677="M"," ",H677/G677)</f>
        <v>9.0909090909090917</v>
      </c>
      <c r="M677" s="109">
        <f t="shared" ref="M677:M680" si="1052">IF($E677="L",$J677,0)</f>
        <v>0</v>
      </c>
      <c r="N677" s="109">
        <f t="shared" ref="N677:N680" si="1053">IF($E677="M",$J677,0)</f>
        <v>0</v>
      </c>
      <c r="O677" s="109">
        <f t="shared" ref="O677:O680" si="1054">IF($E677="P",$J677,0)</f>
        <v>1227.2727272727275</v>
      </c>
      <c r="P677" s="109">
        <f t="shared" ref="P677:P680" si="1055">IF($E677="S",$J677,0)</f>
        <v>0</v>
      </c>
      <c r="Q677" s="109">
        <f t="shared" ref="Q677:Q680" si="1056">SUM(M677:P677)</f>
        <v>1227.2727272727275</v>
      </c>
      <c r="R677" s="121">
        <v>41</v>
      </c>
      <c r="T677" s="188"/>
    </row>
    <row r="678" spans="1:20" x14ac:dyDescent="0.25">
      <c r="A678" s="100"/>
      <c r="B678" s="3">
        <v>2</v>
      </c>
      <c r="C678" s="5" t="s">
        <v>173</v>
      </c>
      <c r="D678" s="3" t="s">
        <v>48</v>
      </c>
      <c r="E678" s="100" t="str">
        <f>IFERROR(VLOOKUP(C678,Resources!B:D,3,FALSE)," ")</f>
        <v>P</v>
      </c>
      <c r="F678" s="8">
        <v>3</v>
      </c>
      <c r="G678" s="8">
        <f>G677</f>
        <v>0.11</v>
      </c>
      <c r="H678" s="8">
        <f>H676</f>
        <v>1</v>
      </c>
      <c r="I678" s="109">
        <f>IFERROR(VLOOKUP(C678,Resources!B:G,6,FALSE)," ")</f>
        <v>95</v>
      </c>
      <c r="J678" s="109">
        <f t="shared" si="1049"/>
        <v>2590.909090909091</v>
      </c>
      <c r="K678" s="8">
        <f t="shared" si="1050"/>
        <v>27.272727272727273</v>
      </c>
      <c r="L678" s="8">
        <f t="shared" si="1051"/>
        <v>9.0909090909090917</v>
      </c>
      <c r="M678" s="109">
        <f t="shared" si="1052"/>
        <v>0</v>
      </c>
      <c r="N678" s="109">
        <f t="shared" si="1053"/>
        <v>0</v>
      </c>
      <c r="O678" s="109">
        <f t="shared" si="1054"/>
        <v>2590.909090909091</v>
      </c>
      <c r="P678" s="109">
        <f t="shared" si="1055"/>
        <v>0</v>
      </c>
      <c r="Q678" s="109">
        <f t="shared" si="1056"/>
        <v>2590.909090909091</v>
      </c>
      <c r="R678" s="121">
        <v>41</v>
      </c>
      <c r="T678" s="188"/>
    </row>
    <row r="679" spans="1:20" x14ac:dyDescent="0.25">
      <c r="A679" s="100"/>
      <c r="B679" s="3">
        <v>3</v>
      </c>
      <c r="C679" s="5" t="s">
        <v>64</v>
      </c>
      <c r="D679" s="3" t="s">
        <v>48</v>
      </c>
      <c r="E679" s="100" t="str">
        <f>IFERROR(VLOOKUP(C679,Resources!B:D,3,FALSE)," ")</f>
        <v>P</v>
      </c>
      <c r="F679" s="8">
        <v>1</v>
      </c>
      <c r="G679" s="8">
        <f>G677</f>
        <v>0.11</v>
      </c>
      <c r="H679" s="8">
        <f>H676</f>
        <v>1</v>
      </c>
      <c r="I679" s="109">
        <f>IFERROR(VLOOKUP(C679,Resources!B:G,6,FALSE)," ")</f>
        <v>100</v>
      </c>
      <c r="J679" s="109">
        <f t="shared" si="1049"/>
        <v>909.09090909090912</v>
      </c>
      <c r="K679" s="8">
        <f t="shared" si="1050"/>
        <v>9.0909090909090917</v>
      </c>
      <c r="L679" s="8">
        <f t="shared" si="1051"/>
        <v>9.0909090909090917</v>
      </c>
      <c r="M679" s="109">
        <f t="shared" si="1052"/>
        <v>0</v>
      </c>
      <c r="N679" s="109">
        <f t="shared" si="1053"/>
        <v>0</v>
      </c>
      <c r="O679" s="109">
        <f t="shared" si="1054"/>
        <v>909.09090909090912</v>
      </c>
      <c r="P679" s="109">
        <f t="shared" si="1055"/>
        <v>0</v>
      </c>
      <c r="Q679" s="109">
        <f t="shared" si="1056"/>
        <v>909.09090909090912</v>
      </c>
      <c r="R679" s="121">
        <v>41</v>
      </c>
      <c r="T679" s="188"/>
    </row>
    <row r="680" spans="1:20" x14ac:dyDescent="0.25">
      <c r="A680" s="100"/>
      <c r="B680" s="3">
        <v>4</v>
      </c>
      <c r="C680" s="5" t="s">
        <v>8</v>
      </c>
      <c r="D680" s="3" t="s">
        <v>48</v>
      </c>
      <c r="E680" s="100" t="str">
        <f>IFERROR(VLOOKUP(C680,Resources!B:D,3,FALSE)," ")</f>
        <v>L</v>
      </c>
      <c r="F680" s="8">
        <v>2</v>
      </c>
      <c r="G680" s="8">
        <f>G677</f>
        <v>0.11</v>
      </c>
      <c r="H680" s="8">
        <f>H676</f>
        <v>1</v>
      </c>
      <c r="I680" s="109">
        <f>IFERROR(VLOOKUP(C680,Resources!B:G,6,FALSE)," ")</f>
        <v>42</v>
      </c>
      <c r="J680" s="109">
        <f t="shared" si="1049"/>
        <v>763.63636363636374</v>
      </c>
      <c r="K680" s="8">
        <f t="shared" si="1050"/>
        <v>18.181818181818183</v>
      </c>
      <c r="L680" s="8">
        <f t="shared" si="1051"/>
        <v>9.0909090909090917</v>
      </c>
      <c r="M680" s="109">
        <f t="shared" si="1052"/>
        <v>763.63636363636374</v>
      </c>
      <c r="N680" s="109">
        <f t="shared" si="1053"/>
        <v>0</v>
      </c>
      <c r="O680" s="109">
        <f t="shared" si="1054"/>
        <v>0</v>
      </c>
      <c r="P680" s="109">
        <f t="shared" si="1055"/>
        <v>0</v>
      </c>
      <c r="Q680" s="109">
        <f t="shared" si="1056"/>
        <v>763.63636363636374</v>
      </c>
      <c r="R680" s="121">
        <v>41</v>
      </c>
      <c r="T680" s="188"/>
    </row>
    <row r="681" spans="1:20" x14ac:dyDescent="0.25">
      <c r="A681" s="101"/>
      <c r="B681" s="4"/>
      <c r="C681" s="6"/>
      <c r="D681" s="4"/>
      <c r="E681" s="101" t="str">
        <f>IFERROR(VLOOKUP(C681,Resources!B:D,3,FALSE)," ")</f>
        <v xml:space="preserve"> </v>
      </c>
      <c r="F681" s="9"/>
      <c r="G681" s="9"/>
      <c r="H681" s="9"/>
      <c r="I681" s="38" t="str">
        <f>IFERROR(VLOOKUP(C681,Resources!B:G,6,FALSE)," ")</f>
        <v xml:space="preserve"> </v>
      </c>
      <c r="J681" s="38"/>
      <c r="K681" s="9"/>
      <c r="L681" s="9"/>
      <c r="M681" s="38"/>
      <c r="N681" s="38"/>
      <c r="O681" s="38"/>
      <c r="P681" s="38"/>
      <c r="Q681" s="38"/>
      <c r="R681" s="122"/>
      <c r="T681" s="188"/>
    </row>
    <row r="682" spans="1:20" ht="30" x14ac:dyDescent="0.25">
      <c r="A682" s="114">
        <v>97</v>
      </c>
      <c r="B682" s="1" t="s">
        <v>370</v>
      </c>
      <c r="C682" s="1" t="s">
        <v>371</v>
      </c>
      <c r="D682" s="2" t="s">
        <v>20</v>
      </c>
      <c r="E682" s="99" t="str">
        <f>IFERROR(VLOOKUP(C682,Resources!B:D,3,FALSE)," ")</f>
        <v xml:space="preserve"> </v>
      </c>
      <c r="F682" s="7"/>
      <c r="G682" s="7"/>
      <c r="H682" s="103">
        <f>VLOOKUP($A682,'Model Inputs'!$A:$D,4,FALSE)</f>
        <v>1</v>
      </c>
      <c r="I682" s="108" t="str">
        <f>IFERROR(VLOOKUP(C682,Resources!B:G,6,FALSE)," ")</f>
        <v xml:space="preserve"> </v>
      </c>
      <c r="J682" s="108">
        <f>SUBTOTAL(9,J683)</f>
        <v>9600</v>
      </c>
      <c r="K682" s="7"/>
      <c r="L682" s="7">
        <f>ROUNDUP(L683,0)</f>
        <v>8</v>
      </c>
      <c r="M682" s="108">
        <f t="shared" ref="M682:Q682" si="1057">SUBTOTAL(9,M683)</f>
        <v>0</v>
      </c>
      <c r="N682" s="108">
        <f t="shared" si="1057"/>
        <v>0</v>
      </c>
      <c r="O682" s="108">
        <f t="shared" si="1057"/>
        <v>0</v>
      </c>
      <c r="P682" s="108">
        <f t="shared" si="1057"/>
        <v>9600</v>
      </c>
      <c r="Q682" s="108">
        <f t="shared" si="1057"/>
        <v>9600</v>
      </c>
      <c r="R682" s="120"/>
      <c r="T682" s="188"/>
    </row>
    <row r="683" spans="1:20" x14ac:dyDescent="0.25">
      <c r="A683" s="100"/>
      <c r="B683" s="3">
        <v>1</v>
      </c>
      <c r="C683" s="5" t="s">
        <v>176</v>
      </c>
      <c r="D683" s="3" t="s">
        <v>29</v>
      </c>
      <c r="E683" s="100" t="str">
        <f>IFERROR(VLOOKUP(C683,Resources!B:D,3,FALSE)," ")</f>
        <v>S</v>
      </c>
      <c r="F683" s="8">
        <v>1</v>
      </c>
      <c r="G683" s="8">
        <v>1</v>
      </c>
      <c r="H683" s="8">
        <f>H682*8</f>
        <v>8</v>
      </c>
      <c r="I683" s="109">
        <f>IFERROR(VLOOKUP(C683,Resources!B:G,6,FALSE)," ")</f>
        <v>1200</v>
      </c>
      <c r="J683" s="109">
        <f t="shared" ref="J683" si="1058">(H683/(G683/F683))*I683</f>
        <v>9600</v>
      </c>
      <c r="K683" s="8">
        <f t="shared" ref="K683" si="1059">L683*F683</f>
        <v>8</v>
      </c>
      <c r="L683" s="8">
        <f t="shared" ref="L683" si="1060">IF(E683="M"," ",H683/G683)</f>
        <v>8</v>
      </c>
      <c r="M683" s="109">
        <f t="shared" ref="M683" si="1061">IF($E683="L",$J683,0)</f>
        <v>0</v>
      </c>
      <c r="N683" s="109">
        <f t="shared" ref="N683" si="1062">IF($E683="M",$J683,0)</f>
        <v>0</v>
      </c>
      <c r="O683" s="109">
        <f t="shared" ref="O683" si="1063">IF($E683="P",$J683,0)</f>
        <v>0</v>
      </c>
      <c r="P683" s="109">
        <f t="shared" ref="P683" si="1064">IF($E683="S",$J683,0)</f>
        <v>9600</v>
      </c>
      <c r="Q683" s="109">
        <f t="shared" ref="Q683" si="1065">SUM(M683:P683)</f>
        <v>9600</v>
      </c>
      <c r="R683" s="121">
        <v>85</v>
      </c>
      <c r="T683" s="188"/>
    </row>
    <row r="684" spans="1:20" x14ac:dyDescent="0.25">
      <c r="A684" s="101"/>
      <c r="B684" s="4"/>
      <c r="C684" s="6"/>
      <c r="D684" s="4"/>
      <c r="E684" s="101" t="str">
        <f>IFERROR(VLOOKUP(C684,Resources!B:D,3,FALSE)," ")</f>
        <v xml:space="preserve"> </v>
      </c>
      <c r="F684" s="9"/>
      <c r="G684" s="9"/>
      <c r="H684" s="9"/>
      <c r="I684" s="38" t="str">
        <f>IFERROR(VLOOKUP(C684,Resources!B:G,6,FALSE)," ")</f>
        <v xml:space="preserve"> </v>
      </c>
      <c r="J684" s="38"/>
      <c r="K684" s="9"/>
      <c r="L684" s="9"/>
      <c r="M684" s="38"/>
      <c r="N684" s="38"/>
      <c r="O684" s="38"/>
      <c r="P684" s="38"/>
      <c r="Q684" s="38"/>
      <c r="R684" s="122"/>
      <c r="T684" s="188"/>
    </row>
    <row r="685" spans="1:20" ht="30" x14ac:dyDescent="0.25">
      <c r="A685" s="114"/>
      <c r="B685" s="1" t="s">
        <v>372</v>
      </c>
      <c r="C685" s="1" t="s">
        <v>73</v>
      </c>
      <c r="D685" s="2"/>
      <c r="E685" s="99" t="str">
        <f>IFERROR(VLOOKUP(C685,Resources!B:D,3,FALSE)," ")</f>
        <v xml:space="preserve"> </v>
      </c>
      <c r="F685" s="7"/>
      <c r="G685" s="7"/>
      <c r="H685" s="7"/>
      <c r="I685" s="108" t="str">
        <f>IFERROR(VLOOKUP(C685,Resources!B:G,6,FALSE)," ")</f>
        <v xml:space="preserve"> </v>
      </c>
      <c r="J685" s="108"/>
      <c r="K685" s="7"/>
      <c r="L685" s="7"/>
      <c r="M685" s="108" t="s">
        <v>15</v>
      </c>
      <c r="N685" s="108"/>
      <c r="O685" s="108"/>
      <c r="P685" s="108"/>
      <c r="Q685" s="108"/>
      <c r="R685" s="120"/>
      <c r="T685" s="188"/>
    </row>
    <row r="686" spans="1:20" ht="30" x14ac:dyDescent="0.25">
      <c r="A686" s="114">
        <v>98</v>
      </c>
      <c r="B686" s="1" t="s">
        <v>373</v>
      </c>
      <c r="C686" s="1" t="s">
        <v>374</v>
      </c>
      <c r="D686" s="2" t="s">
        <v>89</v>
      </c>
      <c r="E686" s="99" t="str">
        <f>IFERROR(VLOOKUP(C686,Resources!B:D,3,FALSE)," ")</f>
        <v xml:space="preserve"> </v>
      </c>
      <c r="F686" s="7"/>
      <c r="G686" s="7"/>
      <c r="H686" s="103">
        <f>VLOOKUP($A686,'Model Inputs'!$A:$D,4,FALSE)</f>
        <v>7.32</v>
      </c>
      <c r="I686" s="108" t="str">
        <f>IFERROR(VLOOKUP(C686,Resources!B:G,6,FALSE)," ")</f>
        <v xml:space="preserve"> </v>
      </c>
      <c r="J686" s="108">
        <f>SUBTOTAL(9,J687:J690)</f>
        <v>1893.5897424657535</v>
      </c>
      <c r="K686" s="7"/>
      <c r="L686" s="7">
        <f>ROUNDUP(MAX(L687:L690)/Workhrs,0)</f>
        <v>1</v>
      </c>
      <c r="M686" s="108">
        <f t="shared" ref="M686:Q686" si="1066">SUBTOTAL(9,M687:M690)</f>
        <v>631.7260273972604</v>
      </c>
      <c r="N686" s="108">
        <f t="shared" si="1066"/>
        <v>585.01440000000002</v>
      </c>
      <c r="O686" s="108">
        <f t="shared" si="1066"/>
        <v>676.84931506849318</v>
      </c>
      <c r="P686" s="108">
        <f t="shared" si="1066"/>
        <v>0</v>
      </c>
      <c r="Q686" s="108">
        <f t="shared" si="1066"/>
        <v>1893.5897424657535</v>
      </c>
      <c r="R686" s="120"/>
      <c r="T686" s="188"/>
    </row>
    <row r="687" spans="1:20" x14ac:dyDescent="0.25">
      <c r="A687" s="100">
        <v>98.1</v>
      </c>
      <c r="B687" s="3">
        <v>1</v>
      </c>
      <c r="C687" s="5" t="s">
        <v>63</v>
      </c>
      <c r="D687" s="3" t="s">
        <v>48</v>
      </c>
      <c r="E687" s="100" t="str">
        <f>IFERROR(VLOOKUP(C687,Resources!B:D,3,FALSE)," ")</f>
        <v>P</v>
      </c>
      <c r="F687" s="8">
        <v>1</v>
      </c>
      <c r="G687" s="103">
        <f>VLOOKUP($A687,'Model Inputs'!$A:$D,4,FALSE)</f>
        <v>1.46</v>
      </c>
      <c r="H687" s="8">
        <f>H686</f>
        <v>7.32</v>
      </c>
      <c r="I687" s="109">
        <f>IFERROR(VLOOKUP(C687,Resources!B:G,6,FALSE)," ")</f>
        <v>135</v>
      </c>
      <c r="J687" s="109">
        <f t="shared" ref="J687:J690" si="1067">(H687/(G687/F687))*I687</f>
        <v>676.84931506849318</v>
      </c>
      <c r="K687" s="8">
        <f t="shared" ref="K687:K690" si="1068">L687*F687</f>
        <v>5.0136986301369868</v>
      </c>
      <c r="L687" s="8">
        <f t="shared" ref="L687:L690" si="1069">IF(E687="M"," ",H687/G687)</f>
        <v>5.0136986301369868</v>
      </c>
      <c r="M687" s="109">
        <f t="shared" ref="M687:M690" si="1070">IF($E687="L",$J687,0)</f>
        <v>0</v>
      </c>
      <c r="N687" s="109">
        <f t="shared" ref="N687:N690" si="1071">IF($E687="M",$J687,0)</f>
        <v>0</v>
      </c>
      <c r="O687" s="109">
        <f t="shared" ref="O687:O690" si="1072">IF($E687="P",$J687,0)</f>
        <v>676.84931506849318</v>
      </c>
      <c r="P687" s="109">
        <f t="shared" ref="P687:P690" si="1073">IF($E687="S",$J687,0)</f>
        <v>0</v>
      </c>
      <c r="Q687" s="109">
        <f t="shared" ref="Q687:Q690" si="1074">SUM(M687:P687)</f>
        <v>676.84931506849318</v>
      </c>
      <c r="R687" s="121">
        <v>81</v>
      </c>
      <c r="T687" s="188"/>
    </row>
    <row r="688" spans="1:20" x14ac:dyDescent="0.25">
      <c r="A688" s="100"/>
      <c r="B688" s="3">
        <v>2</v>
      </c>
      <c r="C688" s="5" t="s">
        <v>2074</v>
      </c>
      <c r="D688" s="3" t="s">
        <v>89</v>
      </c>
      <c r="E688" s="100" t="str">
        <f>IFERROR(VLOOKUP(C688,Resources!B:D,3,FALSE)," ")</f>
        <v>M</v>
      </c>
      <c r="F688" s="8">
        <v>1</v>
      </c>
      <c r="G688" s="8">
        <v>1</v>
      </c>
      <c r="H688" s="8">
        <f>H686</f>
        <v>7.32</v>
      </c>
      <c r="I688" s="109">
        <f>IFERROR(VLOOKUP(C688,Resources!B:G,6,FALSE)," ")</f>
        <v>71.92</v>
      </c>
      <c r="J688" s="109">
        <f t="shared" si="1067"/>
        <v>526.45440000000008</v>
      </c>
      <c r="K688" s="8"/>
      <c r="L688" s="8" t="str">
        <f t="shared" si="1069"/>
        <v xml:space="preserve"> </v>
      </c>
      <c r="M688" s="109">
        <f t="shared" si="1070"/>
        <v>0</v>
      </c>
      <c r="N688" s="109">
        <f t="shared" si="1071"/>
        <v>526.45440000000008</v>
      </c>
      <c r="O688" s="109">
        <f t="shared" si="1072"/>
        <v>0</v>
      </c>
      <c r="P688" s="109">
        <f t="shared" si="1073"/>
        <v>0</v>
      </c>
      <c r="Q688" s="109">
        <f t="shared" si="1074"/>
        <v>526.45440000000008</v>
      </c>
      <c r="R688" s="121" t="s">
        <v>2346</v>
      </c>
      <c r="T688" s="188"/>
    </row>
    <row r="689" spans="1:20" x14ac:dyDescent="0.25">
      <c r="A689" s="100"/>
      <c r="B689" s="3">
        <v>3</v>
      </c>
      <c r="C689" s="5" t="s">
        <v>81</v>
      </c>
      <c r="D689" s="3" t="s">
        <v>82</v>
      </c>
      <c r="E689" s="100" t="str">
        <f>IFERROR(VLOOKUP(C689,Resources!B:D,3,FALSE)," ")</f>
        <v>M</v>
      </c>
      <c r="F689" s="8">
        <v>1</v>
      </c>
      <c r="G689" s="8">
        <v>1</v>
      </c>
      <c r="H689" s="8">
        <f>H686/3</f>
        <v>2.44</v>
      </c>
      <c r="I689" s="109">
        <f>IFERROR(VLOOKUP(C689,Resources!B:G,6,FALSE)," ")</f>
        <v>24</v>
      </c>
      <c r="J689" s="109">
        <f t="shared" si="1067"/>
        <v>58.56</v>
      </c>
      <c r="K689" s="8"/>
      <c r="L689" s="8" t="str">
        <f t="shared" si="1069"/>
        <v xml:space="preserve"> </v>
      </c>
      <c r="M689" s="109">
        <f t="shared" si="1070"/>
        <v>0</v>
      </c>
      <c r="N689" s="109">
        <f t="shared" si="1071"/>
        <v>58.56</v>
      </c>
      <c r="O689" s="109">
        <f t="shared" si="1072"/>
        <v>0</v>
      </c>
      <c r="P689" s="109">
        <f t="shared" si="1073"/>
        <v>0</v>
      </c>
      <c r="Q689" s="109">
        <f t="shared" si="1074"/>
        <v>58.56</v>
      </c>
      <c r="R689" s="121" t="s">
        <v>2341</v>
      </c>
      <c r="T689" s="188"/>
    </row>
    <row r="690" spans="1:20" x14ac:dyDescent="0.25">
      <c r="A690" s="100"/>
      <c r="B690" s="3">
        <v>4</v>
      </c>
      <c r="C690" s="5" t="s">
        <v>8</v>
      </c>
      <c r="D690" s="3" t="s">
        <v>48</v>
      </c>
      <c r="E690" s="100" t="str">
        <f>IFERROR(VLOOKUP(C690,Resources!B:D,3,FALSE)," ")</f>
        <v>L</v>
      </c>
      <c r="F690" s="8">
        <v>3</v>
      </c>
      <c r="G690" s="8">
        <f>G687</f>
        <v>1.46</v>
      </c>
      <c r="H690" s="8">
        <f>H686</f>
        <v>7.32</v>
      </c>
      <c r="I690" s="109">
        <f>IFERROR(VLOOKUP(C690,Resources!B:G,6,FALSE)," ")</f>
        <v>42</v>
      </c>
      <c r="J690" s="109">
        <f t="shared" si="1067"/>
        <v>631.7260273972604</v>
      </c>
      <c r="K690" s="8">
        <f t="shared" si="1068"/>
        <v>15.041095890410961</v>
      </c>
      <c r="L690" s="8">
        <f t="shared" si="1069"/>
        <v>5.0136986301369868</v>
      </c>
      <c r="M690" s="109">
        <f t="shared" si="1070"/>
        <v>631.7260273972604</v>
      </c>
      <c r="N690" s="109">
        <f t="shared" si="1071"/>
        <v>0</v>
      </c>
      <c r="O690" s="109">
        <f t="shared" si="1072"/>
        <v>0</v>
      </c>
      <c r="P690" s="109">
        <f t="shared" si="1073"/>
        <v>0</v>
      </c>
      <c r="Q690" s="109">
        <f t="shared" si="1074"/>
        <v>631.7260273972604</v>
      </c>
      <c r="R690" s="121">
        <v>81</v>
      </c>
      <c r="T690" s="188"/>
    </row>
    <row r="691" spans="1:20" x14ac:dyDescent="0.25">
      <c r="A691" s="101"/>
      <c r="B691" s="4"/>
      <c r="C691" s="6"/>
      <c r="D691" s="4"/>
      <c r="E691" s="101" t="str">
        <f>IFERROR(VLOOKUP(C691,Resources!B:D,3,FALSE)," ")</f>
        <v xml:space="preserve"> </v>
      </c>
      <c r="F691" s="9"/>
      <c r="G691" s="9"/>
      <c r="H691" s="9"/>
      <c r="I691" s="38" t="str">
        <f>IFERROR(VLOOKUP(C691,Resources!B:G,6,FALSE)," ")</f>
        <v xml:space="preserve"> </v>
      </c>
      <c r="J691" s="38"/>
      <c r="K691" s="9"/>
      <c r="L691" s="9"/>
      <c r="M691" s="38"/>
      <c r="N691" s="38"/>
      <c r="O691" s="38"/>
      <c r="P691" s="38"/>
      <c r="Q691" s="38"/>
      <c r="R691" s="122"/>
      <c r="T691" s="188"/>
    </row>
    <row r="692" spans="1:20" ht="30" x14ac:dyDescent="0.25">
      <c r="A692" s="114">
        <v>99</v>
      </c>
      <c r="B692" s="1" t="s">
        <v>376</v>
      </c>
      <c r="C692" s="1" t="s">
        <v>377</v>
      </c>
      <c r="D692" s="2" t="s">
        <v>89</v>
      </c>
      <c r="E692" s="99" t="str">
        <f>IFERROR(VLOOKUP(C692,Resources!B:D,3,FALSE)," ")</f>
        <v xml:space="preserve"> </v>
      </c>
      <c r="F692" s="7"/>
      <c r="G692" s="7"/>
      <c r="H692" s="103">
        <f>VLOOKUP($A692,'Model Inputs'!$A:$D,4,FALSE)</f>
        <v>17.079999999999998</v>
      </c>
      <c r="I692" s="108" t="str">
        <f>IFERROR(VLOOKUP(C692,Resources!B:G,6,FALSE)," ")</f>
        <v xml:space="preserve"> </v>
      </c>
      <c r="J692" s="108">
        <f>SUBTOTAL(9,J693:J696)</f>
        <v>2668.5072842105264</v>
      </c>
      <c r="K692" s="7"/>
      <c r="L692" s="7">
        <f>ROUNDUP(MAX(L693:L696)/Workhrs,0)</f>
        <v>1</v>
      </c>
      <c r="M692" s="108">
        <f t="shared" ref="M692" si="1075">SUBTOTAL(9,M693:M696)</f>
        <v>629.26315789473688</v>
      </c>
      <c r="N692" s="108">
        <f t="shared" ref="N692" si="1076">SUBTOTAL(9,N693:N696)</f>
        <v>1365.0335999999998</v>
      </c>
      <c r="O692" s="108">
        <f t="shared" ref="O692" si="1077">SUBTOTAL(9,O693:O696)</f>
        <v>674.21052631578948</v>
      </c>
      <c r="P692" s="108">
        <f t="shared" ref="P692" si="1078">SUBTOTAL(9,P693:P696)</f>
        <v>0</v>
      </c>
      <c r="Q692" s="108">
        <f t="shared" ref="Q692" si="1079">SUBTOTAL(9,Q693:Q696)</f>
        <v>2668.5072842105264</v>
      </c>
      <c r="R692" s="120"/>
      <c r="T692" s="188"/>
    </row>
    <row r="693" spans="1:20" x14ac:dyDescent="0.25">
      <c r="A693" s="100">
        <v>99.1</v>
      </c>
      <c r="B693" s="3">
        <v>1</v>
      </c>
      <c r="C693" s="5" t="s">
        <v>63</v>
      </c>
      <c r="D693" s="3" t="s">
        <v>48</v>
      </c>
      <c r="E693" s="100" t="str">
        <f>IFERROR(VLOOKUP(C693,Resources!B:D,3,FALSE)," ")</f>
        <v>P</v>
      </c>
      <c r="F693" s="8">
        <v>1</v>
      </c>
      <c r="G693" s="103">
        <f>VLOOKUP($A693,'Model Inputs'!$A:$D,4,FALSE)</f>
        <v>3.42</v>
      </c>
      <c r="H693" s="8">
        <f>H692</f>
        <v>17.079999999999998</v>
      </c>
      <c r="I693" s="109">
        <f>IFERROR(VLOOKUP(C693,Resources!B:G,6,FALSE)," ")</f>
        <v>135</v>
      </c>
      <c r="J693" s="109">
        <f t="shared" ref="J693:J696" si="1080">(H693/(G693/F693))*I693</f>
        <v>674.21052631578948</v>
      </c>
      <c r="K693" s="8">
        <f t="shared" ref="K693" si="1081">L693*F693</f>
        <v>4.9941520467836256</v>
      </c>
      <c r="L693" s="8">
        <f t="shared" ref="L693:L696" si="1082">IF(E693="M"," ",H693/G693)</f>
        <v>4.9941520467836256</v>
      </c>
      <c r="M693" s="109">
        <f t="shared" ref="M693:M696" si="1083">IF($E693="L",$J693,0)</f>
        <v>0</v>
      </c>
      <c r="N693" s="109">
        <f t="shared" ref="N693:N696" si="1084">IF($E693="M",$J693,0)</f>
        <v>0</v>
      </c>
      <c r="O693" s="109">
        <f t="shared" ref="O693:O696" si="1085">IF($E693="P",$J693,0)</f>
        <v>674.21052631578948</v>
      </c>
      <c r="P693" s="109">
        <f t="shared" ref="P693:P696" si="1086">IF($E693="S",$J693,0)</f>
        <v>0</v>
      </c>
      <c r="Q693" s="109">
        <f t="shared" ref="Q693:Q696" si="1087">SUM(M693:P693)</f>
        <v>674.21052631578948</v>
      </c>
      <c r="R693" s="121">
        <v>81</v>
      </c>
      <c r="T693" s="188"/>
    </row>
    <row r="694" spans="1:20" x14ac:dyDescent="0.25">
      <c r="A694" s="100"/>
      <c r="B694" s="3">
        <v>2</v>
      </c>
      <c r="C694" s="5" t="s">
        <v>2074</v>
      </c>
      <c r="D694" s="3" t="s">
        <v>89</v>
      </c>
      <c r="E694" s="100" t="str">
        <f>IFERROR(VLOOKUP(C694,Resources!B:D,3,FALSE)," ")</f>
        <v>M</v>
      </c>
      <c r="F694" s="8">
        <v>1</v>
      </c>
      <c r="G694" s="8">
        <v>1</v>
      </c>
      <c r="H694" s="8">
        <f>H692</f>
        <v>17.079999999999998</v>
      </c>
      <c r="I694" s="109">
        <f>IFERROR(VLOOKUP(C694,Resources!B:G,6,FALSE)," ")</f>
        <v>71.92</v>
      </c>
      <c r="J694" s="109">
        <f t="shared" si="1080"/>
        <v>1228.3935999999999</v>
      </c>
      <c r="K694" s="8"/>
      <c r="L694" s="8" t="str">
        <f t="shared" si="1082"/>
        <v xml:space="preserve"> </v>
      </c>
      <c r="M694" s="109">
        <f t="shared" si="1083"/>
        <v>0</v>
      </c>
      <c r="N694" s="109">
        <f t="shared" si="1084"/>
        <v>1228.3935999999999</v>
      </c>
      <c r="O694" s="109">
        <f t="shared" si="1085"/>
        <v>0</v>
      </c>
      <c r="P694" s="109">
        <f t="shared" si="1086"/>
        <v>0</v>
      </c>
      <c r="Q694" s="109">
        <f t="shared" si="1087"/>
        <v>1228.3935999999999</v>
      </c>
      <c r="R694" s="121" t="s">
        <v>2346</v>
      </c>
      <c r="T694" s="188"/>
    </row>
    <row r="695" spans="1:20" x14ac:dyDescent="0.25">
      <c r="A695" s="100"/>
      <c r="B695" s="3">
        <v>3</v>
      </c>
      <c r="C695" s="5" t="s">
        <v>81</v>
      </c>
      <c r="D695" s="3" t="s">
        <v>82</v>
      </c>
      <c r="E695" s="100" t="str">
        <f>IFERROR(VLOOKUP(C695,Resources!B:D,3,FALSE)," ")</f>
        <v>M</v>
      </c>
      <c r="F695" s="8">
        <v>1</v>
      </c>
      <c r="G695" s="8">
        <v>1</v>
      </c>
      <c r="H695" s="8">
        <f>H692/3</f>
        <v>5.6933333333333325</v>
      </c>
      <c r="I695" s="109">
        <f>IFERROR(VLOOKUP(C695,Resources!B:G,6,FALSE)," ")</f>
        <v>24</v>
      </c>
      <c r="J695" s="109">
        <f t="shared" si="1080"/>
        <v>136.63999999999999</v>
      </c>
      <c r="K695" s="8"/>
      <c r="L695" s="8" t="str">
        <f t="shared" si="1082"/>
        <v xml:space="preserve"> </v>
      </c>
      <c r="M695" s="109">
        <f t="shared" si="1083"/>
        <v>0</v>
      </c>
      <c r="N695" s="109">
        <f t="shared" si="1084"/>
        <v>136.63999999999999</v>
      </c>
      <c r="O695" s="109">
        <f t="shared" si="1085"/>
        <v>0</v>
      </c>
      <c r="P695" s="109">
        <f t="shared" si="1086"/>
        <v>0</v>
      </c>
      <c r="Q695" s="109">
        <f t="shared" si="1087"/>
        <v>136.63999999999999</v>
      </c>
      <c r="R695" s="121" t="s">
        <v>2341</v>
      </c>
      <c r="T695" s="188"/>
    </row>
    <row r="696" spans="1:20" x14ac:dyDescent="0.25">
      <c r="A696" s="100"/>
      <c r="B696" s="3">
        <v>4</v>
      </c>
      <c r="C696" s="5" t="s">
        <v>8</v>
      </c>
      <c r="D696" s="3" t="s">
        <v>48</v>
      </c>
      <c r="E696" s="100" t="str">
        <f>IFERROR(VLOOKUP(C696,Resources!B:D,3,FALSE)," ")</f>
        <v>L</v>
      </c>
      <c r="F696" s="8">
        <v>3</v>
      </c>
      <c r="G696" s="8">
        <f>G693</f>
        <v>3.42</v>
      </c>
      <c r="H696" s="8">
        <f>H692</f>
        <v>17.079999999999998</v>
      </c>
      <c r="I696" s="109">
        <f>IFERROR(VLOOKUP(C696,Resources!B:G,6,FALSE)," ")</f>
        <v>42</v>
      </c>
      <c r="J696" s="109">
        <f t="shared" si="1080"/>
        <v>629.26315789473688</v>
      </c>
      <c r="K696" s="8">
        <f t="shared" ref="K696" si="1088">L696*F696</f>
        <v>14.982456140350877</v>
      </c>
      <c r="L696" s="8">
        <f t="shared" si="1082"/>
        <v>4.9941520467836256</v>
      </c>
      <c r="M696" s="109">
        <f t="shared" si="1083"/>
        <v>629.26315789473688</v>
      </c>
      <c r="N696" s="109">
        <f t="shared" si="1084"/>
        <v>0</v>
      </c>
      <c r="O696" s="109">
        <f t="shared" si="1085"/>
        <v>0</v>
      </c>
      <c r="P696" s="109">
        <f t="shared" si="1086"/>
        <v>0</v>
      </c>
      <c r="Q696" s="109">
        <f t="shared" si="1087"/>
        <v>629.26315789473688</v>
      </c>
      <c r="R696" s="121">
        <v>81</v>
      </c>
      <c r="T696" s="188"/>
    </row>
    <row r="697" spans="1:20" x14ac:dyDescent="0.25">
      <c r="A697" s="101"/>
      <c r="B697" s="4"/>
      <c r="C697" s="6"/>
      <c r="D697" s="4"/>
      <c r="E697" s="101" t="str">
        <f>IFERROR(VLOOKUP(C697,Resources!B:D,3,FALSE)," ")</f>
        <v xml:space="preserve"> </v>
      </c>
      <c r="F697" s="9"/>
      <c r="G697" s="9"/>
      <c r="H697" s="9"/>
      <c r="I697" s="38" t="str">
        <f>IFERROR(VLOOKUP(C697,Resources!B:G,6,FALSE)," ")</f>
        <v xml:space="preserve"> </v>
      </c>
      <c r="J697" s="38"/>
      <c r="K697" s="9"/>
      <c r="L697" s="9"/>
      <c r="M697" s="38"/>
      <c r="N697" s="38"/>
      <c r="O697" s="38"/>
      <c r="P697" s="38"/>
      <c r="Q697" s="38"/>
      <c r="R697" s="122"/>
      <c r="T697" s="188"/>
    </row>
    <row r="698" spans="1:20" ht="30" x14ac:dyDescent="0.25">
      <c r="A698" s="114">
        <v>100</v>
      </c>
      <c r="B698" s="1" t="s">
        <v>378</v>
      </c>
      <c r="C698" s="1" t="s">
        <v>379</v>
      </c>
      <c r="D698" s="2" t="s">
        <v>20</v>
      </c>
      <c r="E698" s="99" t="str">
        <f>IFERROR(VLOOKUP(C698,Resources!B:D,3,FALSE)," ")</f>
        <v xml:space="preserve"> </v>
      </c>
      <c r="F698" s="7"/>
      <c r="G698" s="7"/>
      <c r="H698" s="103">
        <f>VLOOKUP($A698,'Model Inputs'!$A:$D,4,FALSE)</f>
        <v>1</v>
      </c>
      <c r="I698" s="108" t="str">
        <f>IFERROR(VLOOKUP(C698,Resources!B:G,6,FALSE)," ")</f>
        <v xml:space="preserve"> </v>
      </c>
      <c r="J698" s="108">
        <f>SUBTOTAL(9,J700:J702)</f>
        <v>6320</v>
      </c>
      <c r="K698" s="7"/>
      <c r="L698" s="7">
        <f>ROUNDUP(L702/Workhrs,0)</f>
        <v>4</v>
      </c>
      <c r="M698" s="108">
        <f t="shared" ref="M698:Q698" si="1089">SUBTOTAL(9,M700:M702)</f>
        <v>0</v>
      </c>
      <c r="N698" s="108">
        <f t="shared" si="1089"/>
        <v>3600</v>
      </c>
      <c r="O698" s="108">
        <f t="shared" si="1089"/>
        <v>0</v>
      </c>
      <c r="P698" s="108">
        <f t="shared" si="1089"/>
        <v>2720</v>
      </c>
      <c r="Q698" s="108">
        <f t="shared" si="1089"/>
        <v>6320</v>
      </c>
      <c r="R698" s="120"/>
      <c r="T698" s="188"/>
    </row>
    <row r="699" spans="1:20" x14ac:dyDescent="0.25">
      <c r="A699" s="100">
        <v>100.1</v>
      </c>
      <c r="B699" s="3">
        <v>1</v>
      </c>
      <c r="C699" s="5" t="s">
        <v>2374</v>
      </c>
      <c r="D699" s="3"/>
      <c r="E699" s="100" t="str">
        <f>IFERROR(VLOOKUP(C699,Resources!B:D,3,FALSE)," ")</f>
        <v xml:space="preserve"> </v>
      </c>
      <c r="F699" s="103">
        <f>VLOOKUP($A699,'Model Inputs'!$A:$D,4,FALSE)</f>
        <v>16</v>
      </c>
      <c r="G699" s="8"/>
      <c r="H699" s="8">
        <f>H698*F699</f>
        <v>16</v>
      </c>
      <c r="I699" s="109" t="str">
        <f>IFERROR(VLOOKUP(C699,Resources!B:G,6,FALSE)," ")</f>
        <v xml:space="preserve"> </v>
      </c>
      <c r="J699" s="109"/>
      <c r="K699" s="8"/>
      <c r="L699" s="8"/>
      <c r="M699" s="109"/>
      <c r="N699" s="109"/>
      <c r="O699" s="109"/>
      <c r="P699" s="109"/>
      <c r="Q699" s="109"/>
      <c r="R699" s="121"/>
      <c r="T699" s="188"/>
    </row>
    <row r="700" spans="1:20" x14ac:dyDescent="0.25">
      <c r="A700" s="100"/>
      <c r="B700" s="3">
        <v>2</v>
      </c>
      <c r="C700" s="5" t="s">
        <v>266</v>
      </c>
      <c r="D700" s="3" t="s">
        <v>89</v>
      </c>
      <c r="E700" s="100" t="str">
        <f>IFERROR(VLOOKUP(C700,Resources!B:D,3,FALSE)," ")</f>
        <v>M</v>
      </c>
      <c r="F700" s="8">
        <v>1</v>
      </c>
      <c r="G700" s="8">
        <v>1</v>
      </c>
      <c r="H700" s="8">
        <f>H699*6</f>
        <v>96</v>
      </c>
      <c r="I700" s="109">
        <f>IFERROR(VLOOKUP(C700,Resources!B:G,6,FALSE)," ")</f>
        <v>25</v>
      </c>
      <c r="J700" s="109">
        <f t="shared" ref="J700:J702" si="1090">(H700/(G700/F700))*I700</f>
        <v>2400</v>
      </c>
      <c r="K700" s="8"/>
      <c r="L700" s="8" t="str">
        <f t="shared" ref="L700:L702" si="1091">IF(E700="M"," ",H700/G700)</f>
        <v xml:space="preserve"> </v>
      </c>
      <c r="M700" s="109">
        <f t="shared" ref="M700:M702" si="1092">IF($E700="L",$J700,0)</f>
        <v>0</v>
      </c>
      <c r="N700" s="109">
        <f t="shared" ref="N700:N702" si="1093">IF($E700="M",$J700,0)</f>
        <v>2400</v>
      </c>
      <c r="O700" s="109">
        <f t="shared" ref="O700:O702" si="1094">IF($E700="P",$J700,0)</f>
        <v>0</v>
      </c>
      <c r="P700" s="109">
        <f t="shared" ref="P700:P702" si="1095">IF($E700="S",$J700,0)</f>
        <v>0</v>
      </c>
      <c r="Q700" s="109">
        <f t="shared" ref="Q700:Q702" si="1096">SUM(M700:P700)</f>
        <v>2400</v>
      </c>
      <c r="R700" s="121" t="s">
        <v>2346</v>
      </c>
      <c r="T700" s="188"/>
    </row>
    <row r="701" spans="1:20" x14ac:dyDescent="0.25">
      <c r="A701" s="100"/>
      <c r="B701" s="3">
        <v>3</v>
      </c>
      <c r="C701" s="5" t="s">
        <v>267</v>
      </c>
      <c r="D701" s="3" t="s">
        <v>29</v>
      </c>
      <c r="E701" s="100" t="str">
        <f>IFERROR(VLOOKUP(C701,Resources!B:D,3,FALSE)," ")</f>
        <v>M</v>
      </c>
      <c r="F701" s="8">
        <v>1</v>
      </c>
      <c r="G701" s="8">
        <v>1</v>
      </c>
      <c r="H701" s="8">
        <f>H699</f>
        <v>16</v>
      </c>
      <c r="I701" s="109">
        <f>IFERROR(VLOOKUP(C701,Resources!B:G,6,FALSE)," ")</f>
        <v>75</v>
      </c>
      <c r="J701" s="109">
        <f t="shared" si="1090"/>
        <v>1200</v>
      </c>
      <c r="K701" s="8"/>
      <c r="L701" s="8" t="str">
        <f t="shared" si="1091"/>
        <v xml:space="preserve"> </v>
      </c>
      <c r="M701" s="109">
        <f t="shared" si="1092"/>
        <v>0</v>
      </c>
      <c r="N701" s="109">
        <f t="shared" si="1093"/>
        <v>1200</v>
      </c>
      <c r="O701" s="109">
        <f t="shared" si="1094"/>
        <v>0</v>
      </c>
      <c r="P701" s="109">
        <f t="shared" si="1095"/>
        <v>0</v>
      </c>
      <c r="Q701" s="109">
        <f t="shared" si="1096"/>
        <v>1200</v>
      </c>
      <c r="R701" s="121" t="s">
        <v>2346</v>
      </c>
      <c r="T701" s="188"/>
    </row>
    <row r="702" spans="1:20" x14ac:dyDescent="0.25">
      <c r="A702" s="100"/>
      <c r="B702" s="3">
        <v>4</v>
      </c>
      <c r="C702" s="5" t="s">
        <v>268</v>
      </c>
      <c r="D702" s="3" t="s">
        <v>48</v>
      </c>
      <c r="E702" s="100" t="str">
        <f>IFERROR(VLOOKUP(C702,Resources!B:D,3,FALSE)," ")</f>
        <v>S</v>
      </c>
      <c r="F702" s="8">
        <v>1</v>
      </c>
      <c r="G702" s="8">
        <v>0.5</v>
      </c>
      <c r="H702" s="8">
        <f>H699</f>
        <v>16</v>
      </c>
      <c r="I702" s="109">
        <f>IFERROR(VLOOKUP(C702,Resources!B:G,6,FALSE)," ")</f>
        <v>85</v>
      </c>
      <c r="J702" s="109">
        <f t="shared" si="1090"/>
        <v>2720</v>
      </c>
      <c r="K702" s="8">
        <f t="shared" ref="K702" si="1097">L702*F702</f>
        <v>32</v>
      </c>
      <c r="L702" s="8">
        <f t="shared" si="1091"/>
        <v>32</v>
      </c>
      <c r="M702" s="109">
        <f t="shared" si="1092"/>
        <v>0</v>
      </c>
      <c r="N702" s="109">
        <f t="shared" si="1093"/>
        <v>0</v>
      </c>
      <c r="O702" s="109">
        <f t="shared" si="1094"/>
        <v>0</v>
      </c>
      <c r="P702" s="109">
        <f t="shared" si="1095"/>
        <v>2720</v>
      </c>
      <c r="Q702" s="109">
        <f t="shared" si="1096"/>
        <v>2720</v>
      </c>
      <c r="R702" s="121">
        <v>81</v>
      </c>
      <c r="T702" s="188"/>
    </row>
    <row r="703" spans="1:20" x14ac:dyDescent="0.25">
      <c r="A703" s="101"/>
      <c r="B703" s="4"/>
      <c r="C703" s="6"/>
      <c r="D703" s="4"/>
      <c r="E703" s="101" t="str">
        <f>IFERROR(VLOOKUP(C703,Resources!B:D,3,FALSE)," ")</f>
        <v xml:space="preserve"> </v>
      </c>
      <c r="F703" s="9"/>
      <c r="G703" s="9"/>
      <c r="H703" s="9"/>
      <c r="I703" s="38" t="str">
        <f>IFERROR(VLOOKUP(C703,Resources!B:G,6,FALSE)," ")</f>
        <v xml:space="preserve"> </v>
      </c>
      <c r="J703" s="38"/>
      <c r="K703" s="9"/>
      <c r="L703" s="9"/>
      <c r="M703" s="38"/>
      <c r="N703" s="38"/>
      <c r="O703" s="38"/>
      <c r="P703" s="38"/>
      <c r="Q703" s="38"/>
      <c r="R703" s="122"/>
      <c r="T703" s="188"/>
    </row>
    <row r="704" spans="1:20" ht="30" x14ac:dyDescent="0.25">
      <c r="A704" s="114"/>
      <c r="B704" s="1" t="s">
        <v>380</v>
      </c>
      <c r="C704" s="1" t="s">
        <v>94</v>
      </c>
      <c r="D704" s="2"/>
      <c r="E704" s="99" t="str">
        <f>IFERROR(VLOOKUP(C704,Resources!B:D,3,FALSE)," ")</f>
        <v xml:space="preserve"> </v>
      </c>
      <c r="F704" s="7"/>
      <c r="G704" s="7"/>
      <c r="H704" s="7"/>
      <c r="I704" s="108" t="str">
        <f>IFERROR(VLOOKUP(C704,Resources!B:G,6,FALSE)," ")</f>
        <v xml:space="preserve"> </v>
      </c>
      <c r="J704" s="108"/>
      <c r="K704" s="7"/>
      <c r="L704" s="7"/>
      <c r="M704" s="108"/>
      <c r="N704" s="108"/>
      <c r="O704" s="108"/>
      <c r="P704" s="108"/>
      <c r="Q704" s="108"/>
      <c r="R704" s="120"/>
      <c r="T704" s="188"/>
    </row>
    <row r="705" spans="1:20" ht="30" x14ac:dyDescent="0.25">
      <c r="A705" s="114">
        <v>101</v>
      </c>
      <c r="B705" s="1" t="s">
        <v>381</v>
      </c>
      <c r="C705" s="1" t="s">
        <v>382</v>
      </c>
      <c r="D705" s="2" t="s">
        <v>29</v>
      </c>
      <c r="E705" s="99" t="str">
        <f>IFERROR(VLOOKUP(C705,Resources!B:D,3,FALSE)," ")</f>
        <v xml:space="preserve"> </v>
      </c>
      <c r="F705" s="7"/>
      <c r="G705" s="7"/>
      <c r="H705" s="103">
        <f>VLOOKUP($A705,'Model Inputs'!$A:$D,4,FALSE)</f>
        <v>4</v>
      </c>
      <c r="I705" s="108" t="str">
        <f>IFERROR(VLOOKUP(C705,Resources!B:G,6,FALSE)," ")</f>
        <v xml:space="preserve"> </v>
      </c>
      <c r="J705" s="108">
        <f>SUBTOTAL(9,J706:J708)</f>
        <v>14020</v>
      </c>
      <c r="K705" s="7"/>
      <c r="L705" s="7">
        <f>ROUNDUP((L706+L708/Workhrs),0)</f>
        <v>10</v>
      </c>
      <c r="M705" s="108">
        <f t="shared" ref="M705:Q705" si="1098">SUBTOTAL(9,M706:M708)</f>
        <v>1360</v>
      </c>
      <c r="N705" s="108">
        <f t="shared" si="1098"/>
        <v>5160</v>
      </c>
      <c r="O705" s="108">
        <f t="shared" si="1098"/>
        <v>0</v>
      </c>
      <c r="P705" s="108">
        <f t="shared" si="1098"/>
        <v>7500</v>
      </c>
      <c r="Q705" s="108">
        <f t="shared" si="1098"/>
        <v>14020</v>
      </c>
      <c r="R705" s="120"/>
      <c r="T705" s="188"/>
    </row>
    <row r="706" spans="1:20" x14ac:dyDescent="0.25">
      <c r="A706" s="100">
        <v>101.1</v>
      </c>
      <c r="B706" s="3">
        <v>1</v>
      </c>
      <c r="C706" s="5" t="s">
        <v>183</v>
      </c>
      <c r="D706" s="3" t="s">
        <v>29</v>
      </c>
      <c r="E706" s="100" t="str">
        <f>IFERROR(VLOOKUP(C706,Resources!B:D,3,FALSE)," ")</f>
        <v>S</v>
      </c>
      <c r="F706" s="8">
        <v>1</v>
      </c>
      <c r="G706" s="103">
        <f>VLOOKUP($A706,'Model Inputs'!$A:$D,4,FALSE)</f>
        <v>2</v>
      </c>
      <c r="H706" s="8">
        <f>H705</f>
        <v>4</v>
      </c>
      <c r="I706" s="109">
        <f>IFERROR(VLOOKUP(C706,Resources!B:G,6,FALSE)," ")</f>
        <v>3750</v>
      </c>
      <c r="J706" s="109">
        <f t="shared" ref="J706:J708" si="1099">(H706/(G706/F706))*I706</f>
        <v>7500</v>
      </c>
      <c r="K706" s="8"/>
      <c r="L706" s="8">
        <f>H706*2</f>
        <v>8</v>
      </c>
      <c r="M706" s="109">
        <f t="shared" ref="M706:M708" si="1100">IF($E706="L",$J706,0)</f>
        <v>0</v>
      </c>
      <c r="N706" s="109">
        <f t="shared" ref="N706:N708" si="1101">IF($E706="M",$J706,0)</f>
        <v>0</v>
      </c>
      <c r="O706" s="109">
        <f t="shared" ref="O706:O708" si="1102">IF($E706="P",$J706,0)</f>
        <v>0</v>
      </c>
      <c r="P706" s="109">
        <f t="shared" ref="P706:P708" si="1103">IF($E706="S",$J706,0)</f>
        <v>7500</v>
      </c>
      <c r="Q706" s="109">
        <f t="shared" ref="Q706:Q708" si="1104">SUM(M706:P706)</f>
        <v>7500</v>
      </c>
      <c r="R706" s="121">
        <v>85</v>
      </c>
      <c r="T706" s="188"/>
    </row>
    <row r="707" spans="1:20" x14ac:dyDescent="0.25">
      <c r="A707" s="100"/>
      <c r="B707" s="3">
        <v>2</v>
      </c>
      <c r="C707" s="5" t="s">
        <v>383</v>
      </c>
      <c r="D707" s="3" t="s">
        <v>29</v>
      </c>
      <c r="E707" s="100" t="str">
        <f>IFERROR(VLOOKUP(C707,Resources!B:D,3,FALSE)," ")</f>
        <v>M</v>
      </c>
      <c r="F707" s="8">
        <v>1</v>
      </c>
      <c r="G707" s="8">
        <v>1</v>
      </c>
      <c r="H707" s="8">
        <f>H705</f>
        <v>4</v>
      </c>
      <c r="I707" s="109">
        <f>IFERROR(VLOOKUP(C707,Resources!B:G,6,FALSE)," ")</f>
        <v>1290</v>
      </c>
      <c r="J707" s="109">
        <f t="shared" si="1099"/>
        <v>5160</v>
      </c>
      <c r="K707" s="8"/>
      <c r="L707" s="8" t="str">
        <f t="shared" ref="L707:L708" si="1105">IF(E707="M"," ",H707/G707)</f>
        <v xml:space="preserve"> </v>
      </c>
      <c r="M707" s="109">
        <f t="shared" si="1100"/>
        <v>0</v>
      </c>
      <c r="N707" s="109">
        <f t="shared" si="1101"/>
        <v>5160</v>
      </c>
      <c r="O707" s="109">
        <f t="shared" si="1102"/>
        <v>0</v>
      </c>
      <c r="P707" s="109">
        <f t="shared" si="1103"/>
        <v>0</v>
      </c>
      <c r="Q707" s="109">
        <f t="shared" si="1104"/>
        <v>5160</v>
      </c>
      <c r="R707" s="121" t="s">
        <v>2347</v>
      </c>
      <c r="T707" s="188"/>
    </row>
    <row r="708" spans="1:20" x14ac:dyDescent="0.25">
      <c r="A708" s="100"/>
      <c r="B708" s="3">
        <v>3</v>
      </c>
      <c r="C708" s="5" t="s">
        <v>384</v>
      </c>
      <c r="D708" s="3" t="s">
        <v>48</v>
      </c>
      <c r="E708" s="100" t="str">
        <f>IFERROR(VLOOKUP(C708,Resources!B:D,3,FALSE)," ")</f>
        <v>L</v>
      </c>
      <c r="F708" s="8">
        <v>1</v>
      </c>
      <c r="G708" s="8">
        <v>1</v>
      </c>
      <c r="H708" s="8">
        <f>H705*4</f>
        <v>16</v>
      </c>
      <c r="I708" s="109">
        <f>IFERROR(VLOOKUP(C708,Resources!B:G,6,FALSE)," ")</f>
        <v>85</v>
      </c>
      <c r="J708" s="109">
        <f t="shared" si="1099"/>
        <v>1360</v>
      </c>
      <c r="K708" s="8">
        <f t="shared" ref="K708" si="1106">L708*F708</f>
        <v>16</v>
      </c>
      <c r="L708" s="8">
        <f t="shared" si="1105"/>
        <v>16</v>
      </c>
      <c r="M708" s="109">
        <f t="shared" si="1100"/>
        <v>1360</v>
      </c>
      <c r="N708" s="109">
        <f t="shared" si="1101"/>
        <v>0</v>
      </c>
      <c r="O708" s="109">
        <f t="shared" si="1102"/>
        <v>0</v>
      </c>
      <c r="P708" s="109">
        <f t="shared" si="1103"/>
        <v>0</v>
      </c>
      <c r="Q708" s="109">
        <f t="shared" si="1104"/>
        <v>1360</v>
      </c>
      <c r="R708" s="121">
        <v>85</v>
      </c>
      <c r="T708" s="188"/>
    </row>
    <row r="709" spans="1:20" x14ac:dyDescent="0.25">
      <c r="A709" s="101"/>
      <c r="B709" s="4"/>
      <c r="C709" s="6"/>
      <c r="D709" s="4"/>
      <c r="E709" s="101" t="str">
        <f>IFERROR(VLOOKUP(C709,Resources!B:D,3,FALSE)," ")</f>
        <v xml:space="preserve"> </v>
      </c>
      <c r="F709" s="9"/>
      <c r="G709" s="9"/>
      <c r="H709" s="9"/>
      <c r="I709" s="38" t="str">
        <f>IFERROR(VLOOKUP(C709,Resources!B:G,6,FALSE)," ")</f>
        <v xml:space="preserve"> </v>
      </c>
      <c r="J709" s="38"/>
      <c r="K709" s="9"/>
      <c r="L709" s="9"/>
      <c r="M709" s="38"/>
      <c r="N709" s="38"/>
      <c r="O709" s="38"/>
      <c r="P709" s="38"/>
      <c r="Q709" s="38"/>
      <c r="R709" s="122"/>
      <c r="T709" s="188"/>
    </row>
    <row r="710" spans="1:20" ht="30" x14ac:dyDescent="0.25">
      <c r="A710" s="114"/>
      <c r="B710" s="1" t="s">
        <v>385</v>
      </c>
      <c r="C710" s="1" t="s">
        <v>98</v>
      </c>
      <c r="D710" s="2"/>
      <c r="E710" s="99" t="str">
        <f>IFERROR(VLOOKUP(C710,Resources!B:D,3,FALSE)," ")</f>
        <v xml:space="preserve"> </v>
      </c>
      <c r="F710" s="7"/>
      <c r="G710" s="7"/>
      <c r="H710" s="7"/>
      <c r="I710" s="108" t="str">
        <f>IFERROR(VLOOKUP(C710,Resources!B:G,6,FALSE)," ")</f>
        <v xml:space="preserve"> </v>
      </c>
      <c r="J710" s="108"/>
      <c r="K710" s="7"/>
      <c r="L710" s="7"/>
      <c r="M710" s="108"/>
      <c r="N710" s="108"/>
      <c r="O710" s="108"/>
      <c r="P710" s="108"/>
      <c r="Q710" s="108"/>
      <c r="R710" s="120"/>
      <c r="T710" s="188"/>
    </row>
    <row r="711" spans="1:20" ht="30" x14ac:dyDescent="0.25">
      <c r="A711" s="114">
        <v>102</v>
      </c>
      <c r="B711" s="1" t="s">
        <v>386</v>
      </c>
      <c r="C711" s="1" t="s">
        <v>195</v>
      </c>
      <c r="D711" s="2" t="s">
        <v>89</v>
      </c>
      <c r="E711" s="99" t="str">
        <f>IFERROR(VLOOKUP(C711,Resources!B:D,3,FALSE)," ")</f>
        <v xml:space="preserve"> </v>
      </c>
      <c r="F711" s="7"/>
      <c r="G711" s="7"/>
      <c r="H711" s="103">
        <f>VLOOKUP($A711,'Model Inputs'!$A:$D,4,FALSE)</f>
        <v>524</v>
      </c>
      <c r="I711" s="108" t="str">
        <f>IFERROR(VLOOKUP(C711,Resources!B:G,6,FALSE)," ")</f>
        <v xml:space="preserve"> </v>
      </c>
      <c r="J711" s="108">
        <f>SUBTOTAL(9,J713:J716)</f>
        <v>27857.424186046512</v>
      </c>
      <c r="K711" s="7"/>
      <c r="L711" s="7">
        <f>ROUNDUP(L716,0)</f>
        <v>3</v>
      </c>
      <c r="M711" s="108">
        <f t="shared" ref="M711:Q711" si="1107">SUBTOTAL(9,M713:M716)</f>
        <v>0</v>
      </c>
      <c r="N711" s="108">
        <f t="shared" si="1107"/>
        <v>12137.424186046512</v>
      </c>
      <c r="O711" s="108">
        <f t="shared" si="1107"/>
        <v>0</v>
      </c>
      <c r="P711" s="108">
        <f t="shared" si="1107"/>
        <v>15720</v>
      </c>
      <c r="Q711" s="108">
        <f t="shared" si="1107"/>
        <v>27857.424186046512</v>
      </c>
      <c r="R711" s="120"/>
      <c r="T711" s="188"/>
    </row>
    <row r="712" spans="1:20" ht="30" x14ac:dyDescent="0.25">
      <c r="A712" s="101"/>
      <c r="B712" s="4">
        <v>1</v>
      </c>
      <c r="C712" s="6" t="s">
        <v>196</v>
      </c>
      <c r="D712" s="4"/>
      <c r="E712" s="101" t="str">
        <f>IFERROR(VLOOKUP(C712,Resources!B:D,3,FALSE)," ")</f>
        <v xml:space="preserve"> </v>
      </c>
      <c r="F712" s="9"/>
      <c r="G712" s="9"/>
      <c r="H712" s="9"/>
      <c r="I712" s="38" t="str">
        <f>IFERROR(VLOOKUP(C712,Resources!B:G,6,FALSE)," ")</f>
        <v xml:space="preserve"> </v>
      </c>
      <c r="J712" s="38"/>
      <c r="K712" s="9"/>
      <c r="L712" s="9"/>
      <c r="M712" s="38"/>
      <c r="N712" s="38"/>
      <c r="O712" s="38"/>
      <c r="P712" s="38"/>
      <c r="Q712" s="38"/>
      <c r="R712" s="122"/>
      <c r="T712" s="188"/>
    </row>
    <row r="713" spans="1:20" x14ac:dyDescent="0.25">
      <c r="A713" s="100">
        <v>102.1</v>
      </c>
      <c r="B713" s="3">
        <v>2</v>
      </c>
      <c r="C713" s="5" t="s">
        <v>197</v>
      </c>
      <c r="D713" s="3" t="s">
        <v>86</v>
      </c>
      <c r="E713" s="100" t="str">
        <f>IFERROR(VLOOKUP(C713,Resources!B:D,3,FALSE)," ")</f>
        <v>M</v>
      </c>
      <c r="F713" s="103">
        <f>VLOOKUP($A713,'Model Inputs'!$A:$D,4,FALSE)</f>
        <v>8.6</v>
      </c>
      <c r="G713" s="8">
        <v>1</v>
      </c>
      <c r="H713" s="8">
        <f>H711/F713</f>
        <v>60.930232558139537</v>
      </c>
      <c r="I713" s="109">
        <f>IFERROR(VLOOKUP(C713,Resources!B:G,6,FALSE)," ")</f>
        <v>190</v>
      </c>
      <c r="J713" s="109">
        <f>I713*H713</f>
        <v>11576.744186046511</v>
      </c>
      <c r="K713" s="8"/>
      <c r="L713" s="8" t="str">
        <f t="shared" ref="L713:L715" si="1108">IF(E713="M"," ",H713/G713)</f>
        <v xml:space="preserve"> </v>
      </c>
      <c r="M713" s="109">
        <f t="shared" ref="M713:M716" si="1109">IF($E713="L",$J713,0)</f>
        <v>0</v>
      </c>
      <c r="N713" s="109">
        <f t="shared" ref="N713:N716" si="1110">IF($E713="M",$J713,0)</f>
        <v>11576.744186046511</v>
      </c>
      <c r="O713" s="109">
        <f t="shared" ref="O713:O716" si="1111">IF($E713="P",$J713,0)</f>
        <v>0</v>
      </c>
      <c r="P713" s="109">
        <f t="shared" ref="P713:P716" si="1112">IF($E713="S",$J713,0)</f>
        <v>0</v>
      </c>
      <c r="Q713" s="109">
        <f t="shared" ref="Q713:Q716" si="1113">SUM(M713:P713)</f>
        <v>11576.744186046511</v>
      </c>
      <c r="R713" s="121" t="s">
        <v>2337</v>
      </c>
      <c r="T713" s="188"/>
    </row>
    <row r="714" spans="1:20" x14ac:dyDescent="0.25">
      <c r="A714" s="100">
        <v>102.2</v>
      </c>
      <c r="B714" s="3">
        <v>3</v>
      </c>
      <c r="C714" s="5" t="s">
        <v>81</v>
      </c>
      <c r="D714" s="3" t="s">
        <v>82</v>
      </c>
      <c r="E714" s="100" t="str">
        <f>IFERROR(VLOOKUP(C714,Resources!B:D,3,FALSE)," ")</f>
        <v>M</v>
      </c>
      <c r="F714" s="103">
        <f>VLOOKUP($A714,'Model Inputs'!$A:$D,4,FALSE)</f>
        <v>75</v>
      </c>
      <c r="G714" s="8">
        <v>1</v>
      </c>
      <c r="H714" s="8">
        <f>H711/F714</f>
        <v>6.9866666666666664</v>
      </c>
      <c r="I714" s="109">
        <f>IFERROR(VLOOKUP(C714,Resources!B:G,6,FALSE)," ")</f>
        <v>24</v>
      </c>
      <c r="J714" s="109">
        <f t="shared" ref="J714:J715" si="1114">I714*H714</f>
        <v>167.68</v>
      </c>
      <c r="K714" s="8"/>
      <c r="L714" s="8" t="str">
        <f t="shared" si="1108"/>
        <v xml:space="preserve"> </v>
      </c>
      <c r="M714" s="109">
        <f t="shared" si="1109"/>
        <v>0</v>
      </c>
      <c r="N714" s="109">
        <f t="shared" si="1110"/>
        <v>167.68</v>
      </c>
      <c r="O714" s="109">
        <f t="shared" si="1111"/>
        <v>0</v>
      </c>
      <c r="P714" s="109">
        <f t="shared" si="1112"/>
        <v>0</v>
      </c>
      <c r="Q714" s="109">
        <f t="shared" si="1113"/>
        <v>167.68</v>
      </c>
      <c r="R714" s="121" t="s">
        <v>2341</v>
      </c>
      <c r="T714" s="188"/>
    </row>
    <row r="715" spans="1:20" x14ac:dyDescent="0.25">
      <c r="A715" s="100">
        <v>102.3</v>
      </c>
      <c r="B715" s="3">
        <v>4</v>
      </c>
      <c r="C715" s="5" t="s">
        <v>109</v>
      </c>
      <c r="D715" s="3" t="s">
        <v>82</v>
      </c>
      <c r="E715" s="100" t="str">
        <f>IFERROR(VLOOKUP(C715,Resources!B:D,3,FALSE)," ")</f>
        <v>M</v>
      </c>
      <c r="F715" s="103">
        <f>VLOOKUP($A715,'Model Inputs'!$A:$D,4,FALSE)</f>
        <v>8</v>
      </c>
      <c r="G715" s="8">
        <v>1</v>
      </c>
      <c r="H715" s="8">
        <f>H714/F715</f>
        <v>0.87333333333333329</v>
      </c>
      <c r="I715" s="109">
        <f>IFERROR(VLOOKUP(C715,Resources!B:G,6,FALSE)," ")</f>
        <v>450</v>
      </c>
      <c r="J715" s="109">
        <f t="shared" si="1114"/>
        <v>393</v>
      </c>
      <c r="K715" s="8"/>
      <c r="L715" s="8" t="str">
        <f t="shared" si="1108"/>
        <v xml:space="preserve"> </v>
      </c>
      <c r="M715" s="109">
        <f t="shared" si="1109"/>
        <v>0</v>
      </c>
      <c r="N715" s="109">
        <f t="shared" si="1110"/>
        <v>393</v>
      </c>
      <c r="O715" s="109">
        <f t="shared" si="1111"/>
        <v>0</v>
      </c>
      <c r="P715" s="109">
        <f t="shared" si="1112"/>
        <v>0</v>
      </c>
      <c r="Q715" s="109">
        <f t="shared" si="1113"/>
        <v>393</v>
      </c>
      <c r="R715" s="121" t="s">
        <v>2338</v>
      </c>
      <c r="T715" s="188"/>
    </row>
    <row r="716" spans="1:20" x14ac:dyDescent="0.25">
      <c r="A716" s="100"/>
      <c r="B716" s="3">
        <v>5</v>
      </c>
      <c r="C716" s="5" t="s">
        <v>198</v>
      </c>
      <c r="D716" s="3" t="s">
        <v>89</v>
      </c>
      <c r="E716" s="100" t="str">
        <f>IFERROR(VLOOKUP(C716,Resources!B:D,3,FALSE)," ")</f>
        <v>S</v>
      </c>
      <c r="F716" s="8">
        <v>1</v>
      </c>
      <c r="G716" s="8">
        <v>1</v>
      </c>
      <c r="H716" s="8">
        <f>H711</f>
        <v>524</v>
      </c>
      <c r="I716" s="109">
        <f>IFERROR(VLOOKUP(C716,Resources!B:G,6,FALSE)," ")</f>
        <v>30</v>
      </c>
      <c r="J716" s="109">
        <f t="shared" ref="J716" si="1115">(H716/(G716/F716))*I716</f>
        <v>15720</v>
      </c>
      <c r="K716" s="8"/>
      <c r="L716" s="8">
        <f>H716/200</f>
        <v>2.62</v>
      </c>
      <c r="M716" s="109">
        <f t="shared" si="1109"/>
        <v>0</v>
      </c>
      <c r="N716" s="109">
        <f t="shared" si="1110"/>
        <v>0</v>
      </c>
      <c r="O716" s="109">
        <f t="shared" si="1111"/>
        <v>0</v>
      </c>
      <c r="P716" s="109">
        <f t="shared" si="1112"/>
        <v>15720</v>
      </c>
      <c r="Q716" s="109">
        <f t="shared" si="1113"/>
        <v>15720</v>
      </c>
      <c r="R716" s="121">
        <v>71</v>
      </c>
      <c r="T716" s="188"/>
    </row>
    <row r="717" spans="1:20" x14ac:dyDescent="0.25">
      <c r="A717" s="101"/>
      <c r="B717" s="4"/>
      <c r="C717" s="6"/>
      <c r="D717" s="4"/>
      <c r="E717" s="101" t="str">
        <f>IFERROR(VLOOKUP(C717,Resources!B:D,3,FALSE)," ")</f>
        <v xml:space="preserve"> </v>
      </c>
      <c r="F717" s="9"/>
      <c r="G717" s="9"/>
      <c r="H717" s="9"/>
      <c r="I717" s="38" t="str">
        <f>IFERROR(VLOOKUP(C717,Resources!B:G,6,FALSE)," ")</f>
        <v xml:space="preserve"> </v>
      </c>
      <c r="J717" s="38"/>
      <c r="K717" s="9"/>
      <c r="L717" s="9"/>
      <c r="M717" s="38"/>
      <c r="N717" s="38"/>
      <c r="O717" s="38"/>
      <c r="P717" s="38"/>
      <c r="Q717" s="38"/>
      <c r="R717" s="122"/>
      <c r="T717" s="188"/>
    </row>
    <row r="718" spans="1:20" ht="30" x14ac:dyDescent="0.25">
      <c r="A718" s="114">
        <v>103</v>
      </c>
      <c r="B718" s="1" t="s">
        <v>387</v>
      </c>
      <c r="C718" s="1" t="s">
        <v>388</v>
      </c>
      <c r="D718" s="2" t="s">
        <v>89</v>
      </c>
      <c r="E718" s="99" t="str">
        <f>IFERROR(VLOOKUP(C718,Resources!B:D,3,FALSE)," ")</f>
        <v xml:space="preserve"> </v>
      </c>
      <c r="F718" s="7"/>
      <c r="G718" s="7"/>
      <c r="H718" s="103">
        <f>VLOOKUP($A718,'Model Inputs'!$A:$D,4,FALSE)</f>
        <v>42</v>
      </c>
      <c r="I718" s="108" t="str">
        <f>IFERROR(VLOOKUP(C718,Resources!B:G,6,FALSE)," ")</f>
        <v xml:space="preserve"> </v>
      </c>
      <c r="J718" s="108">
        <f>SUBTOTAL(9,J720:J723)</f>
        <v>2354.94</v>
      </c>
      <c r="K718" s="7"/>
      <c r="L718" s="7">
        <f>ROUNDUP(L723,0)</f>
        <v>1</v>
      </c>
      <c r="M718" s="108">
        <f t="shared" ref="M718:Q718" si="1116">SUBTOTAL(9,M720:M723)</f>
        <v>0</v>
      </c>
      <c r="N718" s="108">
        <f t="shared" si="1116"/>
        <v>1094.94</v>
      </c>
      <c r="O718" s="108">
        <f t="shared" si="1116"/>
        <v>0</v>
      </c>
      <c r="P718" s="108">
        <f t="shared" si="1116"/>
        <v>1260</v>
      </c>
      <c r="Q718" s="108">
        <f t="shared" si="1116"/>
        <v>2354.94</v>
      </c>
      <c r="R718" s="120"/>
      <c r="T718" s="188"/>
    </row>
    <row r="719" spans="1:20" ht="30" x14ac:dyDescent="0.25">
      <c r="A719" s="101"/>
      <c r="B719" s="4">
        <v>1</v>
      </c>
      <c r="C719" s="6" t="s">
        <v>196</v>
      </c>
      <c r="D719" s="4"/>
      <c r="E719" s="101" t="str">
        <f>IFERROR(VLOOKUP(C719,Resources!B:D,3,FALSE)," ")</f>
        <v xml:space="preserve"> </v>
      </c>
      <c r="F719" s="9"/>
      <c r="G719" s="9"/>
      <c r="H719" s="9"/>
      <c r="I719" s="38" t="str">
        <f>IFERROR(VLOOKUP(C719,Resources!B:G,6,FALSE)," ")</f>
        <v xml:space="preserve"> </v>
      </c>
      <c r="J719" s="38"/>
      <c r="K719" s="9"/>
      <c r="L719" s="9"/>
      <c r="M719" s="38"/>
      <c r="N719" s="38"/>
      <c r="O719" s="38"/>
      <c r="P719" s="38"/>
      <c r="Q719" s="38"/>
      <c r="R719" s="122"/>
      <c r="T719" s="188"/>
    </row>
    <row r="720" spans="1:20" x14ac:dyDescent="0.25">
      <c r="A720" s="100">
        <v>103.1</v>
      </c>
      <c r="B720" s="3">
        <v>2</v>
      </c>
      <c r="C720" s="5" t="s">
        <v>197</v>
      </c>
      <c r="D720" s="3" t="s">
        <v>86</v>
      </c>
      <c r="E720" s="100" t="str">
        <f>IFERROR(VLOOKUP(C720,Resources!B:D,3,FALSE)," ")</f>
        <v>M</v>
      </c>
      <c r="F720" s="103">
        <f>VLOOKUP($A720,'Model Inputs'!$A:$D,4,FALSE)</f>
        <v>7.6</v>
      </c>
      <c r="G720" s="8">
        <v>1</v>
      </c>
      <c r="H720" s="8">
        <f>H718/F720</f>
        <v>5.5263157894736841</v>
      </c>
      <c r="I720" s="109">
        <f>IFERROR(VLOOKUP(C720,Resources!B:G,6,FALSE)," ")</f>
        <v>190</v>
      </c>
      <c r="J720" s="109">
        <f>I720*H720</f>
        <v>1050</v>
      </c>
      <c r="K720" s="8"/>
      <c r="L720" s="8" t="str">
        <f t="shared" ref="L720:L722" si="1117">IF(E720="M"," ",H720/G720)</f>
        <v xml:space="preserve"> </v>
      </c>
      <c r="M720" s="109">
        <f t="shared" ref="M720:M723" si="1118">IF($E720="L",$J720,0)</f>
        <v>0</v>
      </c>
      <c r="N720" s="109">
        <f t="shared" ref="N720:N723" si="1119">IF($E720="M",$J720,0)</f>
        <v>1050</v>
      </c>
      <c r="O720" s="109">
        <f t="shared" ref="O720:O723" si="1120">IF($E720="P",$J720,0)</f>
        <v>0</v>
      </c>
      <c r="P720" s="109">
        <f t="shared" ref="P720:P723" si="1121">IF($E720="S",$J720,0)</f>
        <v>0</v>
      </c>
      <c r="Q720" s="109">
        <f t="shared" ref="Q720:Q723" si="1122">SUM(M720:P720)</f>
        <v>1050</v>
      </c>
      <c r="R720" s="121" t="s">
        <v>2337</v>
      </c>
      <c r="T720" s="188"/>
    </row>
    <row r="721" spans="1:20" x14ac:dyDescent="0.25">
      <c r="A721" s="100">
        <v>103.2</v>
      </c>
      <c r="B721" s="3">
        <v>3</v>
      </c>
      <c r="C721" s="5" t="s">
        <v>81</v>
      </c>
      <c r="D721" s="3" t="s">
        <v>82</v>
      </c>
      <c r="E721" s="100" t="str">
        <f>IFERROR(VLOOKUP(C721,Resources!B:D,3,FALSE)," ")</f>
        <v>M</v>
      </c>
      <c r="F721" s="103">
        <f>VLOOKUP($A721,'Model Inputs'!$A:$D,4,FALSE)</f>
        <v>75</v>
      </c>
      <c r="G721" s="8">
        <v>1</v>
      </c>
      <c r="H721" s="8">
        <f>H718/F721</f>
        <v>0.56000000000000005</v>
      </c>
      <c r="I721" s="109">
        <f>IFERROR(VLOOKUP(C721,Resources!B:G,6,FALSE)," ")</f>
        <v>24</v>
      </c>
      <c r="J721" s="109">
        <f t="shared" ref="J721:J722" si="1123">I721*H721</f>
        <v>13.440000000000001</v>
      </c>
      <c r="K721" s="8"/>
      <c r="L721" s="8" t="str">
        <f t="shared" si="1117"/>
        <v xml:space="preserve"> </v>
      </c>
      <c r="M721" s="109">
        <f t="shared" si="1118"/>
        <v>0</v>
      </c>
      <c r="N721" s="109">
        <f t="shared" si="1119"/>
        <v>13.440000000000001</v>
      </c>
      <c r="O721" s="109">
        <f t="shared" si="1120"/>
        <v>0</v>
      </c>
      <c r="P721" s="109">
        <f t="shared" si="1121"/>
        <v>0</v>
      </c>
      <c r="Q721" s="109">
        <f t="shared" si="1122"/>
        <v>13.440000000000001</v>
      </c>
      <c r="R721" s="121" t="s">
        <v>2341</v>
      </c>
      <c r="T721" s="188"/>
    </row>
    <row r="722" spans="1:20" x14ac:dyDescent="0.25">
      <c r="A722" s="100">
        <v>103.3</v>
      </c>
      <c r="B722" s="3">
        <v>4</v>
      </c>
      <c r="C722" s="5" t="s">
        <v>109</v>
      </c>
      <c r="D722" s="3" t="s">
        <v>82</v>
      </c>
      <c r="E722" s="100" t="str">
        <f>IFERROR(VLOOKUP(C722,Resources!B:D,3,FALSE)," ")</f>
        <v>M</v>
      </c>
      <c r="F722" s="103">
        <f>VLOOKUP($A722,'Model Inputs'!$A:$D,4,FALSE)</f>
        <v>8</v>
      </c>
      <c r="G722" s="8">
        <v>1</v>
      </c>
      <c r="H722" s="8">
        <f>H721/F722</f>
        <v>7.0000000000000007E-2</v>
      </c>
      <c r="I722" s="109">
        <f>IFERROR(VLOOKUP(C722,Resources!B:G,6,FALSE)," ")</f>
        <v>450</v>
      </c>
      <c r="J722" s="109">
        <f t="shared" si="1123"/>
        <v>31.500000000000004</v>
      </c>
      <c r="K722" s="8"/>
      <c r="L722" s="8" t="str">
        <f t="shared" si="1117"/>
        <v xml:space="preserve"> </v>
      </c>
      <c r="M722" s="109">
        <f t="shared" si="1118"/>
        <v>0</v>
      </c>
      <c r="N722" s="109">
        <f t="shared" si="1119"/>
        <v>31.500000000000004</v>
      </c>
      <c r="O722" s="109">
        <f t="shared" si="1120"/>
        <v>0</v>
      </c>
      <c r="P722" s="109">
        <f t="shared" si="1121"/>
        <v>0</v>
      </c>
      <c r="Q722" s="109">
        <f t="shared" si="1122"/>
        <v>31.500000000000004</v>
      </c>
      <c r="R722" s="121" t="s">
        <v>2338</v>
      </c>
      <c r="T722" s="188"/>
    </row>
    <row r="723" spans="1:20" x14ac:dyDescent="0.25">
      <c r="A723" s="100"/>
      <c r="B723" s="3">
        <v>5</v>
      </c>
      <c r="C723" s="5" t="s">
        <v>198</v>
      </c>
      <c r="D723" s="3" t="s">
        <v>89</v>
      </c>
      <c r="E723" s="100" t="str">
        <f>IFERROR(VLOOKUP(C723,Resources!B:D,3,FALSE)," ")</f>
        <v>S</v>
      </c>
      <c r="F723" s="8">
        <v>1</v>
      </c>
      <c r="G723" s="8">
        <v>1</v>
      </c>
      <c r="H723" s="8">
        <f>H718</f>
        <v>42</v>
      </c>
      <c r="I723" s="109">
        <f>IFERROR(VLOOKUP(C723,Resources!B:G,6,FALSE)," ")</f>
        <v>30</v>
      </c>
      <c r="J723" s="109">
        <f t="shared" ref="J723" si="1124">(H723/(G723/F723))*I723</f>
        <v>1260</v>
      </c>
      <c r="K723" s="8"/>
      <c r="L723" s="8">
        <f>H723/200</f>
        <v>0.21</v>
      </c>
      <c r="M723" s="109">
        <f t="shared" si="1118"/>
        <v>0</v>
      </c>
      <c r="N723" s="109">
        <f t="shared" si="1119"/>
        <v>0</v>
      </c>
      <c r="O723" s="109">
        <f t="shared" si="1120"/>
        <v>0</v>
      </c>
      <c r="P723" s="109">
        <f t="shared" si="1121"/>
        <v>1260</v>
      </c>
      <c r="Q723" s="109">
        <f t="shared" si="1122"/>
        <v>1260</v>
      </c>
      <c r="R723" s="121">
        <v>71</v>
      </c>
      <c r="T723" s="188"/>
    </row>
    <row r="724" spans="1:20" x14ac:dyDescent="0.25">
      <c r="A724" s="101"/>
      <c r="B724" s="4"/>
      <c r="C724" s="6"/>
      <c r="D724" s="4"/>
      <c r="E724" s="101" t="str">
        <f>IFERROR(VLOOKUP(C724,Resources!B:D,3,FALSE)," ")</f>
        <v xml:space="preserve"> </v>
      </c>
      <c r="F724" s="9"/>
      <c r="G724" s="9"/>
      <c r="H724" s="9"/>
      <c r="I724" s="38" t="str">
        <f>IFERROR(VLOOKUP(C724,Resources!B:G,6,FALSE)," ")</f>
        <v xml:space="preserve"> </v>
      </c>
      <c r="J724" s="38"/>
      <c r="K724" s="9"/>
      <c r="L724" s="9"/>
      <c r="M724" s="38"/>
      <c r="N724" s="38"/>
      <c r="O724" s="38"/>
      <c r="P724" s="38"/>
      <c r="Q724" s="38"/>
      <c r="R724" s="122"/>
      <c r="T724" s="188"/>
    </row>
    <row r="725" spans="1:20" ht="30" x14ac:dyDescent="0.25">
      <c r="A725" s="114"/>
      <c r="B725" s="1" t="s">
        <v>389</v>
      </c>
      <c r="C725" s="1" t="s">
        <v>204</v>
      </c>
      <c r="D725" s="2"/>
      <c r="E725" s="99" t="str">
        <f>IFERROR(VLOOKUP(C725,Resources!B:D,3,FALSE)," ")</f>
        <v xml:space="preserve"> </v>
      </c>
      <c r="F725" s="7"/>
      <c r="G725" s="7"/>
      <c r="H725" s="7"/>
      <c r="I725" s="108" t="str">
        <f>IFERROR(VLOOKUP(C725,Resources!B:G,6,FALSE)," ")</f>
        <v xml:space="preserve"> </v>
      </c>
      <c r="J725" s="108"/>
      <c r="K725" s="7"/>
      <c r="L725" s="7"/>
      <c r="M725" s="108"/>
      <c r="N725" s="108"/>
      <c r="O725" s="108"/>
      <c r="P725" s="108"/>
      <c r="Q725" s="108"/>
      <c r="R725" s="120"/>
      <c r="T725" s="188"/>
    </row>
    <row r="726" spans="1:20" ht="30" x14ac:dyDescent="0.25">
      <c r="A726" s="114"/>
      <c r="B726" s="1" t="s">
        <v>390</v>
      </c>
      <c r="C726" s="1" t="s">
        <v>391</v>
      </c>
      <c r="D726" s="2"/>
      <c r="E726" s="99" t="str">
        <f>IFERROR(VLOOKUP(C726,Resources!B:D,3,FALSE)," ")</f>
        <v xml:space="preserve"> </v>
      </c>
      <c r="F726" s="7"/>
      <c r="G726" s="7"/>
      <c r="H726" s="7"/>
      <c r="I726" s="108" t="str">
        <f>IFERROR(VLOOKUP(C726,Resources!B:G,6,FALSE)," ")</f>
        <v xml:space="preserve"> </v>
      </c>
      <c r="J726" s="108"/>
      <c r="K726" s="7"/>
      <c r="L726" s="7"/>
      <c r="M726" s="108"/>
      <c r="N726" s="108"/>
      <c r="O726" s="108"/>
      <c r="P726" s="108"/>
      <c r="Q726" s="108"/>
      <c r="R726" s="120"/>
      <c r="T726" s="188"/>
    </row>
    <row r="727" spans="1:20" ht="30" x14ac:dyDescent="0.25">
      <c r="A727" s="114">
        <v>104</v>
      </c>
      <c r="B727" s="1" t="s">
        <v>392</v>
      </c>
      <c r="C727" s="1" t="s">
        <v>208</v>
      </c>
      <c r="D727" s="2" t="s">
        <v>89</v>
      </c>
      <c r="E727" s="99" t="str">
        <f>IFERROR(VLOOKUP(C727,Resources!B:D,3,FALSE)," ")</f>
        <v xml:space="preserve"> </v>
      </c>
      <c r="F727" s="7"/>
      <c r="G727" s="7"/>
      <c r="H727" s="103">
        <f>VLOOKUP($A727,'Model Inputs'!$A:$D,4,FALSE)</f>
        <v>491</v>
      </c>
      <c r="I727" s="108" t="str">
        <f>IFERROR(VLOOKUP(C727,Resources!B:G,6,FALSE)," ")</f>
        <v xml:space="preserve"> </v>
      </c>
      <c r="J727" s="108">
        <f>SUBTOTAL(9,J729:J735)</f>
        <v>20269.577789378938</v>
      </c>
      <c r="K727" s="7"/>
      <c r="L727" s="7">
        <f>ROUNDUP(MAX(L732:L735)/Workhrs,0)</f>
        <v>5</v>
      </c>
      <c r="M727" s="108">
        <f t="shared" ref="M727:Q727" si="1125">SUBTOTAL(9,M729:M735)</f>
        <v>5568.4968496849688</v>
      </c>
      <c r="N727" s="108">
        <f t="shared" si="1125"/>
        <v>2977.4239999999995</v>
      </c>
      <c r="O727" s="108">
        <f t="shared" si="1125"/>
        <v>10319.396939693972</v>
      </c>
      <c r="P727" s="108">
        <f t="shared" si="1125"/>
        <v>1404.26</v>
      </c>
      <c r="Q727" s="108">
        <f t="shared" si="1125"/>
        <v>20269.577789378938</v>
      </c>
      <c r="R727" s="120"/>
      <c r="T727" s="188"/>
    </row>
    <row r="728" spans="1:20" ht="45" x14ac:dyDescent="0.25">
      <c r="A728" s="101"/>
      <c r="B728" s="4">
        <v>1</v>
      </c>
      <c r="C728" s="6" t="s">
        <v>209</v>
      </c>
      <c r="D728" s="4"/>
      <c r="E728" s="101" t="str">
        <f>IFERROR(VLOOKUP(C728,Resources!B:D,3,FALSE)," ")</f>
        <v xml:space="preserve"> </v>
      </c>
      <c r="F728" s="9"/>
      <c r="G728" s="9"/>
      <c r="H728" s="9"/>
      <c r="I728" s="38" t="str">
        <f>IFERROR(VLOOKUP(C728,Resources!B:G,6,FALSE)," ")</f>
        <v xml:space="preserve"> </v>
      </c>
      <c r="J728" s="38"/>
      <c r="K728" s="9"/>
      <c r="L728" s="9"/>
      <c r="M728" s="38"/>
      <c r="N728" s="38"/>
      <c r="O728" s="38"/>
      <c r="P728" s="38"/>
      <c r="Q728" s="38"/>
      <c r="R728" s="122"/>
      <c r="T728" s="188"/>
    </row>
    <row r="729" spans="1:20" x14ac:dyDescent="0.25">
      <c r="A729" s="100"/>
      <c r="B729" s="3">
        <v>2</v>
      </c>
      <c r="C729" s="5" t="s">
        <v>210</v>
      </c>
      <c r="D729" s="3" t="s">
        <v>89</v>
      </c>
      <c r="E729" s="100" t="str">
        <f>IFERROR(VLOOKUP(C729,Resources!B:D,3,FALSE)," ")</f>
        <v>M</v>
      </c>
      <c r="F729" s="8">
        <v>1</v>
      </c>
      <c r="G729" s="8">
        <v>1</v>
      </c>
      <c r="H729" s="8">
        <f>H727</f>
        <v>491</v>
      </c>
      <c r="I729" s="109">
        <f>IFERROR(VLOOKUP(C729,Resources!B:G,6,FALSE)," ")</f>
        <v>2.5</v>
      </c>
      <c r="J729" s="109">
        <f t="shared" ref="J729:J735" si="1126">(H729/(G729/F729))*I729</f>
        <v>1227.5</v>
      </c>
      <c r="K729" s="8"/>
      <c r="L729" s="8"/>
      <c r="M729" s="109">
        <f t="shared" ref="M729:M735" si="1127">IF($E729="L",$J729,0)</f>
        <v>0</v>
      </c>
      <c r="N729" s="109">
        <f t="shared" ref="N729:N735" si="1128">IF($E729="M",$J729,0)</f>
        <v>1227.5</v>
      </c>
      <c r="O729" s="109">
        <f t="shared" ref="O729:O735" si="1129">IF($E729="P",$J729,0)</f>
        <v>0</v>
      </c>
      <c r="P729" s="109">
        <f t="shared" ref="P729:P735" si="1130">IF($E729="S",$J729,0)</f>
        <v>0</v>
      </c>
      <c r="Q729" s="109">
        <f t="shared" ref="Q729:Q735" si="1131">SUM(M729:P729)</f>
        <v>1227.5</v>
      </c>
      <c r="R729" s="121">
        <v>87</v>
      </c>
      <c r="T729" s="188"/>
    </row>
    <row r="730" spans="1:20" x14ac:dyDescent="0.25">
      <c r="A730" s="100"/>
      <c r="B730" s="3">
        <v>3</v>
      </c>
      <c r="C730" s="5" t="s">
        <v>211</v>
      </c>
      <c r="D730" s="3" t="s">
        <v>29</v>
      </c>
      <c r="E730" s="100" t="str">
        <f>IFERROR(VLOOKUP(C730,Resources!B:D,3,FALSE)," ")</f>
        <v>S</v>
      </c>
      <c r="F730" s="8">
        <v>1</v>
      </c>
      <c r="G730" s="8">
        <v>1</v>
      </c>
      <c r="H730" s="8">
        <f>H727/50</f>
        <v>9.82</v>
      </c>
      <c r="I730" s="109">
        <f>IFERROR(VLOOKUP(C730,Resources!B:G,6,FALSE)," ")</f>
        <v>143</v>
      </c>
      <c r="J730" s="109">
        <f t="shared" si="1126"/>
        <v>1404.26</v>
      </c>
      <c r="K730" s="8"/>
      <c r="L730" s="8"/>
      <c r="M730" s="109">
        <f t="shared" si="1127"/>
        <v>0</v>
      </c>
      <c r="N730" s="109">
        <f t="shared" si="1128"/>
        <v>0</v>
      </c>
      <c r="O730" s="109">
        <f t="shared" si="1129"/>
        <v>0</v>
      </c>
      <c r="P730" s="109">
        <f t="shared" si="1130"/>
        <v>1404.26</v>
      </c>
      <c r="Q730" s="109">
        <f t="shared" si="1131"/>
        <v>1404.26</v>
      </c>
      <c r="R730" s="121">
        <v>87</v>
      </c>
      <c r="T730" s="188"/>
    </row>
    <row r="731" spans="1:20" x14ac:dyDescent="0.25">
      <c r="A731" s="100"/>
      <c r="B731" s="3">
        <v>4</v>
      </c>
      <c r="C731" s="5" t="s">
        <v>81</v>
      </c>
      <c r="D731" s="3" t="s">
        <v>82</v>
      </c>
      <c r="E731" s="100" t="str">
        <f>IFERROR(VLOOKUP(C731,Resources!B:D,3,FALSE)," ")</f>
        <v>M</v>
      </c>
      <c r="F731" s="8">
        <v>1</v>
      </c>
      <c r="G731" s="8">
        <v>1</v>
      </c>
      <c r="H731" s="8">
        <f>H727*0.3*0.3*1.5*1.1</f>
        <v>72.913499999999985</v>
      </c>
      <c r="I731" s="109">
        <f>IFERROR(VLOOKUP(C731,Resources!B:G,6,FALSE)," ")</f>
        <v>24</v>
      </c>
      <c r="J731" s="109">
        <f t="shared" si="1126"/>
        <v>1749.9239999999995</v>
      </c>
      <c r="K731" s="8"/>
      <c r="L731" s="8"/>
      <c r="M731" s="109">
        <f t="shared" si="1127"/>
        <v>0</v>
      </c>
      <c r="N731" s="109">
        <f t="shared" si="1128"/>
        <v>1749.9239999999995</v>
      </c>
      <c r="O731" s="109">
        <f t="shared" si="1129"/>
        <v>0</v>
      </c>
      <c r="P731" s="109">
        <f t="shared" si="1130"/>
        <v>0</v>
      </c>
      <c r="Q731" s="109">
        <f t="shared" si="1131"/>
        <v>1749.9239999999995</v>
      </c>
      <c r="R731" s="121" t="s">
        <v>2341</v>
      </c>
      <c r="T731" s="188"/>
    </row>
    <row r="732" spans="1:20" x14ac:dyDescent="0.25">
      <c r="A732" s="100">
        <v>104.1</v>
      </c>
      <c r="B732" s="3">
        <v>5</v>
      </c>
      <c r="C732" s="5" t="s">
        <v>63</v>
      </c>
      <c r="D732" s="3" t="s">
        <v>48</v>
      </c>
      <c r="E732" s="100" t="str">
        <f>IFERROR(VLOOKUP(C732,Resources!B:D,3,FALSE)," ")</f>
        <v>P</v>
      </c>
      <c r="F732" s="8">
        <v>1</v>
      </c>
      <c r="G732" s="103">
        <f>VLOOKUP($A732,'Model Inputs'!$A:$D,4,FALSE)</f>
        <v>11.11</v>
      </c>
      <c r="H732" s="8">
        <f>H727</f>
        <v>491</v>
      </c>
      <c r="I732" s="109">
        <f>IFERROR(VLOOKUP(C732,Resources!B:G,6,FALSE)," ")</f>
        <v>135</v>
      </c>
      <c r="J732" s="109">
        <f t="shared" si="1126"/>
        <v>5966.2466246624672</v>
      </c>
      <c r="K732" s="8">
        <f t="shared" ref="K732:K735" si="1132">L732*F732</f>
        <v>44.194419441944198</v>
      </c>
      <c r="L732" s="8">
        <f t="shared" ref="L732:L735" si="1133">IF(E732="M"," ",H732/G732)</f>
        <v>44.194419441944198</v>
      </c>
      <c r="M732" s="109">
        <f t="shared" si="1127"/>
        <v>0</v>
      </c>
      <c r="N732" s="109">
        <f t="shared" si="1128"/>
        <v>0</v>
      </c>
      <c r="O732" s="109">
        <f t="shared" si="1129"/>
        <v>5966.2466246624672</v>
      </c>
      <c r="P732" s="109">
        <f t="shared" si="1130"/>
        <v>0</v>
      </c>
      <c r="Q732" s="109">
        <f t="shared" si="1131"/>
        <v>5966.2466246624672</v>
      </c>
      <c r="R732" s="121">
        <v>87</v>
      </c>
      <c r="T732" s="188"/>
    </row>
    <row r="733" spans="1:20" x14ac:dyDescent="0.25">
      <c r="A733" s="100"/>
      <c r="B733" s="3">
        <v>6</v>
      </c>
      <c r="C733" s="5" t="s">
        <v>8</v>
      </c>
      <c r="D733" s="3" t="s">
        <v>48</v>
      </c>
      <c r="E733" s="100" t="str">
        <f>IFERROR(VLOOKUP(C733,Resources!B:D,3,FALSE)," ")</f>
        <v>L</v>
      </c>
      <c r="F733" s="8">
        <v>3</v>
      </c>
      <c r="G733" s="8">
        <f>G732</f>
        <v>11.11</v>
      </c>
      <c r="H733" s="8">
        <f>H727</f>
        <v>491</v>
      </c>
      <c r="I733" s="109">
        <f>IFERROR(VLOOKUP(C733,Resources!B:G,6,FALSE)," ")</f>
        <v>42</v>
      </c>
      <c r="J733" s="109">
        <f t="shared" si="1126"/>
        <v>5568.4968496849688</v>
      </c>
      <c r="K733" s="8">
        <f t="shared" si="1132"/>
        <v>132.58325832583259</v>
      </c>
      <c r="L733" s="8">
        <f t="shared" si="1133"/>
        <v>44.194419441944198</v>
      </c>
      <c r="M733" s="109">
        <f t="shared" si="1127"/>
        <v>5568.4968496849688</v>
      </c>
      <c r="N733" s="109">
        <f t="shared" si="1128"/>
        <v>0</v>
      </c>
      <c r="O733" s="109">
        <f t="shared" si="1129"/>
        <v>0</v>
      </c>
      <c r="P733" s="109">
        <f t="shared" si="1130"/>
        <v>0</v>
      </c>
      <c r="Q733" s="109">
        <f t="shared" si="1131"/>
        <v>5568.4968496849688</v>
      </c>
      <c r="R733" s="121">
        <v>87</v>
      </c>
      <c r="T733" s="188"/>
    </row>
    <row r="734" spans="1:20" x14ac:dyDescent="0.25">
      <c r="A734" s="100"/>
      <c r="B734" s="3">
        <v>7</v>
      </c>
      <c r="C734" s="5" t="s">
        <v>45</v>
      </c>
      <c r="D734" s="3" t="s">
        <v>48</v>
      </c>
      <c r="E734" s="100" t="str">
        <f>IFERROR(VLOOKUP(C734,Resources!B:D,3,FALSE)," ")</f>
        <v>P</v>
      </c>
      <c r="F734" s="8">
        <v>1</v>
      </c>
      <c r="G734" s="8">
        <f>G732</f>
        <v>11.11</v>
      </c>
      <c r="H734" s="8">
        <f>H727</f>
        <v>491</v>
      </c>
      <c r="I734" s="109">
        <f>IFERROR(VLOOKUP(C734,Resources!B:G,6,FALSE)," ")</f>
        <v>95</v>
      </c>
      <c r="J734" s="109">
        <f t="shared" si="1126"/>
        <v>4198.469846984699</v>
      </c>
      <c r="K734" s="8">
        <f t="shared" si="1132"/>
        <v>44.194419441944198</v>
      </c>
      <c r="L734" s="8">
        <f t="shared" si="1133"/>
        <v>44.194419441944198</v>
      </c>
      <c r="M734" s="109">
        <f t="shared" si="1127"/>
        <v>0</v>
      </c>
      <c r="N734" s="109">
        <f t="shared" si="1128"/>
        <v>0</v>
      </c>
      <c r="O734" s="109">
        <f t="shared" si="1129"/>
        <v>4198.469846984699</v>
      </c>
      <c r="P734" s="109">
        <f t="shared" si="1130"/>
        <v>0</v>
      </c>
      <c r="Q734" s="109">
        <f t="shared" si="1131"/>
        <v>4198.469846984699</v>
      </c>
      <c r="R734" s="121">
        <v>87</v>
      </c>
      <c r="T734" s="188"/>
    </row>
    <row r="735" spans="1:20" x14ac:dyDescent="0.25">
      <c r="A735" s="100"/>
      <c r="B735" s="3">
        <v>8</v>
      </c>
      <c r="C735" s="5" t="s">
        <v>92</v>
      </c>
      <c r="D735" s="3" t="s">
        <v>48</v>
      </c>
      <c r="E735" s="100" t="str">
        <f>IFERROR(VLOOKUP(C735,Resources!B:D,3,FALSE)," ")</f>
        <v>P</v>
      </c>
      <c r="F735" s="8">
        <v>1</v>
      </c>
      <c r="G735" s="8">
        <f>G732</f>
        <v>11.11</v>
      </c>
      <c r="H735" s="8">
        <f>H727</f>
        <v>491</v>
      </c>
      <c r="I735" s="109">
        <f>IFERROR(VLOOKUP(C735,Resources!B:G,6,FALSE)," ")</f>
        <v>3.5</v>
      </c>
      <c r="J735" s="109">
        <f t="shared" si="1126"/>
        <v>154.68046804680469</v>
      </c>
      <c r="K735" s="8">
        <f t="shared" si="1132"/>
        <v>44.194419441944198</v>
      </c>
      <c r="L735" s="8">
        <f t="shared" si="1133"/>
        <v>44.194419441944198</v>
      </c>
      <c r="M735" s="109">
        <f t="shared" si="1127"/>
        <v>0</v>
      </c>
      <c r="N735" s="109">
        <f t="shared" si="1128"/>
        <v>0</v>
      </c>
      <c r="O735" s="109">
        <f t="shared" si="1129"/>
        <v>154.68046804680469</v>
      </c>
      <c r="P735" s="109">
        <f t="shared" si="1130"/>
        <v>0</v>
      </c>
      <c r="Q735" s="109">
        <f t="shared" si="1131"/>
        <v>154.68046804680469</v>
      </c>
      <c r="R735" s="121">
        <v>87</v>
      </c>
      <c r="T735" s="188"/>
    </row>
    <row r="736" spans="1:20" x14ac:dyDescent="0.25">
      <c r="A736" s="101"/>
      <c r="B736" s="4"/>
      <c r="C736" s="6"/>
      <c r="D736" s="4"/>
      <c r="E736" s="101" t="str">
        <f>IFERROR(VLOOKUP(C736,Resources!B:D,3,FALSE)," ")</f>
        <v xml:space="preserve"> </v>
      </c>
      <c r="F736" s="9"/>
      <c r="G736" s="9"/>
      <c r="H736" s="9"/>
      <c r="I736" s="38" t="str">
        <f>IFERROR(VLOOKUP(C736,Resources!B:G,6,FALSE)," ")</f>
        <v xml:space="preserve"> </v>
      </c>
      <c r="J736" s="38"/>
      <c r="K736" s="9"/>
      <c r="L736" s="9"/>
      <c r="M736" s="38"/>
      <c r="N736" s="38"/>
      <c r="O736" s="38"/>
      <c r="P736" s="38"/>
      <c r="Q736" s="38"/>
      <c r="R736" s="122"/>
      <c r="T736" s="188"/>
    </row>
    <row r="737" spans="1:20" ht="30" x14ac:dyDescent="0.25">
      <c r="A737" s="114">
        <v>105</v>
      </c>
      <c r="B737" s="1" t="s">
        <v>393</v>
      </c>
      <c r="C737" s="1" t="s">
        <v>213</v>
      </c>
      <c r="D737" s="2" t="s">
        <v>29</v>
      </c>
      <c r="E737" s="99" t="str">
        <f>IFERROR(VLOOKUP(C737,Resources!B:D,3,FALSE)," ")</f>
        <v xml:space="preserve"> </v>
      </c>
      <c r="F737" s="7"/>
      <c r="G737" s="7"/>
      <c r="H737" s="103">
        <f>VLOOKUP($A737,'Model Inputs'!$A:$D,4,FALSE)</f>
        <v>14</v>
      </c>
      <c r="I737" s="108" t="str">
        <f>IFERROR(VLOOKUP(C737,Resources!B:G,6,FALSE)," ")</f>
        <v xml:space="preserve"> </v>
      </c>
      <c r="J737" s="108">
        <f>SUBTOTAL(9,J738)</f>
        <v>2002</v>
      </c>
      <c r="K737" s="7"/>
      <c r="L737" s="7">
        <f>L727</f>
        <v>5</v>
      </c>
      <c r="M737" s="108">
        <f t="shared" ref="M737:Q737" si="1134">SUBTOTAL(9,M738)</f>
        <v>0</v>
      </c>
      <c r="N737" s="108">
        <f t="shared" si="1134"/>
        <v>0</v>
      </c>
      <c r="O737" s="108">
        <f t="shared" si="1134"/>
        <v>0</v>
      </c>
      <c r="P737" s="108">
        <f t="shared" si="1134"/>
        <v>2002</v>
      </c>
      <c r="Q737" s="108">
        <f t="shared" si="1134"/>
        <v>2002</v>
      </c>
      <c r="R737" s="120"/>
      <c r="T737" s="188"/>
    </row>
    <row r="738" spans="1:20" x14ac:dyDescent="0.25">
      <c r="A738" s="100"/>
      <c r="B738" s="3">
        <v>1</v>
      </c>
      <c r="C738" s="5" t="s">
        <v>211</v>
      </c>
      <c r="D738" s="3" t="s">
        <v>29</v>
      </c>
      <c r="E738" s="100" t="str">
        <f>IFERROR(VLOOKUP(C738,Resources!B:D,3,FALSE)," ")</f>
        <v>S</v>
      </c>
      <c r="F738" s="8">
        <v>1</v>
      </c>
      <c r="G738" s="8">
        <v>1</v>
      </c>
      <c r="H738" s="8">
        <f>H737</f>
        <v>14</v>
      </c>
      <c r="I738" s="109">
        <f>IFERROR(VLOOKUP(C738,Resources!B:G,6,FALSE)," ")</f>
        <v>143</v>
      </c>
      <c r="J738" s="109">
        <f t="shared" ref="J738" si="1135">(H738/(G738/F738))*I738</f>
        <v>2002</v>
      </c>
      <c r="K738" s="8"/>
      <c r="L738" s="8"/>
      <c r="M738" s="109">
        <f t="shared" ref="M738" si="1136">IF($E738="L",$J738,0)</f>
        <v>0</v>
      </c>
      <c r="N738" s="109">
        <f t="shared" ref="N738" si="1137">IF($E738="M",$J738,0)</f>
        <v>0</v>
      </c>
      <c r="O738" s="109">
        <f t="shared" ref="O738" si="1138">IF($E738="P",$J738,0)</f>
        <v>0</v>
      </c>
      <c r="P738" s="109">
        <f t="shared" ref="P738" si="1139">IF($E738="S",$J738,0)</f>
        <v>2002</v>
      </c>
      <c r="Q738" s="109">
        <f t="shared" ref="Q738" si="1140">SUM(M738:P738)</f>
        <v>2002</v>
      </c>
      <c r="R738" s="121">
        <v>87</v>
      </c>
      <c r="T738" s="188"/>
    </row>
    <row r="739" spans="1:20" x14ac:dyDescent="0.25">
      <c r="A739" s="101"/>
      <c r="B739" s="4"/>
      <c r="C739" s="6"/>
      <c r="D739" s="4"/>
      <c r="E739" s="101" t="str">
        <f>IFERROR(VLOOKUP(C739,Resources!B:D,3,FALSE)," ")</f>
        <v xml:space="preserve"> </v>
      </c>
      <c r="F739" s="9"/>
      <c r="G739" s="9"/>
      <c r="H739" s="9"/>
      <c r="I739" s="38" t="str">
        <f>IFERROR(VLOOKUP(C739,Resources!B:G,6,FALSE)," ")</f>
        <v xml:space="preserve"> </v>
      </c>
      <c r="J739" s="38"/>
      <c r="K739" s="9"/>
      <c r="L739" s="9"/>
      <c r="M739" s="38"/>
      <c r="N739" s="38"/>
      <c r="O739" s="38"/>
      <c r="P739" s="38"/>
      <c r="Q739" s="38"/>
      <c r="R739" s="122"/>
      <c r="T739" s="188"/>
    </row>
    <row r="740" spans="1:20" ht="30" x14ac:dyDescent="0.25">
      <c r="A740" s="114"/>
      <c r="B740" s="1" t="s">
        <v>394</v>
      </c>
      <c r="C740" s="1" t="s">
        <v>102</v>
      </c>
      <c r="D740" s="2"/>
      <c r="E740" s="99" t="str">
        <f>IFERROR(VLOOKUP(C740,Resources!B:D,3,FALSE)," ")</f>
        <v xml:space="preserve"> </v>
      </c>
      <c r="F740" s="7"/>
      <c r="G740" s="7"/>
      <c r="H740" s="7"/>
      <c r="I740" s="108" t="str">
        <f>IFERROR(VLOOKUP(C740,Resources!B:G,6,FALSE)," ")</f>
        <v xml:space="preserve"> </v>
      </c>
      <c r="J740" s="108"/>
      <c r="K740" s="7"/>
      <c r="L740" s="7"/>
      <c r="M740" s="108"/>
      <c r="N740" s="108"/>
      <c r="O740" s="108"/>
      <c r="P740" s="108"/>
      <c r="Q740" s="108"/>
      <c r="R740" s="120"/>
      <c r="T740" s="188"/>
    </row>
    <row r="741" spans="1:20" ht="30" x14ac:dyDescent="0.25">
      <c r="A741" s="114"/>
      <c r="B741" s="1" t="s">
        <v>395</v>
      </c>
      <c r="C741" s="1" t="s">
        <v>111</v>
      </c>
      <c r="D741" s="2"/>
      <c r="E741" s="99" t="str">
        <f>IFERROR(VLOOKUP(C741,Resources!B:D,3,FALSE)," ")</f>
        <v xml:space="preserve"> </v>
      </c>
      <c r="F741" s="7"/>
      <c r="G741" s="7"/>
      <c r="H741" s="7"/>
      <c r="I741" s="108" t="str">
        <f>IFERROR(VLOOKUP(C741,Resources!B:G,6,FALSE)," ")</f>
        <v xml:space="preserve"> </v>
      </c>
      <c r="J741" s="108"/>
      <c r="K741" s="7"/>
      <c r="L741" s="7"/>
      <c r="M741" s="108"/>
      <c r="N741" s="108"/>
      <c r="O741" s="108"/>
      <c r="P741" s="108"/>
      <c r="Q741" s="108"/>
      <c r="R741" s="120"/>
      <c r="T741" s="188"/>
    </row>
    <row r="742" spans="1:20" ht="30" x14ac:dyDescent="0.25">
      <c r="A742" s="114">
        <v>106</v>
      </c>
      <c r="B742" s="1" t="s">
        <v>396</v>
      </c>
      <c r="C742" s="1" t="s">
        <v>118</v>
      </c>
      <c r="D742" s="2" t="s">
        <v>62</v>
      </c>
      <c r="E742" s="99" t="str">
        <f>IFERROR(VLOOKUP(C742,Resources!B:D,3,FALSE)," ")</f>
        <v xml:space="preserve"> </v>
      </c>
      <c r="F742" s="7"/>
      <c r="G742" s="7"/>
      <c r="H742" s="103">
        <f>VLOOKUP($A742,'Model Inputs'!$A:$D,4,FALSE)</f>
        <v>521</v>
      </c>
      <c r="I742" s="108" t="str">
        <f>IFERROR(VLOOKUP(C742,Resources!B:G,6,FALSE)," ")</f>
        <v xml:space="preserve"> </v>
      </c>
      <c r="J742" s="108">
        <f>SUBTOTAL(9,J744:J750)</f>
        <v>29500.612645048292</v>
      </c>
      <c r="K742" s="7"/>
      <c r="L742" s="7">
        <f>ROUNDUP(MAX(L744+2,MAX(L746:L750))/Workhrs,0)</f>
        <v>4</v>
      </c>
      <c r="M742" s="108">
        <f t="shared" ref="M742:Q742" si="1141">SUBTOTAL(9,M744:M750)</f>
        <v>3545.2385238523848</v>
      </c>
      <c r="N742" s="108">
        <f t="shared" si="1141"/>
        <v>0</v>
      </c>
      <c r="O742" s="108">
        <f t="shared" si="1141"/>
        <v>25955.374121195906</v>
      </c>
      <c r="P742" s="108">
        <f t="shared" si="1141"/>
        <v>0</v>
      </c>
      <c r="Q742" s="108">
        <f t="shared" si="1141"/>
        <v>29500.612645048292</v>
      </c>
      <c r="R742" s="120"/>
      <c r="T742" s="188"/>
    </row>
    <row r="743" spans="1:20" x14ac:dyDescent="0.25">
      <c r="A743" s="100">
        <v>106.1</v>
      </c>
      <c r="B743" s="3">
        <v>1</v>
      </c>
      <c r="C743" s="5" t="s">
        <v>2361</v>
      </c>
      <c r="D743" s="3"/>
      <c r="E743" s="100" t="str">
        <f>IFERROR(VLOOKUP(C743,Resources!B:D,3,FALSE)," ")</f>
        <v xml:space="preserve"> </v>
      </c>
      <c r="F743" s="103">
        <f>VLOOKUP($A743,'Model Inputs'!$A:$D,4,FALSE)</f>
        <v>2.4</v>
      </c>
      <c r="G743" s="8"/>
      <c r="H743" s="8">
        <f>H742*F743</f>
        <v>1250.3999999999999</v>
      </c>
      <c r="I743" s="109" t="str">
        <f>IFERROR(VLOOKUP(C743,Resources!B:G,6,FALSE)," ")</f>
        <v xml:space="preserve"> </v>
      </c>
      <c r="J743" s="109"/>
      <c r="K743" s="8"/>
      <c r="L743" s="8"/>
      <c r="M743" s="109"/>
      <c r="N743" s="109"/>
      <c r="O743" s="109"/>
      <c r="P743" s="109"/>
      <c r="Q743" s="109"/>
      <c r="R743" s="121"/>
      <c r="T743" s="188"/>
    </row>
    <row r="744" spans="1:20" x14ac:dyDescent="0.25">
      <c r="A744" s="100">
        <v>106.2</v>
      </c>
      <c r="B744" s="3">
        <v>2</v>
      </c>
      <c r="C744" s="5" t="s">
        <v>44</v>
      </c>
      <c r="D744" s="3" t="s">
        <v>48</v>
      </c>
      <c r="E744" s="100" t="str">
        <f>IFERROR(VLOOKUP(C744,Resources!B:D,3,FALSE)," ")</f>
        <v>P</v>
      </c>
      <c r="F744" s="103">
        <f>VLOOKUP($A744,'Model Inputs'!$A:$D,4,FALSE)</f>
        <v>3</v>
      </c>
      <c r="G744" s="8">
        <v>37</v>
      </c>
      <c r="H744" s="8">
        <f>H743</f>
        <v>1250.3999999999999</v>
      </c>
      <c r="I744" s="109">
        <f>IFERROR(VLOOKUP(C744,Resources!B:G,6,FALSE)," ")</f>
        <v>145</v>
      </c>
      <c r="J744" s="109">
        <f t="shared" ref="J744" si="1142">(H744/(G744/F744))*I744</f>
        <v>14700.648648648646</v>
      </c>
      <c r="K744" s="8">
        <f t="shared" ref="K744" si="1143">L744*F744</f>
        <v>101.38378378378377</v>
      </c>
      <c r="L744" s="8">
        <f t="shared" ref="L744" si="1144">IF(E744="M"," ",H744/G744)</f>
        <v>33.794594594594592</v>
      </c>
      <c r="M744" s="109">
        <f t="shared" ref="M744" si="1145">IF($E744="L",$J744,0)</f>
        <v>0</v>
      </c>
      <c r="N744" s="109">
        <f t="shared" ref="N744" si="1146">IF($E744="M",$J744,0)</f>
        <v>0</v>
      </c>
      <c r="O744" s="109">
        <f t="shared" ref="O744" si="1147">IF($E744="P",$J744,0)</f>
        <v>14700.648648648646</v>
      </c>
      <c r="P744" s="109">
        <f t="shared" ref="P744" si="1148">IF($E744="S",$J744,0)</f>
        <v>0</v>
      </c>
      <c r="Q744" s="109">
        <f t="shared" ref="Q744" si="1149">SUM(M744:P744)</f>
        <v>14700.648648648646</v>
      </c>
      <c r="R744" s="121">
        <v>62</v>
      </c>
      <c r="T744" s="188"/>
    </row>
    <row r="745" spans="1:20" x14ac:dyDescent="0.25">
      <c r="A745" s="101"/>
      <c r="B745" s="4">
        <v>3</v>
      </c>
      <c r="C745" s="6" t="s">
        <v>114</v>
      </c>
      <c r="D745" s="4"/>
      <c r="E745" s="101" t="str">
        <f>IFERROR(VLOOKUP(C745,Resources!B:D,3,FALSE)," ")</f>
        <v xml:space="preserve"> </v>
      </c>
      <c r="F745" s="9"/>
      <c r="G745" s="9"/>
      <c r="H745" s="9"/>
      <c r="I745" s="38" t="str">
        <f>IFERROR(VLOOKUP(C745,Resources!B:G,6,FALSE)," ")</f>
        <v xml:space="preserve"> </v>
      </c>
      <c r="J745" s="38"/>
      <c r="K745" s="9"/>
      <c r="L745" s="9"/>
      <c r="M745" s="38"/>
      <c r="N745" s="38"/>
      <c r="O745" s="38"/>
      <c r="P745" s="38"/>
      <c r="Q745" s="38"/>
      <c r="R745" s="122"/>
      <c r="T745" s="188"/>
    </row>
    <row r="746" spans="1:20" x14ac:dyDescent="0.25">
      <c r="A746" s="100">
        <v>106.3</v>
      </c>
      <c r="B746" s="3">
        <v>4</v>
      </c>
      <c r="C746" s="5" t="s">
        <v>39</v>
      </c>
      <c r="D746" s="3" t="s">
        <v>48</v>
      </c>
      <c r="E746" s="100" t="str">
        <f>IFERROR(VLOOKUP(C746,Resources!B:D,3,FALSE)," ")</f>
        <v>P</v>
      </c>
      <c r="F746" s="8">
        <v>1</v>
      </c>
      <c r="G746" s="103">
        <f>VLOOKUP($A746,'Model Inputs'!$A:$D,4,FALSE)</f>
        <v>44.44</v>
      </c>
      <c r="H746" s="8">
        <f>H743</f>
        <v>1250.3999999999999</v>
      </c>
      <c r="I746" s="109">
        <f>IFERROR(VLOOKUP(C746,Resources!B:G,6,FALSE)," ")</f>
        <v>145</v>
      </c>
      <c r="J746" s="109">
        <f t="shared" ref="J746:J750" si="1150">(H746/(G746/F746))*I746</f>
        <v>4079.8379837983798</v>
      </c>
      <c r="K746" s="8">
        <f t="shared" ref="K746:K750" si="1151">L746*F746</f>
        <v>28.136813681368135</v>
      </c>
      <c r="L746" s="8">
        <f t="shared" ref="L746:L750" si="1152">IF(E746="M"," ",H746/G746)</f>
        <v>28.136813681368135</v>
      </c>
      <c r="M746" s="109">
        <f t="shared" ref="M746:M750" si="1153">IF($E746="L",$J746,0)</f>
        <v>0</v>
      </c>
      <c r="N746" s="109">
        <f t="shared" ref="N746:N750" si="1154">IF($E746="M",$J746,0)</f>
        <v>0</v>
      </c>
      <c r="O746" s="109">
        <f t="shared" ref="O746:O750" si="1155">IF($E746="P",$J746,0)</f>
        <v>4079.8379837983798</v>
      </c>
      <c r="P746" s="109">
        <f t="shared" ref="P746:P750" si="1156">IF($E746="S",$J746,0)</f>
        <v>0</v>
      </c>
      <c r="Q746" s="109">
        <f t="shared" ref="Q746:Q750" si="1157">SUM(M746:P746)</f>
        <v>4079.8379837983798</v>
      </c>
      <c r="R746" s="121">
        <v>62</v>
      </c>
      <c r="T746" s="188"/>
    </row>
    <row r="747" spans="1:20" x14ac:dyDescent="0.25">
      <c r="A747" s="100"/>
      <c r="B747" s="3">
        <v>5</v>
      </c>
      <c r="C747" s="5" t="s">
        <v>64</v>
      </c>
      <c r="D747" s="3" t="s">
        <v>48</v>
      </c>
      <c r="E747" s="100" t="str">
        <f>IFERROR(VLOOKUP(C747,Resources!B:D,3,FALSE)," ")</f>
        <v>P</v>
      </c>
      <c r="F747" s="8">
        <v>1</v>
      </c>
      <c r="G747" s="8">
        <f>G746</f>
        <v>44.44</v>
      </c>
      <c r="H747" s="8">
        <f>H743</f>
        <v>1250.3999999999999</v>
      </c>
      <c r="I747" s="109">
        <f>IFERROR(VLOOKUP(C747,Resources!B:G,6,FALSE)," ")</f>
        <v>100</v>
      </c>
      <c r="J747" s="109">
        <f t="shared" si="1150"/>
        <v>2813.6813681368135</v>
      </c>
      <c r="K747" s="8">
        <f t="shared" si="1151"/>
        <v>28.136813681368135</v>
      </c>
      <c r="L747" s="8">
        <f t="shared" si="1152"/>
        <v>28.136813681368135</v>
      </c>
      <c r="M747" s="109">
        <f t="shared" si="1153"/>
        <v>0</v>
      </c>
      <c r="N747" s="109">
        <f t="shared" si="1154"/>
        <v>0</v>
      </c>
      <c r="O747" s="109">
        <f t="shared" si="1155"/>
        <v>2813.6813681368135</v>
      </c>
      <c r="P747" s="109">
        <f t="shared" si="1156"/>
        <v>0</v>
      </c>
      <c r="Q747" s="109">
        <f t="shared" si="1157"/>
        <v>2813.6813681368135</v>
      </c>
      <c r="R747" s="121">
        <v>62</v>
      </c>
      <c r="T747" s="188"/>
    </row>
    <row r="748" spans="1:20" x14ac:dyDescent="0.25">
      <c r="A748" s="100"/>
      <c r="B748" s="3">
        <v>6</v>
      </c>
      <c r="C748" s="5" t="s">
        <v>69</v>
      </c>
      <c r="D748" s="3" t="s">
        <v>48</v>
      </c>
      <c r="E748" s="100" t="str">
        <f>IFERROR(VLOOKUP(C748,Resources!B:D,3,FALSE)," ")</f>
        <v>P</v>
      </c>
      <c r="F748" s="8">
        <v>1</v>
      </c>
      <c r="G748" s="8">
        <f>G746</f>
        <v>44.44</v>
      </c>
      <c r="H748" s="8">
        <f>H743</f>
        <v>1250.3999999999999</v>
      </c>
      <c r="I748" s="109">
        <f>IFERROR(VLOOKUP(C748,Resources!B:G,6,FALSE)," ")</f>
        <v>55</v>
      </c>
      <c r="J748" s="109">
        <f t="shared" si="1150"/>
        <v>1547.5247524752474</v>
      </c>
      <c r="K748" s="8">
        <f t="shared" si="1151"/>
        <v>28.136813681368135</v>
      </c>
      <c r="L748" s="8">
        <f t="shared" si="1152"/>
        <v>28.136813681368135</v>
      </c>
      <c r="M748" s="109">
        <f t="shared" si="1153"/>
        <v>0</v>
      </c>
      <c r="N748" s="109">
        <f t="shared" si="1154"/>
        <v>0</v>
      </c>
      <c r="O748" s="109">
        <f t="shared" si="1155"/>
        <v>1547.5247524752474</v>
      </c>
      <c r="P748" s="109">
        <f t="shared" si="1156"/>
        <v>0</v>
      </c>
      <c r="Q748" s="109">
        <f t="shared" si="1157"/>
        <v>1547.5247524752474</v>
      </c>
      <c r="R748" s="121">
        <v>62</v>
      </c>
      <c r="T748" s="188"/>
    </row>
    <row r="749" spans="1:20" x14ac:dyDescent="0.25">
      <c r="A749" s="100"/>
      <c r="B749" s="3">
        <v>7</v>
      </c>
      <c r="C749" s="5" t="s">
        <v>8</v>
      </c>
      <c r="D749" s="3" t="s">
        <v>48</v>
      </c>
      <c r="E749" s="100" t="str">
        <f>IFERROR(VLOOKUP(C749,Resources!B:D,3,FALSE)," ")</f>
        <v>L</v>
      </c>
      <c r="F749" s="8">
        <v>3</v>
      </c>
      <c r="G749" s="8">
        <f>G746</f>
        <v>44.44</v>
      </c>
      <c r="H749" s="8">
        <f>H743</f>
        <v>1250.3999999999999</v>
      </c>
      <c r="I749" s="109">
        <f>IFERROR(VLOOKUP(C749,Resources!B:G,6,FALSE)," ")</f>
        <v>42</v>
      </c>
      <c r="J749" s="109">
        <f t="shared" si="1150"/>
        <v>3545.2385238523848</v>
      </c>
      <c r="K749" s="8">
        <f t="shared" si="1151"/>
        <v>84.410441044104402</v>
      </c>
      <c r="L749" s="8">
        <f t="shared" si="1152"/>
        <v>28.136813681368135</v>
      </c>
      <c r="M749" s="109">
        <f t="shared" si="1153"/>
        <v>3545.2385238523848</v>
      </c>
      <c r="N749" s="109">
        <f t="shared" si="1154"/>
        <v>0</v>
      </c>
      <c r="O749" s="109">
        <f t="shared" si="1155"/>
        <v>0</v>
      </c>
      <c r="P749" s="109">
        <f t="shared" si="1156"/>
        <v>0</v>
      </c>
      <c r="Q749" s="109">
        <f t="shared" si="1157"/>
        <v>3545.2385238523848</v>
      </c>
      <c r="R749" s="121">
        <v>62</v>
      </c>
      <c r="T749" s="188"/>
    </row>
    <row r="750" spans="1:20" x14ac:dyDescent="0.25">
      <c r="A750" s="100"/>
      <c r="B750" s="3">
        <v>8</v>
      </c>
      <c r="C750" s="5" t="s">
        <v>115</v>
      </c>
      <c r="D750" s="3" t="s">
        <v>48</v>
      </c>
      <c r="E750" s="100" t="str">
        <f>IFERROR(VLOOKUP(C750,Resources!B:D,3,FALSE)," ")</f>
        <v>P</v>
      </c>
      <c r="F750" s="8">
        <v>1</v>
      </c>
      <c r="G750" s="8">
        <f>G746</f>
        <v>44.44</v>
      </c>
      <c r="H750" s="8">
        <f>H743</f>
        <v>1250.3999999999999</v>
      </c>
      <c r="I750" s="109">
        <f>IFERROR(VLOOKUP(C750,Resources!B:G,6,FALSE)," ")</f>
        <v>100</v>
      </c>
      <c r="J750" s="109">
        <f t="shared" si="1150"/>
        <v>2813.6813681368135</v>
      </c>
      <c r="K750" s="8">
        <f t="shared" si="1151"/>
        <v>28.136813681368135</v>
      </c>
      <c r="L750" s="8">
        <f t="shared" si="1152"/>
        <v>28.136813681368135</v>
      </c>
      <c r="M750" s="109">
        <f t="shared" si="1153"/>
        <v>0</v>
      </c>
      <c r="N750" s="109">
        <f t="shared" si="1154"/>
        <v>0</v>
      </c>
      <c r="O750" s="109">
        <f t="shared" si="1155"/>
        <v>2813.6813681368135</v>
      </c>
      <c r="P750" s="109">
        <f t="shared" si="1156"/>
        <v>0</v>
      </c>
      <c r="Q750" s="109">
        <f t="shared" si="1157"/>
        <v>2813.6813681368135</v>
      </c>
      <c r="R750" s="121">
        <v>62</v>
      </c>
      <c r="T750" s="188"/>
    </row>
    <row r="751" spans="1:20" x14ac:dyDescent="0.25">
      <c r="A751" s="101"/>
      <c r="B751" s="4"/>
      <c r="C751" s="6"/>
      <c r="D751" s="4"/>
      <c r="E751" s="101" t="str">
        <f>IFERROR(VLOOKUP(C751,Resources!B:D,3,FALSE)," ")</f>
        <v xml:space="preserve"> </v>
      </c>
      <c r="F751" s="9"/>
      <c r="G751" s="9"/>
      <c r="H751" s="9"/>
      <c r="I751" s="38" t="str">
        <f>IFERROR(VLOOKUP(C751,Resources!B:G,6,FALSE)," ")</f>
        <v xml:space="preserve"> </v>
      </c>
      <c r="J751" s="38"/>
      <c r="K751" s="9"/>
      <c r="L751" s="9"/>
      <c r="M751" s="38"/>
      <c r="N751" s="38"/>
      <c r="O751" s="38"/>
      <c r="P751" s="38"/>
      <c r="Q751" s="38"/>
      <c r="R751" s="122"/>
      <c r="T751" s="188"/>
    </row>
    <row r="752" spans="1:20" ht="30" x14ac:dyDescent="0.25">
      <c r="A752" s="114">
        <v>107</v>
      </c>
      <c r="B752" s="1" t="s">
        <v>397</v>
      </c>
      <c r="C752" s="1" t="s">
        <v>219</v>
      </c>
      <c r="D752" s="2" t="s">
        <v>62</v>
      </c>
      <c r="E752" s="99" t="str">
        <f>IFERROR(VLOOKUP(C752,Resources!B:D,3,FALSE)," ")</f>
        <v xml:space="preserve"> </v>
      </c>
      <c r="F752" s="7"/>
      <c r="G752" s="7"/>
      <c r="H752" s="103">
        <f>VLOOKUP($A752,'Model Inputs'!$A:$D,4,FALSE)</f>
        <v>345</v>
      </c>
      <c r="I752" s="108" t="str">
        <f>IFERROR(VLOOKUP(C752,Resources!B:G,6,FALSE)," ")</f>
        <v xml:space="preserve"> </v>
      </c>
      <c r="J752" s="108">
        <f>SUBTOTAL(9,J754:J765)</f>
        <v>27437.097487741048</v>
      </c>
      <c r="K752" s="7"/>
      <c r="L752" s="7">
        <f>ROUNDUP((MAX((L754+2),MAX(L756:L760))+MAX(L762:L765))/Workhrs,0)</f>
        <v>7</v>
      </c>
      <c r="M752" s="108">
        <f t="shared" ref="M752:Q752" si="1158">SUBTOTAL(9,M754:M765)</f>
        <v>4417.6147614761476</v>
      </c>
      <c r="N752" s="108">
        <f t="shared" si="1158"/>
        <v>0</v>
      </c>
      <c r="O752" s="108">
        <f t="shared" si="1158"/>
        <v>23019.482726264905</v>
      </c>
      <c r="P752" s="108">
        <f t="shared" si="1158"/>
        <v>0</v>
      </c>
      <c r="Q752" s="108">
        <f t="shared" si="1158"/>
        <v>27437.097487741048</v>
      </c>
      <c r="R752" s="120"/>
      <c r="T752" s="188"/>
    </row>
    <row r="753" spans="1:20" x14ac:dyDescent="0.25">
      <c r="A753" s="100">
        <v>107.1</v>
      </c>
      <c r="B753" s="3">
        <v>1</v>
      </c>
      <c r="C753" s="5" t="s">
        <v>2361</v>
      </c>
      <c r="D753" s="3"/>
      <c r="E753" s="100" t="str">
        <f>IFERROR(VLOOKUP(C753,Resources!B:D,3,FALSE)," ")</f>
        <v xml:space="preserve"> </v>
      </c>
      <c r="F753" s="103">
        <f>VLOOKUP($A753,'Model Inputs'!$A:$D,4,FALSE)</f>
        <v>2.4</v>
      </c>
      <c r="G753" s="8"/>
      <c r="H753" s="8">
        <f>H752*F753</f>
        <v>828</v>
      </c>
      <c r="I753" s="109" t="str">
        <f>IFERROR(VLOOKUP(C753,Resources!B:G,6,FALSE)," ")</f>
        <v xml:space="preserve"> </v>
      </c>
      <c r="J753" s="109"/>
      <c r="K753" s="8"/>
      <c r="L753" s="8"/>
      <c r="M753" s="109"/>
      <c r="N753" s="109"/>
      <c r="O753" s="109"/>
      <c r="P753" s="109"/>
      <c r="Q753" s="109"/>
      <c r="R753" s="121"/>
      <c r="T753" s="188"/>
    </row>
    <row r="754" spans="1:20" x14ac:dyDescent="0.25">
      <c r="A754" s="100">
        <v>107.2</v>
      </c>
      <c r="B754" s="3">
        <v>2</v>
      </c>
      <c r="C754" s="5" t="s">
        <v>44</v>
      </c>
      <c r="D754" s="3" t="s">
        <v>48</v>
      </c>
      <c r="E754" s="100" t="str">
        <f>IFERROR(VLOOKUP(C754,Resources!B:D,3,FALSE)," ")</f>
        <v>P</v>
      </c>
      <c r="F754" s="103">
        <f>VLOOKUP($A754,'Model Inputs'!$A:$D,4,FALSE)</f>
        <v>3</v>
      </c>
      <c r="G754" s="8">
        <v>37</v>
      </c>
      <c r="H754" s="8">
        <f>H753</f>
        <v>828</v>
      </c>
      <c r="I754" s="109">
        <f>IFERROR(VLOOKUP(C754,Resources!B:G,6,FALSE)," ")</f>
        <v>145</v>
      </c>
      <c r="J754" s="109">
        <f t="shared" ref="J754" si="1159">(H754/(G754/F754))*I754</f>
        <v>9734.5945945945932</v>
      </c>
      <c r="K754" s="8">
        <f t="shared" ref="K754" si="1160">L754*F754</f>
        <v>67.13513513513513</v>
      </c>
      <c r="L754" s="8">
        <f t="shared" ref="L754" si="1161">IF(E754="M"," ",H754/G754)</f>
        <v>22.378378378378379</v>
      </c>
      <c r="M754" s="109">
        <f t="shared" ref="M754" si="1162">IF($E754="L",$J754,0)</f>
        <v>0</v>
      </c>
      <c r="N754" s="109">
        <f t="shared" ref="N754" si="1163">IF($E754="M",$J754,0)</f>
        <v>0</v>
      </c>
      <c r="O754" s="109">
        <f t="shared" ref="O754" si="1164">IF($E754="P",$J754,0)</f>
        <v>9734.5945945945932</v>
      </c>
      <c r="P754" s="109">
        <f t="shared" ref="P754" si="1165">IF($E754="S",$J754,0)</f>
        <v>0</v>
      </c>
      <c r="Q754" s="109">
        <f t="shared" ref="Q754" si="1166">SUM(M754:P754)</f>
        <v>9734.5945945945932</v>
      </c>
      <c r="R754" s="121">
        <v>62</v>
      </c>
      <c r="T754" s="188"/>
    </row>
    <row r="755" spans="1:20" x14ac:dyDescent="0.25">
      <c r="A755" s="101"/>
      <c r="B755" s="4">
        <v>3</v>
      </c>
      <c r="C755" s="6" t="s">
        <v>114</v>
      </c>
      <c r="D755" s="4"/>
      <c r="E755" s="101" t="str">
        <f>IFERROR(VLOOKUP(C755,Resources!B:D,3,FALSE)," ")</f>
        <v xml:space="preserve"> </v>
      </c>
      <c r="F755" s="9"/>
      <c r="G755" s="9"/>
      <c r="H755" s="9"/>
      <c r="I755" s="38" t="str">
        <f>IFERROR(VLOOKUP(C755,Resources!B:G,6,FALSE)," ")</f>
        <v xml:space="preserve"> </v>
      </c>
      <c r="J755" s="38"/>
      <c r="K755" s="9"/>
      <c r="L755" s="9"/>
      <c r="M755" s="38"/>
      <c r="N755" s="38"/>
      <c r="O755" s="38"/>
      <c r="P755" s="38"/>
      <c r="Q755" s="38"/>
      <c r="R755" s="122"/>
      <c r="T755" s="188"/>
    </row>
    <row r="756" spans="1:20" x14ac:dyDescent="0.25">
      <c r="A756" s="100">
        <v>107.3</v>
      </c>
      <c r="B756" s="3">
        <v>4</v>
      </c>
      <c r="C756" s="5" t="s">
        <v>39</v>
      </c>
      <c r="D756" s="3" t="s">
        <v>48</v>
      </c>
      <c r="E756" s="100" t="str">
        <f>IFERROR(VLOOKUP(C756,Resources!B:D,3,FALSE)," ")</f>
        <v>P</v>
      </c>
      <c r="F756" s="8">
        <v>1</v>
      </c>
      <c r="G756" s="103">
        <f>VLOOKUP($A756,'Model Inputs'!$A:$D,4,FALSE)</f>
        <v>44.44</v>
      </c>
      <c r="H756" s="8">
        <f>H753</f>
        <v>828</v>
      </c>
      <c r="I756" s="109">
        <f>IFERROR(VLOOKUP(C756,Resources!B:G,6,FALSE)," ")</f>
        <v>145</v>
      </c>
      <c r="J756" s="109">
        <f t="shared" ref="J756:J760" si="1167">(H756/(G756/F756))*I756</f>
        <v>2701.6201620162019</v>
      </c>
      <c r="K756" s="8">
        <f t="shared" ref="K756:K760" si="1168">L756*F756</f>
        <v>18.631863186318633</v>
      </c>
      <c r="L756" s="8">
        <f t="shared" ref="L756:L760" si="1169">IF(E756="M"," ",H756/G756)</f>
        <v>18.631863186318633</v>
      </c>
      <c r="M756" s="109">
        <f t="shared" ref="M756:M760" si="1170">IF($E756="L",$J756,0)</f>
        <v>0</v>
      </c>
      <c r="N756" s="109">
        <f t="shared" ref="N756:N760" si="1171">IF($E756="M",$J756,0)</f>
        <v>0</v>
      </c>
      <c r="O756" s="109">
        <f t="shared" ref="O756:O760" si="1172">IF($E756="P",$J756,0)</f>
        <v>2701.6201620162019</v>
      </c>
      <c r="P756" s="109">
        <f t="shared" ref="P756:P760" si="1173">IF($E756="S",$J756,0)</f>
        <v>0</v>
      </c>
      <c r="Q756" s="109">
        <f t="shared" ref="Q756:Q760" si="1174">SUM(M756:P756)</f>
        <v>2701.6201620162019</v>
      </c>
      <c r="R756" s="121">
        <v>62</v>
      </c>
      <c r="T756" s="188"/>
    </row>
    <row r="757" spans="1:20" x14ac:dyDescent="0.25">
      <c r="A757" s="100"/>
      <c r="B757" s="3">
        <v>5</v>
      </c>
      <c r="C757" s="5" t="s">
        <v>64</v>
      </c>
      <c r="D757" s="3" t="s">
        <v>48</v>
      </c>
      <c r="E757" s="100" t="str">
        <f>IFERROR(VLOOKUP(C757,Resources!B:D,3,FALSE)," ")</f>
        <v>P</v>
      </c>
      <c r="F757" s="8">
        <v>1</v>
      </c>
      <c r="G757" s="8">
        <f>G756</f>
        <v>44.44</v>
      </c>
      <c r="H757" s="8">
        <f>H753</f>
        <v>828</v>
      </c>
      <c r="I757" s="109">
        <f>IFERROR(VLOOKUP(C757,Resources!B:G,6,FALSE)," ")</f>
        <v>100</v>
      </c>
      <c r="J757" s="109">
        <f t="shared" si="1167"/>
        <v>1863.1863186318633</v>
      </c>
      <c r="K757" s="8">
        <f t="shared" si="1168"/>
        <v>18.631863186318633</v>
      </c>
      <c r="L757" s="8">
        <f t="shared" si="1169"/>
        <v>18.631863186318633</v>
      </c>
      <c r="M757" s="109">
        <f t="shared" si="1170"/>
        <v>0</v>
      </c>
      <c r="N757" s="109">
        <f t="shared" si="1171"/>
        <v>0</v>
      </c>
      <c r="O757" s="109">
        <f t="shared" si="1172"/>
        <v>1863.1863186318633</v>
      </c>
      <c r="P757" s="109">
        <f t="shared" si="1173"/>
        <v>0</v>
      </c>
      <c r="Q757" s="109">
        <f t="shared" si="1174"/>
        <v>1863.1863186318633</v>
      </c>
      <c r="R757" s="121">
        <v>62</v>
      </c>
      <c r="T757" s="188"/>
    </row>
    <row r="758" spans="1:20" x14ac:dyDescent="0.25">
      <c r="A758" s="100"/>
      <c r="B758" s="3">
        <v>6</v>
      </c>
      <c r="C758" s="5" t="s">
        <v>69</v>
      </c>
      <c r="D758" s="3" t="s">
        <v>48</v>
      </c>
      <c r="E758" s="100" t="str">
        <f>IFERROR(VLOOKUP(C758,Resources!B:D,3,FALSE)," ")</f>
        <v>P</v>
      </c>
      <c r="F758" s="8">
        <v>1</v>
      </c>
      <c r="G758" s="8">
        <f>G756</f>
        <v>44.44</v>
      </c>
      <c r="H758" s="8">
        <f>H753</f>
        <v>828</v>
      </c>
      <c r="I758" s="109">
        <f>IFERROR(VLOOKUP(C758,Resources!B:G,6,FALSE)," ")</f>
        <v>55</v>
      </c>
      <c r="J758" s="109">
        <f t="shared" si="1167"/>
        <v>1024.7524752475249</v>
      </c>
      <c r="K758" s="8">
        <f t="shared" si="1168"/>
        <v>18.631863186318633</v>
      </c>
      <c r="L758" s="8">
        <f t="shared" si="1169"/>
        <v>18.631863186318633</v>
      </c>
      <c r="M758" s="109">
        <f t="shared" si="1170"/>
        <v>0</v>
      </c>
      <c r="N758" s="109">
        <f t="shared" si="1171"/>
        <v>0</v>
      </c>
      <c r="O758" s="109">
        <f t="shared" si="1172"/>
        <v>1024.7524752475249</v>
      </c>
      <c r="P758" s="109">
        <f t="shared" si="1173"/>
        <v>0</v>
      </c>
      <c r="Q758" s="109">
        <f t="shared" si="1174"/>
        <v>1024.7524752475249</v>
      </c>
      <c r="R758" s="121">
        <v>62</v>
      </c>
      <c r="T758" s="188"/>
    </row>
    <row r="759" spans="1:20" x14ac:dyDescent="0.25">
      <c r="A759" s="100"/>
      <c r="B759" s="3">
        <v>7</v>
      </c>
      <c r="C759" s="5" t="s">
        <v>8</v>
      </c>
      <c r="D759" s="3" t="s">
        <v>48</v>
      </c>
      <c r="E759" s="100" t="str">
        <f>IFERROR(VLOOKUP(C759,Resources!B:D,3,FALSE)," ")</f>
        <v>L</v>
      </c>
      <c r="F759" s="8">
        <v>3</v>
      </c>
      <c r="G759" s="8">
        <f>G756</f>
        <v>44.44</v>
      </c>
      <c r="H759" s="8">
        <f>H753</f>
        <v>828</v>
      </c>
      <c r="I759" s="109">
        <f>IFERROR(VLOOKUP(C759,Resources!B:G,6,FALSE)," ")</f>
        <v>42</v>
      </c>
      <c r="J759" s="109">
        <f t="shared" si="1167"/>
        <v>2347.6147614761476</v>
      </c>
      <c r="K759" s="8">
        <f t="shared" si="1168"/>
        <v>55.895589558955898</v>
      </c>
      <c r="L759" s="8">
        <f t="shared" si="1169"/>
        <v>18.631863186318633</v>
      </c>
      <c r="M759" s="109">
        <f t="shared" si="1170"/>
        <v>2347.6147614761476</v>
      </c>
      <c r="N759" s="109">
        <f t="shared" si="1171"/>
        <v>0</v>
      </c>
      <c r="O759" s="109">
        <f t="shared" si="1172"/>
        <v>0</v>
      </c>
      <c r="P759" s="109">
        <f t="shared" si="1173"/>
        <v>0</v>
      </c>
      <c r="Q759" s="109">
        <f t="shared" si="1174"/>
        <v>2347.6147614761476</v>
      </c>
      <c r="R759" s="121">
        <v>62</v>
      </c>
      <c r="T759" s="188"/>
    </row>
    <row r="760" spans="1:20" x14ac:dyDescent="0.25">
      <c r="A760" s="100"/>
      <c r="B760" s="3">
        <v>8</v>
      </c>
      <c r="C760" s="5" t="s">
        <v>115</v>
      </c>
      <c r="D760" s="3" t="s">
        <v>48</v>
      </c>
      <c r="E760" s="100" t="str">
        <f>IFERROR(VLOOKUP(C760,Resources!B:D,3,FALSE)," ")</f>
        <v>P</v>
      </c>
      <c r="F760" s="8">
        <v>1</v>
      </c>
      <c r="G760" s="8">
        <f>G756</f>
        <v>44.44</v>
      </c>
      <c r="H760" s="8">
        <f>H753</f>
        <v>828</v>
      </c>
      <c r="I760" s="109">
        <f>IFERROR(VLOOKUP(C760,Resources!B:G,6,FALSE)," ")</f>
        <v>100</v>
      </c>
      <c r="J760" s="109">
        <f t="shared" si="1167"/>
        <v>1863.1863186318633</v>
      </c>
      <c r="K760" s="8">
        <f t="shared" si="1168"/>
        <v>18.631863186318633</v>
      </c>
      <c r="L760" s="8">
        <f t="shared" si="1169"/>
        <v>18.631863186318633</v>
      </c>
      <c r="M760" s="109">
        <f t="shared" si="1170"/>
        <v>0</v>
      </c>
      <c r="N760" s="109">
        <f t="shared" si="1171"/>
        <v>0</v>
      </c>
      <c r="O760" s="109">
        <f t="shared" si="1172"/>
        <v>1863.1863186318633</v>
      </c>
      <c r="P760" s="109">
        <f t="shared" si="1173"/>
        <v>0</v>
      </c>
      <c r="Q760" s="109">
        <f t="shared" si="1174"/>
        <v>1863.1863186318633</v>
      </c>
      <c r="R760" s="121">
        <v>62</v>
      </c>
      <c r="T760" s="188"/>
    </row>
    <row r="761" spans="1:20" x14ac:dyDescent="0.25">
      <c r="A761" s="101"/>
      <c r="B761" s="4">
        <v>9</v>
      </c>
      <c r="C761" s="6" t="s">
        <v>116</v>
      </c>
      <c r="D761" s="4"/>
      <c r="E761" s="101" t="str">
        <f>IFERROR(VLOOKUP(C761,Resources!B:D,3,FALSE)," ")</f>
        <v xml:space="preserve"> </v>
      </c>
      <c r="F761" s="9"/>
      <c r="G761" s="9"/>
      <c r="H761" s="9"/>
      <c r="I761" s="38" t="str">
        <f>IFERROR(VLOOKUP(C761,Resources!B:G,6,FALSE)," ")</f>
        <v xml:space="preserve"> </v>
      </c>
      <c r="J761" s="38"/>
      <c r="K761" s="9"/>
      <c r="L761" s="9"/>
      <c r="M761" s="38"/>
      <c r="N761" s="38"/>
      <c r="O761" s="38"/>
      <c r="P761" s="38"/>
      <c r="Q761" s="38"/>
      <c r="R761" s="122"/>
      <c r="T761" s="188"/>
    </row>
    <row r="762" spans="1:20" x14ac:dyDescent="0.25">
      <c r="A762" s="100">
        <v>107.4</v>
      </c>
      <c r="B762" s="3">
        <v>10</v>
      </c>
      <c r="C762" s="5" t="s">
        <v>39</v>
      </c>
      <c r="D762" s="3" t="s">
        <v>48</v>
      </c>
      <c r="E762" s="100" t="str">
        <f>IFERROR(VLOOKUP(C762,Resources!B:D,3,FALSE)," ")</f>
        <v>P</v>
      </c>
      <c r="F762" s="8">
        <v>1</v>
      </c>
      <c r="G762" s="103">
        <f>VLOOKUP($A762,'Model Inputs'!$A:$D,4,FALSE)</f>
        <v>150</v>
      </c>
      <c r="H762" s="8">
        <f>H752/0.14</f>
        <v>2464.2857142857142</v>
      </c>
      <c r="I762" s="109">
        <f>IFERROR(VLOOKUP(C762,Resources!B:G,6,FALSE)," ")</f>
        <v>145</v>
      </c>
      <c r="J762" s="109">
        <f t="shared" ref="J762:J765" si="1175">(H762/(G762/F762))*I762</f>
        <v>2382.1428571428569</v>
      </c>
      <c r="K762" s="8">
        <f t="shared" ref="K762:K765" si="1176">L762*F762</f>
        <v>16.428571428571427</v>
      </c>
      <c r="L762" s="8">
        <f t="shared" ref="L762:L765" si="1177">IF(E762="M"," ",H762/G762)</f>
        <v>16.428571428571427</v>
      </c>
      <c r="M762" s="109">
        <f t="shared" ref="M762:M765" si="1178">IF($E762="L",$J762,0)</f>
        <v>0</v>
      </c>
      <c r="N762" s="109">
        <f t="shared" ref="N762:N765" si="1179">IF($E762="M",$J762,0)</f>
        <v>0</v>
      </c>
      <c r="O762" s="109">
        <f t="shared" ref="O762:O765" si="1180">IF($E762="P",$J762,0)</f>
        <v>2382.1428571428569</v>
      </c>
      <c r="P762" s="109">
        <f t="shared" ref="P762:P765" si="1181">IF($E762="S",$J762,0)</f>
        <v>0</v>
      </c>
      <c r="Q762" s="109">
        <f t="shared" ref="Q762:Q765" si="1182">SUM(M762:P762)</f>
        <v>2382.1428571428569</v>
      </c>
      <c r="R762" s="121">
        <v>63</v>
      </c>
      <c r="T762" s="188"/>
    </row>
    <row r="763" spans="1:20" x14ac:dyDescent="0.25">
      <c r="A763" s="100"/>
      <c r="B763" s="3">
        <v>11</v>
      </c>
      <c r="C763" s="5" t="s">
        <v>64</v>
      </c>
      <c r="D763" s="3" t="s">
        <v>48</v>
      </c>
      <c r="E763" s="100" t="str">
        <f>IFERROR(VLOOKUP(C763,Resources!B:D,3,FALSE)," ")</f>
        <v>P</v>
      </c>
      <c r="F763" s="8">
        <v>1</v>
      </c>
      <c r="G763" s="8">
        <f>G762</f>
        <v>150</v>
      </c>
      <c r="H763" s="8">
        <f>H762</f>
        <v>2464.2857142857142</v>
      </c>
      <c r="I763" s="109">
        <f>IFERROR(VLOOKUP(C763,Resources!B:G,6,FALSE)," ")</f>
        <v>100</v>
      </c>
      <c r="J763" s="109">
        <f t="shared" si="1175"/>
        <v>1642.8571428571427</v>
      </c>
      <c r="K763" s="8">
        <f t="shared" si="1176"/>
        <v>16.428571428571427</v>
      </c>
      <c r="L763" s="8">
        <f t="shared" si="1177"/>
        <v>16.428571428571427</v>
      </c>
      <c r="M763" s="109">
        <f t="shared" si="1178"/>
        <v>0</v>
      </c>
      <c r="N763" s="109">
        <f t="shared" si="1179"/>
        <v>0</v>
      </c>
      <c r="O763" s="109">
        <f t="shared" si="1180"/>
        <v>1642.8571428571427</v>
      </c>
      <c r="P763" s="109">
        <f t="shared" si="1181"/>
        <v>0</v>
      </c>
      <c r="Q763" s="109">
        <f t="shared" si="1182"/>
        <v>1642.8571428571427</v>
      </c>
      <c r="R763" s="121">
        <v>63</v>
      </c>
      <c r="T763" s="188"/>
    </row>
    <row r="764" spans="1:20" x14ac:dyDescent="0.25">
      <c r="A764" s="100"/>
      <c r="B764" s="3">
        <v>12</v>
      </c>
      <c r="C764" s="5" t="s">
        <v>43</v>
      </c>
      <c r="D764" s="3" t="s">
        <v>48</v>
      </c>
      <c r="E764" s="100" t="str">
        <f>IFERROR(VLOOKUP(C764,Resources!B:D,3,FALSE)," ")</f>
        <v>P</v>
      </c>
      <c r="F764" s="8">
        <v>1</v>
      </c>
      <c r="G764" s="8">
        <f>G762/2</f>
        <v>75</v>
      </c>
      <c r="H764" s="8">
        <f>H762</f>
        <v>2464.2857142857142</v>
      </c>
      <c r="I764" s="109">
        <f>IFERROR(VLOOKUP(C764,Resources!B:G,6,FALSE)," ")</f>
        <v>55</v>
      </c>
      <c r="J764" s="109">
        <f t="shared" si="1175"/>
        <v>1807.1428571428569</v>
      </c>
      <c r="K764" s="8">
        <f t="shared" si="1176"/>
        <v>32.857142857142854</v>
      </c>
      <c r="L764" s="8">
        <f t="shared" si="1177"/>
        <v>32.857142857142854</v>
      </c>
      <c r="M764" s="109">
        <f t="shared" si="1178"/>
        <v>0</v>
      </c>
      <c r="N764" s="109">
        <f t="shared" si="1179"/>
        <v>0</v>
      </c>
      <c r="O764" s="109">
        <f t="shared" si="1180"/>
        <v>1807.1428571428569</v>
      </c>
      <c r="P764" s="109">
        <f t="shared" si="1181"/>
        <v>0</v>
      </c>
      <c r="Q764" s="109">
        <f t="shared" si="1182"/>
        <v>1807.1428571428569</v>
      </c>
      <c r="R764" s="121">
        <v>63</v>
      </c>
      <c r="T764" s="188"/>
    </row>
    <row r="765" spans="1:20" x14ac:dyDescent="0.25">
      <c r="A765" s="100"/>
      <c r="B765" s="3">
        <v>13</v>
      </c>
      <c r="C765" s="5" t="s">
        <v>8</v>
      </c>
      <c r="D765" s="3" t="s">
        <v>48</v>
      </c>
      <c r="E765" s="100" t="str">
        <f>IFERROR(VLOOKUP(C765,Resources!B:D,3,FALSE)," ")</f>
        <v>L</v>
      </c>
      <c r="F765" s="8">
        <v>3</v>
      </c>
      <c r="G765" s="8">
        <f>G762</f>
        <v>150</v>
      </c>
      <c r="H765" s="8">
        <f>H762</f>
        <v>2464.2857142857142</v>
      </c>
      <c r="I765" s="109">
        <f>IFERROR(VLOOKUP(C765,Resources!B:G,6,FALSE)," ")</f>
        <v>42</v>
      </c>
      <c r="J765" s="109">
        <f t="shared" si="1175"/>
        <v>2070</v>
      </c>
      <c r="K765" s="8">
        <f t="shared" si="1176"/>
        <v>49.285714285714278</v>
      </c>
      <c r="L765" s="8">
        <f t="shared" si="1177"/>
        <v>16.428571428571427</v>
      </c>
      <c r="M765" s="109">
        <f t="shared" si="1178"/>
        <v>2070</v>
      </c>
      <c r="N765" s="109">
        <f t="shared" si="1179"/>
        <v>0</v>
      </c>
      <c r="O765" s="109">
        <f t="shared" si="1180"/>
        <v>0</v>
      </c>
      <c r="P765" s="109">
        <f t="shared" si="1181"/>
        <v>0</v>
      </c>
      <c r="Q765" s="109">
        <f t="shared" si="1182"/>
        <v>2070</v>
      </c>
      <c r="R765" s="121">
        <v>63</v>
      </c>
      <c r="T765" s="188"/>
    </row>
    <row r="766" spans="1:20" x14ac:dyDescent="0.25">
      <c r="A766" s="101"/>
      <c r="B766" s="4"/>
      <c r="C766" s="6"/>
      <c r="D766" s="4"/>
      <c r="E766" s="101" t="str">
        <f>IFERROR(VLOOKUP(C766,Resources!B:D,3,FALSE)," ")</f>
        <v xml:space="preserve"> </v>
      </c>
      <c r="F766" s="9"/>
      <c r="G766" s="9"/>
      <c r="H766" s="9"/>
      <c r="I766" s="38" t="str">
        <f>IFERROR(VLOOKUP(C766,Resources!B:G,6,FALSE)," ")</f>
        <v xml:space="preserve"> </v>
      </c>
      <c r="J766" s="38"/>
      <c r="K766" s="9"/>
      <c r="L766" s="9"/>
      <c r="M766" s="38"/>
      <c r="N766" s="38"/>
      <c r="O766" s="38"/>
      <c r="P766" s="38"/>
      <c r="Q766" s="38"/>
      <c r="R766" s="122"/>
      <c r="T766" s="188"/>
    </row>
    <row r="767" spans="1:20" ht="30" x14ac:dyDescent="0.25">
      <c r="A767" s="114">
        <v>108</v>
      </c>
      <c r="B767" s="1" t="s">
        <v>398</v>
      </c>
      <c r="C767" s="1" t="s">
        <v>223</v>
      </c>
      <c r="D767" s="2" t="s">
        <v>107</v>
      </c>
      <c r="E767" s="99" t="str">
        <f>IFERROR(VLOOKUP(C767,Resources!B:D,3,FALSE)," ")</f>
        <v xml:space="preserve"> </v>
      </c>
      <c r="F767" s="7"/>
      <c r="G767" s="7"/>
      <c r="H767" s="103">
        <f>VLOOKUP($A767,'Model Inputs'!$A:$D,4,FALSE)</f>
        <v>2797</v>
      </c>
      <c r="I767" s="108" t="str">
        <f>IFERROR(VLOOKUP(C767,Resources!B:G,6,FALSE)," ")</f>
        <v xml:space="preserve"> </v>
      </c>
      <c r="J767" s="108">
        <f>SUBTOTAL(9,J768:J770)</f>
        <v>4423.4309649122815</v>
      </c>
      <c r="K767" s="7"/>
      <c r="L767" s="7">
        <f>ROUNDUP(MAX(L769:L770)/Workhrs,0)</f>
        <v>1</v>
      </c>
      <c r="M767" s="108">
        <f t="shared" ref="M767:Q767" si="1183">SUBTOTAL(9,M768:M770)</f>
        <v>680.11263157894734</v>
      </c>
      <c r="N767" s="108">
        <f t="shared" si="1183"/>
        <v>3230.5350000000003</v>
      </c>
      <c r="O767" s="108">
        <f t="shared" si="1183"/>
        <v>512.78333333333342</v>
      </c>
      <c r="P767" s="108">
        <f t="shared" si="1183"/>
        <v>0</v>
      </c>
      <c r="Q767" s="108">
        <f t="shared" si="1183"/>
        <v>4423.4309649122815</v>
      </c>
      <c r="R767" s="120"/>
      <c r="T767" s="188"/>
    </row>
    <row r="768" spans="1:20" x14ac:dyDescent="0.25">
      <c r="A768" s="100">
        <v>108.1</v>
      </c>
      <c r="B768" s="3">
        <v>1</v>
      </c>
      <c r="C768" s="5" t="s">
        <v>2088</v>
      </c>
      <c r="D768" s="3" t="s">
        <v>83</v>
      </c>
      <c r="E768" s="100" t="str">
        <f>IFERROR(VLOOKUP(C768,Resources!B:D,3,FALSE)," ")</f>
        <v>M</v>
      </c>
      <c r="F768" s="103">
        <f>VLOOKUP($A768,'Model Inputs'!$A:$D,4,FALSE)</f>
        <v>1.1000000000000001</v>
      </c>
      <c r="G768" s="8">
        <v>1</v>
      </c>
      <c r="H768" s="8">
        <f>H767*F768</f>
        <v>3076.7000000000003</v>
      </c>
      <c r="I768" s="109">
        <f>IFERROR(VLOOKUP(C768,Resources!B:G,6,FALSE)," ")</f>
        <v>1.05</v>
      </c>
      <c r="J768" s="109">
        <f>I768*H768</f>
        <v>3230.5350000000003</v>
      </c>
      <c r="K768" s="8"/>
      <c r="L768" s="8" t="str">
        <f t="shared" ref="L768:L770" si="1184">IF(E768="M"," ",H768/G768)</f>
        <v xml:space="preserve"> </v>
      </c>
      <c r="M768" s="109">
        <f t="shared" ref="M768:M770" si="1185">IF($E768="L",$J768,0)</f>
        <v>0</v>
      </c>
      <c r="N768" s="109">
        <f t="shared" ref="N768:N770" si="1186">IF($E768="M",$J768,0)</f>
        <v>3230.5350000000003</v>
      </c>
      <c r="O768" s="109">
        <f t="shared" ref="O768:O770" si="1187">IF($E768="P",$J768,0)</f>
        <v>0</v>
      </c>
      <c r="P768" s="109">
        <f t="shared" ref="P768:P770" si="1188">IF($E768="S",$J768,0)</f>
        <v>0</v>
      </c>
      <c r="Q768" s="109">
        <f t="shared" ref="Q768:Q770" si="1189">SUM(M768:P768)</f>
        <v>3230.5350000000003</v>
      </c>
      <c r="R768" s="121">
        <v>222</v>
      </c>
      <c r="T768" s="188"/>
    </row>
    <row r="769" spans="1:20" x14ac:dyDescent="0.25">
      <c r="A769" s="100"/>
      <c r="B769" s="3">
        <v>2</v>
      </c>
      <c r="C769" s="5" t="s">
        <v>8</v>
      </c>
      <c r="D769" s="3" t="s">
        <v>48</v>
      </c>
      <c r="E769" s="100" t="str">
        <f>IFERROR(VLOOKUP(C769,Resources!B:D,3,FALSE)," ")</f>
        <v>L</v>
      </c>
      <c r="F769" s="8">
        <v>3</v>
      </c>
      <c r="G769" s="8">
        <v>570</v>
      </c>
      <c r="H769" s="8">
        <f>H768</f>
        <v>3076.7000000000003</v>
      </c>
      <c r="I769" s="109">
        <f>IFERROR(VLOOKUP(C769,Resources!B:G,6,FALSE)," ")</f>
        <v>42</v>
      </c>
      <c r="J769" s="109">
        <f t="shared" ref="J769:J770" si="1190">(H769/(G769/F769))*I769</f>
        <v>680.11263157894734</v>
      </c>
      <c r="K769" s="8">
        <f t="shared" ref="K769:K770" si="1191">L769*F769</f>
        <v>16.193157894736842</v>
      </c>
      <c r="L769" s="8">
        <f t="shared" si="1184"/>
        <v>5.3977192982456144</v>
      </c>
      <c r="M769" s="109">
        <f t="shared" si="1185"/>
        <v>680.11263157894734</v>
      </c>
      <c r="N769" s="109">
        <f t="shared" si="1186"/>
        <v>0</v>
      </c>
      <c r="O769" s="109">
        <f t="shared" si="1187"/>
        <v>0</v>
      </c>
      <c r="P769" s="109">
        <f t="shared" si="1188"/>
        <v>0</v>
      </c>
      <c r="Q769" s="109">
        <f t="shared" si="1189"/>
        <v>680.11263157894734</v>
      </c>
      <c r="R769" s="121">
        <v>222</v>
      </c>
      <c r="T769" s="188"/>
    </row>
    <row r="770" spans="1:20" x14ac:dyDescent="0.25">
      <c r="A770" s="100"/>
      <c r="B770" s="3">
        <v>3</v>
      </c>
      <c r="C770" s="5" t="s">
        <v>45</v>
      </c>
      <c r="D770" s="3" t="s">
        <v>48</v>
      </c>
      <c r="E770" s="100" t="str">
        <f>IFERROR(VLOOKUP(C770,Resources!B:D,3,FALSE)," ")</f>
        <v>P</v>
      </c>
      <c r="F770" s="8">
        <v>1</v>
      </c>
      <c r="G770" s="8">
        <v>570</v>
      </c>
      <c r="H770" s="8">
        <f>H768</f>
        <v>3076.7000000000003</v>
      </c>
      <c r="I770" s="109">
        <f>IFERROR(VLOOKUP(C770,Resources!B:G,6,FALSE)," ")</f>
        <v>95</v>
      </c>
      <c r="J770" s="109">
        <f t="shared" si="1190"/>
        <v>512.78333333333342</v>
      </c>
      <c r="K770" s="8">
        <f t="shared" si="1191"/>
        <v>5.3977192982456144</v>
      </c>
      <c r="L770" s="8">
        <f t="shared" si="1184"/>
        <v>5.3977192982456144</v>
      </c>
      <c r="M770" s="109">
        <f t="shared" si="1185"/>
        <v>0</v>
      </c>
      <c r="N770" s="109">
        <f t="shared" si="1186"/>
        <v>0</v>
      </c>
      <c r="O770" s="109">
        <f t="shared" si="1187"/>
        <v>512.78333333333342</v>
      </c>
      <c r="P770" s="109">
        <f t="shared" si="1188"/>
        <v>0</v>
      </c>
      <c r="Q770" s="109">
        <f t="shared" si="1189"/>
        <v>512.78333333333342</v>
      </c>
      <c r="R770" s="121">
        <v>222</v>
      </c>
      <c r="T770" s="188"/>
    </row>
    <row r="771" spans="1:20" x14ac:dyDescent="0.25">
      <c r="A771" s="101"/>
      <c r="B771" s="4"/>
      <c r="C771" s="6"/>
      <c r="D771" s="4"/>
      <c r="E771" s="101" t="str">
        <f>IFERROR(VLOOKUP(C771,Resources!B:D,3,FALSE)," ")</f>
        <v xml:space="preserve"> </v>
      </c>
      <c r="F771" s="9"/>
      <c r="G771" s="9"/>
      <c r="H771" s="9"/>
      <c r="I771" s="38" t="str">
        <f>IFERROR(VLOOKUP(C771,Resources!B:G,6,FALSE)," ")</f>
        <v xml:space="preserve"> </v>
      </c>
      <c r="J771" s="38"/>
      <c r="K771" s="9"/>
      <c r="L771" s="9"/>
      <c r="M771" s="38"/>
      <c r="N771" s="38"/>
      <c r="O771" s="38"/>
      <c r="P771" s="38"/>
      <c r="Q771" s="38"/>
      <c r="R771" s="122"/>
      <c r="T771" s="188"/>
    </row>
    <row r="772" spans="1:20" ht="30" x14ac:dyDescent="0.25">
      <c r="A772" s="114"/>
      <c r="B772" s="1" t="s">
        <v>399</v>
      </c>
      <c r="C772" s="1" t="s">
        <v>120</v>
      </c>
      <c r="D772" s="2"/>
      <c r="E772" s="99" t="str">
        <f>IFERROR(VLOOKUP(C772,Resources!B:D,3,FALSE)," ")</f>
        <v xml:space="preserve"> </v>
      </c>
      <c r="F772" s="7"/>
      <c r="G772" s="7"/>
      <c r="H772" s="7"/>
      <c r="I772" s="108" t="str">
        <f>IFERROR(VLOOKUP(C772,Resources!B:G,6,FALSE)," ")</f>
        <v xml:space="preserve"> </v>
      </c>
      <c r="J772" s="108"/>
      <c r="K772" s="7"/>
      <c r="L772" s="7"/>
      <c r="M772" s="108"/>
      <c r="N772" s="108"/>
      <c r="O772" s="108"/>
      <c r="P772" s="108"/>
      <c r="Q772" s="108"/>
      <c r="R772" s="120"/>
      <c r="T772" s="188"/>
    </row>
    <row r="773" spans="1:20" ht="45" x14ac:dyDescent="0.25">
      <c r="A773" s="114"/>
      <c r="B773" s="1" t="s">
        <v>400</v>
      </c>
      <c r="C773" s="1" t="s">
        <v>122</v>
      </c>
      <c r="D773" s="2"/>
      <c r="E773" s="99" t="str">
        <f>IFERROR(VLOOKUP(C773,Resources!B:D,3,FALSE)," ")</f>
        <v xml:space="preserve"> </v>
      </c>
      <c r="F773" s="7"/>
      <c r="G773" s="7"/>
      <c r="H773" s="7"/>
      <c r="I773" s="108" t="str">
        <f>IFERROR(VLOOKUP(C773,Resources!B:G,6,FALSE)," ")</f>
        <v xml:space="preserve"> </v>
      </c>
      <c r="J773" s="108"/>
      <c r="K773" s="7"/>
      <c r="L773" s="7"/>
      <c r="M773" s="108"/>
      <c r="N773" s="108"/>
      <c r="O773" s="108"/>
      <c r="P773" s="108"/>
      <c r="Q773" s="108"/>
      <c r="R773" s="120"/>
      <c r="T773" s="188"/>
    </row>
    <row r="774" spans="1:20" ht="30" x14ac:dyDescent="0.25">
      <c r="A774" s="114">
        <v>109</v>
      </c>
      <c r="B774" s="1" t="s">
        <v>401</v>
      </c>
      <c r="C774" s="1" t="s">
        <v>124</v>
      </c>
      <c r="D774" s="2" t="s">
        <v>107</v>
      </c>
      <c r="E774" s="99" t="str">
        <f>IFERROR(VLOOKUP(C774,Resources!B:D,3,FALSE)," ")</f>
        <v xml:space="preserve"> </v>
      </c>
      <c r="F774" s="7"/>
      <c r="G774" s="7"/>
      <c r="H774" s="103">
        <f>VLOOKUP($A774,'Model Inputs'!$A:$D,4,FALSE)</f>
        <v>2466</v>
      </c>
      <c r="I774" s="108" t="str">
        <f>IFERROR(VLOOKUP(C774,Resources!B:G,6,FALSE)," ")</f>
        <v xml:space="preserve"> </v>
      </c>
      <c r="J774" s="108">
        <f>SUBTOTAL(9,J775)</f>
        <v>18617.067000000003</v>
      </c>
      <c r="K774" s="7"/>
      <c r="L774" s="7">
        <f>ROUNDUP(L775,0)</f>
        <v>1</v>
      </c>
      <c r="M774" s="108">
        <f t="shared" ref="M774:Q774" si="1192">SUBTOTAL(9,M775)</f>
        <v>0</v>
      </c>
      <c r="N774" s="108">
        <f t="shared" si="1192"/>
        <v>0</v>
      </c>
      <c r="O774" s="108">
        <f t="shared" si="1192"/>
        <v>0</v>
      </c>
      <c r="P774" s="108">
        <f t="shared" si="1192"/>
        <v>18617.067000000003</v>
      </c>
      <c r="Q774" s="108">
        <f t="shared" si="1192"/>
        <v>18617.067000000003</v>
      </c>
      <c r="R774" s="120"/>
      <c r="T774" s="188"/>
    </row>
    <row r="775" spans="1:20" x14ac:dyDescent="0.25">
      <c r="A775" s="100">
        <v>109.1</v>
      </c>
      <c r="B775" s="3">
        <v>1</v>
      </c>
      <c r="C775" s="5" t="s">
        <v>2265</v>
      </c>
      <c r="D775" s="3" t="s">
        <v>83</v>
      </c>
      <c r="E775" s="100" t="str">
        <f>IFERROR(VLOOKUP(C775,Resources!B:D,3,FALSE)," ")</f>
        <v>S</v>
      </c>
      <c r="F775" s="103">
        <f>VLOOKUP($A775,'Model Inputs'!$A:$D,4,FALSE)</f>
        <v>1.05</v>
      </c>
      <c r="G775" s="8">
        <v>1</v>
      </c>
      <c r="H775" s="8">
        <f>H774*F775</f>
        <v>2589.3000000000002</v>
      </c>
      <c r="I775" s="109">
        <f>IFERROR(VLOOKUP(C775,Resources!B:G,6,FALSE)," ")</f>
        <v>7.19</v>
      </c>
      <c r="J775" s="109">
        <f>I775*H775</f>
        <v>18617.067000000003</v>
      </c>
      <c r="K775" s="8"/>
      <c r="L775" s="8">
        <f>H775/8000</f>
        <v>0.32366250000000002</v>
      </c>
      <c r="M775" s="109">
        <f t="shared" ref="M775" si="1193">IF($E775="L",$J775,0)</f>
        <v>0</v>
      </c>
      <c r="N775" s="109">
        <f t="shared" ref="N775" si="1194">IF($E775="M",$J775,0)</f>
        <v>0</v>
      </c>
      <c r="O775" s="109">
        <f t="shared" ref="O775" si="1195">IF($E775="P",$J775,0)</f>
        <v>0</v>
      </c>
      <c r="P775" s="109">
        <f t="shared" ref="P775" si="1196">IF($E775="S",$J775,0)</f>
        <v>18617.067000000003</v>
      </c>
      <c r="Q775" s="109">
        <f t="shared" ref="Q775" si="1197">SUM(M775:P775)</f>
        <v>18617.067000000003</v>
      </c>
      <c r="R775" s="121">
        <v>64</v>
      </c>
      <c r="T775" s="188"/>
    </row>
    <row r="776" spans="1:20" x14ac:dyDescent="0.25">
      <c r="A776" s="101"/>
      <c r="B776" s="4"/>
      <c r="C776" s="6"/>
      <c r="D776" s="4"/>
      <c r="E776" s="101" t="str">
        <f>IFERROR(VLOOKUP(C776,Resources!B:D,3,FALSE)," ")</f>
        <v xml:space="preserve"> </v>
      </c>
      <c r="F776" s="9"/>
      <c r="G776" s="9"/>
      <c r="H776" s="9"/>
      <c r="I776" s="38" t="str">
        <f>IFERROR(VLOOKUP(C776,Resources!B:G,6,FALSE)," ")</f>
        <v xml:space="preserve"> </v>
      </c>
      <c r="J776" s="38"/>
      <c r="K776" s="9"/>
      <c r="L776" s="9"/>
      <c r="M776" s="38"/>
      <c r="N776" s="38"/>
      <c r="O776" s="38"/>
      <c r="P776" s="38"/>
      <c r="Q776" s="38"/>
      <c r="R776" s="122"/>
      <c r="T776" s="188"/>
    </row>
    <row r="777" spans="1:20" ht="30" x14ac:dyDescent="0.25">
      <c r="A777" s="114"/>
      <c r="B777" s="1" t="s">
        <v>402</v>
      </c>
      <c r="C777" s="1" t="s">
        <v>403</v>
      </c>
      <c r="D777" s="2"/>
      <c r="E777" s="99" t="str">
        <f>IFERROR(VLOOKUP(C777,Resources!B:D,3,FALSE)," ")</f>
        <v xml:space="preserve"> </v>
      </c>
      <c r="F777" s="7"/>
      <c r="G777" s="7"/>
      <c r="H777" s="7"/>
      <c r="I777" s="108" t="str">
        <f>IFERROR(VLOOKUP(C777,Resources!B:G,6,FALSE)," ")</f>
        <v xml:space="preserve"> </v>
      </c>
      <c r="J777" s="108"/>
      <c r="K777" s="7"/>
      <c r="L777" s="7"/>
      <c r="M777" s="108"/>
      <c r="N777" s="108"/>
      <c r="O777" s="108"/>
      <c r="P777" s="108"/>
      <c r="Q777" s="108"/>
      <c r="R777" s="120"/>
      <c r="T777" s="188"/>
    </row>
    <row r="778" spans="1:20" ht="30" x14ac:dyDescent="0.25">
      <c r="A778" s="114"/>
      <c r="B778" s="1" t="s">
        <v>404</v>
      </c>
      <c r="C778" s="1" t="s">
        <v>226</v>
      </c>
      <c r="D778" s="2"/>
      <c r="E778" s="99" t="str">
        <f>IFERROR(VLOOKUP(C778,Resources!B:D,3,FALSE)," ")</f>
        <v xml:space="preserve"> </v>
      </c>
      <c r="F778" s="7"/>
      <c r="G778" s="7"/>
      <c r="H778" s="7"/>
      <c r="I778" s="108" t="str">
        <f>IFERROR(VLOOKUP(C778,Resources!B:G,6,FALSE)," ")</f>
        <v xml:space="preserve"> </v>
      </c>
      <c r="J778" s="108"/>
      <c r="K778" s="7"/>
      <c r="L778" s="7"/>
      <c r="M778" s="108"/>
      <c r="N778" s="108"/>
      <c r="O778" s="108"/>
      <c r="P778" s="108"/>
      <c r="Q778" s="108"/>
      <c r="R778" s="120"/>
      <c r="T778" s="188"/>
    </row>
    <row r="779" spans="1:20" ht="30" x14ac:dyDescent="0.25">
      <c r="A779" s="114">
        <v>110</v>
      </c>
      <c r="B779" s="1" t="s">
        <v>405</v>
      </c>
      <c r="C779" s="1" t="s">
        <v>228</v>
      </c>
      <c r="D779" s="2" t="s">
        <v>82</v>
      </c>
      <c r="E779" s="99" t="str">
        <f>IFERROR(VLOOKUP(C779,Resources!B:D,3,FALSE)," ")</f>
        <v xml:space="preserve"> </v>
      </c>
      <c r="F779" s="7"/>
      <c r="G779" s="7"/>
      <c r="H779" s="103">
        <f>VLOOKUP($A779,'Model Inputs'!$A:$D,4,FALSE)</f>
        <v>296</v>
      </c>
      <c r="I779" s="108" t="str">
        <f>IFERROR(VLOOKUP(C779,Resources!B:G,6,FALSE)," ")</f>
        <v xml:space="preserve"> </v>
      </c>
      <c r="J779" s="108">
        <f>SUBTOTAL(9,J780)</f>
        <v>80186.400000000009</v>
      </c>
      <c r="K779" s="7"/>
      <c r="L779" s="7">
        <f>ROUNDUP(L780,0)</f>
        <v>2</v>
      </c>
      <c r="M779" s="108">
        <f t="shared" ref="M779" si="1198">SUBTOTAL(9,M780)</f>
        <v>0</v>
      </c>
      <c r="N779" s="108">
        <f t="shared" ref="N779" si="1199">SUBTOTAL(9,N780)</f>
        <v>0</v>
      </c>
      <c r="O779" s="108">
        <f t="shared" ref="O779" si="1200">SUBTOTAL(9,O780)</f>
        <v>0</v>
      </c>
      <c r="P779" s="108">
        <f t="shared" ref="P779" si="1201">SUBTOTAL(9,P780)</f>
        <v>80186.400000000009</v>
      </c>
      <c r="Q779" s="108">
        <f t="shared" ref="Q779" si="1202">SUBTOTAL(9,Q780)</f>
        <v>80186.400000000009</v>
      </c>
      <c r="R779" s="120"/>
      <c r="T779" s="188"/>
    </row>
    <row r="780" spans="1:20" x14ac:dyDescent="0.25">
      <c r="A780" s="100">
        <v>110.1</v>
      </c>
      <c r="B780" s="3">
        <v>1</v>
      </c>
      <c r="C780" s="5" t="s">
        <v>2237</v>
      </c>
      <c r="D780" s="3" t="s">
        <v>82</v>
      </c>
      <c r="E780" s="100" t="str">
        <f>IFERROR(VLOOKUP(C780,Resources!B:D,3,FALSE)," ")</f>
        <v>S</v>
      </c>
      <c r="F780" s="103">
        <f>VLOOKUP($A780,'Model Inputs'!$A:$D,4,FALSE)</f>
        <v>1.05</v>
      </c>
      <c r="G780" s="8">
        <v>1</v>
      </c>
      <c r="H780" s="8">
        <v>310.8</v>
      </c>
      <c r="I780" s="109">
        <f>IFERROR(VLOOKUP(C780,Resources!B:G,6,FALSE)," ")</f>
        <v>258</v>
      </c>
      <c r="J780" s="109">
        <f>I780*H780</f>
        <v>80186.400000000009</v>
      </c>
      <c r="K780" s="8"/>
      <c r="L780" s="8">
        <f>H780/250</f>
        <v>1.2432000000000001</v>
      </c>
      <c r="M780" s="109">
        <f t="shared" ref="M780" si="1203">IF($E780="L",$J780,0)</f>
        <v>0</v>
      </c>
      <c r="N780" s="109">
        <f t="shared" ref="N780" si="1204">IF($E780="M",$J780,0)</f>
        <v>0</v>
      </c>
      <c r="O780" s="109">
        <f t="shared" ref="O780" si="1205">IF($E780="P",$J780,0)</f>
        <v>0</v>
      </c>
      <c r="P780" s="109">
        <f t="shared" ref="P780" si="1206">IF($E780="S",$J780,0)</f>
        <v>80186.400000000009</v>
      </c>
      <c r="Q780" s="109">
        <f t="shared" ref="Q780" si="1207">SUM(M780:P780)</f>
        <v>80186.400000000009</v>
      </c>
      <c r="R780" s="121">
        <v>65</v>
      </c>
      <c r="T780" s="188"/>
    </row>
    <row r="781" spans="1:20" x14ac:dyDescent="0.25">
      <c r="A781" s="101"/>
      <c r="B781" s="4"/>
      <c r="C781" s="6"/>
      <c r="D781" s="4"/>
      <c r="E781" s="101" t="str">
        <f>IFERROR(VLOOKUP(C781,Resources!B:D,3,FALSE)," ")</f>
        <v xml:space="preserve"> </v>
      </c>
      <c r="F781" s="9"/>
      <c r="G781" s="9"/>
      <c r="H781" s="9"/>
      <c r="I781" s="38" t="str">
        <f>IFERROR(VLOOKUP(C781,Resources!B:G,6,FALSE)," ")</f>
        <v xml:space="preserve"> </v>
      </c>
      <c r="J781" s="38"/>
      <c r="K781" s="9"/>
      <c r="L781" s="9"/>
      <c r="M781" s="38"/>
      <c r="N781" s="38"/>
      <c r="O781" s="38"/>
      <c r="P781" s="38"/>
      <c r="Q781" s="38"/>
      <c r="R781" s="122"/>
      <c r="T781" s="188"/>
    </row>
    <row r="782" spans="1:20" ht="30" x14ac:dyDescent="0.25">
      <c r="A782" s="114"/>
      <c r="B782" s="1" t="s">
        <v>406</v>
      </c>
      <c r="C782" s="1" t="s">
        <v>129</v>
      </c>
      <c r="D782" s="2"/>
      <c r="E782" s="99" t="str">
        <f>IFERROR(VLOOKUP(C782,Resources!B:D,3,FALSE)," ")</f>
        <v xml:space="preserve"> </v>
      </c>
      <c r="F782" s="7"/>
      <c r="G782" s="7"/>
      <c r="H782" s="7"/>
      <c r="I782" s="108" t="str">
        <f>IFERROR(VLOOKUP(C782,Resources!B:G,6,FALSE)," ")</f>
        <v xml:space="preserve"> </v>
      </c>
      <c r="J782" s="108"/>
      <c r="K782" s="7"/>
      <c r="L782" s="7"/>
      <c r="M782" s="108"/>
      <c r="N782" s="108"/>
      <c r="O782" s="108"/>
      <c r="P782" s="108"/>
      <c r="Q782" s="108"/>
      <c r="R782" s="120"/>
      <c r="T782" s="188"/>
    </row>
    <row r="783" spans="1:20" ht="30" x14ac:dyDescent="0.25">
      <c r="A783" s="114"/>
      <c r="B783" s="1" t="s">
        <v>407</v>
      </c>
      <c r="C783" s="1" t="s">
        <v>286</v>
      </c>
      <c r="D783" s="2"/>
      <c r="E783" s="99" t="str">
        <f>IFERROR(VLOOKUP(C783,Resources!B:D,3,FALSE)," ")</f>
        <v xml:space="preserve"> </v>
      </c>
      <c r="F783" s="7"/>
      <c r="G783" s="7"/>
      <c r="H783" s="7"/>
      <c r="I783" s="108" t="str">
        <f>IFERROR(VLOOKUP(C783,Resources!B:G,6,FALSE)," ")</f>
        <v xml:space="preserve"> </v>
      </c>
      <c r="J783" s="108"/>
      <c r="K783" s="7"/>
      <c r="L783" s="7"/>
      <c r="M783" s="108"/>
      <c r="N783" s="108"/>
      <c r="O783" s="108"/>
      <c r="P783" s="108"/>
      <c r="Q783" s="108"/>
      <c r="R783" s="120"/>
      <c r="T783" s="188"/>
    </row>
    <row r="784" spans="1:20" ht="45" x14ac:dyDescent="0.25">
      <c r="A784" s="114">
        <v>111</v>
      </c>
      <c r="B784" s="1" t="s">
        <v>408</v>
      </c>
      <c r="C784" s="1" t="s">
        <v>291</v>
      </c>
      <c r="D784" s="2" t="s">
        <v>33</v>
      </c>
      <c r="E784" s="99" t="str">
        <f>IFERROR(VLOOKUP(C784,Resources!B:D,3,FALSE)," ")</f>
        <v xml:space="preserve"> </v>
      </c>
      <c r="F784" s="7"/>
      <c r="G784" s="7"/>
      <c r="H784" s="103">
        <f>VLOOKUP($A784,'Model Inputs'!$A:$D,4,FALSE)</f>
        <v>2</v>
      </c>
      <c r="I784" s="108" t="str">
        <f>IFERROR(VLOOKUP(C784,Resources!B:G,6,FALSE)," ")</f>
        <v xml:space="preserve"> </v>
      </c>
      <c r="J784" s="108">
        <f>SUBTOTAL(9,J785)</f>
        <v>2000</v>
      </c>
      <c r="K784" s="7"/>
      <c r="L784" s="7">
        <f>ROUNDUP(L785,0)</f>
        <v>1</v>
      </c>
      <c r="M784" s="108">
        <f t="shared" ref="M784" si="1208">SUBTOTAL(9,M785)</f>
        <v>0</v>
      </c>
      <c r="N784" s="108">
        <f t="shared" ref="N784" si="1209">SUBTOTAL(9,N785)</f>
        <v>0</v>
      </c>
      <c r="O784" s="108">
        <f t="shared" ref="O784" si="1210">SUBTOTAL(9,O785)</f>
        <v>0</v>
      </c>
      <c r="P784" s="108">
        <f t="shared" ref="P784" si="1211">SUBTOTAL(9,P785)</f>
        <v>2000</v>
      </c>
      <c r="Q784" s="108">
        <f t="shared" ref="Q784" si="1212">SUBTOTAL(9,Q785)</f>
        <v>2000</v>
      </c>
      <c r="R784" s="120"/>
      <c r="T784" s="188"/>
    </row>
    <row r="785" spans="1:20" x14ac:dyDescent="0.25">
      <c r="A785" s="100"/>
      <c r="B785" s="3">
        <v>1</v>
      </c>
      <c r="C785" s="5" t="s">
        <v>289</v>
      </c>
      <c r="D785" s="3" t="s">
        <v>83</v>
      </c>
      <c r="E785" s="100" t="str">
        <f>IFERROR(VLOOKUP(C785,Resources!B:D,3,FALSE)," ")</f>
        <v>S</v>
      </c>
      <c r="F785" s="8">
        <v>1</v>
      </c>
      <c r="G785" s="8">
        <v>1</v>
      </c>
      <c r="H785" s="8">
        <f>H784*2000/2</f>
        <v>2000</v>
      </c>
      <c r="I785" s="109">
        <f>IFERROR(VLOOKUP(C785,Resources!B:G,6,FALSE)," ")</f>
        <v>1</v>
      </c>
      <c r="J785" s="109">
        <f>I785*H785</f>
        <v>2000</v>
      </c>
      <c r="K785" s="8"/>
      <c r="L785" s="8">
        <v>1</v>
      </c>
      <c r="M785" s="109">
        <f t="shared" ref="M785" si="1213">IF($E785="L",$J785,0)</f>
        <v>0</v>
      </c>
      <c r="N785" s="109">
        <f t="shared" ref="N785" si="1214">IF($E785="M",$J785,0)</f>
        <v>0</v>
      </c>
      <c r="O785" s="109">
        <f t="shared" ref="O785" si="1215">IF($E785="P",$J785,0)</f>
        <v>0</v>
      </c>
      <c r="P785" s="109">
        <f t="shared" ref="P785" si="1216">IF($E785="S",$J785,0)</f>
        <v>2000</v>
      </c>
      <c r="Q785" s="109">
        <f t="shared" ref="Q785" si="1217">SUM(M785:P785)</f>
        <v>2000</v>
      </c>
      <c r="R785" s="121">
        <v>66</v>
      </c>
      <c r="T785" s="188"/>
    </row>
    <row r="786" spans="1:20" x14ac:dyDescent="0.25">
      <c r="A786" s="101"/>
      <c r="B786" s="4"/>
      <c r="C786" s="6"/>
      <c r="D786" s="4"/>
      <c r="E786" s="101" t="str">
        <f>IFERROR(VLOOKUP(C786,Resources!B:D,3,FALSE)," ")</f>
        <v xml:space="preserve"> </v>
      </c>
      <c r="F786" s="9"/>
      <c r="G786" s="9"/>
      <c r="H786" s="9"/>
      <c r="I786" s="38" t="str">
        <f>IFERROR(VLOOKUP(C786,Resources!B:G,6,FALSE)," ")</f>
        <v xml:space="preserve"> </v>
      </c>
      <c r="J786" s="38"/>
      <c r="K786" s="9"/>
      <c r="L786" s="9"/>
      <c r="M786" s="38"/>
      <c r="N786" s="38"/>
      <c r="O786" s="38"/>
      <c r="P786" s="38"/>
      <c r="Q786" s="38"/>
      <c r="R786" s="122"/>
      <c r="T786" s="188"/>
    </row>
    <row r="787" spans="1:20" ht="30" x14ac:dyDescent="0.25">
      <c r="A787" s="114">
        <v>112</v>
      </c>
      <c r="B787" s="1" t="s">
        <v>409</v>
      </c>
      <c r="C787" s="1" t="s">
        <v>410</v>
      </c>
      <c r="D787" s="2" t="s">
        <v>33</v>
      </c>
      <c r="E787" s="99" t="str">
        <f>IFERROR(VLOOKUP(C787,Resources!B:D,3,FALSE)," ")</f>
        <v xml:space="preserve"> </v>
      </c>
      <c r="F787" s="7"/>
      <c r="G787" s="7"/>
      <c r="H787" s="103">
        <f>VLOOKUP($A787,'Model Inputs'!$A:$D,4,FALSE)</f>
        <v>2</v>
      </c>
      <c r="I787" s="108" t="str">
        <f>IFERROR(VLOOKUP(C787,Resources!B:G,6,FALSE)," ")</f>
        <v xml:space="preserve"> </v>
      </c>
      <c r="J787" s="108">
        <f>SUBTOTAL(9,J788:J789)</f>
        <v>472</v>
      </c>
      <c r="K787" s="7"/>
      <c r="L787" s="7">
        <f>ROUNDUP(L788/Workhrs,0)</f>
        <v>1</v>
      </c>
      <c r="M787" s="108">
        <f t="shared" ref="M787:Q787" si="1218">SUBTOTAL(9,M788:M789)</f>
        <v>0</v>
      </c>
      <c r="N787" s="108">
        <f t="shared" si="1218"/>
        <v>472</v>
      </c>
      <c r="O787" s="108">
        <f t="shared" si="1218"/>
        <v>0</v>
      </c>
      <c r="P787" s="108">
        <f t="shared" si="1218"/>
        <v>0</v>
      </c>
      <c r="Q787" s="108">
        <f t="shared" si="1218"/>
        <v>472</v>
      </c>
      <c r="R787" s="120"/>
      <c r="T787" s="188"/>
    </row>
    <row r="788" spans="1:20" x14ac:dyDescent="0.25">
      <c r="A788" s="100"/>
      <c r="B788" s="3">
        <v>1</v>
      </c>
      <c r="C788" s="5" t="s">
        <v>411</v>
      </c>
      <c r="D788" s="3" t="s">
        <v>29</v>
      </c>
      <c r="E788" s="100" t="str">
        <f>IFERROR(VLOOKUP(C788,Resources!B:D,3,FALSE)," ")</f>
        <v>M</v>
      </c>
      <c r="F788" s="8">
        <v>1</v>
      </c>
      <c r="G788" s="8">
        <v>1</v>
      </c>
      <c r="H788" s="8">
        <f>H787</f>
        <v>2</v>
      </c>
      <c r="I788" s="109">
        <f>IFERROR(VLOOKUP(C788,Resources!B:G,6,FALSE)," ")</f>
        <v>140</v>
      </c>
      <c r="J788" s="109">
        <f t="shared" ref="J788:J789" si="1219">I788*H788</f>
        <v>280</v>
      </c>
      <c r="K788" s="8"/>
      <c r="L788" s="8">
        <f>H788*2</f>
        <v>4</v>
      </c>
      <c r="M788" s="109">
        <f t="shared" ref="M788:M789" si="1220">IF($E788="L",$J788,0)</f>
        <v>0</v>
      </c>
      <c r="N788" s="109">
        <f t="shared" ref="N788:N789" si="1221">IF($E788="M",$J788,0)</f>
        <v>280</v>
      </c>
      <c r="O788" s="109">
        <f t="shared" ref="O788:O789" si="1222">IF($E788="P",$J788,0)</f>
        <v>0</v>
      </c>
      <c r="P788" s="109">
        <f t="shared" ref="P788:P789" si="1223">IF($E788="S",$J788,0)</f>
        <v>0</v>
      </c>
      <c r="Q788" s="109">
        <f t="shared" ref="Q788:Q789" si="1224">SUM(M788:P788)</f>
        <v>280</v>
      </c>
      <c r="R788" s="121" t="s">
        <v>2342</v>
      </c>
      <c r="T788" s="188"/>
    </row>
    <row r="789" spans="1:20" x14ac:dyDescent="0.25">
      <c r="A789" s="100"/>
      <c r="B789" s="3">
        <v>2</v>
      </c>
      <c r="C789" s="5" t="s">
        <v>85</v>
      </c>
      <c r="D789" s="3" t="s">
        <v>86</v>
      </c>
      <c r="E789" s="100" t="str">
        <f>IFERROR(VLOOKUP(C789,Resources!B:D,3,FALSE)," ")</f>
        <v>M</v>
      </c>
      <c r="F789" s="8">
        <v>1</v>
      </c>
      <c r="G789" s="8">
        <v>1</v>
      </c>
      <c r="H789" s="8">
        <f>H787/2</f>
        <v>1</v>
      </c>
      <c r="I789" s="109">
        <f>IFERROR(VLOOKUP(C789,Resources!B:G,6,FALSE)," ")</f>
        <v>192</v>
      </c>
      <c r="J789" s="109">
        <f t="shared" si="1219"/>
        <v>192</v>
      </c>
      <c r="K789" s="8"/>
      <c r="L789" s="8"/>
      <c r="M789" s="109">
        <f t="shared" si="1220"/>
        <v>0</v>
      </c>
      <c r="N789" s="109">
        <f t="shared" si="1221"/>
        <v>192</v>
      </c>
      <c r="O789" s="109">
        <f t="shared" si="1222"/>
        <v>0</v>
      </c>
      <c r="P789" s="109">
        <f t="shared" si="1223"/>
        <v>0</v>
      </c>
      <c r="Q789" s="109">
        <f t="shared" si="1224"/>
        <v>192</v>
      </c>
      <c r="R789" s="121" t="s">
        <v>2335</v>
      </c>
      <c r="T789" s="188"/>
    </row>
    <row r="790" spans="1:20" x14ac:dyDescent="0.25">
      <c r="A790" s="101"/>
      <c r="B790" s="4"/>
      <c r="C790" s="6"/>
      <c r="D790" s="4"/>
      <c r="E790" s="101" t="str">
        <f>IFERROR(VLOOKUP(C790,Resources!B:D,3,FALSE)," ")</f>
        <v xml:space="preserve"> </v>
      </c>
      <c r="F790" s="9"/>
      <c r="G790" s="9"/>
      <c r="H790" s="9"/>
      <c r="I790" s="38" t="str">
        <f>IFERROR(VLOOKUP(C790,Resources!B:G,6,FALSE)," ")</f>
        <v xml:space="preserve"> </v>
      </c>
      <c r="J790" s="38"/>
      <c r="K790" s="9"/>
      <c r="L790" s="9"/>
      <c r="M790" s="38"/>
      <c r="N790" s="38"/>
      <c r="O790" s="38"/>
      <c r="P790" s="38"/>
      <c r="Q790" s="38"/>
      <c r="R790" s="122"/>
      <c r="T790" s="188"/>
    </row>
    <row r="791" spans="1:20" ht="30" x14ac:dyDescent="0.25">
      <c r="A791" s="114"/>
      <c r="B791" s="1" t="s">
        <v>412</v>
      </c>
      <c r="C791" s="1" t="s">
        <v>136</v>
      </c>
      <c r="D791" s="2"/>
      <c r="E791" s="99" t="str">
        <f>IFERROR(VLOOKUP(C791,Resources!B:D,3,FALSE)," ")</f>
        <v xml:space="preserve"> </v>
      </c>
      <c r="F791" s="7"/>
      <c r="G791" s="7"/>
      <c r="H791" s="7"/>
      <c r="I791" s="108" t="str">
        <f>IFERROR(VLOOKUP(C791,Resources!B:G,6,FALSE)," ")</f>
        <v xml:space="preserve"> </v>
      </c>
      <c r="J791" s="108"/>
      <c r="K791" s="7"/>
      <c r="L791" s="7"/>
      <c r="M791" s="108"/>
      <c r="N791" s="108"/>
      <c r="O791" s="108"/>
      <c r="P791" s="108"/>
      <c r="Q791" s="108"/>
      <c r="R791" s="120"/>
      <c r="T791" s="188"/>
    </row>
    <row r="792" spans="1:20" ht="30" x14ac:dyDescent="0.25">
      <c r="A792" s="114"/>
      <c r="B792" s="1" t="s">
        <v>413</v>
      </c>
      <c r="C792" s="1" t="s">
        <v>231</v>
      </c>
      <c r="D792" s="2"/>
      <c r="E792" s="99" t="str">
        <f>IFERROR(VLOOKUP(C792,Resources!B:D,3,FALSE)," ")</f>
        <v xml:space="preserve"> </v>
      </c>
      <c r="F792" s="7"/>
      <c r="G792" s="7"/>
      <c r="H792" s="7"/>
      <c r="I792" s="108" t="str">
        <f>IFERROR(VLOOKUP(C792,Resources!B:G,6,FALSE)," ")</f>
        <v xml:space="preserve"> </v>
      </c>
      <c r="J792" s="108"/>
      <c r="K792" s="7"/>
      <c r="L792" s="7"/>
      <c r="M792" s="108"/>
      <c r="N792" s="108"/>
      <c r="O792" s="108"/>
      <c r="P792" s="108"/>
      <c r="Q792" s="108"/>
      <c r="R792" s="120"/>
      <c r="T792" s="188"/>
    </row>
    <row r="793" spans="1:20" ht="30" x14ac:dyDescent="0.25">
      <c r="A793" s="114"/>
      <c r="B793" s="1" t="s">
        <v>414</v>
      </c>
      <c r="C793" s="1" t="s">
        <v>415</v>
      </c>
      <c r="D793" s="2"/>
      <c r="E793" s="99" t="str">
        <f>IFERROR(VLOOKUP(C793,Resources!B:D,3,FALSE)," ")</f>
        <v xml:space="preserve"> </v>
      </c>
      <c r="F793" s="7"/>
      <c r="G793" s="7"/>
      <c r="H793" s="7"/>
      <c r="I793" s="108" t="str">
        <f>IFERROR(VLOOKUP(C793,Resources!B:G,6,FALSE)," ")</f>
        <v xml:space="preserve"> </v>
      </c>
      <c r="J793" s="108"/>
      <c r="K793" s="7"/>
      <c r="L793" s="7"/>
      <c r="M793" s="108"/>
      <c r="N793" s="108"/>
      <c r="O793" s="108"/>
      <c r="P793" s="108"/>
      <c r="Q793" s="108"/>
      <c r="R793" s="120"/>
      <c r="T793" s="188"/>
    </row>
    <row r="794" spans="1:20" ht="30" x14ac:dyDescent="0.25">
      <c r="A794" s="114">
        <v>113</v>
      </c>
      <c r="B794" s="1" t="s">
        <v>416</v>
      </c>
      <c r="C794" s="1" t="s">
        <v>295</v>
      </c>
      <c r="D794" s="2" t="s">
        <v>29</v>
      </c>
      <c r="E794" s="99" t="str">
        <f>IFERROR(VLOOKUP(C794,Resources!B:D,3,FALSE)," ")</f>
        <v xml:space="preserve"> </v>
      </c>
      <c r="F794" s="7"/>
      <c r="G794" s="7"/>
      <c r="H794" s="103">
        <f>VLOOKUP($A794,'Model Inputs'!$A:$D,4,FALSE)</f>
        <v>7</v>
      </c>
      <c r="I794" s="108" t="str">
        <f>IFERROR(VLOOKUP(C794,Resources!B:G,6,FALSE)," ")</f>
        <v xml:space="preserve"> </v>
      </c>
      <c r="J794" s="108">
        <f>SUBTOTAL(9,J796:J806)</f>
        <v>3363.9733333333334</v>
      </c>
      <c r="K794" s="7"/>
      <c r="L794" s="7">
        <f>ROUNDUP(L806,0)</f>
        <v>4</v>
      </c>
      <c r="M794" s="108">
        <f t="shared" ref="M794:Q794" si="1225">SUBTOTAL(9,M796:M806)</f>
        <v>25.2</v>
      </c>
      <c r="N794" s="108">
        <f t="shared" si="1225"/>
        <v>1856.7733333333335</v>
      </c>
      <c r="O794" s="108">
        <f t="shared" si="1225"/>
        <v>138</v>
      </c>
      <c r="P794" s="108">
        <f t="shared" si="1225"/>
        <v>1344</v>
      </c>
      <c r="Q794" s="108">
        <f t="shared" si="1225"/>
        <v>3363.9733333333334</v>
      </c>
      <c r="R794" s="120"/>
      <c r="T794" s="188"/>
    </row>
    <row r="795" spans="1:20" x14ac:dyDescent="0.25">
      <c r="A795" s="101"/>
      <c r="B795" s="4">
        <v>1</v>
      </c>
      <c r="C795" s="6" t="s">
        <v>187</v>
      </c>
      <c r="D795" s="4"/>
      <c r="E795" s="101" t="str">
        <f>IFERROR(VLOOKUP(C795,Resources!B:D,3,FALSE)," ")</f>
        <v xml:space="preserve"> </v>
      </c>
      <c r="F795" s="9"/>
      <c r="G795" s="9"/>
      <c r="H795" s="9"/>
      <c r="I795" s="38" t="str">
        <f>IFERROR(VLOOKUP(C795,Resources!B:G,6,FALSE)," ")</f>
        <v xml:space="preserve"> </v>
      </c>
      <c r="J795" s="38"/>
      <c r="K795" s="9"/>
      <c r="L795" s="9"/>
      <c r="M795" s="38"/>
      <c r="N795" s="38"/>
      <c r="O795" s="38"/>
      <c r="P795" s="38"/>
      <c r="Q795" s="38"/>
      <c r="R795" s="122"/>
      <c r="T795" s="188"/>
    </row>
    <row r="796" spans="1:20" x14ac:dyDescent="0.25">
      <c r="A796" s="100"/>
      <c r="B796" s="3">
        <v>2</v>
      </c>
      <c r="C796" s="5" t="s">
        <v>85</v>
      </c>
      <c r="D796" s="3" t="s">
        <v>86</v>
      </c>
      <c r="E796" s="100" t="str">
        <f>IFERROR(VLOOKUP(C796,Resources!B:D,3,FALSE)," ")</f>
        <v>M</v>
      </c>
      <c r="F796" s="8">
        <v>1</v>
      </c>
      <c r="G796" s="8">
        <v>1</v>
      </c>
      <c r="H796" s="8">
        <f>H794*6*0.125*1.1</f>
        <v>5.7750000000000004</v>
      </c>
      <c r="I796" s="109">
        <f>IFERROR(VLOOKUP(C796,Resources!B:G,6,FALSE)," ")</f>
        <v>192</v>
      </c>
      <c r="J796" s="109">
        <f t="shared" ref="J796:J799" si="1226">(H796/(G796/F796))*I796</f>
        <v>1108.8000000000002</v>
      </c>
      <c r="K796" s="8"/>
      <c r="L796" s="8" t="str">
        <f t="shared" ref="L796:L799" si="1227">IF(E796="M"," ",H796/G796)</f>
        <v xml:space="preserve"> </v>
      </c>
      <c r="M796" s="109">
        <f t="shared" ref="M796:M799" si="1228">IF($E796="L",$J796,0)</f>
        <v>0</v>
      </c>
      <c r="N796" s="109">
        <f t="shared" ref="N796:N799" si="1229">IF($E796="M",$J796,0)</f>
        <v>1108.8000000000002</v>
      </c>
      <c r="O796" s="109">
        <f t="shared" ref="O796:O799" si="1230">IF($E796="P",$J796,0)</f>
        <v>0</v>
      </c>
      <c r="P796" s="109">
        <f t="shared" ref="P796:P799" si="1231">IF($E796="S",$J796,0)</f>
        <v>0</v>
      </c>
      <c r="Q796" s="109">
        <f t="shared" ref="Q796:Q799" si="1232">SUM(M796:P796)</f>
        <v>1108.8000000000002</v>
      </c>
      <c r="R796" s="121" t="s">
        <v>2335</v>
      </c>
      <c r="T796" s="188"/>
    </row>
    <row r="797" spans="1:20" x14ac:dyDescent="0.25">
      <c r="A797" s="100"/>
      <c r="B797" s="3">
        <v>3</v>
      </c>
      <c r="C797" s="5" t="s">
        <v>81</v>
      </c>
      <c r="D797" s="3" t="s">
        <v>82</v>
      </c>
      <c r="E797" s="100" t="str">
        <f>IFERROR(VLOOKUP(C797,Resources!B:D,3,FALSE)," ")</f>
        <v>M</v>
      </c>
      <c r="F797" s="8">
        <v>1</v>
      </c>
      <c r="G797" s="8">
        <v>1</v>
      </c>
      <c r="H797" s="8">
        <f>H794*6*1.5*0.1</f>
        <v>6.3000000000000007</v>
      </c>
      <c r="I797" s="109">
        <f>IFERROR(VLOOKUP(C797,Resources!B:G,6,FALSE)," ")</f>
        <v>24</v>
      </c>
      <c r="J797" s="109">
        <f t="shared" si="1226"/>
        <v>151.20000000000002</v>
      </c>
      <c r="K797" s="8"/>
      <c r="L797" s="8" t="str">
        <f t="shared" si="1227"/>
        <v xml:space="preserve"> </v>
      </c>
      <c r="M797" s="109">
        <f t="shared" si="1228"/>
        <v>0</v>
      </c>
      <c r="N797" s="109">
        <f t="shared" si="1229"/>
        <v>151.20000000000002</v>
      </c>
      <c r="O797" s="109">
        <f t="shared" si="1230"/>
        <v>0</v>
      </c>
      <c r="P797" s="109">
        <f t="shared" si="1231"/>
        <v>0</v>
      </c>
      <c r="Q797" s="109">
        <f t="shared" si="1232"/>
        <v>151.20000000000002</v>
      </c>
      <c r="R797" s="121" t="s">
        <v>2341</v>
      </c>
      <c r="T797" s="188"/>
    </row>
    <row r="798" spans="1:20" x14ac:dyDescent="0.25">
      <c r="A798" s="100"/>
      <c r="B798" s="3">
        <v>4</v>
      </c>
      <c r="C798" s="5" t="s">
        <v>189</v>
      </c>
      <c r="D798" s="3" t="s">
        <v>83</v>
      </c>
      <c r="E798" s="100" t="str">
        <f>IFERROR(VLOOKUP(C798,Resources!B:D,3,FALSE)," ")</f>
        <v>M</v>
      </c>
      <c r="F798" s="8">
        <v>1</v>
      </c>
      <c r="G798" s="8">
        <v>1</v>
      </c>
      <c r="H798" s="8">
        <f>H794*6*1.2</f>
        <v>50.4</v>
      </c>
      <c r="I798" s="109">
        <f>IFERROR(VLOOKUP(C798,Resources!B:G,6,FALSE)," ")</f>
        <v>9.1</v>
      </c>
      <c r="J798" s="109">
        <f t="shared" si="1226"/>
        <v>458.64</v>
      </c>
      <c r="K798" s="8"/>
      <c r="L798" s="8" t="str">
        <f t="shared" si="1227"/>
        <v xml:space="preserve"> </v>
      </c>
      <c r="M798" s="109">
        <f t="shared" si="1228"/>
        <v>0</v>
      </c>
      <c r="N798" s="109">
        <f t="shared" si="1229"/>
        <v>458.64</v>
      </c>
      <c r="O798" s="109">
        <f t="shared" si="1230"/>
        <v>0</v>
      </c>
      <c r="P798" s="109">
        <f t="shared" si="1231"/>
        <v>0</v>
      </c>
      <c r="Q798" s="109">
        <f t="shared" si="1232"/>
        <v>458.64</v>
      </c>
      <c r="R798" s="121" t="s">
        <v>2343</v>
      </c>
      <c r="T798" s="188"/>
    </row>
    <row r="799" spans="1:20" x14ac:dyDescent="0.25">
      <c r="A799" s="100"/>
      <c r="B799" s="3">
        <v>5</v>
      </c>
      <c r="C799" s="5" t="s">
        <v>190</v>
      </c>
      <c r="D799" s="3" t="s">
        <v>89</v>
      </c>
      <c r="E799" s="100" t="str">
        <f>IFERROR(VLOOKUP(C799,Resources!B:D,3,FALSE)," ")</f>
        <v>M</v>
      </c>
      <c r="F799" s="8">
        <v>1</v>
      </c>
      <c r="G799" s="8">
        <v>1</v>
      </c>
      <c r="H799" s="8">
        <f>H794*6*1.2/1.5</f>
        <v>33.6</v>
      </c>
      <c r="I799" s="109">
        <f>IFERROR(VLOOKUP(C799,Resources!B:G,6,FALSE)," ")</f>
        <v>3</v>
      </c>
      <c r="J799" s="109">
        <f t="shared" si="1226"/>
        <v>100.80000000000001</v>
      </c>
      <c r="K799" s="8"/>
      <c r="L799" s="8" t="str">
        <f t="shared" si="1227"/>
        <v xml:space="preserve"> </v>
      </c>
      <c r="M799" s="109">
        <f t="shared" si="1228"/>
        <v>0</v>
      </c>
      <c r="N799" s="109">
        <f t="shared" si="1229"/>
        <v>100.80000000000001</v>
      </c>
      <c r="O799" s="109">
        <f t="shared" si="1230"/>
        <v>0</v>
      </c>
      <c r="P799" s="109">
        <f t="shared" si="1231"/>
        <v>0</v>
      </c>
      <c r="Q799" s="109">
        <f t="shared" si="1232"/>
        <v>100.80000000000001</v>
      </c>
      <c r="R799" s="121" t="s">
        <v>2343</v>
      </c>
      <c r="T799" s="188"/>
    </row>
    <row r="800" spans="1:20" x14ac:dyDescent="0.25">
      <c r="A800" s="101"/>
      <c r="B800" s="4">
        <v>6</v>
      </c>
      <c r="C800" s="6" t="s">
        <v>191</v>
      </c>
      <c r="D800" s="4"/>
      <c r="E800" s="101" t="str">
        <f>IFERROR(VLOOKUP(C800,Resources!B:D,3,FALSE)," ")</f>
        <v xml:space="preserve"> </v>
      </c>
      <c r="F800" s="9"/>
      <c r="G800" s="9"/>
      <c r="H800" s="9"/>
      <c r="I800" s="38" t="str">
        <f>IFERROR(VLOOKUP(C800,Resources!B:G,6,FALSE)," ")</f>
        <v xml:space="preserve"> </v>
      </c>
      <c r="J800" s="38"/>
      <c r="K800" s="9"/>
      <c r="L800" s="9"/>
      <c r="M800" s="38"/>
      <c r="N800" s="38"/>
      <c r="O800" s="38"/>
      <c r="P800" s="38"/>
      <c r="Q800" s="38"/>
      <c r="R800" s="122"/>
      <c r="T800" s="188"/>
    </row>
    <row r="801" spans="1:20" x14ac:dyDescent="0.25">
      <c r="A801" s="100">
        <v>113.1</v>
      </c>
      <c r="B801" s="3">
        <v>7</v>
      </c>
      <c r="C801" s="5" t="s">
        <v>63</v>
      </c>
      <c r="D801" s="3" t="s">
        <v>48</v>
      </c>
      <c r="E801" s="100" t="str">
        <f>IFERROR(VLOOKUP(C801,Resources!B:D,3,FALSE)," ")</f>
        <v>P</v>
      </c>
      <c r="F801" s="8">
        <v>1</v>
      </c>
      <c r="G801" s="103">
        <f>VLOOKUP($A801,'Model Inputs'!$A:$D,4,FALSE)</f>
        <v>7</v>
      </c>
      <c r="H801" s="8">
        <f>H794*6*0.1</f>
        <v>4.2</v>
      </c>
      <c r="I801" s="109">
        <f>IFERROR(VLOOKUP(C801,Resources!B:G,6,FALSE)," ")</f>
        <v>135</v>
      </c>
      <c r="J801" s="109">
        <f t="shared" ref="J801:J806" si="1233">(H801/(G801/F801))*I801</f>
        <v>81</v>
      </c>
      <c r="K801" s="8">
        <f t="shared" ref="K801:K803" si="1234">L801*F801</f>
        <v>0.6</v>
      </c>
      <c r="L801" s="8">
        <f t="shared" ref="L801:L805" si="1235">IF(E801="M"," ",H801/G801)</f>
        <v>0.6</v>
      </c>
      <c r="M801" s="109">
        <f t="shared" ref="M801:M806" si="1236">IF($E801="L",$J801,0)</f>
        <v>0</v>
      </c>
      <c r="N801" s="109">
        <f t="shared" ref="N801:N806" si="1237">IF($E801="M",$J801,0)</f>
        <v>0</v>
      </c>
      <c r="O801" s="109">
        <f t="shared" ref="O801:O806" si="1238">IF($E801="P",$J801,0)</f>
        <v>81</v>
      </c>
      <c r="P801" s="109">
        <f t="shared" ref="P801:P806" si="1239">IF($E801="S",$J801,0)</f>
        <v>0</v>
      </c>
      <c r="Q801" s="109">
        <f t="shared" ref="Q801:Q806" si="1240">SUM(M801:P801)</f>
        <v>81</v>
      </c>
      <c r="R801" s="121">
        <v>71</v>
      </c>
      <c r="T801" s="188"/>
    </row>
    <row r="802" spans="1:20" x14ac:dyDescent="0.25">
      <c r="A802" s="100"/>
      <c r="B802" s="3">
        <v>8</v>
      </c>
      <c r="C802" s="5" t="s">
        <v>173</v>
      </c>
      <c r="D802" s="3" t="s">
        <v>48</v>
      </c>
      <c r="E802" s="100" t="str">
        <f>IFERROR(VLOOKUP(C802,Resources!B:D,3,FALSE)," ")</f>
        <v>P</v>
      </c>
      <c r="F802" s="8">
        <v>1</v>
      </c>
      <c r="G802" s="8">
        <f>G801</f>
        <v>7</v>
      </c>
      <c r="H802" s="8">
        <f>H794*6*0.1</f>
        <v>4.2</v>
      </c>
      <c r="I802" s="109">
        <f>IFERROR(VLOOKUP(C802,Resources!B:G,6,FALSE)," ")</f>
        <v>95</v>
      </c>
      <c r="J802" s="109">
        <f t="shared" si="1233"/>
        <v>57</v>
      </c>
      <c r="K802" s="8">
        <f t="shared" si="1234"/>
        <v>0.6</v>
      </c>
      <c r="L802" s="8">
        <f t="shared" si="1235"/>
        <v>0.6</v>
      </c>
      <c r="M802" s="109">
        <f t="shared" si="1236"/>
        <v>0</v>
      </c>
      <c r="N802" s="109">
        <f t="shared" si="1237"/>
        <v>0</v>
      </c>
      <c r="O802" s="109">
        <f t="shared" si="1238"/>
        <v>57</v>
      </c>
      <c r="P802" s="109">
        <f t="shared" si="1239"/>
        <v>0</v>
      </c>
      <c r="Q802" s="109">
        <f t="shared" si="1240"/>
        <v>57</v>
      </c>
      <c r="R802" s="121">
        <v>71</v>
      </c>
      <c r="T802" s="188"/>
    </row>
    <row r="803" spans="1:20" x14ac:dyDescent="0.25">
      <c r="A803" s="100"/>
      <c r="B803" s="3">
        <v>9</v>
      </c>
      <c r="C803" s="5" t="s">
        <v>8</v>
      </c>
      <c r="D803" s="3" t="s">
        <v>48</v>
      </c>
      <c r="E803" s="100" t="str">
        <f>IFERROR(VLOOKUP(C803,Resources!B:D,3,FALSE)," ")</f>
        <v>L</v>
      </c>
      <c r="F803" s="8">
        <v>1</v>
      </c>
      <c r="G803" s="8">
        <f>G801</f>
        <v>7</v>
      </c>
      <c r="H803" s="8">
        <f>H794*6*0.1</f>
        <v>4.2</v>
      </c>
      <c r="I803" s="109">
        <f>IFERROR(VLOOKUP(C803,Resources!B:G,6,FALSE)," ")</f>
        <v>42</v>
      </c>
      <c r="J803" s="109">
        <f t="shared" si="1233"/>
        <v>25.2</v>
      </c>
      <c r="K803" s="8">
        <f t="shared" si="1234"/>
        <v>0.6</v>
      </c>
      <c r="L803" s="8">
        <f t="shared" si="1235"/>
        <v>0.6</v>
      </c>
      <c r="M803" s="109">
        <f t="shared" si="1236"/>
        <v>25.2</v>
      </c>
      <c r="N803" s="109">
        <f t="shared" si="1237"/>
        <v>0</v>
      </c>
      <c r="O803" s="109">
        <f t="shared" si="1238"/>
        <v>0</v>
      </c>
      <c r="P803" s="109">
        <f t="shared" si="1239"/>
        <v>0</v>
      </c>
      <c r="Q803" s="109">
        <f t="shared" si="1240"/>
        <v>25.2</v>
      </c>
      <c r="R803" s="121">
        <v>71</v>
      </c>
      <c r="T803" s="188"/>
    </row>
    <row r="804" spans="1:20" x14ac:dyDescent="0.25">
      <c r="A804" s="101"/>
      <c r="B804" s="4">
        <v>10</v>
      </c>
      <c r="C804" s="6" t="s">
        <v>192</v>
      </c>
      <c r="D804" s="4"/>
      <c r="E804" s="101" t="str">
        <f>IFERROR(VLOOKUP(C804,Resources!B:D,3,FALSE)," ")</f>
        <v xml:space="preserve"> </v>
      </c>
      <c r="F804" s="9"/>
      <c r="G804" s="9"/>
      <c r="H804" s="9"/>
      <c r="I804" s="38" t="str">
        <f>IFERROR(VLOOKUP(C804,Resources!B:G,6,FALSE)," ")</f>
        <v xml:space="preserve"> </v>
      </c>
      <c r="J804" s="38"/>
      <c r="K804" s="9"/>
      <c r="L804" s="9"/>
      <c r="M804" s="38"/>
      <c r="N804" s="38"/>
      <c r="O804" s="38"/>
      <c r="P804" s="38"/>
      <c r="Q804" s="38"/>
      <c r="R804" s="122"/>
      <c r="T804" s="188"/>
    </row>
    <row r="805" spans="1:20" x14ac:dyDescent="0.25">
      <c r="A805" s="100"/>
      <c r="B805" s="3">
        <v>11</v>
      </c>
      <c r="C805" s="5" t="s">
        <v>84</v>
      </c>
      <c r="D805" s="3" t="s">
        <v>29</v>
      </c>
      <c r="E805" s="100" t="str">
        <f>IFERROR(VLOOKUP(C805,Resources!B:D,3,FALSE)," ")</f>
        <v>M</v>
      </c>
      <c r="F805" s="8">
        <v>1</v>
      </c>
      <c r="G805" s="8">
        <v>1</v>
      </c>
      <c r="H805" s="8">
        <f>H794*6/0.9</f>
        <v>46.666666666666664</v>
      </c>
      <c r="I805" s="109">
        <f>IFERROR(VLOOKUP(C805,Resources!B:G,6,FALSE)," ")</f>
        <v>0.8</v>
      </c>
      <c r="J805" s="109">
        <f t="shared" si="1233"/>
        <v>37.333333333333336</v>
      </c>
      <c r="K805" s="8"/>
      <c r="L805" s="8" t="str">
        <f t="shared" si="1235"/>
        <v xml:space="preserve"> </v>
      </c>
      <c r="M805" s="109">
        <f t="shared" si="1236"/>
        <v>0</v>
      </c>
      <c r="N805" s="109">
        <f t="shared" si="1237"/>
        <v>37.333333333333336</v>
      </c>
      <c r="O805" s="109">
        <f t="shared" si="1238"/>
        <v>0</v>
      </c>
      <c r="P805" s="109">
        <f t="shared" si="1239"/>
        <v>0</v>
      </c>
      <c r="Q805" s="109">
        <f t="shared" si="1240"/>
        <v>37.333333333333336</v>
      </c>
      <c r="R805" s="121" t="s">
        <v>2343</v>
      </c>
      <c r="T805" s="188"/>
    </row>
    <row r="806" spans="1:20" x14ac:dyDescent="0.25">
      <c r="A806" s="100"/>
      <c r="B806" s="3">
        <v>12</v>
      </c>
      <c r="C806" s="5" t="s">
        <v>193</v>
      </c>
      <c r="D806" s="3" t="s">
        <v>83</v>
      </c>
      <c r="E806" s="100" t="str">
        <f>IFERROR(VLOOKUP(C806,Resources!B:D,3,FALSE)," ")</f>
        <v>S</v>
      </c>
      <c r="F806" s="8">
        <v>1</v>
      </c>
      <c r="G806" s="8">
        <v>1</v>
      </c>
      <c r="H806" s="8">
        <f>H794*6</f>
        <v>42</v>
      </c>
      <c r="I806" s="109">
        <f>IFERROR(VLOOKUP(C806,Resources!B:G,6,FALSE)," ")</f>
        <v>32</v>
      </c>
      <c r="J806" s="109">
        <f t="shared" si="1233"/>
        <v>1344</v>
      </c>
      <c r="K806" s="8"/>
      <c r="L806" s="8">
        <f>H794/2</f>
        <v>3.5</v>
      </c>
      <c r="M806" s="109">
        <f t="shared" si="1236"/>
        <v>0</v>
      </c>
      <c r="N806" s="109">
        <f t="shared" si="1237"/>
        <v>0</v>
      </c>
      <c r="O806" s="109">
        <f t="shared" si="1238"/>
        <v>0</v>
      </c>
      <c r="P806" s="109">
        <f t="shared" si="1239"/>
        <v>1344</v>
      </c>
      <c r="Q806" s="109">
        <f t="shared" si="1240"/>
        <v>1344</v>
      </c>
      <c r="R806" s="121">
        <v>71</v>
      </c>
      <c r="T806" s="188"/>
    </row>
    <row r="807" spans="1:20" x14ac:dyDescent="0.25">
      <c r="A807" s="101"/>
      <c r="B807" s="4"/>
      <c r="C807" s="6"/>
      <c r="D807" s="4"/>
      <c r="E807" s="101" t="str">
        <f>IFERROR(VLOOKUP(C807,Resources!B:D,3,FALSE)," ")</f>
        <v xml:space="preserve"> </v>
      </c>
      <c r="F807" s="9"/>
      <c r="G807" s="9"/>
      <c r="H807" s="9"/>
      <c r="I807" s="38" t="str">
        <f>IFERROR(VLOOKUP(C807,Resources!B:G,6,FALSE)," ")</f>
        <v xml:space="preserve"> </v>
      </c>
      <c r="J807" s="38"/>
      <c r="K807" s="9"/>
      <c r="L807" s="9"/>
      <c r="M807" s="38"/>
      <c r="N807" s="38"/>
      <c r="O807" s="38"/>
      <c r="P807" s="38"/>
      <c r="Q807" s="38"/>
      <c r="R807" s="122"/>
      <c r="T807" s="188"/>
    </row>
    <row r="808" spans="1:20" ht="30" x14ac:dyDescent="0.25">
      <c r="A808" s="114"/>
      <c r="B808" s="1" t="s">
        <v>417</v>
      </c>
      <c r="C808" s="1" t="s">
        <v>418</v>
      </c>
      <c r="D808" s="2"/>
      <c r="E808" s="99" t="str">
        <f>IFERROR(VLOOKUP(C808,Resources!B:D,3,FALSE)," ")</f>
        <v xml:space="preserve"> </v>
      </c>
      <c r="F808" s="7"/>
      <c r="G808" s="7"/>
      <c r="H808" s="7"/>
      <c r="I808" s="108" t="str">
        <f>IFERROR(VLOOKUP(C808,Resources!B:G,6,FALSE)," ")</f>
        <v xml:space="preserve"> </v>
      </c>
      <c r="J808" s="108"/>
      <c r="K808" s="7"/>
      <c r="L808" s="7"/>
      <c r="M808" s="108"/>
      <c r="N808" s="108"/>
      <c r="O808" s="108"/>
      <c r="P808" s="108"/>
      <c r="Q808" s="108"/>
      <c r="R808" s="120"/>
      <c r="T808" s="188"/>
    </row>
    <row r="809" spans="1:20" ht="30" x14ac:dyDescent="0.25">
      <c r="A809" s="114"/>
      <c r="B809" s="1" t="s">
        <v>419</v>
      </c>
      <c r="C809" s="1" t="s">
        <v>420</v>
      </c>
      <c r="D809" s="2"/>
      <c r="E809" s="99" t="str">
        <f>IFERROR(VLOOKUP(C809,Resources!B:D,3,FALSE)," ")</f>
        <v xml:space="preserve"> </v>
      </c>
      <c r="F809" s="7"/>
      <c r="G809" s="7"/>
      <c r="H809" s="7"/>
      <c r="I809" s="108" t="str">
        <f>IFERROR(VLOOKUP(C809,Resources!B:G,6,FALSE)," ")</f>
        <v xml:space="preserve"> </v>
      </c>
      <c r="J809" s="108"/>
      <c r="K809" s="7"/>
      <c r="L809" s="7"/>
      <c r="M809" s="108"/>
      <c r="N809" s="108"/>
      <c r="O809" s="108"/>
      <c r="P809" s="108"/>
      <c r="Q809" s="108"/>
      <c r="R809" s="120"/>
      <c r="T809" s="188"/>
    </row>
    <row r="810" spans="1:20" ht="30" x14ac:dyDescent="0.25">
      <c r="A810" s="114"/>
      <c r="B810" s="1" t="s">
        <v>421</v>
      </c>
      <c r="C810" s="1" t="s">
        <v>422</v>
      </c>
      <c r="D810" s="2" t="s">
        <v>20</v>
      </c>
      <c r="E810" s="99" t="str">
        <f>IFERROR(VLOOKUP(C810,Resources!B:D,3,FALSE)," ")</f>
        <v xml:space="preserve"> </v>
      </c>
      <c r="F810" s="7"/>
      <c r="G810" s="7"/>
      <c r="H810" s="7">
        <v>1</v>
      </c>
      <c r="I810" s="108" t="str">
        <f>IFERROR(VLOOKUP(C810,Resources!B:G,6,FALSE)," ")</f>
        <v xml:space="preserve"> </v>
      </c>
      <c r="J810" s="108"/>
      <c r="K810" s="7"/>
      <c r="L810" s="7"/>
      <c r="M810" s="108"/>
      <c r="N810" s="108"/>
      <c r="O810" s="108"/>
      <c r="P810" s="108"/>
      <c r="Q810" s="108"/>
      <c r="R810" s="120"/>
      <c r="T810" s="188"/>
    </row>
    <row r="811" spans="1:20" x14ac:dyDescent="0.25">
      <c r="A811" s="101"/>
      <c r="B811" s="4"/>
      <c r="C811" s="6"/>
      <c r="D811" s="4"/>
      <c r="E811" s="101" t="str">
        <f>IFERROR(VLOOKUP(C811,Resources!B:D,3,FALSE)," ")</f>
        <v xml:space="preserve"> </v>
      </c>
      <c r="F811" s="9"/>
      <c r="G811" s="9"/>
      <c r="H811" s="9"/>
      <c r="I811" s="38" t="str">
        <f>IFERROR(VLOOKUP(C811,Resources!B:G,6,FALSE)," ")</f>
        <v xml:space="preserve"> </v>
      </c>
      <c r="J811" s="38"/>
      <c r="K811" s="9"/>
      <c r="L811" s="9"/>
      <c r="M811" s="38"/>
      <c r="N811" s="38"/>
      <c r="O811" s="38"/>
      <c r="P811" s="38"/>
      <c r="Q811" s="38"/>
      <c r="R811" s="122"/>
      <c r="T811" s="188"/>
    </row>
    <row r="812" spans="1:20" ht="30" x14ac:dyDescent="0.25">
      <c r="A812" s="114"/>
      <c r="B812" s="1" t="s">
        <v>423</v>
      </c>
      <c r="C812" s="1" t="s">
        <v>145</v>
      </c>
      <c r="D812" s="2"/>
      <c r="E812" s="99" t="str">
        <f>IFERROR(VLOOKUP(C812,Resources!B:D,3,FALSE)," ")</f>
        <v xml:space="preserve"> </v>
      </c>
      <c r="F812" s="7"/>
      <c r="G812" s="7"/>
      <c r="H812" s="7"/>
      <c r="I812" s="108" t="str">
        <f>IFERROR(VLOOKUP(C812,Resources!B:G,6,FALSE)," ")</f>
        <v xml:space="preserve"> </v>
      </c>
      <c r="J812" s="108"/>
      <c r="K812" s="7"/>
      <c r="L812" s="7"/>
      <c r="M812" s="108"/>
      <c r="N812" s="108"/>
      <c r="O812" s="108"/>
      <c r="P812" s="108"/>
      <c r="Q812" s="108"/>
      <c r="R812" s="120"/>
      <c r="T812" s="188"/>
    </row>
    <row r="813" spans="1:20" ht="30" x14ac:dyDescent="0.25">
      <c r="A813" s="114">
        <v>114</v>
      </c>
      <c r="B813" s="1" t="s">
        <v>424</v>
      </c>
      <c r="C813" s="1" t="s">
        <v>147</v>
      </c>
      <c r="D813" s="2" t="s">
        <v>20</v>
      </c>
      <c r="E813" s="99" t="str">
        <f>IFERROR(VLOOKUP(C813,Resources!B:D,3,FALSE)," ")</f>
        <v xml:space="preserve"> </v>
      </c>
      <c r="F813" s="7"/>
      <c r="G813" s="7"/>
      <c r="H813" s="103">
        <f>VLOOKUP($A813,'Model Inputs'!$A:$D,4,FALSE)</f>
        <v>1</v>
      </c>
      <c r="I813" s="108" t="str">
        <f>IFERROR(VLOOKUP(C813,Resources!B:G,6,FALSE)," ")</f>
        <v xml:space="preserve"> </v>
      </c>
      <c r="J813" s="108">
        <f>SUBTOTAL(9,J814)</f>
        <v>2500</v>
      </c>
      <c r="K813" s="7"/>
      <c r="L813" s="7">
        <f>ROUNDUP(L814,0)</f>
        <v>20</v>
      </c>
      <c r="M813" s="108">
        <f t="shared" ref="M813:Q813" si="1241">SUBTOTAL(9,M814)</f>
        <v>0</v>
      </c>
      <c r="N813" s="108">
        <f t="shared" si="1241"/>
        <v>0</v>
      </c>
      <c r="O813" s="108">
        <f t="shared" si="1241"/>
        <v>0</v>
      </c>
      <c r="P813" s="108">
        <f t="shared" si="1241"/>
        <v>2500</v>
      </c>
      <c r="Q813" s="108">
        <f t="shared" si="1241"/>
        <v>2500</v>
      </c>
      <c r="R813" s="120"/>
      <c r="T813" s="188"/>
    </row>
    <row r="814" spans="1:20" x14ac:dyDescent="0.25">
      <c r="A814" s="100"/>
      <c r="B814" s="3">
        <v>1</v>
      </c>
      <c r="C814" s="5" t="s">
        <v>148</v>
      </c>
      <c r="D814" s="3" t="s">
        <v>33</v>
      </c>
      <c r="E814" s="100" t="str">
        <f>IFERROR(VLOOKUP(C814,Resources!B:D,3,FALSE)," ")</f>
        <v>S</v>
      </c>
      <c r="F814" s="8">
        <v>1</v>
      </c>
      <c r="G814" s="8">
        <v>1</v>
      </c>
      <c r="H814" s="8">
        <f>H813*2500</f>
        <v>2500</v>
      </c>
      <c r="I814" s="109">
        <f>IFERROR(VLOOKUP(C814,Resources!B:G,6,FALSE)," ")</f>
        <v>1</v>
      </c>
      <c r="J814" s="109">
        <f t="shared" ref="J814" si="1242">(H814/(G814/F814))*I814</f>
        <v>2500</v>
      </c>
      <c r="K814" s="8"/>
      <c r="L814" s="8">
        <f>H814/125</f>
        <v>20</v>
      </c>
      <c r="M814" s="109">
        <f t="shared" ref="M814" si="1243">IF($E814="L",$J814,0)</f>
        <v>0</v>
      </c>
      <c r="N814" s="109">
        <f t="shared" ref="N814" si="1244">IF($E814="M",$J814,0)</f>
        <v>0</v>
      </c>
      <c r="O814" s="109">
        <f t="shared" ref="O814" si="1245">IF($E814="P",$J814,0)</f>
        <v>0</v>
      </c>
      <c r="P814" s="109">
        <f t="shared" ref="P814" si="1246">IF($E814="S",$J814,0)</f>
        <v>2500</v>
      </c>
      <c r="Q814" s="109">
        <f t="shared" ref="Q814" si="1247">SUM(M814:P814)</f>
        <v>2500</v>
      </c>
      <c r="R814" s="121">
        <v>12</v>
      </c>
      <c r="T814" s="188"/>
    </row>
    <row r="815" spans="1:20" x14ac:dyDescent="0.25">
      <c r="A815" s="101"/>
      <c r="B815" s="4"/>
      <c r="C815" s="6"/>
      <c r="D815" s="4"/>
      <c r="E815" s="101" t="str">
        <f>IFERROR(VLOOKUP(C815,Resources!B:D,3,FALSE)," ")</f>
        <v xml:space="preserve"> </v>
      </c>
      <c r="F815" s="9"/>
      <c r="G815" s="9"/>
      <c r="H815" s="9"/>
      <c r="I815" s="38" t="str">
        <f>IFERROR(VLOOKUP(C815,Resources!B:G,6,FALSE)," ")</f>
        <v xml:space="preserve"> </v>
      </c>
      <c r="J815" s="38"/>
      <c r="K815" s="9"/>
      <c r="L815" s="9"/>
      <c r="M815" s="38"/>
      <c r="N815" s="38"/>
      <c r="O815" s="38"/>
      <c r="P815" s="38"/>
      <c r="Q815" s="38"/>
      <c r="R815" s="122"/>
      <c r="T815" s="188"/>
    </row>
    <row r="816" spans="1:20" ht="30" x14ac:dyDescent="0.25">
      <c r="A816" s="114">
        <v>600</v>
      </c>
      <c r="B816" s="1" t="s">
        <v>425</v>
      </c>
      <c r="C816" s="1" t="s">
        <v>426</v>
      </c>
      <c r="D816" s="2"/>
      <c r="E816" s="99" t="str">
        <f>IFERROR(VLOOKUP(C816,Resources!B:D,3,FALSE)," ")</f>
        <v xml:space="preserve"> </v>
      </c>
      <c r="F816" s="7"/>
      <c r="G816" s="7"/>
      <c r="H816" s="7"/>
      <c r="I816" s="108" t="str">
        <f>IFERROR(VLOOKUP(C816,Resources!B:G,6,FALSE)," ")</f>
        <v xml:space="preserve"> </v>
      </c>
      <c r="J816" s="108"/>
      <c r="K816" s="7"/>
      <c r="L816" s="7"/>
      <c r="M816" s="108"/>
      <c r="N816" s="108"/>
      <c r="O816" s="108"/>
      <c r="P816" s="108"/>
      <c r="Q816" s="108"/>
      <c r="R816" s="120"/>
      <c r="T816" s="188"/>
    </row>
    <row r="817" spans="1:20" ht="30" x14ac:dyDescent="0.25">
      <c r="A817" s="114"/>
      <c r="B817" s="1" t="s">
        <v>427</v>
      </c>
      <c r="C817" s="1" t="s">
        <v>17</v>
      </c>
      <c r="D817" s="2"/>
      <c r="E817" s="99" t="str">
        <f>IFERROR(VLOOKUP(C817,Resources!B:D,3,FALSE)," ")</f>
        <v xml:space="preserve"> </v>
      </c>
      <c r="F817" s="7"/>
      <c r="G817" s="7"/>
      <c r="H817" s="7"/>
      <c r="I817" s="108" t="str">
        <f>IFERROR(VLOOKUP(C817,Resources!B:G,6,FALSE)," ")</f>
        <v xml:space="preserve"> </v>
      </c>
      <c r="J817" s="108"/>
      <c r="K817" s="7"/>
      <c r="L817" s="7"/>
      <c r="M817" s="108"/>
      <c r="N817" s="108"/>
      <c r="O817" s="108"/>
      <c r="P817" s="108"/>
      <c r="Q817" s="108"/>
      <c r="R817" s="120"/>
      <c r="T817" s="188"/>
    </row>
    <row r="818" spans="1:20" ht="30" x14ac:dyDescent="0.25">
      <c r="A818" s="114"/>
      <c r="B818" s="1" t="s">
        <v>428</v>
      </c>
      <c r="C818" s="1" t="s">
        <v>25</v>
      </c>
      <c r="D818" s="2"/>
      <c r="E818" s="99" t="str">
        <f>IFERROR(VLOOKUP(C818,Resources!B:D,3,FALSE)," ")</f>
        <v xml:space="preserve"> </v>
      </c>
      <c r="F818" s="7"/>
      <c r="G818" s="7"/>
      <c r="H818" s="7"/>
      <c r="I818" s="108" t="str">
        <f>IFERROR(VLOOKUP(C818,Resources!B:G,6,FALSE)," ")</f>
        <v xml:space="preserve"> </v>
      </c>
      <c r="J818" s="108"/>
      <c r="K818" s="7"/>
      <c r="L818" s="7"/>
      <c r="M818" s="108"/>
      <c r="N818" s="108"/>
      <c r="O818" s="108"/>
      <c r="P818" s="108"/>
      <c r="Q818" s="108"/>
      <c r="R818" s="120"/>
      <c r="T818" s="188"/>
    </row>
    <row r="819" spans="1:20" ht="30" x14ac:dyDescent="0.25">
      <c r="A819" s="114">
        <v>115</v>
      </c>
      <c r="B819" s="1" t="s">
        <v>429</v>
      </c>
      <c r="C819" s="1" t="s">
        <v>27</v>
      </c>
      <c r="D819" s="2" t="s">
        <v>20</v>
      </c>
      <c r="E819" s="99" t="str">
        <f>IFERROR(VLOOKUP(C819,Resources!B:D,3,FALSE)," ")</f>
        <v xml:space="preserve"> </v>
      </c>
      <c r="F819" s="7"/>
      <c r="G819" s="7"/>
      <c r="H819" s="103">
        <f>VLOOKUP($A819,'Model Inputs'!$A:$D,4,FALSE)</f>
        <v>1</v>
      </c>
      <c r="I819" s="108" t="str">
        <f>IFERROR(VLOOKUP(C819,Resources!B:G,6,FALSE)," ")</f>
        <v xml:space="preserve"> </v>
      </c>
      <c r="J819" s="108">
        <f>SUBTOTAL(9,J820:J826)</f>
        <v>9760</v>
      </c>
      <c r="K819" s="7"/>
      <c r="L819" s="7">
        <v>0</v>
      </c>
      <c r="M819" s="108">
        <f t="shared" ref="M819:Q819" si="1248">SUBTOTAL(9,M820:M826)</f>
        <v>3250</v>
      </c>
      <c r="N819" s="108">
        <f t="shared" si="1248"/>
        <v>0</v>
      </c>
      <c r="O819" s="108">
        <f t="shared" si="1248"/>
        <v>0</v>
      </c>
      <c r="P819" s="108">
        <f t="shared" si="1248"/>
        <v>6510</v>
      </c>
      <c r="Q819" s="108">
        <f t="shared" si="1248"/>
        <v>9760</v>
      </c>
      <c r="R819" s="120"/>
      <c r="T819" s="188"/>
    </row>
    <row r="820" spans="1:20" x14ac:dyDescent="0.25">
      <c r="A820" s="100"/>
      <c r="B820" s="3">
        <v>1</v>
      </c>
      <c r="C820" s="5" t="s">
        <v>21</v>
      </c>
      <c r="D820" s="3" t="s">
        <v>22</v>
      </c>
      <c r="E820" s="100" t="str">
        <f>IFERROR(VLOOKUP(C820,Resources!B:D,3,FALSE)," ")</f>
        <v>L</v>
      </c>
      <c r="F820" s="8">
        <v>1</v>
      </c>
      <c r="G820" s="8">
        <v>1</v>
      </c>
      <c r="H820" s="8">
        <f>H819</f>
        <v>1</v>
      </c>
      <c r="I820" s="109">
        <f>IFERROR(VLOOKUP(C820,Resources!B:G,6,FALSE)," ")</f>
        <v>3250</v>
      </c>
      <c r="J820" s="109">
        <f t="shared" ref="J820" si="1249">(H820/(G820/F820))*I820</f>
        <v>3250</v>
      </c>
      <c r="K820" s="8"/>
      <c r="L820" s="8"/>
      <c r="M820" s="109">
        <f t="shared" ref="M820" si="1250">IF($E820="L",$J820,0)</f>
        <v>3250</v>
      </c>
      <c r="N820" s="109">
        <f t="shared" ref="N820" si="1251">IF($E820="M",$J820,0)</f>
        <v>0</v>
      </c>
      <c r="O820" s="109">
        <f t="shared" ref="O820" si="1252">IF($E820="P",$J820,0)</f>
        <v>0</v>
      </c>
      <c r="P820" s="109">
        <f t="shared" ref="P820" si="1253">IF($E820="S",$J820,0)</f>
        <v>0</v>
      </c>
      <c r="Q820" s="109">
        <f t="shared" ref="Q820" si="1254">SUM(M820:P820)</f>
        <v>3250</v>
      </c>
      <c r="R820" s="121">
        <v>901</v>
      </c>
      <c r="T820" s="188"/>
    </row>
    <row r="821" spans="1:20" x14ac:dyDescent="0.25">
      <c r="A821" s="100">
        <v>115.1</v>
      </c>
      <c r="B821" s="3">
        <v>2</v>
      </c>
      <c r="C821" s="5" t="s">
        <v>2367</v>
      </c>
      <c r="D821" s="3"/>
      <c r="E821" s="100" t="str">
        <f>IFERROR(VLOOKUP(C821,Resources!B:D,3,FALSE)," ")</f>
        <v xml:space="preserve"> </v>
      </c>
      <c r="F821" s="8"/>
      <c r="G821" s="8"/>
      <c r="H821" s="103">
        <f>VLOOKUP($A821,'Model Inputs'!$A:$D,4,FALSE)</f>
        <v>12</v>
      </c>
      <c r="I821" s="109" t="str">
        <f>IFERROR(VLOOKUP(C821,Resources!B:G,6,FALSE)," ")</f>
        <v xml:space="preserve"> </v>
      </c>
      <c r="J821" s="109"/>
      <c r="K821" s="8"/>
      <c r="L821" s="8"/>
      <c r="M821" s="109"/>
      <c r="N821" s="109"/>
      <c r="O821" s="109"/>
      <c r="P821" s="109"/>
      <c r="Q821" s="109"/>
      <c r="R821" s="121"/>
      <c r="T821" s="188"/>
    </row>
    <row r="822" spans="1:20" x14ac:dyDescent="0.25">
      <c r="A822" s="100">
        <v>115.2</v>
      </c>
      <c r="B822" s="3">
        <v>3</v>
      </c>
      <c r="C822" s="5" t="s">
        <v>2363</v>
      </c>
      <c r="D822" s="3"/>
      <c r="E822" s="100" t="str">
        <f>IFERROR(VLOOKUP(C822,Resources!B:D,3,FALSE)," ")</f>
        <v xml:space="preserve"> </v>
      </c>
      <c r="F822" s="8"/>
      <c r="G822" s="8"/>
      <c r="H822" s="103">
        <f>VLOOKUP($A822,'Model Inputs'!$A:$D,4,FALSE)</f>
        <v>6</v>
      </c>
      <c r="I822" s="109" t="str">
        <f>IFERROR(VLOOKUP(C822,Resources!B:G,6,FALSE)," ")</f>
        <v xml:space="preserve"> </v>
      </c>
      <c r="J822" s="109"/>
      <c r="K822" s="8"/>
      <c r="L822" s="8"/>
      <c r="M822" s="109"/>
      <c r="N822" s="109"/>
      <c r="O822" s="109"/>
      <c r="P822" s="109"/>
      <c r="Q822" s="109"/>
      <c r="R822" s="121"/>
      <c r="T822" s="188"/>
    </row>
    <row r="823" spans="1:20" x14ac:dyDescent="0.25">
      <c r="A823" s="100"/>
      <c r="B823" s="3">
        <v>4</v>
      </c>
      <c r="C823" s="5" t="s">
        <v>28</v>
      </c>
      <c r="D823" s="3" t="s">
        <v>29</v>
      </c>
      <c r="E823" s="100" t="str">
        <f>IFERROR(VLOOKUP(C823,Resources!B:D,3,FALSE)," ")</f>
        <v>S</v>
      </c>
      <c r="F823" s="8">
        <v>1</v>
      </c>
      <c r="G823" s="8">
        <v>1</v>
      </c>
      <c r="H823" s="8">
        <f>H821*H819</f>
        <v>12</v>
      </c>
      <c r="I823" s="109">
        <f>IFERROR(VLOOKUP(C823,Resources!B:G,6,FALSE)," ")</f>
        <v>45</v>
      </c>
      <c r="J823" s="109">
        <f t="shared" ref="J823:J825" si="1255">(H823/(G823/F823))*I823</f>
        <v>540</v>
      </c>
      <c r="K823" s="8"/>
      <c r="L823" s="8">
        <f t="shared" ref="L823:L826" si="1256">H823/125</f>
        <v>9.6000000000000002E-2</v>
      </c>
      <c r="M823" s="109">
        <f t="shared" ref="M823:M826" si="1257">IF($E823="L",$J823,0)</f>
        <v>0</v>
      </c>
      <c r="N823" s="109">
        <f t="shared" ref="N823:N826" si="1258">IF($E823="M",$J823,0)</f>
        <v>0</v>
      </c>
      <c r="O823" s="109">
        <f t="shared" ref="O823:O826" si="1259">IF($E823="P",$J823,0)</f>
        <v>0</v>
      </c>
      <c r="P823" s="109">
        <f t="shared" ref="P823:P826" si="1260">IF($E823="S",$J823,0)</f>
        <v>540</v>
      </c>
      <c r="Q823" s="109">
        <f t="shared" ref="Q823:Q826" si="1261">SUM(M823:P823)</f>
        <v>540</v>
      </c>
      <c r="R823" s="121">
        <v>13</v>
      </c>
      <c r="T823" s="188"/>
    </row>
    <row r="824" spans="1:20" x14ac:dyDescent="0.25">
      <c r="A824" s="100"/>
      <c r="B824" s="3">
        <v>5</v>
      </c>
      <c r="C824" s="5" t="s">
        <v>30</v>
      </c>
      <c r="D824" s="3" t="s">
        <v>29</v>
      </c>
      <c r="E824" s="100" t="str">
        <f>IFERROR(VLOOKUP(C824,Resources!B:D,3,FALSE)," ")</f>
        <v>S</v>
      </c>
      <c r="F824" s="8">
        <v>1</v>
      </c>
      <c r="G824" s="8">
        <v>1</v>
      </c>
      <c r="H824" s="8">
        <v>3</v>
      </c>
      <c r="I824" s="109">
        <f>IFERROR(VLOOKUP(C824,Resources!B:G,6,FALSE)," ")</f>
        <v>390</v>
      </c>
      <c r="J824" s="109">
        <f t="shared" si="1255"/>
        <v>1170</v>
      </c>
      <c r="K824" s="8"/>
      <c r="L824" s="8">
        <f t="shared" si="1256"/>
        <v>2.4E-2</v>
      </c>
      <c r="M824" s="109">
        <f t="shared" si="1257"/>
        <v>0</v>
      </c>
      <c r="N824" s="109">
        <f t="shared" si="1258"/>
        <v>0</v>
      </c>
      <c r="O824" s="109">
        <f t="shared" si="1259"/>
        <v>0</v>
      </c>
      <c r="P824" s="109">
        <f t="shared" si="1260"/>
        <v>1170</v>
      </c>
      <c r="Q824" s="109">
        <f t="shared" si="1261"/>
        <v>1170</v>
      </c>
      <c r="R824" s="121">
        <v>13</v>
      </c>
      <c r="T824" s="188"/>
    </row>
    <row r="825" spans="1:20" x14ac:dyDescent="0.25">
      <c r="A825" s="100"/>
      <c r="B825" s="3">
        <v>6</v>
      </c>
      <c r="C825" s="5" t="s">
        <v>31</v>
      </c>
      <c r="D825" s="3" t="s">
        <v>29</v>
      </c>
      <c r="E825" s="100" t="str">
        <f>IFERROR(VLOOKUP(C825,Resources!B:D,3,FALSE)," ")</f>
        <v>S</v>
      </c>
      <c r="F825" s="8">
        <v>1</v>
      </c>
      <c r="G825" s="8">
        <v>1</v>
      </c>
      <c r="H825" s="8">
        <f>H822*H819</f>
        <v>6</v>
      </c>
      <c r="I825" s="109">
        <f>IFERROR(VLOOKUP(C825,Resources!B:G,6,FALSE)," ")</f>
        <v>150</v>
      </c>
      <c r="J825" s="109">
        <f t="shared" si="1255"/>
        <v>900</v>
      </c>
      <c r="K825" s="8"/>
      <c r="L825" s="8">
        <f t="shared" si="1256"/>
        <v>4.8000000000000001E-2</v>
      </c>
      <c r="M825" s="109">
        <f t="shared" si="1257"/>
        <v>0</v>
      </c>
      <c r="N825" s="109">
        <f t="shared" si="1258"/>
        <v>0</v>
      </c>
      <c r="O825" s="109">
        <f t="shared" si="1259"/>
        <v>0</v>
      </c>
      <c r="P825" s="109">
        <f t="shared" si="1260"/>
        <v>900</v>
      </c>
      <c r="Q825" s="109">
        <f t="shared" si="1261"/>
        <v>900</v>
      </c>
      <c r="R825" s="121">
        <v>13</v>
      </c>
      <c r="T825" s="188"/>
    </row>
    <row r="826" spans="1:20" x14ac:dyDescent="0.25">
      <c r="A826" s="100">
        <v>115.3</v>
      </c>
      <c r="B826" s="3">
        <v>7</v>
      </c>
      <c r="C826" s="5" t="s">
        <v>148</v>
      </c>
      <c r="D826" s="3" t="s">
        <v>33</v>
      </c>
      <c r="E826" s="100" t="str">
        <f>IFERROR(VLOOKUP(C826,Resources!B:D,3,FALSE)," ")</f>
        <v>S</v>
      </c>
      <c r="F826" s="103">
        <f>VLOOKUP($A826,'Model Inputs'!$A:$D,4,FALSE)</f>
        <v>3900</v>
      </c>
      <c r="G826" s="8">
        <v>1</v>
      </c>
      <c r="H826" s="8">
        <f>H819*F826</f>
        <v>3900</v>
      </c>
      <c r="I826" s="109">
        <f>IFERROR(VLOOKUP(C826,Resources!B:G,6,FALSE)," ")</f>
        <v>1</v>
      </c>
      <c r="J826" s="109">
        <f>I826*H826</f>
        <v>3900</v>
      </c>
      <c r="K826" s="8"/>
      <c r="L826" s="8">
        <f t="shared" si="1256"/>
        <v>31.2</v>
      </c>
      <c r="M826" s="109">
        <f t="shared" si="1257"/>
        <v>0</v>
      </c>
      <c r="N826" s="109">
        <f t="shared" si="1258"/>
        <v>0</v>
      </c>
      <c r="O826" s="109">
        <f t="shared" si="1259"/>
        <v>0</v>
      </c>
      <c r="P826" s="109">
        <f t="shared" si="1260"/>
        <v>3900</v>
      </c>
      <c r="Q826" s="109">
        <f t="shared" si="1261"/>
        <v>3900</v>
      </c>
      <c r="R826" s="121">
        <v>11</v>
      </c>
      <c r="T826" s="188"/>
    </row>
    <row r="827" spans="1:20" x14ac:dyDescent="0.25">
      <c r="A827" s="101"/>
      <c r="B827" s="4"/>
      <c r="C827" s="6"/>
      <c r="D827" s="4"/>
      <c r="E827" s="101" t="str">
        <f>IFERROR(VLOOKUP(C827,Resources!B:D,3,FALSE)," ")</f>
        <v xml:space="preserve"> </v>
      </c>
      <c r="F827" s="9"/>
      <c r="G827" s="9"/>
      <c r="H827" s="9"/>
      <c r="I827" s="38" t="str">
        <f>IFERROR(VLOOKUP(C827,Resources!B:G,6,FALSE)," ")</f>
        <v xml:space="preserve"> </v>
      </c>
      <c r="J827" s="38"/>
      <c r="K827" s="9"/>
      <c r="L827" s="9"/>
      <c r="M827" s="38"/>
      <c r="N827" s="38"/>
      <c r="O827" s="38"/>
      <c r="P827" s="38"/>
      <c r="Q827" s="38"/>
      <c r="R827" s="122"/>
      <c r="T827" s="188"/>
    </row>
    <row r="828" spans="1:20" ht="30" x14ac:dyDescent="0.25">
      <c r="A828" s="114"/>
      <c r="B828" s="1" t="s">
        <v>430</v>
      </c>
      <c r="C828" s="1" t="s">
        <v>35</v>
      </c>
      <c r="D828" s="2"/>
      <c r="E828" s="99" t="str">
        <f>IFERROR(VLOOKUP(C828,Resources!B:D,3,FALSE)," ")</f>
        <v xml:space="preserve"> </v>
      </c>
      <c r="F828" s="7"/>
      <c r="G828" s="7"/>
      <c r="H828" s="7"/>
      <c r="I828" s="108" t="str">
        <f>IFERROR(VLOOKUP(C828,Resources!B:G,6,FALSE)," ")</f>
        <v xml:space="preserve"> </v>
      </c>
      <c r="J828" s="108"/>
      <c r="K828" s="7"/>
      <c r="L828" s="7"/>
      <c r="M828" s="108"/>
      <c r="N828" s="108"/>
      <c r="O828" s="108"/>
      <c r="P828" s="108"/>
      <c r="Q828" s="108"/>
      <c r="R828" s="120"/>
      <c r="T828" s="188"/>
    </row>
    <row r="829" spans="1:20" ht="30" x14ac:dyDescent="0.25">
      <c r="A829" s="114"/>
      <c r="B829" s="1" t="s">
        <v>431</v>
      </c>
      <c r="C829" s="1" t="s">
        <v>36</v>
      </c>
      <c r="D829" s="2"/>
      <c r="E829" s="99" t="str">
        <f>IFERROR(VLOOKUP(C829,Resources!B:D,3,FALSE)," ")</f>
        <v xml:space="preserve"> </v>
      </c>
      <c r="F829" s="7"/>
      <c r="G829" s="7"/>
      <c r="H829" s="7"/>
      <c r="I829" s="108" t="str">
        <f>IFERROR(VLOOKUP(C829,Resources!B:G,6,FALSE)," ")</f>
        <v xml:space="preserve"> </v>
      </c>
      <c r="J829" s="108"/>
      <c r="K829" s="7"/>
      <c r="L829" s="7"/>
      <c r="M829" s="108"/>
      <c r="N829" s="108"/>
      <c r="O829" s="108"/>
      <c r="P829" s="108"/>
      <c r="Q829" s="108"/>
      <c r="R829" s="120"/>
      <c r="T829" s="188"/>
    </row>
    <row r="830" spans="1:20" ht="30" x14ac:dyDescent="0.25">
      <c r="A830" s="114"/>
      <c r="B830" s="1" t="s">
        <v>432</v>
      </c>
      <c r="C830" s="1" t="s">
        <v>38</v>
      </c>
      <c r="D830" s="2" t="s">
        <v>20</v>
      </c>
      <c r="E830" s="99" t="str">
        <f>IFERROR(VLOOKUP(C830,Resources!B:D,3,FALSE)," ")</f>
        <v xml:space="preserve"> </v>
      </c>
      <c r="F830" s="7"/>
      <c r="G830" s="7"/>
      <c r="H830" s="7">
        <v>1</v>
      </c>
      <c r="I830" s="108" t="str">
        <f>IFERROR(VLOOKUP(C830,Resources!B:G,6,FALSE)," ")</f>
        <v xml:space="preserve"> </v>
      </c>
      <c r="J830" s="108"/>
      <c r="K830" s="7"/>
      <c r="L830" s="7"/>
      <c r="M830" s="108"/>
      <c r="N830" s="108"/>
      <c r="O830" s="108"/>
      <c r="P830" s="108"/>
      <c r="Q830" s="108"/>
      <c r="R830" s="120"/>
      <c r="T830" s="188"/>
    </row>
    <row r="831" spans="1:20" x14ac:dyDescent="0.25">
      <c r="A831" s="101"/>
      <c r="B831" s="4"/>
      <c r="C831" s="6"/>
      <c r="D831" s="4"/>
      <c r="E831" s="101" t="str">
        <f>IFERROR(VLOOKUP(C831,Resources!B:D,3,FALSE)," ")</f>
        <v xml:space="preserve"> </v>
      </c>
      <c r="F831" s="9"/>
      <c r="G831" s="9"/>
      <c r="H831" s="9"/>
      <c r="I831" s="38" t="str">
        <f>IFERROR(VLOOKUP(C831,Resources!B:G,6,FALSE)," ")</f>
        <v xml:space="preserve"> </v>
      </c>
      <c r="J831" s="38"/>
      <c r="K831" s="9"/>
      <c r="L831" s="9"/>
      <c r="M831" s="38"/>
      <c r="N831" s="38"/>
      <c r="O831" s="38"/>
      <c r="P831" s="38"/>
      <c r="Q831" s="38"/>
      <c r="R831" s="122"/>
      <c r="T831" s="188"/>
    </row>
    <row r="832" spans="1:20" ht="30" x14ac:dyDescent="0.25">
      <c r="A832" s="114"/>
      <c r="B832" s="1" t="s">
        <v>433</v>
      </c>
      <c r="C832" s="1" t="s">
        <v>50</v>
      </c>
      <c r="D832" s="2"/>
      <c r="E832" s="99" t="str">
        <f>IFERROR(VLOOKUP(C832,Resources!B:D,3,FALSE)," ")</f>
        <v xml:space="preserve"> </v>
      </c>
      <c r="F832" s="7"/>
      <c r="G832" s="7"/>
      <c r="H832" s="7"/>
      <c r="I832" s="108" t="str">
        <f>IFERROR(VLOOKUP(C832,Resources!B:G,6,FALSE)," ")</f>
        <v xml:space="preserve"> </v>
      </c>
      <c r="J832" s="108"/>
      <c r="K832" s="7"/>
      <c r="L832" s="7"/>
      <c r="M832" s="108"/>
      <c r="N832" s="108"/>
      <c r="O832" s="108"/>
      <c r="P832" s="108"/>
      <c r="Q832" s="108"/>
      <c r="R832" s="120"/>
      <c r="T832" s="188"/>
    </row>
    <row r="833" spans="1:20" ht="30" x14ac:dyDescent="0.25">
      <c r="A833" s="114"/>
      <c r="B833" s="1" t="s">
        <v>434</v>
      </c>
      <c r="C833" s="1" t="s">
        <v>52</v>
      </c>
      <c r="D833" s="2"/>
      <c r="E833" s="99" t="str">
        <f>IFERROR(VLOOKUP(C833,Resources!B:D,3,FALSE)," ")</f>
        <v xml:space="preserve"> </v>
      </c>
      <c r="F833" s="7"/>
      <c r="G833" s="7"/>
      <c r="H833" s="7"/>
      <c r="I833" s="108" t="str">
        <f>IFERROR(VLOOKUP(C833,Resources!B:G,6,FALSE)," ")</f>
        <v xml:space="preserve"> </v>
      </c>
      <c r="J833" s="108"/>
      <c r="K833" s="7"/>
      <c r="L833" s="7"/>
      <c r="M833" s="108"/>
      <c r="N833" s="108"/>
      <c r="O833" s="108"/>
      <c r="P833" s="108"/>
      <c r="Q833" s="108"/>
      <c r="R833" s="120"/>
      <c r="T833" s="188"/>
    </row>
    <row r="834" spans="1:20" ht="30" x14ac:dyDescent="0.25">
      <c r="A834" s="114">
        <v>116</v>
      </c>
      <c r="B834" s="1" t="s">
        <v>435</v>
      </c>
      <c r="C834" s="1" t="s">
        <v>54</v>
      </c>
      <c r="D834" s="2" t="s">
        <v>20</v>
      </c>
      <c r="E834" s="99" t="str">
        <f>IFERROR(VLOOKUP(C834,Resources!B:D,3,FALSE)," ")</f>
        <v xml:space="preserve"> </v>
      </c>
      <c r="F834" s="7"/>
      <c r="G834" s="7"/>
      <c r="H834" s="103">
        <f>VLOOKUP($A834,'Model Inputs'!$A:$D,4,FALSE)</f>
        <v>1</v>
      </c>
      <c r="I834" s="108" t="str">
        <f>IFERROR(VLOOKUP(C834,Resources!B:G,6,FALSE)," ")</f>
        <v xml:space="preserve"> </v>
      </c>
      <c r="J834" s="108">
        <f>SUBTOTAL(9,J836)</f>
        <v>23292.48</v>
      </c>
      <c r="K834" s="7"/>
      <c r="L834" s="7">
        <f>ROUNDUP(L836,0)</f>
        <v>20</v>
      </c>
      <c r="M834" s="108">
        <f t="shared" ref="M834:Q834" si="1262">SUBTOTAL(9,M836)</f>
        <v>0</v>
      </c>
      <c r="N834" s="108">
        <f t="shared" si="1262"/>
        <v>0</v>
      </c>
      <c r="O834" s="108">
        <f t="shared" si="1262"/>
        <v>0</v>
      </c>
      <c r="P834" s="108">
        <f t="shared" si="1262"/>
        <v>23292.48</v>
      </c>
      <c r="Q834" s="108">
        <f t="shared" si="1262"/>
        <v>23292.48</v>
      </c>
      <c r="R834" s="120"/>
      <c r="T834" s="188"/>
    </row>
    <row r="835" spans="1:20" ht="30" x14ac:dyDescent="0.25">
      <c r="A835" s="100">
        <v>116.1</v>
      </c>
      <c r="B835" s="3">
        <v>1</v>
      </c>
      <c r="C835" s="5" t="s">
        <v>2375</v>
      </c>
      <c r="D835" s="3"/>
      <c r="E835" s="100" t="str">
        <f>IFERROR(VLOOKUP(C835,Resources!B:D,3,FALSE)," ")</f>
        <v xml:space="preserve"> </v>
      </c>
      <c r="F835" s="8"/>
      <c r="G835" s="8"/>
      <c r="H835" s="103">
        <f>VLOOKUP($A835,'Model Inputs'!$A:$D,4,FALSE)</f>
        <v>4</v>
      </c>
      <c r="I835" s="109" t="str">
        <f>IFERROR(VLOOKUP(C835,Resources!B:G,6,FALSE)," ")</f>
        <v xml:space="preserve"> </v>
      </c>
      <c r="J835" s="109"/>
      <c r="K835" s="8"/>
      <c r="L835" s="8"/>
      <c r="M835" s="109"/>
      <c r="N835" s="109"/>
      <c r="O835" s="109"/>
      <c r="P835" s="109"/>
      <c r="Q835" s="109"/>
      <c r="R835" s="121"/>
      <c r="T835" s="188"/>
    </row>
    <row r="836" spans="1:20" x14ac:dyDescent="0.25">
      <c r="A836" s="100">
        <v>116.2</v>
      </c>
      <c r="B836" s="3">
        <v>2</v>
      </c>
      <c r="C836" s="5" t="s">
        <v>55</v>
      </c>
      <c r="D836" s="3" t="s">
        <v>48</v>
      </c>
      <c r="E836" s="100" t="str">
        <f>IFERROR(VLOOKUP(C836,Resources!B:D,3,FALSE)," ")</f>
        <v>S</v>
      </c>
      <c r="F836" s="103">
        <f>VLOOKUP($A836,'Model Inputs'!$A:$D,4,FALSE)</f>
        <v>6</v>
      </c>
      <c r="G836" s="8">
        <v>1</v>
      </c>
      <c r="H836" s="8">
        <f>H835*H834*9.5</f>
        <v>38</v>
      </c>
      <c r="I836" s="109">
        <f>IFERROR(VLOOKUP(C836,Resources!B:G,6,FALSE)," ")</f>
        <v>102.16</v>
      </c>
      <c r="J836" s="109">
        <f t="shared" ref="J836" si="1263">(H836/(G836/F836))*I836</f>
        <v>23292.48</v>
      </c>
      <c r="K836" s="8"/>
      <c r="L836" s="8">
        <f>H835*5</f>
        <v>20</v>
      </c>
      <c r="M836" s="109">
        <f t="shared" ref="M836" si="1264">IF($E836="L",$J836,0)</f>
        <v>0</v>
      </c>
      <c r="N836" s="109">
        <f t="shared" ref="N836" si="1265">IF($E836="M",$J836,0)</f>
        <v>0</v>
      </c>
      <c r="O836" s="109">
        <f t="shared" ref="O836" si="1266">IF($E836="P",$J836,0)</f>
        <v>0</v>
      </c>
      <c r="P836" s="109">
        <f t="shared" ref="P836" si="1267">IF($E836="S",$J836,0)</f>
        <v>23292.48</v>
      </c>
      <c r="Q836" s="109">
        <f t="shared" ref="Q836" si="1268">SUM(M836:P836)</f>
        <v>23292.48</v>
      </c>
      <c r="R836" s="121">
        <v>141</v>
      </c>
      <c r="T836" s="188"/>
    </row>
    <row r="837" spans="1:20" x14ac:dyDescent="0.25">
      <c r="A837" s="101"/>
      <c r="B837" s="4"/>
      <c r="C837" s="6"/>
      <c r="D837" s="4"/>
      <c r="E837" s="101" t="str">
        <f>IFERROR(VLOOKUP(C837,Resources!B:D,3,FALSE)," ")</f>
        <v xml:space="preserve"> </v>
      </c>
      <c r="F837" s="9"/>
      <c r="G837" s="9"/>
      <c r="H837" s="9"/>
      <c r="I837" s="38" t="str">
        <f>IFERROR(VLOOKUP(C837,Resources!B:G,6,FALSE)," ")</f>
        <v xml:space="preserve"> </v>
      </c>
      <c r="J837" s="38"/>
      <c r="K837" s="9"/>
      <c r="L837" s="9"/>
      <c r="M837" s="38"/>
      <c r="N837" s="38"/>
      <c r="O837" s="38"/>
      <c r="P837" s="38"/>
      <c r="Q837" s="38"/>
      <c r="R837" s="122"/>
      <c r="T837" s="188"/>
    </row>
    <row r="838" spans="1:20" ht="30" x14ac:dyDescent="0.25">
      <c r="A838" s="114"/>
      <c r="B838" s="1" t="s">
        <v>436</v>
      </c>
      <c r="C838" s="1" t="s">
        <v>59</v>
      </c>
      <c r="D838" s="2"/>
      <c r="E838" s="99" t="str">
        <f>IFERROR(VLOOKUP(C838,Resources!B:D,3,FALSE)," ")</f>
        <v xml:space="preserve"> </v>
      </c>
      <c r="F838" s="7"/>
      <c r="G838" s="7"/>
      <c r="H838" s="7"/>
      <c r="I838" s="108" t="str">
        <f>IFERROR(VLOOKUP(C838,Resources!B:G,6,FALSE)," ")</f>
        <v xml:space="preserve"> </v>
      </c>
      <c r="J838" s="108"/>
      <c r="K838" s="7"/>
      <c r="L838" s="7"/>
      <c r="M838" s="108"/>
      <c r="N838" s="108"/>
      <c r="O838" s="108"/>
      <c r="P838" s="108"/>
      <c r="Q838" s="108"/>
      <c r="R838" s="120"/>
      <c r="T838" s="188"/>
    </row>
    <row r="839" spans="1:20" ht="30" x14ac:dyDescent="0.25">
      <c r="A839" s="114">
        <v>117</v>
      </c>
      <c r="B839" s="1" t="s">
        <v>437</v>
      </c>
      <c r="C839" s="1" t="s">
        <v>61</v>
      </c>
      <c r="D839" s="2" t="s">
        <v>62</v>
      </c>
      <c r="E839" s="99" t="str">
        <f>IFERROR(VLOOKUP(C839,Resources!B:D,3,FALSE)," ")</f>
        <v xml:space="preserve"> </v>
      </c>
      <c r="F839" s="7"/>
      <c r="G839" s="7"/>
      <c r="H839" s="103">
        <f>VLOOKUP($A839,'Model Inputs'!$A:$D,4,FALSE)</f>
        <v>652</v>
      </c>
      <c r="I839" s="108" t="str">
        <f>IFERROR(VLOOKUP(C839,Resources!B:G,6,FALSE)," ")</f>
        <v xml:space="preserve"> </v>
      </c>
      <c r="J839" s="108">
        <f>SUBTOTAL(9,J840:J848)</f>
        <v>13017.300127064804</v>
      </c>
      <c r="K839" s="7"/>
      <c r="L839" s="7">
        <f>ROUNDUP(SUM(MAX(L840:L843),MAX(L845:L848))/Workhrs,0)</f>
        <v>3</v>
      </c>
      <c r="M839" s="108">
        <f t="shared" ref="M839:Q839" si="1269">SUBTOTAL(9,M840:M848)</f>
        <v>1102.1451080050826</v>
      </c>
      <c r="N839" s="108">
        <f t="shared" si="1269"/>
        <v>0</v>
      </c>
      <c r="O839" s="108">
        <f t="shared" si="1269"/>
        <v>11915.155019059721</v>
      </c>
      <c r="P839" s="108">
        <f t="shared" si="1269"/>
        <v>0</v>
      </c>
      <c r="Q839" s="108">
        <f t="shared" si="1269"/>
        <v>13017.300127064804</v>
      </c>
      <c r="R839" s="120"/>
      <c r="T839" s="188"/>
    </row>
    <row r="840" spans="1:20" x14ac:dyDescent="0.25">
      <c r="A840" s="100"/>
      <c r="B840" s="3">
        <v>1</v>
      </c>
      <c r="C840" s="5" t="s">
        <v>63</v>
      </c>
      <c r="D840" s="3" t="s">
        <v>48</v>
      </c>
      <c r="E840" s="100" t="str">
        <f>IFERROR(VLOOKUP(C840,Resources!B:D,3,FALSE)," ")</f>
        <v>P</v>
      </c>
      <c r="F840" s="8">
        <v>1</v>
      </c>
      <c r="G840" s="8">
        <v>40</v>
      </c>
      <c r="H840" s="8">
        <f>H839</f>
        <v>652</v>
      </c>
      <c r="I840" s="109">
        <f>IFERROR(VLOOKUP(C840,Resources!B:G,6,FALSE)," ")</f>
        <v>135</v>
      </c>
      <c r="J840" s="109">
        <f t="shared" ref="J840:J843" si="1270">(H840/(G840/F840))*I840</f>
        <v>2200.5</v>
      </c>
      <c r="K840" s="8">
        <f t="shared" ref="K840:K843" si="1271">L840*F840</f>
        <v>16.3</v>
      </c>
      <c r="L840" s="8">
        <f t="shared" ref="L840:L843" si="1272">IF(E840="M"," ",H840/G840)</f>
        <v>16.3</v>
      </c>
      <c r="M840" s="109">
        <f t="shared" ref="M840:M843" si="1273">IF($E840="L",$J840,0)</f>
        <v>0</v>
      </c>
      <c r="N840" s="109">
        <f t="shared" ref="N840:N843" si="1274">IF($E840="M",$J840,0)</f>
        <v>0</v>
      </c>
      <c r="O840" s="109">
        <f t="shared" ref="O840:O843" si="1275">IF($E840="P",$J840,0)</f>
        <v>2200.5</v>
      </c>
      <c r="P840" s="109">
        <f t="shared" ref="P840:P843" si="1276">IF($E840="S",$J840,0)</f>
        <v>0</v>
      </c>
      <c r="Q840" s="109">
        <f t="shared" ref="Q840:Q843" si="1277">SUM(M840:P840)</f>
        <v>2200.5</v>
      </c>
      <c r="R840" s="121">
        <v>53</v>
      </c>
      <c r="T840" s="188"/>
    </row>
    <row r="841" spans="1:20" x14ac:dyDescent="0.25">
      <c r="A841" s="100"/>
      <c r="B841" s="3">
        <v>2</v>
      </c>
      <c r="C841" s="5" t="s">
        <v>44</v>
      </c>
      <c r="D841" s="3" t="s">
        <v>48</v>
      </c>
      <c r="E841" s="100" t="str">
        <f>IFERROR(VLOOKUP(C841,Resources!B:D,3,FALSE)," ")</f>
        <v>P</v>
      </c>
      <c r="F841" s="8">
        <v>3</v>
      </c>
      <c r="G841" s="8">
        <v>40</v>
      </c>
      <c r="H841" s="8">
        <f>H839</f>
        <v>652</v>
      </c>
      <c r="I841" s="109">
        <f>IFERROR(VLOOKUP(C841,Resources!B:G,6,FALSE)," ")</f>
        <v>145</v>
      </c>
      <c r="J841" s="109">
        <f t="shared" si="1270"/>
        <v>7090.5</v>
      </c>
      <c r="K841" s="8">
        <f t="shared" si="1271"/>
        <v>48.900000000000006</v>
      </c>
      <c r="L841" s="8">
        <f t="shared" si="1272"/>
        <v>16.3</v>
      </c>
      <c r="M841" s="109">
        <f t="shared" si="1273"/>
        <v>0</v>
      </c>
      <c r="N841" s="109">
        <f t="shared" si="1274"/>
        <v>0</v>
      </c>
      <c r="O841" s="109">
        <f t="shared" si="1275"/>
        <v>7090.5</v>
      </c>
      <c r="P841" s="109">
        <f t="shared" si="1276"/>
        <v>0</v>
      </c>
      <c r="Q841" s="109">
        <f t="shared" si="1277"/>
        <v>7090.5</v>
      </c>
      <c r="R841" s="121">
        <v>53</v>
      </c>
      <c r="T841" s="188"/>
    </row>
    <row r="842" spans="1:20" x14ac:dyDescent="0.25">
      <c r="A842" s="100"/>
      <c r="B842" s="3">
        <v>3</v>
      </c>
      <c r="C842" s="5" t="s">
        <v>64</v>
      </c>
      <c r="D842" s="3" t="s">
        <v>48</v>
      </c>
      <c r="E842" s="100" t="str">
        <f>IFERROR(VLOOKUP(C842,Resources!B:D,3,FALSE)," ")</f>
        <v>P</v>
      </c>
      <c r="F842" s="8">
        <v>1</v>
      </c>
      <c r="G842" s="8">
        <v>40</v>
      </c>
      <c r="H842" s="8">
        <f>H839</f>
        <v>652</v>
      </c>
      <c r="I842" s="109">
        <f>IFERROR(VLOOKUP(C842,Resources!B:G,6,FALSE)," ")</f>
        <v>100</v>
      </c>
      <c r="J842" s="109">
        <f t="shared" si="1270"/>
        <v>1630</v>
      </c>
      <c r="K842" s="8">
        <f t="shared" si="1271"/>
        <v>16.3</v>
      </c>
      <c r="L842" s="8">
        <f t="shared" si="1272"/>
        <v>16.3</v>
      </c>
      <c r="M842" s="109">
        <f t="shared" si="1273"/>
        <v>0</v>
      </c>
      <c r="N842" s="109">
        <f t="shared" si="1274"/>
        <v>0</v>
      </c>
      <c r="O842" s="109">
        <f t="shared" si="1275"/>
        <v>1630</v>
      </c>
      <c r="P842" s="109">
        <f t="shared" si="1276"/>
        <v>0</v>
      </c>
      <c r="Q842" s="109">
        <f t="shared" si="1277"/>
        <v>1630</v>
      </c>
      <c r="R842" s="121">
        <v>53</v>
      </c>
      <c r="T842" s="188"/>
    </row>
    <row r="843" spans="1:20" x14ac:dyDescent="0.25">
      <c r="A843" s="100"/>
      <c r="B843" s="3">
        <v>4</v>
      </c>
      <c r="C843" s="5" t="s">
        <v>8</v>
      </c>
      <c r="D843" s="3" t="s">
        <v>48</v>
      </c>
      <c r="E843" s="100" t="str">
        <f>IFERROR(VLOOKUP(C843,Resources!B:D,3,FALSE)," ")</f>
        <v>L</v>
      </c>
      <c r="F843" s="8">
        <v>1</v>
      </c>
      <c r="G843" s="8">
        <v>40</v>
      </c>
      <c r="H843" s="8">
        <f>H839</f>
        <v>652</v>
      </c>
      <c r="I843" s="109">
        <f>IFERROR(VLOOKUP(C843,Resources!B:G,6,FALSE)," ")</f>
        <v>42</v>
      </c>
      <c r="J843" s="109">
        <f t="shared" si="1270"/>
        <v>684.6</v>
      </c>
      <c r="K843" s="8">
        <f t="shared" si="1271"/>
        <v>16.3</v>
      </c>
      <c r="L843" s="8">
        <f t="shared" si="1272"/>
        <v>16.3</v>
      </c>
      <c r="M843" s="109">
        <f t="shared" si="1273"/>
        <v>684.6</v>
      </c>
      <c r="N843" s="109">
        <f t="shared" si="1274"/>
        <v>0</v>
      </c>
      <c r="O843" s="109">
        <f t="shared" si="1275"/>
        <v>0</v>
      </c>
      <c r="P843" s="109">
        <f t="shared" si="1276"/>
        <v>0</v>
      </c>
      <c r="Q843" s="109">
        <f t="shared" si="1277"/>
        <v>684.6</v>
      </c>
      <c r="R843" s="121">
        <v>53</v>
      </c>
      <c r="T843" s="188"/>
    </row>
    <row r="844" spans="1:20" x14ac:dyDescent="0.25">
      <c r="A844" s="101"/>
      <c r="B844" s="4">
        <v>5</v>
      </c>
      <c r="C844" s="6" t="s">
        <v>65</v>
      </c>
      <c r="D844" s="4"/>
      <c r="E844" s="101" t="str">
        <f>IFERROR(VLOOKUP(C844,Resources!B:D,3,FALSE)," ")</f>
        <v xml:space="preserve"> </v>
      </c>
      <c r="F844" s="9"/>
      <c r="G844" s="9"/>
      <c r="H844" s="9"/>
      <c r="I844" s="38" t="str">
        <f>IFERROR(VLOOKUP(C844,Resources!B:G,6,FALSE)," ")</f>
        <v xml:space="preserve"> </v>
      </c>
      <c r="J844" s="38"/>
      <c r="K844" s="9"/>
      <c r="L844" s="9"/>
      <c r="M844" s="38"/>
      <c r="N844" s="38"/>
      <c r="O844" s="38"/>
      <c r="P844" s="38"/>
      <c r="Q844" s="38"/>
      <c r="R844" s="122"/>
      <c r="T844" s="188"/>
    </row>
    <row r="845" spans="1:20" x14ac:dyDescent="0.25">
      <c r="A845" s="100">
        <v>117.1</v>
      </c>
      <c r="B845" s="3">
        <v>6</v>
      </c>
      <c r="C845" s="5" t="s">
        <v>39</v>
      </c>
      <c r="D845" s="3" t="s">
        <v>48</v>
      </c>
      <c r="E845" s="100" t="str">
        <f>IFERROR(VLOOKUP(C845,Resources!B:D,3,FALSE)," ")</f>
        <v>P</v>
      </c>
      <c r="F845" s="8">
        <v>1</v>
      </c>
      <c r="G845" s="103">
        <f>VLOOKUP($A845,'Model Inputs'!$A:$D,4,FALSE)</f>
        <v>250</v>
      </c>
      <c r="H845" s="8">
        <f>H839/0.787</f>
        <v>828.46251588310031</v>
      </c>
      <c r="I845" s="109">
        <f>IFERROR(VLOOKUP(C845,Resources!B:G,6,FALSE)," ")</f>
        <v>145</v>
      </c>
      <c r="J845" s="109">
        <f t="shared" ref="J845:J848" si="1278">(H845/(G845/F845))*I845</f>
        <v>480.50825921219814</v>
      </c>
      <c r="K845" s="8">
        <f t="shared" ref="K845:K848" si="1279">L845*F845</f>
        <v>3.3138500635324011</v>
      </c>
      <c r="L845" s="8">
        <f t="shared" ref="L845:L848" si="1280">IF(E845="M"," ",H845/G845)</f>
        <v>3.3138500635324011</v>
      </c>
      <c r="M845" s="109">
        <f t="shared" ref="M845:M848" si="1281">IF($E845="L",$J845,0)</f>
        <v>0</v>
      </c>
      <c r="N845" s="109">
        <f t="shared" ref="N845:N848" si="1282">IF($E845="M",$J845,0)</f>
        <v>0</v>
      </c>
      <c r="O845" s="109">
        <f t="shared" ref="O845:O848" si="1283">IF($E845="P",$J845,0)</f>
        <v>480.50825921219814</v>
      </c>
      <c r="P845" s="109">
        <f t="shared" ref="P845:P848" si="1284">IF($E845="S",$J845,0)</f>
        <v>0</v>
      </c>
      <c r="Q845" s="109">
        <f t="shared" ref="Q845:Q848" si="1285">SUM(M845:P845)</f>
        <v>480.50825921219814</v>
      </c>
      <c r="R845" s="121">
        <v>61</v>
      </c>
      <c r="T845" s="188"/>
    </row>
    <row r="846" spans="1:20" x14ac:dyDescent="0.25">
      <c r="A846" s="100"/>
      <c r="B846" s="3">
        <v>7</v>
      </c>
      <c r="C846" s="5" t="s">
        <v>64</v>
      </c>
      <c r="D846" s="3" t="s">
        <v>48</v>
      </c>
      <c r="E846" s="100" t="str">
        <f>IFERROR(VLOOKUP(C846,Resources!B:D,3,FALSE)," ")</f>
        <v>P</v>
      </c>
      <c r="F846" s="8">
        <v>1</v>
      </c>
      <c r="G846" s="8">
        <f>G845</f>
        <v>250</v>
      </c>
      <c r="H846" s="8">
        <f>H845</f>
        <v>828.46251588310031</v>
      </c>
      <c r="I846" s="109">
        <f>IFERROR(VLOOKUP(C846,Resources!B:G,6,FALSE)," ")</f>
        <v>100</v>
      </c>
      <c r="J846" s="109">
        <f t="shared" si="1278"/>
        <v>331.3850063532401</v>
      </c>
      <c r="K846" s="8">
        <f t="shared" si="1279"/>
        <v>3.3138500635324011</v>
      </c>
      <c r="L846" s="8">
        <f t="shared" si="1280"/>
        <v>3.3138500635324011</v>
      </c>
      <c r="M846" s="109">
        <f t="shared" si="1281"/>
        <v>0</v>
      </c>
      <c r="N846" s="109">
        <f t="shared" si="1282"/>
        <v>0</v>
      </c>
      <c r="O846" s="109">
        <f t="shared" si="1283"/>
        <v>331.3850063532401</v>
      </c>
      <c r="P846" s="109">
        <f t="shared" si="1284"/>
        <v>0</v>
      </c>
      <c r="Q846" s="109">
        <f t="shared" si="1285"/>
        <v>331.3850063532401</v>
      </c>
      <c r="R846" s="121">
        <v>61</v>
      </c>
      <c r="T846" s="188"/>
    </row>
    <row r="847" spans="1:20" x14ac:dyDescent="0.25">
      <c r="A847" s="100"/>
      <c r="B847" s="3">
        <v>8</v>
      </c>
      <c r="C847" s="5" t="s">
        <v>69</v>
      </c>
      <c r="D847" s="3" t="s">
        <v>48</v>
      </c>
      <c r="E847" s="100" t="str">
        <f>IFERROR(VLOOKUP(C847,Resources!B:D,3,FALSE)," ")</f>
        <v>P</v>
      </c>
      <c r="F847" s="8">
        <v>1</v>
      </c>
      <c r="G847" s="8">
        <f>G845</f>
        <v>250</v>
      </c>
      <c r="H847" s="8">
        <f>H845</f>
        <v>828.46251588310031</v>
      </c>
      <c r="I847" s="109">
        <f>IFERROR(VLOOKUP(C847,Resources!B:G,6,FALSE)," ")</f>
        <v>55</v>
      </c>
      <c r="J847" s="109">
        <f t="shared" si="1278"/>
        <v>182.26175349428206</v>
      </c>
      <c r="K847" s="8">
        <f t="shared" si="1279"/>
        <v>3.3138500635324011</v>
      </c>
      <c r="L847" s="8">
        <f t="shared" si="1280"/>
        <v>3.3138500635324011</v>
      </c>
      <c r="M847" s="109">
        <f t="shared" si="1281"/>
        <v>0</v>
      </c>
      <c r="N847" s="109">
        <f t="shared" si="1282"/>
        <v>0</v>
      </c>
      <c r="O847" s="109">
        <f t="shared" si="1283"/>
        <v>182.26175349428206</v>
      </c>
      <c r="P847" s="109">
        <f t="shared" si="1284"/>
        <v>0</v>
      </c>
      <c r="Q847" s="109">
        <f t="shared" si="1285"/>
        <v>182.26175349428206</v>
      </c>
      <c r="R847" s="121">
        <v>61</v>
      </c>
      <c r="T847" s="188"/>
    </row>
    <row r="848" spans="1:20" x14ac:dyDescent="0.25">
      <c r="A848" s="100">
        <v>117.2</v>
      </c>
      <c r="B848" s="3">
        <v>9</v>
      </c>
      <c r="C848" s="5" t="s">
        <v>8</v>
      </c>
      <c r="D848" s="3" t="s">
        <v>48</v>
      </c>
      <c r="E848" s="100" t="str">
        <f>IFERROR(VLOOKUP(C848,Resources!B:D,3,FALSE)," ")</f>
        <v>L</v>
      </c>
      <c r="F848" s="103">
        <f>VLOOKUP($A848,'Model Inputs'!$A:$D,4,FALSE)</f>
        <v>3</v>
      </c>
      <c r="G848" s="8">
        <f>G845</f>
        <v>250</v>
      </c>
      <c r="H848" s="8">
        <f>H845</f>
        <v>828.46251588310031</v>
      </c>
      <c r="I848" s="109">
        <f>IFERROR(VLOOKUP(C848,Resources!B:G,6,FALSE)," ")</f>
        <v>42</v>
      </c>
      <c r="J848" s="109">
        <f t="shared" si="1278"/>
        <v>417.54510800508262</v>
      </c>
      <c r="K848" s="8">
        <f t="shared" si="1279"/>
        <v>9.9415501905972032</v>
      </c>
      <c r="L848" s="8">
        <f t="shared" si="1280"/>
        <v>3.3138500635324011</v>
      </c>
      <c r="M848" s="109">
        <f t="shared" si="1281"/>
        <v>417.54510800508262</v>
      </c>
      <c r="N848" s="109">
        <f t="shared" si="1282"/>
        <v>0</v>
      </c>
      <c r="O848" s="109">
        <f t="shared" si="1283"/>
        <v>0</v>
      </c>
      <c r="P848" s="109">
        <f t="shared" si="1284"/>
        <v>0</v>
      </c>
      <c r="Q848" s="109">
        <f t="shared" si="1285"/>
        <v>417.54510800508262</v>
      </c>
      <c r="R848" s="121">
        <v>61</v>
      </c>
      <c r="T848" s="188"/>
    </row>
    <row r="849" spans="1:20" x14ac:dyDescent="0.25">
      <c r="A849" s="101"/>
      <c r="B849" s="4"/>
      <c r="C849" s="6"/>
      <c r="D849" s="4"/>
      <c r="E849" s="101" t="str">
        <f>IFERROR(VLOOKUP(C849,Resources!B:D,3,FALSE)," ")</f>
        <v xml:space="preserve"> </v>
      </c>
      <c r="F849" s="9"/>
      <c r="G849" s="9"/>
      <c r="H849" s="9"/>
      <c r="I849" s="38" t="str">
        <f>IFERROR(VLOOKUP(C849,Resources!B:G,6,FALSE)," ")</f>
        <v xml:space="preserve"> </v>
      </c>
      <c r="J849" s="38"/>
      <c r="K849" s="9"/>
      <c r="L849" s="9"/>
      <c r="M849" s="38"/>
      <c r="N849" s="38"/>
      <c r="O849" s="38"/>
      <c r="P849" s="38"/>
      <c r="Q849" s="38"/>
      <c r="R849" s="122"/>
      <c r="T849" s="188"/>
    </row>
    <row r="850" spans="1:20" ht="30" x14ac:dyDescent="0.25">
      <c r="A850" s="114">
        <v>118</v>
      </c>
      <c r="B850" s="1" t="s">
        <v>438</v>
      </c>
      <c r="C850" s="1" t="s">
        <v>439</v>
      </c>
      <c r="D850" s="2" t="s">
        <v>62</v>
      </c>
      <c r="E850" s="99" t="str">
        <f>IFERROR(VLOOKUP(C850,Resources!B:D,3,FALSE)," ")</f>
        <v xml:space="preserve"> </v>
      </c>
      <c r="F850" s="7"/>
      <c r="G850" s="7"/>
      <c r="H850" s="103">
        <f>VLOOKUP($A850,'Model Inputs'!$A:$D,4,FALSE)</f>
        <v>104</v>
      </c>
      <c r="I850" s="108" t="str">
        <f>IFERROR(VLOOKUP(C850,Resources!B:G,6,FALSE)," ")</f>
        <v xml:space="preserve"> </v>
      </c>
      <c r="J850" s="108">
        <f>SUBTOTAL(9,J851:J855)</f>
        <v>2917.2</v>
      </c>
      <c r="K850" s="7"/>
      <c r="L850" s="7">
        <f>ROUNDUP(MAX(L851:L855)/Workhrs,0)</f>
        <v>1</v>
      </c>
      <c r="M850" s="108">
        <f t="shared" ref="M850:Q850" si="1286">SUBTOTAL(9,M851:M855)</f>
        <v>655.19999999999993</v>
      </c>
      <c r="N850" s="108">
        <f t="shared" si="1286"/>
        <v>0</v>
      </c>
      <c r="O850" s="108">
        <f t="shared" si="1286"/>
        <v>2262</v>
      </c>
      <c r="P850" s="108">
        <f t="shared" si="1286"/>
        <v>0</v>
      </c>
      <c r="Q850" s="108">
        <f t="shared" si="1286"/>
        <v>2917.2</v>
      </c>
      <c r="R850" s="120"/>
      <c r="T850" s="188"/>
    </row>
    <row r="851" spans="1:20" x14ac:dyDescent="0.25">
      <c r="A851" s="100">
        <v>118.1</v>
      </c>
      <c r="B851" s="3">
        <v>1</v>
      </c>
      <c r="C851" s="5" t="s">
        <v>63</v>
      </c>
      <c r="D851" s="3" t="s">
        <v>48</v>
      </c>
      <c r="E851" s="100" t="str">
        <f>IFERROR(VLOOKUP(C851,Resources!B:D,3,FALSE)," ")</f>
        <v>P</v>
      </c>
      <c r="F851" s="8">
        <v>1</v>
      </c>
      <c r="G851" s="103">
        <f>VLOOKUP($A851,'Model Inputs'!$A:$D,4,FALSE)</f>
        <v>20</v>
      </c>
      <c r="H851" s="8">
        <f>H850</f>
        <v>104</v>
      </c>
      <c r="I851" s="109">
        <f>IFERROR(VLOOKUP(C851,Resources!B:G,6,FALSE)," ")</f>
        <v>135</v>
      </c>
      <c r="J851" s="109">
        <f t="shared" ref="J851:J855" si="1287">(H851/(G851/F851))*I851</f>
        <v>702</v>
      </c>
      <c r="K851" s="8">
        <f t="shared" ref="K851:K855" si="1288">L851*F851</f>
        <v>5.2</v>
      </c>
      <c r="L851" s="8">
        <f t="shared" ref="L851:L855" si="1289">IF(E851="M"," ",H851/G851)</f>
        <v>5.2</v>
      </c>
      <c r="M851" s="109">
        <f t="shared" ref="M851:M855" si="1290">IF($E851="L",$J851,0)</f>
        <v>0</v>
      </c>
      <c r="N851" s="109">
        <f t="shared" ref="N851:N855" si="1291">IF($E851="M",$J851,0)</f>
        <v>0</v>
      </c>
      <c r="O851" s="109">
        <f t="shared" ref="O851:O855" si="1292">IF($E851="P",$J851,0)</f>
        <v>702</v>
      </c>
      <c r="P851" s="109">
        <f t="shared" ref="P851:P855" si="1293">IF($E851="S",$J851,0)</f>
        <v>0</v>
      </c>
      <c r="Q851" s="109">
        <f t="shared" ref="Q851:Q855" si="1294">SUM(M851:P851)</f>
        <v>702</v>
      </c>
      <c r="R851" s="121">
        <v>33</v>
      </c>
      <c r="T851" s="188"/>
    </row>
    <row r="852" spans="1:20" x14ac:dyDescent="0.25">
      <c r="A852" s="100"/>
      <c r="B852" s="3">
        <v>2</v>
      </c>
      <c r="C852" s="5" t="s">
        <v>39</v>
      </c>
      <c r="D852" s="3" t="s">
        <v>48</v>
      </c>
      <c r="E852" s="100" t="str">
        <f>IFERROR(VLOOKUP(C852,Resources!B:D,3,FALSE)," ")</f>
        <v>P</v>
      </c>
      <c r="F852" s="8">
        <v>1</v>
      </c>
      <c r="G852" s="8">
        <f>G851</f>
        <v>20</v>
      </c>
      <c r="H852" s="8">
        <f>H850</f>
        <v>104</v>
      </c>
      <c r="I852" s="109">
        <f>IFERROR(VLOOKUP(C852,Resources!B:G,6,FALSE)," ")</f>
        <v>145</v>
      </c>
      <c r="J852" s="109">
        <f t="shared" si="1287"/>
        <v>754</v>
      </c>
      <c r="K852" s="8">
        <f t="shared" si="1288"/>
        <v>5.2</v>
      </c>
      <c r="L852" s="8">
        <f t="shared" si="1289"/>
        <v>5.2</v>
      </c>
      <c r="M852" s="109">
        <f t="shared" si="1290"/>
        <v>0</v>
      </c>
      <c r="N852" s="109">
        <f t="shared" si="1291"/>
        <v>0</v>
      </c>
      <c r="O852" s="109">
        <f t="shared" si="1292"/>
        <v>754</v>
      </c>
      <c r="P852" s="109">
        <f t="shared" si="1293"/>
        <v>0</v>
      </c>
      <c r="Q852" s="109">
        <f t="shared" si="1294"/>
        <v>754</v>
      </c>
      <c r="R852" s="121">
        <v>33</v>
      </c>
      <c r="T852" s="188"/>
    </row>
    <row r="853" spans="1:20" x14ac:dyDescent="0.25">
      <c r="A853" s="100"/>
      <c r="B853" s="3">
        <v>3</v>
      </c>
      <c r="C853" s="5" t="s">
        <v>69</v>
      </c>
      <c r="D853" s="3" t="s">
        <v>48</v>
      </c>
      <c r="E853" s="100" t="str">
        <f>IFERROR(VLOOKUP(C853,Resources!B:D,3,FALSE)," ")</f>
        <v>P</v>
      </c>
      <c r="F853" s="8">
        <v>1</v>
      </c>
      <c r="G853" s="8">
        <f>G851</f>
        <v>20</v>
      </c>
      <c r="H853" s="8">
        <f>H850</f>
        <v>104</v>
      </c>
      <c r="I853" s="109">
        <f>IFERROR(VLOOKUP(C853,Resources!B:G,6,FALSE)," ")</f>
        <v>55</v>
      </c>
      <c r="J853" s="109">
        <f t="shared" si="1287"/>
        <v>286</v>
      </c>
      <c r="K853" s="8">
        <f t="shared" si="1288"/>
        <v>5.2</v>
      </c>
      <c r="L853" s="8">
        <f t="shared" si="1289"/>
        <v>5.2</v>
      </c>
      <c r="M853" s="109">
        <f t="shared" si="1290"/>
        <v>0</v>
      </c>
      <c r="N853" s="109">
        <f t="shared" si="1291"/>
        <v>0</v>
      </c>
      <c r="O853" s="109">
        <f t="shared" si="1292"/>
        <v>286</v>
      </c>
      <c r="P853" s="109">
        <f t="shared" si="1293"/>
        <v>0</v>
      </c>
      <c r="Q853" s="109">
        <f t="shared" si="1294"/>
        <v>286</v>
      </c>
      <c r="R853" s="121">
        <v>33</v>
      </c>
      <c r="T853" s="188"/>
    </row>
    <row r="854" spans="1:20" x14ac:dyDescent="0.25">
      <c r="A854" s="100"/>
      <c r="B854" s="3">
        <v>4</v>
      </c>
      <c r="C854" s="5" t="s">
        <v>64</v>
      </c>
      <c r="D854" s="3" t="s">
        <v>48</v>
      </c>
      <c r="E854" s="100" t="str">
        <f>IFERROR(VLOOKUP(C854,Resources!B:D,3,FALSE)," ")</f>
        <v>P</v>
      </c>
      <c r="F854" s="8">
        <v>1</v>
      </c>
      <c r="G854" s="8">
        <f>G851</f>
        <v>20</v>
      </c>
      <c r="H854" s="8">
        <f>H850</f>
        <v>104</v>
      </c>
      <c r="I854" s="109">
        <f>IFERROR(VLOOKUP(C854,Resources!B:G,6,FALSE)," ")</f>
        <v>100</v>
      </c>
      <c r="J854" s="109">
        <f t="shared" si="1287"/>
        <v>520</v>
      </c>
      <c r="K854" s="8">
        <f t="shared" si="1288"/>
        <v>5.2</v>
      </c>
      <c r="L854" s="8">
        <f t="shared" si="1289"/>
        <v>5.2</v>
      </c>
      <c r="M854" s="109">
        <f t="shared" si="1290"/>
        <v>0</v>
      </c>
      <c r="N854" s="109">
        <f t="shared" si="1291"/>
        <v>0</v>
      </c>
      <c r="O854" s="109">
        <f t="shared" si="1292"/>
        <v>520</v>
      </c>
      <c r="P854" s="109">
        <f t="shared" si="1293"/>
        <v>0</v>
      </c>
      <c r="Q854" s="109">
        <f t="shared" si="1294"/>
        <v>520</v>
      </c>
      <c r="R854" s="121">
        <v>33</v>
      </c>
      <c r="T854" s="188"/>
    </row>
    <row r="855" spans="1:20" x14ac:dyDescent="0.25">
      <c r="A855" s="100">
        <v>118.2</v>
      </c>
      <c r="B855" s="3">
        <v>5</v>
      </c>
      <c r="C855" s="5" t="s">
        <v>8</v>
      </c>
      <c r="D855" s="3" t="s">
        <v>48</v>
      </c>
      <c r="E855" s="100" t="str">
        <f>IFERROR(VLOOKUP(C855,Resources!B:D,3,FALSE)," ")</f>
        <v>L</v>
      </c>
      <c r="F855" s="103">
        <f>VLOOKUP($A855,'Model Inputs'!$A:$D,4,FALSE)</f>
        <v>3</v>
      </c>
      <c r="G855" s="8">
        <f>G851</f>
        <v>20</v>
      </c>
      <c r="H855" s="8">
        <f>H850</f>
        <v>104</v>
      </c>
      <c r="I855" s="109">
        <f>IFERROR(VLOOKUP(C855,Resources!B:G,6,FALSE)," ")</f>
        <v>42</v>
      </c>
      <c r="J855" s="109">
        <f t="shared" si="1287"/>
        <v>655.19999999999993</v>
      </c>
      <c r="K855" s="8">
        <f t="shared" si="1288"/>
        <v>15.600000000000001</v>
      </c>
      <c r="L855" s="8">
        <f t="shared" si="1289"/>
        <v>5.2</v>
      </c>
      <c r="M855" s="109">
        <f t="shared" si="1290"/>
        <v>655.19999999999993</v>
      </c>
      <c r="N855" s="109">
        <f t="shared" si="1291"/>
        <v>0</v>
      </c>
      <c r="O855" s="109">
        <f t="shared" si="1292"/>
        <v>0</v>
      </c>
      <c r="P855" s="109">
        <f t="shared" si="1293"/>
        <v>0</v>
      </c>
      <c r="Q855" s="109">
        <f t="shared" si="1294"/>
        <v>655.19999999999993</v>
      </c>
      <c r="R855" s="121">
        <v>33</v>
      </c>
      <c r="T855" s="188"/>
    </row>
    <row r="856" spans="1:20" x14ac:dyDescent="0.25">
      <c r="A856" s="101"/>
      <c r="B856" s="4"/>
      <c r="C856" s="6"/>
      <c r="D856" s="4"/>
      <c r="E856" s="101" t="str">
        <f>IFERROR(VLOOKUP(C856,Resources!B:D,3,FALSE)," ")</f>
        <v xml:space="preserve"> </v>
      </c>
      <c r="F856" s="9"/>
      <c r="G856" s="9"/>
      <c r="H856" s="9"/>
      <c r="I856" s="38" t="str">
        <f>IFERROR(VLOOKUP(C856,Resources!B:G,6,FALSE)," ")</f>
        <v xml:space="preserve"> </v>
      </c>
      <c r="J856" s="38"/>
      <c r="K856" s="9"/>
      <c r="L856" s="9"/>
      <c r="M856" s="38"/>
      <c r="N856" s="38"/>
      <c r="O856" s="38"/>
      <c r="P856" s="38"/>
      <c r="Q856" s="38"/>
      <c r="R856" s="122"/>
      <c r="T856" s="188"/>
    </row>
    <row r="857" spans="1:20" ht="45" x14ac:dyDescent="0.25">
      <c r="A857" s="114">
        <v>119</v>
      </c>
      <c r="B857" s="1" t="s">
        <v>440</v>
      </c>
      <c r="C857" s="1" t="s">
        <v>167</v>
      </c>
      <c r="D857" s="2" t="s">
        <v>62</v>
      </c>
      <c r="E857" s="99" t="str">
        <f>IFERROR(VLOOKUP(C857,Resources!B:D,3,FALSE)," ")</f>
        <v xml:space="preserve"> </v>
      </c>
      <c r="F857" s="7"/>
      <c r="G857" s="7"/>
      <c r="H857" s="103">
        <f>VLOOKUP($A857,'Model Inputs'!$A:$D,4,FALSE)</f>
        <v>65</v>
      </c>
      <c r="I857" s="108" t="str">
        <f>IFERROR(VLOOKUP(C857,Resources!B:G,6,FALSE)," ")</f>
        <v xml:space="preserve"> </v>
      </c>
      <c r="J857" s="108">
        <f>SUBTOTAL(9,J858:J866)</f>
        <v>4259.666666666667</v>
      </c>
      <c r="K857" s="7"/>
      <c r="L857" s="7">
        <f>ROUNDUP((MAX(L858:L861)+MAX(L863:L866))/Workhrs,0)</f>
        <v>1</v>
      </c>
      <c r="M857" s="108">
        <f t="shared" ref="M857:Q857" si="1295">SUBTOTAL(9,M858:M866)</f>
        <v>728</v>
      </c>
      <c r="N857" s="108">
        <f t="shared" si="1295"/>
        <v>0</v>
      </c>
      <c r="O857" s="108">
        <f t="shared" si="1295"/>
        <v>3531.666666666667</v>
      </c>
      <c r="P857" s="108">
        <f t="shared" si="1295"/>
        <v>0</v>
      </c>
      <c r="Q857" s="108">
        <f t="shared" si="1295"/>
        <v>4259.666666666667</v>
      </c>
      <c r="R857" s="120"/>
      <c r="T857" s="188"/>
    </row>
    <row r="858" spans="1:20" x14ac:dyDescent="0.25">
      <c r="A858" s="100">
        <v>119.1</v>
      </c>
      <c r="B858" s="3">
        <v>1</v>
      </c>
      <c r="C858" s="5" t="s">
        <v>63</v>
      </c>
      <c r="D858" s="3" t="s">
        <v>48</v>
      </c>
      <c r="E858" s="100" t="str">
        <f>IFERROR(VLOOKUP(C858,Resources!B:D,3,FALSE)," ")</f>
        <v>P</v>
      </c>
      <c r="F858" s="8">
        <v>1</v>
      </c>
      <c r="G858" s="103">
        <f>VLOOKUP($A858,'Model Inputs'!$A:$D,4,FALSE)</f>
        <v>15</v>
      </c>
      <c r="H858" s="8">
        <f>H857</f>
        <v>65</v>
      </c>
      <c r="I858" s="109">
        <f>IFERROR(VLOOKUP(C858,Resources!B:G,6,FALSE)," ")</f>
        <v>135</v>
      </c>
      <c r="J858" s="109">
        <f t="shared" ref="J858:J861" si="1296">(H858/(G858/F858))*I858</f>
        <v>585</v>
      </c>
      <c r="K858" s="8">
        <f t="shared" ref="K858:K861" si="1297">L858*F858</f>
        <v>4.333333333333333</v>
      </c>
      <c r="L858" s="8">
        <f t="shared" ref="L858:L861" si="1298">IF(E858="M"," ",H858/G858)</f>
        <v>4.333333333333333</v>
      </c>
      <c r="M858" s="109">
        <f t="shared" ref="M858:M861" si="1299">IF($E858="L",$J858,0)</f>
        <v>0</v>
      </c>
      <c r="N858" s="109">
        <f t="shared" ref="N858:N861" si="1300">IF($E858="M",$J858,0)</f>
        <v>0</v>
      </c>
      <c r="O858" s="109">
        <f t="shared" ref="O858:O861" si="1301">IF($E858="P",$J858,0)</f>
        <v>585</v>
      </c>
      <c r="P858" s="109">
        <f t="shared" ref="P858:P861" si="1302">IF($E858="S",$J858,0)</f>
        <v>0</v>
      </c>
      <c r="Q858" s="109">
        <f t="shared" ref="Q858:Q861" si="1303">SUM(M858:P858)</f>
        <v>585</v>
      </c>
      <c r="R858" s="121">
        <v>57</v>
      </c>
      <c r="T858" s="188"/>
    </row>
    <row r="859" spans="1:20" x14ac:dyDescent="0.25">
      <c r="A859" s="100">
        <v>119.2</v>
      </c>
      <c r="B859" s="3">
        <v>2</v>
      </c>
      <c r="C859" s="5" t="s">
        <v>44</v>
      </c>
      <c r="D859" s="3" t="s">
        <v>48</v>
      </c>
      <c r="E859" s="100" t="str">
        <f>IFERROR(VLOOKUP(C859,Resources!B:D,3,FALSE)," ")</f>
        <v>P</v>
      </c>
      <c r="F859" s="103">
        <f>VLOOKUP($A859,'Model Inputs'!$A:$D,4,FALSE)</f>
        <v>2</v>
      </c>
      <c r="G859" s="8">
        <f>G858</f>
        <v>15</v>
      </c>
      <c r="H859" s="8">
        <f>H857</f>
        <v>65</v>
      </c>
      <c r="I859" s="109">
        <f>IFERROR(VLOOKUP(C859,Resources!B:G,6,FALSE)," ")</f>
        <v>145</v>
      </c>
      <c r="J859" s="109">
        <f t="shared" si="1296"/>
        <v>1256.6666666666665</v>
      </c>
      <c r="K859" s="8">
        <f t="shared" si="1297"/>
        <v>8.6666666666666661</v>
      </c>
      <c r="L859" s="8">
        <f t="shared" si="1298"/>
        <v>4.333333333333333</v>
      </c>
      <c r="M859" s="109">
        <f t="shared" si="1299"/>
        <v>0</v>
      </c>
      <c r="N859" s="109">
        <f t="shared" si="1300"/>
        <v>0</v>
      </c>
      <c r="O859" s="109">
        <f t="shared" si="1301"/>
        <v>1256.6666666666665</v>
      </c>
      <c r="P859" s="109">
        <f t="shared" si="1302"/>
        <v>0</v>
      </c>
      <c r="Q859" s="109">
        <f t="shared" si="1303"/>
        <v>1256.6666666666665</v>
      </c>
      <c r="R859" s="121">
        <v>57</v>
      </c>
      <c r="T859" s="188"/>
    </row>
    <row r="860" spans="1:20" x14ac:dyDescent="0.25">
      <c r="A860" s="100"/>
      <c r="B860" s="3">
        <v>3</v>
      </c>
      <c r="C860" s="5" t="s">
        <v>64</v>
      </c>
      <c r="D860" s="3" t="s">
        <v>48</v>
      </c>
      <c r="E860" s="100" t="str">
        <f>IFERROR(VLOOKUP(C860,Resources!B:D,3,FALSE)," ")</f>
        <v>P</v>
      </c>
      <c r="F860" s="8">
        <v>1</v>
      </c>
      <c r="G860" s="8">
        <f>G858</f>
        <v>15</v>
      </c>
      <c r="H860" s="8">
        <f>H857</f>
        <v>65</v>
      </c>
      <c r="I860" s="109">
        <f>IFERROR(VLOOKUP(C860,Resources!B:G,6,FALSE)," ")</f>
        <v>100</v>
      </c>
      <c r="J860" s="109">
        <f t="shared" si="1296"/>
        <v>433.33333333333331</v>
      </c>
      <c r="K860" s="8">
        <f t="shared" si="1297"/>
        <v>4.333333333333333</v>
      </c>
      <c r="L860" s="8">
        <f t="shared" si="1298"/>
        <v>4.333333333333333</v>
      </c>
      <c r="M860" s="109">
        <f t="shared" si="1299"/>
        <v>0</v>
      </c>
      <c r="N860" s="109">
        <f t="shared" si="1300"/>
        <v>0</v>
      </c>
      <c r="O860" s="109">
        <f t="shared" si="1301"/>
        <v>433.33333333333331</v>
      </c>
      <c r="P860" s="109">
        <f t="shared" si="1302"/>
        <v>0</v>
      </c>
      <c r="Q860" s="109">
        <f t="shared" si="1303"/>
        <v>433.33333333333331</v>
      </c>
      <c r="R860" s="121">
        <v>57</v>
      </c>
      <c r="T860" s="188"/>
    </row>
    <row r="861" spans="1:20" x14ac:dyDescent="0.25">
      <c r="A861" s="100"/>
      <c r="B861" s="3">
        <v>4</v>
      </c>
      <c r="C861" s="5" t="s">
        <v>8</v>
      </c>
      <c r="D861" s="3" t="s">
        <v>48</v>
      </c>
      <c r="E861" s="100" t="str">
        <f>IFERROR(VLOOKUP(C861,Resources!B:D,3,FALSE)," ")</f>
        <v>L</v>
      </c>
      <c r="F861" s="8">
        <v>1</v>
      </c>
      <c r="G861" s="8">
        <f>G858</f>
        <v>15</v>
      </c>
      <c r="H861" s="8">
        <f>H857</f>
        <v>65</v>
      </c>
      <c r="I861" s="109">
        <f>IFERROR(VLOOKUP(C861,Resources!B:G,6,FALSE)," ")</f>
        <v>42</v>
      </c>
      <c r="J861" s="109">
        <f t="shared" si="1296"/>
        <v>182</v>
      </c>
      <c r="K861" s="8">
        <f t="shared" si="1297"/>
        <v>4.333333333333333</v>
      </c>
      <c r="L861" s="8">
        <f t="shared" si="1298"/>
        <v>4.333333333333333</v>
      </c>
      <c r="M861" s="109">
        <f t="shared" si="1299"/>
        <v>182</v>
      </c>
      <c r="N861" s="109">
        <f t="shared" si="1300"/>
        <v>0</v>
      </c>
      <c r="O861" s="109">
        <f t="shared" si="1301"/>
        <v>0</v>
      </c>
      <c r="P861" s="109">
        <f t="shared" si="1302"/>
        <v>0</v>
      </c>
      <c r="Q861" s="109">
        <f t="shared" si="1303"/>
        <v>182</v>
      </c>
      <c r="R861" s="121">
        <v>57</v>
      </c>
      <c r="T861" s="188"/>
    </row>
    <row r="862" spans="1:20" x14ac:dyDescent="0.25">
      <c r="A862" s="101"/>
      <c r="B862" s="4">
        <v>5</v>
      </c>
      <c r="C862" s="6" t="s">
        <v>68</v>
      </c>
      <c r="D862" s="4"/>
      <c r="E862" s="101" t="str">
        <f>IFERROR(VLOOKUP(C862,Resources!B:D,3,FALSE)," ")</f>
        <v xml:space="preserve"> </v>
      </c>
      <c r="F862" s="9"/>
      <c r="G862" s="9"/>
      <c r="H862" s="9"/>
      <c r="I862" s="38" t="str">
        <f>IFERROR(VLOOKUP(C862,Resources!B:G,6,FALSE)," ")</f>
        <v xml:space="preserve"> </v>
      </c>
      <c r="J862" s="38"/>
      <c r="K862" s="9"/>
      <c r="L862" s="9"/>
      <c r="M862" s="38"/>
      <c r="N862" s="38"/>
      <c r="O862" s="38"/>
      <c r="P862" s="38"/>
      <c r="Q862" s="38"/>
      <c r="R862" s="122"/>
      <c r="T862" s="188"/>
    </row>
    <row r="863" spans="1:20" x14ac:dyDescent="0.25">
      <c r="A863" s="100"/>
      <c r="B863" s="3">
        <v>6</v>
      </c>
      <c r="C863" s="5" t="s">
        <v>63</v>
      </c>
      <c r="D863" s="3" t="s">
        <v>48</v>
      </c>
      <c r="E863" s="100" t="str">
        <f>IFERROR(VLOOKUP(C863,Resources!B:D,3,FALSE)," ")</f>
        <v>P</v>
      </c>
      <c r="F863" s="8">
        <v>1</v>
      </c>
      <c r="G863" s="8">
        <f>G858</f>
        <v>15</v>
      </c>
      <c r="H863" s="8">
        <f>H857</f>
        <v>65</v>
      </c>
      <c r="I863" s="109">
        <f>IFERROR(VLOOKUP(C863,Resources!B:G,6,FALSE)," ")</f>
        <v>135</v>
      </c>
      <c r="J863" s="109">
        <f t="shared" ref="J863:J866" si="1304">(H863/(G863/F863))*I863</f>
        <v>585</v>
      </c>
      <c r="K863" s="8">
        <f t="shared" ref="K863:K866" si="1305">L863*F863</f>
        <v>4.333333333333333</v>
      </c>
      <c r="L863" s="8">
        <f t="shared" ref="L863:L866" si="1306">IF(E863="M"," ",H863/G863)</f>
        <v>4.333333333333333</v>
      </c>
      <c r="M863" s="109">
        <f t="shared" ref="M863:M866" si="1307">IF($E863="L",$J863,0)</f>
        <v>0</v>
      </c>
      <c r="N863" s="109">
        <f t="shared" ref="N863:N866" si="1308">IF($E863="M",$J863,0)</f>
        <v>0</v>
      </c>
      <c r="O863" s="109">
        <f t="shared" ref="O863:O866" si="1309">IF($E863="P",$J863,0)</f>
        <v>585</v>
      </c>
      <c r="P863" s="109">
        <f t="shared" ref="P863:P866" si="1310">IF($E863="S",$J863,0)</f>
        <v>0</v>
      </c>
      <c r="Q863" s="109">
        <f t="shared" ref="Q863:Q866" si="1311">SUM(M863:P863)</f>
        <v>585</v>
      </c>
      <c r="R863" s="121">
        <v>57</v>
      </c>
      <c r="T863" s="188"/>
    </row>
    <row r="864" spans="1:20" x14ac:dyDescent="0.25">
      <c r="A864" s="100"/>
      <c r="B864" s="3">
        <v>7</v>
      </c>
      <c r="C864" s="5" t="s">
        <v>69</v>
      </c>
      <c r="D864" s="3" t="s">
        <v>48</v>
      </c>
      <c r="E864" s="100" t="str">
        <f>IFERROR(VLOOKUP(C864,Resources!B:D,3,FALSE)," ")</f>
        <v>P</v>
      </c>
      <c r="F864" s="8">
        <v>1</v>
      </c>
      <c r="G864" s="8">
        <f>G858</f>
        <v>15</v>
      </c>
      <c r="H864" s="8">
        <f>H857</f>
        <v>65</v>
      </c>
      <c r="I864" s="109">
        <f>IFERROR(VLOOKUP(C864,Resources!B:G,6,FALSE)," ")</f>
        <v>55</v>
      </c>
      <c r="J864" s="109">
        <f t="shared" si="1304"/>
        <v>238.33333333333331</v>
      </c>
      <c r="K864" s="8">
        <f t="shared" si="1305"/>
        <v>4.333333333333333</v>
      </c>
      <c r="L864" s="8">
        <f t="shared" si="1306"/>
        <v>4.333333333333333</v>
      </c>
      <c r="M864" s="109">
        <f t="shared" si="1307"/>
        <v>0</v>
      </c>
      <c r="N864" s="109">
        <f t="shared" si="1308"/>
        <v>0</v>
      </c>
      <c r="O864" s="109">
        <f t="shared" si="1309"/>
        <v>238.33333333333331</v>
      </c>
      <c r="P864" s="109">
        <f t="shared" si="1310"/>
        <v>0</v>
      </c>
      <c r="Q864" s="109">
        <f t="shared" si="1311"/>
        <v>238.33333333333331</v>
      </c>
      <c r="R864" s="121">
        <v>57</v>
      </c>
      <c r="T864" s="188"/>
    </row>
    <row r="865" spans="1:20" x14ac:dyDescent="0.25">
      <c r="A865" s="100"/>
      <c r="B865" s="3">
        <v>8</v>
      </c>
      <c r="C865" s="5" t="s">
        <v>64</v>
      </c>
      <c r="D865" s="3" t="s">
        <v>48</v>
      </c>
      <c r="E865" s="100" t="str">
        <f>IFERROR(VLOOKUP(C865,Resources!B:D,3,FALSE)," ")</f>
        <v>P</v>
      </c>
      <c r="F865" s="8">
        <v>1</v>
      </c>
      <c r="G865" s="8">
        <f>G858</f>
        <v>15</v>
      </c>
      <c r="H865" s="8">
        <f>H857</f>
        <v>65</v>
      </c>
      <c r="I865" s="109">
        <f>IFERROR(VLOOKUP(C865,Resources!B:G,6,FALSE)," ")</f>
        <v>100</v>
      </c>
      <c r="J865" s="109">
        <f t="shared" si="1304"/>
        <v>433.33333333333331</v>
      </c>
      <c r="K865" s="8">
        <f t="shared" si="1305"/>
        <v>4.333333333333333</v>
      </c>
      <c r="L865" s="8">
        <f t="shared" si="1306"/>
        <v>4.333333333333333</v>
      </c>
      <c r="M865" s="109">
        <f t="shared" si="1307"/>
        <v>0</v>
      </c>
      <c r="N865" s="109">
        <f t="shared" si="1308"/>
        <v>0</v>
      </c>
      <c r="O865" s="109">
        <f t="shared" si="1309"/>
        <v>433.33333333333331</v>
      </c>
      <c r="P865" s="109">
        <f t="shared" si="1310"/>
        <v>0</v>
      </c>
      <c r="Q865" s="109">
        <f t="shared" si="1311"/>
        <v>433.33333333333331</v>
      </c>
      <c r="R865" s="121">
        <v>57</v>
      </c>
      <c r="T865" s="188"/>
    </row>
    <row r="866" spans="1:20" x14ac:dyDescent="0.25">
      <c r="A866" s="100">
        <v>119.3</v>
      </c>
      <c r="B866" s="3">
        <v>9</v>
      </c>
      <c r="C866" s="5" t="s">
        <v>8</v>
      </c>
      <c r="D866" s="3" t="s">
        <v>48</v>
      </c>
      <c r="E866" s="100" t="str">
        <f>IFERROR(VLOOKUP(C866,Resources!B:D,3,FALSE)," ")</f>
        <v>L</v>
      </c>
      <c r="F866" s="103">
        <f>VLOOKUP($A866,'Model Inputs'!$A:$D,4,FALSE)</f>
        <v>3</v>
      </c>
      <c r="G866" s="8">
        <f>G858</f>
        <v>15</v>
      </c>
      <c r="H866" s="8">
        <f>H857</f>
        <v>65</v>
      </c>
      <c r="I866" s="109">
        <f>IFERROR(VLOOKUP(C866,Resources!B:G,6,FALSE)," ")</f>
        <v>42</v>
      </c>
      <c r="J866" s="109">
        <f t="shared" si="1304"/>
        <v>546</v>
      </c>
      <c r="K866" s="8">
        <f t="shared" si="1305"/>
        <v>13</v>
      </c>
      <c r="L866" s="8">
        <f t="shared" si="1306"/>
        <v>4.333333333333333</v>
      </c>
      <c r="M866" s="109">
        <f t="shared" si="1307"/>
        <v>546</v>
      </c>
      <c r="N866" s="109">
        <f t="shared" si="1308"/>
        <v>0</v>
      </c>
      <c r="O866" s="109">
        <f t="shared" si="1309"/>
        <v>0</v>
      </c>
      <c r="P866" s="109">
        <f t="shared" si="1310"/>
        <v>0</v>
      </c>
      <c r="Q866" s="109">
        <f t="shared" si="1311"/>
        <v>546</v>
      </c>
      <c r="R866" s="121">
        <v>57</v>
      </c>
      <c r="T866" s="188"/>
    </row>
    <row r="867" spans="1:20" x14ac:dyDescent="0.25">
      <c r="A867" s="101"/>
      <c r="B867" s="4"/>
      <c r="C867" s="6"/>
      <c r="D867" s="4"/>
      <c r="E867" s="101" t="str">
        <f>IFERROR(VLOOKUP(C867,Resources!B:D,3,FALSE)," ")</f>
        <v xml:space="preserve"> </v>
      </c>
      <c r="F867" s="9"/>
      <c r="G867" s="9"/>
      <c r="H867" s="9"/>
      <c r="I867" s="38" t="str">
        <f>IFERROR(VLOOKUP(C867,Resources!B:G,6,FALSE)," ")</f>
        <v xml:space="preserve"> </v>
      </c>
      <c r="J867" s="38"/>
      <c r="K867" s="9"/>
      <c r="L867" s="9"/>
      <c r="M867" s="38"/>
      <c r="N867" s="38"/>
      <c r="O867" s="38"/>
      <c r="P867" s="38"/>
      <c r="Q867" s="38"/>
      <c r="R867" s="122"/>
      <c r="T867" s="188"/>
    </row>
    <row r="868" spans="1:20" ht="30" x14ac:dyDescent="0.25">
      <c r="A868" s="114"/>
      <c r="B868" s="1" t="s">
        <v>441</v>
      </c>
      <c r="C868" s="1" t="s">
        <v>71</v>
      </c>
      <c r="D868" s="2"/>
      <c r="E868" s="99" t="str">
        <f>IFERROR(VLOOKUP(C868,Resources!B:D,3,FALSE)," ")</f>
        <v xml:space="preserve"> </v>
      </c>
      <c r="F868" s="7"/>
      <c r="G868" s="7"/>
      <c r="H868" s="7"/>
      <c r="I868" s="108" t="str">
        <f>IFERROR(VLOOKUP(C868,Resources!B:G,6,FALSE)," ")</f>
        <v xml:space="preserve"> </v>
      </c>
      <c r="J868" s="108"/>
      <c r="K868" s="7"/>
      <c r="L868" s="7"/>
      <c r="M868" s="108"/>
      <c r="N868" s="108"/>
      <c r="O868" s="108"/>
      <c r="P868" s="108"/>
      <c r="Q868" s="108"/>
      <c r="R868" s="120"/>
      <c r="T868" s="188"/>
    </row>
    <row r="869" spans="1:20" ht="30" x14ac:dyDescent="0.25">
      <c r="A869" s="114"/>
      <c r="B869" s="1" t="s">
        <v>442</v>
      </c>
      <c r="C869" s="1" t="s">
        <v>170</v>
      </c>
      <c r="D869" s="2"/>
      <c r="E869" s="99" t="str">
        <f>IFERROR(VLOOKUP(C869,Resources!B:D,3,FALSE)," ")</f>
        <v xml:space="preserve"> </v>
      </c>
      <c r="F869" s="7"/>
      <c r="G869" s="7"/>
      <c r="H869" s="7"/>
      <c r="I869" s="108" t="str">
        <f>IFERROR(VLOOKUP(C869,Resources!B:G,6,FALSE)," ")</f>
        <v xml:space="preserve"> </v>
      </c>
      <c r="J869" s="108"/>
      <c r="K869" s="7"/>
      <c r="L869" s="7"/>
      <c r="M869" s="108"/>
      <c r="N869" s="108"/>
      <c r="O869" s="108"/>
      <c r="P869" s="108"/>
      <c r="Q869" s="108"/>
      <c r="R869" s="120"/>
      <c r="T869" s="188"/>
    </row>
    <row r="870" spans="1:20" ht="30" x14ac:dyDescent="0.25">
      <c r="A870" s="114">
        <v>120</v>
      </c>
      <c r="B870" s="1" t="s">
        <v>443</v>
      </c>
      <c r="C870" s="1" t="s">
        <v>172</v>
      </c>
      <c r="D870" s="2" t="s">
        <v>20</v>
      </c>
      <c r="E870" s="99" t="str">
        <f>IFERROR(VLOOKUP(C870,Resources!B:D,3,FALSE)," ")</f>
        <v xml:space="preserve"> </v>
      </c>
      <c r="F870" s="7"/>
      <c r="G870" s="7"/>
      <c r="H870" s="103">
        <f>VLOOKUP($A870,'Model Inputs'!$A:$D,4,FALSE)</f>
        <v>2</v>
      </c>
      <c r="I870" s="108" t="str">
        <f>IFERROR(VLOOKUP(C870,Resources!B:G,6,FALSE)," ")</f>
        <v xml:space="preserve"> </v>
      </c>
      <c r="J870" s="108">
        <f>SUBTOTAL(9,J871:J874)</f>
        <v>5490.9090909090919</v>
      </c>
      <c r="K870" s="7"/>
      <c r="L870" s="7">
        <f>ROUNDUP(MAX(L871:L874)/Workhrs,0)</f>
        <v>2</v>
      </c>
      <c r="M870" s="108">
        <f t="shared" ref="M870:Q870" si="1312">SUBTOTAL(9,M871:M874)</f>
        <v>763.63636363636374</v>
      </c>
      <c r="N870" s="108">
        <f t="shared" si="1312"/>
        <v>0</v>
      </c>
      <c r="O870" s="108">
        <f t="shared" si="1312"/>
        <v>4727.2727272727279</v>
      </c>
      <c r="P870" s="108">
        <f t="shared" si="1312"/>
        <v>0</v>
      </c>
      <c r="Q870" s="108">
        <f t="shared" si="1312"/>
        <v>5490.9090909090919</v>
      </c>
      <c r="R870" s="120"/>
      <c r="T870" s="188"/>
    </row>
    <row r="871" spans="1:20" x14ac:dyDescent="0.25">
      <c r="A871" s="100">
        <v>120.1</v>
      </c>
      <c r="B871" s="3">
        <v>1</v>
      </c>
      <c r="C871" s="5" t="s">
        <v>63</v>
      </c>
      <c r="D871" s="3" t="s">
        <v>48</v>
      </c>
      <c r="E871" s="100" t="str">
        <f>IFERROR(VLOOKUP(C871,Resources!B:D,3,FALSE)," ")</f>
        <v>P</v>
      </c>
      <c r="F871" s="8">
        <v>1</v>
      </c>
      <c r="G871" s="103">
        <f>VLOOKUP($A871,'Model Inputs'!$A:$D,4,FALSE)</f>
        <v>0.22</v>
      </c>
      <c r="H871" s="8">
        <f>H870</f>
        <v>2</v>
      </c>
      <c r="I871" s="109">
        <f>IFERROR(VLOOKUP(C871,Resources!B:G,6,FALSE)," ")</f>
        <v>135</v>
      </c>
      <c r="J871" s="109">
        <f t="shared" ref="J871:J874" si="1313">(H871/(G871/F871))*I871</f>
        <v>1227.2727272727275</v>
      </c>
      <c r="K871" s="8">
        <f t="shared" ref="K871:K874" si="1314">L871*F871</f>
        <v>9.0909090909090917</v>
      </c>
      <c r="L871" s="8">
        <f t="shared" ref="L871:L874" si="1315">IF(E871="M"," ",H871/G871)</f>
        <v>9.0909090909090917</v>
      </c>
      <c r="M871" s="109">
        <f t="shared" ref="M871:M874" si="1316">IF($E871="L",$J871,0)</f>
        <v>0</v>
      </c>
      <c r="N871" s="109">
        <f t="shared" ref="N871:N874" si="1317">IF($E871="M",$J871,0)</f>
        <v>0</v>
      </c>
      <c r="O871" s="109">
        <f t="shared" ref="O871:O874" si="1318">IF($E871="P",$J871,0)</f>
        <v>1227.2727272727275</v>
      </c>
      <c r="P871" s="109">
        <f t="shared" ref="P871:P874" si="1319">IF($E871="S",$J871,0)</f>
        <v>0</v>
      </c>
      <c r="Q871" s="109">
        <f t="shared" ref="Q871:Q874" si="1320">SUM(M871:P871)</f>
        <v>1227.2727272727275</v>
      </c>
      <c r="R871" s="121">
        <v>41</v>
      </c>
      <c r="T871" s="188"/>
    </row>
    <row r="872" spans="1:20" x14ac:dyDescent="0.25">
      <c r="A872" s="100">
        <v>120.2</v>
      </c>
      <c r="B872" s="3">
        <v>2</v>
      </c>
      <c r="C872" s="5" t="s">
        <v>173</v>
      </c>
      <c r="D872" s="3" t="s">
        <v>48</v>
      </c>
      <c r="E872" s="100" t="str">
        <f>IFERROR(VLOOKUP(C872,Resources!B:D,3,FALSE)," ")</f>
        <v>P</v>
      </c>
      <c r="F872" s="103">
        <f>VLOOKUP($A872,'Model Inputs'!$A:$D,4,FALSE)</f>
        <v>3</v>
      </c>
      <c r="G872" s="8">
        <f>G871</f>
        <v>0.22</v>
      </c>
      <c r="H872" s="8">
        <f>H870</f>
        <v>2</v>
      </c>
      <c r="I872" s="109">
        <f>IFERROR(VLOOKUP(C872,Resources!B:G,6,FALSE)," ")</f>
        <v>95</v>
      </c>
      <c r="J872" s="109">
        <f t="shared" si="1313"/>
        <v>2590.909090909091</v>
      </c>
      <c r="K872" s="8">
        <f t="shared" si="1314"/>
        <v>27.272727272727273</v>
      </c>
      <c r="L872" s="8">
        <f t="shared" si="1315"/>
        <v>9.0909090909090917</v>
      </c>
      <c r="M872" s="109">
        <f t="shared" si="1316"/>
        <v>0</v>
      </c>
      <c r="N872" s="109">
        <f t="shared" si="1317"/>
        <v>0</v>
      </c>
      <c r="O872" s="109">
        <f t="shared" si="1318"/>
        <v>2590.909090909091</v>
      </c>
      <c r="P872" s="109">
        <f t="shared" si="1319"/>
        <v>0</v>
      </c>
      <c r="Q872" s="109">
        <f t="shared" si="1320"/>
        <v>2590.909090909091</v>
      </c>
      <c r="R872" s="121">
        <v>41</v>
      </c>
      <c r="T872" s="188"/>
    </row>
    <row r="873" spans="1:20" x14ac:dyDescent="0.25">
      <c r="A873" s="100"/>
      <c r="B873" s="3">
        <v>3</v>
      </c>
      <c r="C873" s="5" t="s">
        <v>64</v>
      </c>
      <c r="D873" s="3" t="s">
        <v>48</v>
      </c>
      <c r="E873" s="100" t="str">
        <f>IFERROR(VLOOKUP(C873,Resources!B:D,3,FALSE)," ")</f>
        <v>P</v>
      </c>
      <c r="F873" s="8">
        <v>1</v>
      </c>
      <c r="G873" s="8">
        <f>G871</f>
        <v>0.22</v>
      </c>
      <c r="H873" s="8">
        <f>H870</f>
        <v>2</v>
      </c>
      <c r="I873" s="109">
        <f>IFERROR(VLOOKUP(C873,Resources!B:G,6,FALSE)," ")</f>
        <v>100</v>
      </c>
      <c r="J873" s="109">
        <f t="shared" si="1313"/>
        <v>909.09090909090912</v>
      </c>
      <c r="K873" s="8">
        <f t="shared" si="1314"/>
        <v>9.0909090909090917</v>
      </c>
      <c r="L873" s="8">
        <f t="shared" si="1315"/>
        <v>9.0909090909090917</v>
      </c>
      <c r="M873" s="109">
        <f t="shared" si="1316"/>
        <v>0</v>
      </c>
      <c r="N873" s="109">
        <f t="shared" si="1317"/>
        <v>0</v>
      </c>
      <c r="O873" s="109">
        <f t="shared" si="1318"/>
        <v>909.09090909090912</v>
      </c>
      <c r="P873" s="109">
        <f t="shared" si="1319"/>
        <v>0</v>
      </c>
      <c r="Q873" s="109">
        <f t="shared" si="1320"/>
        <v>909.09090909090912</v>
      </c>
      <c r="R873" s="121">
        <v>41</v>
      </c>
      <c r="T873" s="188"/>
    </row>
    <row r="874" spans="1:20" x14ac:dyDescent="0.25">
      <c r="A874" s="100"/>
      <c r="B874" s="3">
        <v>4</v>
      </c>
      <c r="C874" s="5" t="s">
        <v>8</v>
      </c>
      <c r="D874" s="3" t="s">
        <v>48</v>
      </c>
      <c r="E874" s="100" t="str">
        <f>IFERROR(VLOOKUP(C874,Resources!B:D,3,FALSE)," ")</f>
        <v>L</v>
      </c>
      <c r="F874" s="8">
        <v>2</v>
      </c>
      <c r="G874" s="8">
        <f>G871</f>
        <v>0.22</v>
      </c>
      <c r="H874" s="8">
        <f>H870</f>
        <v>2</v>
      </c>
      <c r="I874" s="109">
        <f>IFERROR(VLOOKUP(C874,Resources!B:G,6,FALSE)," ")</f>
        <v>42</v>
      </c>
      <c r="J874" s="109">
        <f t="shared" si="1313"/>
        <v>763.63636363636374</v>
      </c>
      <c r="K874" s="8">
        <f t="shared" si="1314"/>
        <v>18.181818181818183</v>
      </c>
      <c r="L874" s="8">
        <f t="shared" si="1315"/>
        <v>9.0909090909090917</v>
      </c>
      <c r="M874" s="109">
        <f t="shared" si="1316"/>
        <v>763.63636363636374</v>
      </c>
      <c r="N874" s="109">
        <f t="shared" si="1317"/>
        <v>0</v>
      </c>
      <c r="O874" s="109">
        <f t="shared" si="1318"/>
        <v>0</v>
      </c>
      <c r="P874" s="109">
        <f t="shared" si="1319"/>
        <v>0</v>
      </c>
      <c r="Q874" s="109">
        <f t="shared" si="1320"/>
        <v>763.63636363636374</v>
      </c>
      <c r="R874" s="121">
        <v>41</v>
      </c>
      <c r="T874" s="188"/>
    </row>
    <row r="875" spans="1:20" x14ac:dyDescent="0.25">
      <c r="A875" s="101"/>
      <c r="B875" s="4"/>
      <c r="C875" s="6"/>
      <c r="D875" s="4"/>
      <c r="E875" s="101" t="str">
        <f>IFERROR(VLOOKUP(C875,Resources!B:D,3,FALSE)," ")</f>
        <v xml:space="preserve"> </v>
      </c>
      <c r="F875" s="9"/>
      <c r="G875" s="9"/>
      <c r="H875" s="9"/>
      <c r="I875" s="38" t="str">
        <f>IFERROR(VLOOKUP(C875,Resources!B:G,6,FALSE)," ")</f>
        <v xml:space="preserve"> </v>
      </c>
      <c r="J875" s="38"/>
      <c r="K875" s="9"/>
      <c r="L875" s="9"/>
      <c r="M875" s="38"/>
      <c r="N875" s="38"/>
      <c r="O875" s="38"/>
      <c r="P875" s="38"/>
      <c r="Q875" s="38"/>
      <c r="R875" s="122"/>
      <c r="T875" s="188"/>
    </row>
    <row r="876" spans="1:20" ht="30" x14ac:dyDescent="0.25">
      <c r="A876" s="114">
        <v>121</v>
      </c>
      <c r="B876" s="1" t="s">
        <v>444</v>
      </c>
      <c r="C876" s="1" t="s">
        <v>445</v>
      </c>
      <c r="D876" s="2" t="s">
        <v>33</v>
      </c>
      <c r="E876" s="99" t="str">
        <f>IFERROR(VLOOKUP(C876,Resources!B:D,3,FALSE)," ")</f>
        <v xml:space="preserve"> </v>
      </c>
      <c r="F876" s="7"/>
      <c r="G876" s="7"/>
      <c r="H876" s="103">
        <f>VLOOKUP($A876,'Model Inputs'!$A:$D,4,FALSE)</f>
        <v>2</v>
      </c>
      <c r="I876" s="108" t="str">
        <f>IFERROR(VLOOKUP(C876,Resources!B:G,6,FALSE)," ")</f>
        <v xml:space="preserve"> </v>
      </c>
      <c r="J876" s="108">
        <f>SUBTOTAL(9,J878:J880)</f>
        <v>790</v>
      </c>
      <c r="K876" s="7"/>
      <c r="L876" s="7">
        <f>ROUNDUP(L880/Workhrs,0)</f>
        <v>1</v>
      </c>
      <c r="M876" s="108">
        <f t="shared" ref="M876:Q876" si="1321">SUBTOTAL(9,M878:M880)</f>
        <v>0</v>
      </c>
      <c r="N876" s="108">
        <f t="shared" si="1321"/>
        <v>450</v>
      </c>
      <c r="O876" s="108">
        <f t="shared" si="1321"/>
        <v>0</v>
      </c>
      <c r="P876" s="108">
        <f t="shared" si="1321"/>
        <v>340</v>
      </c>
      <c r="Q876" s="108">
        <f t="shared" si="1321"/>
        <v>790</v>
      </c>
      <c r="R876" s="120"/>
      <c r="T876" s="188"/>
    </row>
    <row r="877" spans="1:20" x14ac:dyDescent="0.25">
      <c r="A877" s="100"/>
      <c r="B877" s="3">
        <v>1</v>
      </c>
      <c r="C877" s="5" t="s">
        <v>2376</v>
      </c>
      <c r="D877" s="3"/>
      <c r="E877" s="100" t="str">
        <f>IFERROR(VLOOKUP(C877,Resources!B:D,3,FALSE)," ")</f>
        <v xml:space="preserve"> </v>
      </c>
      <c r="F877" s="8"/>
      <c r="G877" s="8"/>
      <c r="H877" s="8">
        <f>H876</f>
        <v>2</v>
      </c>
      <c r="I877" s="109" t="str">
        <f>IFERROR(VLOOKUP(C877,Resources!B:G,6,FALSE)," ")</f>
        <v xml:space="preserve"> </v>
      </c>
      <c r="J877" s="109"/>
      <c r="K877" s="8"/>
      <c r="L877" s="8"/>
      <c r="M877" s="109"/>
      <c r="N877" s="109"/>
      <c r="O877" s="109"/>
      <c r="P877" s="109"/>
      <c r="Q877" s="109"/>
      <c r="R877" s="121"/>
      <c r="T877" s="188"/>
    </row>
    <row r="878" spans="1:20" x14ac:dyDescent="0.25">
      <c r="A878" s="100"/>
      <c r="B878" s="3">
        <v>2</v>
      </c>
      <c r="C878" s="5" t="s">
        <v>266</v>
      </c>
      <c r="D878" s="3" t="s">
        <v>89</v>
      </c>
      <c r="E878" s="100" t="str">
        <f>IFERROR(VLOOKUP(C878,Resources!B:D,3,FALSE)," ")</f>
        <v>M</v>
      </c>
      <c r="F878" s="8">
        <v>1</v>
      </c>
      <c r="G878" s="8">
        <v>1</v>
      </c>
      <c r="H878" s="8">
        <f>H876*6</f>
        <v>12</v>
      </c>
      <c r="I878" s="109">
        <f>IFERROR(VLOOKUP(C878,Resources!B:G,6,FALSE)," ")</f>
        <v>25</v>
      </c>
      <c r="J878" s="109">
        <f t="shared" ref="J878:J880" si="1322">(H878/(G878/F878))*I878</f>
        <v>300</v>
      </c>
      <c r="K878" s="8"/>
      <c r="L878" s="8" t="str">
        <f t="shared" ref="L878:L880" si="1323">IF(E878="M"," ",H878/G878)</f>
        <v xml:space="preserve"> </v>
      </c>
      <c r="M878" s="109">
        <f t="shared" ref="M878:M880" si="1324">IF($E878="L",$J878,0)</f>
        <v>0</v>
      </c>
      <c r="N878" s="109">
        <f t="shared" ref="N878:N880" si="1325">IF($E878="M",$J878,0)</f>
        <v>300</v>
      </c>
      <c r="O878" s="109">
        <f t="shared" ref="O878:O880" si="1326">IF($E878="P",$J878,0)</f>
        <v>0</v>
      </c>
      <c r="P878" s="109">
        <f t="shared" ref="P878:P880" si="1327">IF($E878="S",$J878,0)</f>
        <v>0</v>
      </c>
      <c r="Q878" s="109">
        <f t="shared" ref="Q878:Q880" si="1328">SUM(M878:P878)</f>
        <v>300</v>
      </c>
      <c r="R878" s="121" t="s">
        <v>2346</v>
      </c>
      <c r="T878" s="188"/>
    </row>
    <row r="879" spans="1:20" x14ac:dyDescent="0.25">
      <c r="A879" s="100"/>
      <c r="B879" s="3">
        <v>3</v>
      </c>
      <c r="C879" s="5" t="s">
        <v>267</v>
      </c>
      <c r="D879" s="3" t="s">
        <v>29</v>
      </c>
      <c r="E879" s="100" t="str">
        <f>IFERROR(VLOOKUP(C879,Resources!B:D,3,FALSE)," ")</f>
        <v>M</v>
      </c>
      <c r="F879" s="8">
        <v>1</v>
      </c>
      <c r="G879" s="8">
        <v>1</v>
      </c>
      <c r="H879" s="8">
        <f>H876</f>
        <v>2</v>
      </c>
      <c r="I879" s="109">
        <f>IFERROR(VLOOKUP(C879,Resources!B:G,6,FALSE)," ")</f>
        <v>75</v>
      </c>
      <c r="J879" s="109">
        <f t="shared" si="1322"/>
        <v>150</v>
      </c>
      <c r="K879" s="8"/>
      <c r="L879" s="8" t="str">
        <f t="shared" si="1323"/>
        <v xml:space="preserve"> </v>
      </c>
      <c r="M879" s="109">
        <f t="shared" si="1324"/>
        <v>0</v>
      </c>
      <c r="N879" s="109">
        <f t="shared" si="1325"/>
        <v>150</v>
      </c>
      <c r="O879" s="109">
        <f t="shared" si="1326"/>
        <v>0</v>
      </c>
      <c r="P879" s="109">
        <f t="shared" si="1327"/>
        <v>0</v>
      </c>
      <c r="Q879" s="109">
        <f t="shared" si="1328"/>
        <v>150</v>
      </c>
      <c r="R879" s="121" t="s">
        <v>2346</v>
      </c>
      <c r="T879" s="188"/>
    </row>
    <row r="880" spans="1:20" x14ac:dyDescent="0.25">
      <c r="A880" s="100">
        <v>121.1</v>
      </c>
      <c r="B880" s="3">
        <v>4</v>
      </c>
      <c r="C880" s="5" t="s">
        <v>268</v>
      </c>
      <c r="D880" s="3" t="s">
        <v>48</v>
      </c>
      <c r="E880" s="100" t="str">
        <f>IFERROR(VLOOKUP(C880,Resources!B:D,3,FALSE)," ")</f>
        <v>S</v>
      </c>
      <c r="F880" s="8">
        <v>1</v>
      </c>
      <c r="G880" s="103">
        <f>VLOOKUP($A880,'Model Inputs'!$A:$D,4,FALSE)</f>
        <v>0.5</v>
      </c>
      <c r="H880" s="8">
        <f>H876</f>
        <v>2</v>
      </c>
      <c r="I880" s="109">
        <f>IFERROR(VLOOKUP(C880,Resources!B:G,6,FALSE)," ")</f>
        <v>85</v>
      </c>
      <c r="J880" s="109">
        <f t="shared" si="1322"/>
        <v>340</v>
      </c>
      <c r="K880" s="8">
        <f t="shared" ref="K880" si="1329">L880*F880</f>
        <v>4</v>
      </c>
      <c r="L880" s="8">
        <f t="shared" si="1323"/>
        <v>4</v>
      </c>
      <c r="M880" s="109">
        <f t="shared" si="1324"/>
        <v>0</v>
      </c>
      <c r="N880" s="109">
        <f t="shared" si="1325"/>
        <v>0</v>
      </c>
      <c r="O880" s="109">
        <f t="shared" si="1326"/>
        <v>0</v>
      </c>
      <c r="P880" s="109">
        <f t="shared" si="1327"/>
        <v>340</v>
      </c>
      <c r="Q880" s="109">
        <f t="shared" si="1328"/>
        <v>340</v>
      </c>
      <c r="R880" s="121">
        <v>81</v>
      </c>
      <c r="T880" s="188"/>
    </row>
    <row r="881" spans="1:20" x14ac:dyDescent="0.25">
      <c r="A881" s="101"/>
      <c r="B881" s="4"/>
      <c r="C881" s="6"/>
      <c r="D881" s="4"/>
      <c r="E881" s="101" t="str">
        <f>IFERROR(VLOOKUP(C881,Resources!B:D,3,FALSE)," ")</f>
        <v xml:space="preserve"> </v>
      </c>
      <c r="F881" s="9"/>
      <c r="G881" s="9"/>
      <c r="H881" s="9"/>
      <c r="I881" s="38" t="str">
        <f>IFERROR(VLOOKUP(C881,Resources!B:G,6,FALSE)," ")</f>
        <v xml:space="preserve"> </v>
      </c>
      <c r="J881" s="38"/>
      <c r="K881" s="9"/>
      <c r="L881" s="9"/>
      <c r="M881" s="38"/>
      <c r="N881" s="38"/>
      <c r="O881" s="38"/>
      <c r="P881" s="38"/>
      <c r="Q881" s="38"/>
      <c r="R881" s="122"/>
      <c r="T881" s="188"/>
    </row>
    <row r="882" spans="1:20" ht="30" x14ac:dyDescent="0.25">
      <c r="A882" s="114"/>
      <c r="B882" s="1" t="s">
        <v>446</v>
      </c>
      <c r="C882" s="1" t="s">
        <v>73</v>
      </c>
      <c r="D882" s="2"/>
      <c r="E882" s="99" t="str">
        <f>IFERROR(VLOOKUP(C882,Resources!B:D,3,FALSE)," ")</f>
        <v xml:space="preserve"> </v>
      </c>
      <c r="F882" s="7"/>
      <c r="G882" s="7"/>
      <c r="H882" s="7"/>
      <c r="I882" s="108" t="str">
        <f>IFERROR(VLOOKUP(C882,Resources!B:G,6,FALSE)," ")</f>
        <v xml:space="preserve"> </v>
      </c>
      <c r="J882" s="108"/>
      <c r="K882" s="7"/>
      <c r="L882" s="7"/>
      <c r="M882" s="108"/>
      <c r="N882" s="108"/>
      <c r="O882" s="108"/>
      <c r="P882" s="108"/>
      <c r="Q882" s="108"/>
      <c r="R882" s="120"/>
      <c r="T882" s="188"/>
    </row>
    <row r="883" spans="1:20" ht="30" x14ac:dyDescent="0.25">
      <c r="A883" s="114"/>
      <c r="B883" s="1" t="s">
        <v>447</v>
      </c>
      <c r="C883" s="1" t="s">
        <v>75</v>
      </c>
      <c r="D883" s="2"/>
      <c r="E883" s="99" t="str">
        <f>IFERROR(VLOOKUP(C883,Resources!B:D,3,FALSE)," ")</f>
        <v xml:space="preserve"> </v>
      </c>
      <c r="F883" s="7"/>
      <c r="G883" s="7"/>
      <c r="H883" s="7"/>
      <c r="I883" s="108" t="str">
        <f>IFERROR(VLOOKUP(C883,Resources!B:G,6,FALSE)," ")</f>
        <v xml:space="preserve"> </v>
      </c>
      <c r="J883" s="108"/>
      <c r="K883" s="7"/>
      <c r="L883" s="7"/>
      <c r="M883" s="108"/>
      <c r="N883" s="108"/>
      <c r="O883" s="108"/>
      <c r="P883" s="108"/>
      <c r="Q883" s="108"/>
      <c r="R883" s="120"/>
      <c r="T883" s="188"/>
    </row>
    <row r="884" spans="1:20" ht="30" x14ac:dyDescent="0.25">
      <c r="A884" s="114">
        <v>122</v>
      </c>
      <c r="B884" s="1" t="s">
        <v>448</v>
      </c>
      <c r="C884" s="1" t="s">
        <v>374</v>
      </c>
      <c r="D884" s="2" t="s">
        <v>89</v>
      </c>
      <c r="E884" s="99" t="str">
        <f>IFERROR(VLOOKUP(C884,Resources!B:D,3,FALSE)," ")</f>
        <v xml:space="preserve"> </v>
      </c>
      <c r="F884" s="7"/>
      <c r="G884" s="7"/>
      <c r="H884" s="103">
        <f>VLOOKUP($A884,'Model Inputs'!$A:$D,4,FALSE)</f>
        <v>93</v>
      </c>
      <c r="I884" s="108" t="str">
        <f>IFERROR(VLOOKUP(C884,Resources!B:G,6,FALSE)," ")</f>
        <v xml:space="preserve"> </v>
      </c>
      <c r="J884" s="108">
        <f>SUBTOTAL(9,J885:J888)</f>
        <v>12899.451891891891</v>
      </c>
      <c r="K884" s="7"/>
      <c r="L884" s="7">
        <f>ROUNDUP(MAX(L885:L888)/Workhrs,0)</f>
        <v>3</v>
      </c>
      <c r="M884" s="108">
        <f t="shared" ref="M884:Q884" si="1330">SUBTOTAL(9,M885:M888)</f>
        <v>2639.1891891891887</v>
      </c>
      <c r="N884" s="108">
        <f t="shared" si="1330"/>
        <v>7432.56</v>
      </c>
      <c r="O884" s="108">
        <f t="shared" si="1330"/>
        <v>2827.7027027027025</v>
      </c>
      <c r="P884" s="108">
        <f t="shared" si="1330"/>
        <v>0</v>
      </c>
      <c r="Q884" s="108">
        <f t="shared" si="1330"/>
        <v>12899.451891891891</v>
      </c>
      <c r="R884" s="120"/>
      <c r="T884" s="188"/>
    </row>
    <row r="885" spans="1:20" x14ac:dyDescent="0.25">
      <c r="A885" s="100">
        <v>122.1</v>
      </c>
      <c r="B885" s="3">
        <v>1</v>
      </c>
      <c r="C885" s="5" t="s">
        <v>63</v>
      </c>
      <c r="D885" s="3" t="s">
        <v>48</v>
      </c>
      <c r="E885" s="100" t="str">
        <f>IFERROR(VLOOKUP(C885,Resources!B:D,3,FALSE)," ")</f>
        <v>P</v>
      </c>
      <c r="F885" s="8">
        <v>1</v>
      </c>
      <c r="G885" s="103">
        <f>VLOOKUP($A885,'Model Inputs'!$A:$D,4,FALSE)</f>
        <v>4.4400000000000004</v>
      </c>
      <c r="H885" s="8">
        <f>H884</f>
        <v>93</v>
      </c>
      <c r="I885" s="109">
        <f>IFERROR(VLOOKUP(C885,Resources!B:G,6,FALSE)," ")</f>
        <v>135</v>
      </c>
      <c r="J885" s="109">
        <f t="shared" ref="J885:J888" si="1331">(H885/(G885/F885))*I885</f>
        <v>2827.7027027027025</v>
      </c>
      <c r="K885" s="8">
        <f t="shared" ref="K885:K888" si="1332">L885*F885</f>
        <v>20.945945945945944</v>
      </c>
      <c r="L885" s="8">
        <f t="shared" ref="L885:L888" si="1333">IF(E885="M"," ",H885/G885)</f>
        <v>20.945945945945944</v>
      </c>
      <c r="M885" s="109">
        <f t="shared" ref="M885:M888" si="1334">IF($E885="L",$J885,0)</f>
        <v>0</v>
      </c>
      <c r="N885" s="109">
        <f t="shared" ref="N885:N888" si="1335">IF($E885="M",$J885,0)</f>
        <v>0</v>
      </c>
      <c r="O885" s="109">
        <f t="shared" ref="O885:O888" si="1336">IF($E885="P",$J885,0)</f>
        <v>2827.7027027027025</v>
      </c>
      <c r="P885" s="109">
        <f t="shared" ref="P885:P888" si="1337">IF($E885="S",$J885,0)</f>
        <v>0</v>
      </c>
      <c r="Q885" s="109">
        <f t="shared" ref="Q885:Q888" si="1338">SUM(M885:P885)</f>
        <v>2827.7027027027025</v>
      </c>
      <c r="R885" s="121">
        <v>81</v>
      </c>
      <c r="T885" s="188"/>
    </row>
    <row r="886" spans="1:20" x14ac:dyDescent="0.25">
      <c r="A886" s="100"/>
      <c r="B886" s="3">
        <v>2</v>
      </c>
      <c r="C886" s="5" t="s">
        <v>2074</v>
      </c>
      <c r="D886" s="3" t="s">
        <v>89</v>
      </c>
      <c r="E886" s="100" t="str">
        <f>IFERROR(VLOOKUP(C886,Resources!B:D,3,FALSE)," ")</f>
        <v>M</v>
      </c>
      <c r="F886" s="8">
        <v>1</v>
      </c>
      <c r="G886" s="8">
        <v>1</v>
      </c>
      <c r="H886" s="8">
        <f>H884</f>
        <v>93</v>
      </c>
      <c r="I886" s="109">
        <f>IFERROR(VLOOKUP(C886,Resources!B:G,6,FALSE)," ")</f>
        <v>71.92</v>
      </c>
      <c r="J886" s="109">
        <f t="shared" si="1331"/>
        <v>6688.56</v>
      </c>
      <c r="K886" s="8"/>
      <c r="L886" s="8" t="str">
        <f t="shared" si="1333"/>
        <v xml:space="preserve"> </v>
      </c>
      <c r="M886" s="109">
        <f t="shared" si="1334"/>
        <v>0</v>
      </c>
      <c r="N886" s="109">
        <f t="shared" si="1335"/>
        <v>6688.56</v>
      </c>
      <c r="O886" s="109">
        <f t="shared" si="1336"/>
        <v>0</v>
      </c>
      <c r="P886" s="109">
        <f t="shared" si="1337"/>
        <v>0</v>
      </c>
      <c r="Q886" s="109">
        <f t="shared" si="1338"/>
        <v>6688.56</v>
      </c>
      <c r="R886" s="121" t="s">
        <v>2346</v>
      </c>
      <c r="T886" s="188"/>
    </row>
    <row r="887" spans="1:20" x14ac:dyDescent="0.25">
      <c r="A887" s="100"/>
      <c r="B887" s="3">
        <v>3</v>
      </c>
      <c r="C887" s="5" t="s">
        <v>81</v>
      </c>
      <c r="D887" s="3" t="s">
        <v>82</v>
      </c>
      <c r="E887" s="100" t="str">
        <f>IFERROR(VLOOKUP(C887,Resources!B:D,3,FALSE)," ")</f>
        <v>M</v>
      </c>
      <c r="F887" s="8">
        <v>1</v>
      </c>
      <c r="G887" s="8">
        <v>1</v>
      </c>
      <c r="H887" s="8">
        <f>H884/3</f>
        <v>31</v>
      </c>
      <c r="I887" s="109">
        <f>IFERROR(VLOOKUP(C887,Resources!B:G,6,FALSE)," ")</f>
        <v>24</v>
      </c>
      <c r="J887" s="109">
        <f t="shared" si="1331"/>
        <v>744</v>
      </c>
      <c r="K887" s="8"/>
      <c r="L887" s="8" t="str">
        <f t="shared" si="1333"/>
        <v xml:space="preserve"> </v>
      </c>
      <c r="M887" s="109">
        <f t="shared" si="1334"/>
        <v>0</v>
      </c>
      <c r="N887" s="109">
        <f t="shared" si="1335"/>
        <v>744</v>
      </c>
      <c r="O887" s="109">
        <f t="shared" si="1336"/>
        <v>0</v>
      </c>
      <c r="P887" s="109">
        <f t="shared" si="1337"/>
        <v>0</v>
      </c>
      <c r="Q887" s="109">
        <f t="shared" si="1338"/>
        <v>744</v>
      </c>
      <c r="R887" s="121" t="s">
        <v>2341</v>
      </c>
      <c r="T887" s="188"/>
    </row>
    <row r="888" spans="1:20" x14ac:dyDescent="0.25">
      <c r="A888" s="100">
        <v>122.2</v>
      </c>
      <c r="B888" s="3">
        <v>4</v>
      </c>
      <c r="C888" s="5" t="s">
        <v>8</v>
      </c>
      <c r="D888" s="3" t="s">
        <v>48</v>
      </c>
      <c r="E888" s="100" t="str">
        <f>IFERROR(VLOOKUP(C888,Resources!B:D,3,FALSE)," ")</f>
        <v>L</v>
      </c>
      <c r="F888" s="103">
        <f>VLOOKUP($A888,'Model Inputs'!$A:$D,4,FALSE)</f>
        <v>3</v>
      </c>
      <c r="G888" s="8">
        <f>G885</f>
        <v>4.4400000000000004</v>
      </c>
      <c r="H888" s="8">
        <f>H884</f>
        <v>93</v>
      </c>
      <c r="I888" s="109">
        <f>IFERROR(VLOOKUP(C888,Resources!B:G,6,FALSE)," ")</f>
        <v>42</v>
      </c>
      <c r="J888" s="109">
        <f t="shared" si="1331"/>
        <v>2639.1891891891887</v>
      </c>
      <c r="K888" s="8">
        <f t="shared" si="1332"/>
        <v>62.837837837837832</v>
      </c>
      <c r="L888" s="8">
        <f t="shared" si="1333"/>
        <v>20.945945945945944</v>
      </c>
      <c r="M888" s="109">
        <f t="shared" si="1334"/>
        <v>2639.1891891891887</v>
      </c>
      <c r="N888" s="109">
        <f t="shared" si="1335"/>
        <v>0</v>
      </c>
      <c r="O888" s="109">
        <f t="shared" si="1336"/>
        <v>0</v>
      </c>
      <c r="P888" s="109">
        <f t="shared" si="1337"/>
        <v>0</v>
      </c>
      <c r="Q888" s="109">
        <f t="shared" si="1338"/>
        <v>2639.1891891891887</v>
      </c>
      <c r="R888" s="121">
        <v>81</v>
      </c>
      <c r="T888" s="188"/>
    </row>
    <row r="889" spans="1:20" x14ac:dyDescent="0.25">
      <c r="A889" s="101"/>
      <c r="B889" s="4"/>
      <c r="C889" s="6"/>
      <c r="D889" s="4"/>
      <c r="E889" s="101" t="str">
        <f>IFERROR(VLOOKUP(C889,Resources!B:D,3,FALSE)," ")</f>
        <v xml:space="preserve"> </v>
      </c>
      <c r="F889" s="9"/>
      <c r="G889" s="9"/>
      <c r="H889" s="9"/>
      <c r="I889" s="38" t="str">
        <f>IFERROR(VLOOKUP(C889,Resources!B:G,6,FALSE)," ")</f>
        <v xml:space="preserve"> </v>
      </c>
      <c r="J889" s="38"/>
      <c r="K889" s="9"/>
      <c r="L889" s="9"/>
      <c r="M889" s="38"/>
      <c r="N889" s="38"/>
      <c r="O889" s="38"/>
      <c r="P889" s="38"/>
      <c r="Q889" s="38"/>
      <c r="R889" s="122"/>
      <c r="T889" s="188"/>
    </row>
    <row r="890" spans="1:20" ht="30" x14ac:dyDescent="0.25">
      <c r="A890" s="114">
        <v>123</v>
      </c>
      <c r="B890" s="1" t="s">
        <v>449</v>
      </c>
      <c r="C890" s="1" t="s">
        <v>450</v>
      </c>
      <c r="D890" s="2" t="s">
        <v>89</v>
      </c>
      <c r="E890" s="99" t="str">
        <f>IFERROR(VLOOKUP(C890,Resources!B:D,3,FALSE)," ")</f>
        <v xml:space="preserve"> </v>
      </c>
      <c r="F890" s="7"/>
      <c r="G890" s="7"/>
      <c r="H890" s="103">
        <f>VLOOKUP($A890,'Model Inputs'!$A:$D,4,FALSE)</f>
        <v>9.7200000000000006</v>
      </c>
      <c r="I890" s="108" t="str">
        <f>IFERROR(VLOOKUP(C890,Resources!B:G,6,FALSE)," ")</f>
        <v xml:space="preserve"> </v>
      </c>
      <c r="J890" s="108">
        <f>SUBTOTAL(9,J891:J894)</f>
        <v>2280.6627216494849</v>
      </c>
      <c r="K890" s="7"/>
      <c r="L890" s="7">
        <f>ROUNDUP(MAX(L891:L894)/Workhrs,0)</f>
        <v>1</v>
      </c>
      <c r="M890" s="108">
        <f t="shared" ref="M890" si="1339">SUBTOTAL(9,M891:M894)</f>
        <v>631.29896907216505</v>
      </c>
      <c r="N890" s="108">
        <f t="shared" ref="N890" si="1340">SUBTOTAL(9,N891:N894)</f>
        <v>972.97199999999998</v>
      </c>
      <c r="O890" s="108">
        <f t="shared" ref="O890" si="1341">SUBTOTAL(9,O891:O894)</f>
        <v>676.39175257731972</v>
      </c>
      <c r="P890" s="108">
        <f t="shared" ref="P890" si="1342">SUBTOTAL(9,P891:P894)</f>
        <v>0</v>
      </c>
      <c r="Q890" s="108">
        <f t="shared" ref="Q890" si="1343">SUBTOTAL(9,Q891:Q894)</f>
        <v>2280.6627216494849</v>
      </c>
      <c r="R890" s="120"/>
      <c r="T890" s="188"/>
    </row>
    <row r="891" spans="1:20" x14ac:dyDescent="0.25">
      <c r="A891" s="100">
        <v>123.1</v>
      </c>
      <c r="B891" s="3">
        <v>1</v>
      </c>
      <c r="C891" s="5" t="s">
        <v>63</v>
      </c>
      <c r="D891" s="3" t="s">
        <v>48</v>
      </c>
      <c r="E891" s="100" t="str">
        <f>IFERROR(VLOOKUP(C891,Resources!B:D,3,FALSE)," ")</f>
        <v>P</v>
      </c>
      <c r="F891" s="8">
        <v>1</v>
      </c>
      <c r="G891" s="103">
        <f>VLOOKUP($A891,'Model Inputs'!$A:$D,4,FALSE)</f>
        <v>1.94</v>
      </c>
      <c r="H891" s="8">
        <f>H890</f>
        <v>9.7200000000000006</v>
      </c>
      <c r="I891" s="109">
        <f>IFERROR(VLOOKUP(C891,Resources!B:G,6,FALSE)," ")</f>
        <v>135</v>
      </c>
      <c r="J891" s="109">
        <f t="shared" ref="J891:J894" si="1344">(H891/(G891/F891))*I891</f>
        <v>676.39175257731972</v>
      </c>
      <c r="K891" s="8">
        <f t="shared" ref="K891" si="1345">L891*F891</f>
        <v>5.0103092783505163</v>
      </c>
      <c r="L891" s="8">
        <f t="shared" ref="L891:L894" si="1346">IF(E891="M"," ",H891/G891)</f>
        <v>5.0103092783505163</v>
      </c>
      <c r="M891" s="109">
        <f t="shared" ref="M891:M894" si="1347">IF($E891="L",$J891,0)</f>
        <v>0</v>
      </c>
      <c r="N891" s="109">
        <f t="shared" ref="N891:N894" si="1348">IF($E891="M",$J891,0)</f>
        <v>0</v>
      </c>
      <c r="O891" s="109">
        <f t="shared" ref="O891:O894" si="1349">IF($E891="P",$J891,0)</f>
        <v>676.39175257731972</v>
      </c>
      <c r="P891" s="109">
        <f t="shared" ref="P891:P894" si="1350">IF($E891="S",$J891,0)</f>
        <v>0</v>
      </c>
      <c r="Q891" s="109">
        <f t="shared" ref="Q891:Q894" si="1351">SUM(M891:P891)</f>
        <v>676.39175257731972</v>
      </c>
      <c r="R891" s="121">
        <v>81</v>
      </c>
      <c r="T891" s="188"/>
    </row>
    <row r="892" spans="1:20" x14ac:dyDescent="0.25">
      <c r="A892" s="100"/>
      <c r="B892" s="3">
        <v>2</v>
      </c>
      <c r="C892" s="5" t="s">
        <v>451</v>
      </c>
      <c r="D892" s="3" t="s">
        <v>89</v>
      </c>
      <c r="E892" s="100" t="str">
        <f>IFERROR(VLOOKUP(C892,Resources!B:D,3,FALSE)," ")</f>
        <v>M</v>
      </c>
      <c r="F892" s="8">
        <v>1</v>
      </c>
      <c r="G892" s="8">
        <v>1</v>
      </c>
      <c r="H892" s="8">
        <f>H890</f>
        <v>9.7200000000000006</v>
      </c>
      <c r="I892" s="109">
        <f>IFERROR(VLOOKUP(C892,Resources!B:G,6,FALSE)," ")</f>
        <v>92.1</v>
      </c>
      <c r="J892" s="109">
        <f t="shared" si="1344"/>
        <v>895.21199999999999</v>
      </c>
      <c r="K892" s="8"/>
      <c r="L892" s="8" t="str">
        <f t="shared" si="1346"/>
        <v xml:space="preserve"> </v>
      </c>
      <c r="M892" s="109">
        <f t="shared" si="1347"/>
        <v>0</v>
      </c>
      <c r="N892" s="109">
        <f t="shared" si="1348"/>
        <v>895.21199999999999</v>
      </c>
      <c r="O892" s="109">
        <f t="shared" si="1349"/>
        <v>0</v>
      </c>
      <c r="P892" s="109">
        <f t="shared" si="1350"/>
        <v>0</v>
      </c>
      <c r="Q892" s="109">
        <f t="shared" si="1351"/>
        <v>895.21199999999999</v>
      </c>
      <c r="R892" s="121" t="s">
        <v>2346</v>
      </c>
      <c r="T892" s="188"/>
    </row>
    <row r="893" spans="1:20" x14ac:dyDescent="0.25">
      <c r="A893" s="100"/>
      <c r="B893" s="3">
        <v>3</v>
      </c>
      <c r="C893" s="5" t="s">
        <v>81</v>
      </c>
      <c r="D893" s="3" t="s">
        <v>82</v>
      </c>
      <c r="E893" s="100" t="str">
        <f>IFERROR(VLOOKUP(C893,Resources!B:D,3,FALSE)," ")</f>
        <v>M</v>
      </c>
      <c r="F893" s="8">
        <v>1</v>
      </c>
      <c r="G893" s="8">
        <v>1</v>
      </c>
      <c r="H893" s="8">
        <f>H890/3</f>
        <v>3.24</v>
      </c>
      <c r="I893" s="109">
        <f>IFERROR(VLOOKUP(C893,Resources!B:G,6,FALSE)," ")</f>
        <v>24</v>
      </c>
      <c r="J893" s="109">
        <f t="shared" si="1344"/>
        <v>77.760000000000005</v>
      </c>
      <c r="K893" s="8"/>
      <c r="L893" s="8" t="str">
        <f t="shared" si="1346"/>
        <v xml:space="preserve"> </v>
      </c>
      <c r="M893" s="109">
        <f t="shared" si="1347"/>
        <v>0</v>
      </c>
      <c r="N893" s="109">
        <f t="shared" si="1348"/>
        <v>77.760000000000005</v>
      </c>
      <c r="O893" s="109">
        <f t="shared" si="1349"/>
        <v>0</v>
      </c>
      <c r="P893" s="109">
        <f t="shared" si="1350"/>
        <v>0</v>
      </c>
      <c r="Q893" s="109">
        <f t="shared" si="1351"/>
        <v>77.760000000000005</v>
      </c>
      <c r="R893" s="121" t="s">
        <v>2341</v>
      </c>
      <c r="T893" s="188"/>
    </row>
    <row r="894" spans="1:20" x14ac:dyDescent="0.25">
      <c r="A894" s="100">
        <v>123.2</v>
      </c>
      <c r="B894" s="3">
        <v>4</v>
      </c>
      <c r="C894" s="5" t="s">
        <v>8</v>
      </c>
      <c r="D894" s="3" t="s">
        <v>48</v>
      </c>
      <c r="E894" s="100" t="str">
        <f>IFERROR(VLOOKUP(C894,Resources!B:D,3,FALSE)," ")</f>
        <v>L</v>
      </c>
      <c r="F894" s="103">
        <f>VLOOKUP($A894,'Model Inputs'!$A:$D,4,FALSE)</f>
        <v>3</v>
      </c>
      <c r="G894" s="8">
        <f>G891</f>
        <v>1.94</v>
      </c>
      <c r="H894" s="8">
        <f>H890</f>
        <v>9.7200000000000006</v>
      </c>
      <c r="I894" s="109">
        <f>IFERROR(VLOOKUP(C894,Resources!B:G,6,FALSE)," ")</f>
        <v>42</v>
      </c>
      <c r="J894" s="109">
        <f t="shared" si="1344"/>
        <v>631.29896907216505</v>
      </c>
      <c r="K894" s="8">
        <f t="shared" ref="K894" si="1352">L894*F894</f>
        <v>15.03092783505155</v>
      </c>
      <c r="L894" s="8">
        <f t="shared" si="1346"/>
        <v>5.0103092783505163</v>
      </c>
      <c r="M894" s="109">
        <f t="shared" si="1347"/>
        <v>631.29896907216505</v>
      </c>
      <c r="N894" s="109">
        <f t="shared" si="1348"/>
        <v>0</v>
      </c>
      <c r="O894" s="109">
        <f t="shared" si="1349"/>
        <v>0</v>
      </c>
      <c r="P894" s="109">
        <f t="shared" si="1350"/>
        <v>0</v>
      </c>
      <c r="Q894" s="109">
        <f t="shared" si="1351"/>
        <v>631.29896907216505</v>
      </c>
      <c r="R894" s="121">
        <v>81</v>
      </c>
      <c r="T894" s="188"/>
    </row>
    <row r="895" spans="1:20" x14ac:dyDescent="0.25">
      <c r="A895" s="101"/>
      <c r="B895" s="4"/>
      <c r="C895" s="6"/>
      <c r="D895" s="4"/>
      <c r="E895" s="101" t="str">
        <f>IFERROR(VLOOKUP(C895,Resources!B:D,3,FALSE)," ")</f>
        <v xml:space="preserve"> </v>
      </c>
      <c r="F895" s="9"/>
      <c r="G895" s="9"/>
      <c r="H895" s="9"/>
      <c r="I895" s="38" t="str">
        <f>IFERROR(VLOOKUP(C895,Resources!B:G,6,FALSE)," ")</f>
        <v xml:space="preserve"> </v>
      </c>
      <c r="J895" s="38"/>
      <c r="K895" s="9"/>
      <c r="L895" s="9"/>
      <c r="M895" s="38"/>
      <c r="N895" s="38"/>
      <c r="O895" s="38"/>
      <c r="P895" s="38"/>
      <c r="Q895" s="38"/>
      <c r="R895" s="122"/>
      <c r="T895" s="188"/>
    </row>
    <row r="896" spans="1:20" ht="30" x14ac:dyDescent="0.25">
      <c r="A896" s="114"/>
      <c r="B896" s="1" t="s">
        <v>452</v>
      </c>
      <c r="C896" s="1"/>
      <c r="D896" s="2"/>
      <c r="E896" s="99" t="str">
        <f>IFERROR(VLOOKUP(C896,Resources!B:D,3,FALSE)," ")</f>
        <v xml:space="preserve"> </v>
      </c>
      <c r="F896" s="7"/>
      <c r="G896" s="7"/>
      <c r="H896" s="7"/>
      <c r="I896" s="108" t="str">
        <f>IFERROR(VLOOKUP(C896,Resources!B:G,6,FALSE)," ")</f>
        <v xml:space="preserve"> </v>
      </c>
      <c r="J896" s="108"/>
      <c r="K896" s="7"/>
      <c r="L896" s="7"/>
      <c r="M896" s="108"/>
      <c r="N896" s="108"/>
      <c r="O896" s="108"/>
      <c r="P896" s="108"/>
      <c r="Q896" s="108"/>
      <c r="R896" s="120"/>
      <c r="T896" s="188"/>
    </row>
    <row r="897" spans="1:20" ht="30" x14ac:dyDescent="0.25">
      <c r="A897" s="114"/>
      <c r="B897" s="1" t="s">
        <v>453</v>
      </c>
      <c r="C897" s="1" t="s">
        <v>454</v>
      </c>
      <c r="D897" s="2"/>
      <c r="E897" s="99" t="str">
        <f>IFERROR(VLOOKUP(C897,Resources!B:D,3,FALSE)," ")</f>
        <v xml:space="preserve"> </v>
      </c>
      <c r="F897" s="7"/>
      <c r="G897" s="7"/>
      <c r="H897" s="7"/>
      <c r="I897" s="108" t="str">
        <f>IFERROR(VLOOKUP(C897,Resources!B:G,6,FALSE)," ")</f>
        <v xml:space="preserve"> </v>
      </c>
      <c r="J897" s="108"/>
      <c r="K897" s="7"/>
      <c r="L897" s="7"/>
      <c r="M897" s="108"/>
      <c r="N897" s="108"/>
      <c r="O897" s="108"/>
      <c r="P897" s="108"/>
      <c r="Q897" s="108"/>
      <c r="R897" s="120"/>
      <c r="T897" s="188"/>
    </row>
    <row r="898" spans="1:20" ht="30" x14ac:dyDescent="0.25">
      <c r="A898" s="114">
        <v>124</v>
      </c>
      <c r="B898" s="1" t="s">
        <v>455</v>
      </c>
      <c r="C898" s="1" t="s">
        <v>456</v>
      </c>
      <c r="D898" s="2" t="s">
        <v>89</v>
      </c>
      <c r="E898" s="99" t="str">
        <f>IFERROR(VLOOKUP(C898,Resources!B:D,3,FALSE)," ")</f>
        <v xml:space="preserve"> </v>
      </c>
      <c r="F898" s="7"/>
      <c r="G898" s="7"/>
      <c r="H898" s="103">
        <f>VLOOKUP($A898,'Model Inputs'!$A:$D,4,FALSE)</f>
        <v>30</v>
      </c>
      <c r="I898" s="108" t="str">
        <f>IFERROR(VLOOKUP(C898,Resources!B:G,6,FALSE)," ")</f>
        <v xml:space="preserve"> </v>
      </c>
      <c r="J898" s="108">
        <f>SUBTOTAL(9,J899:J902)</f>
        <v>5354.3513513513517</v>
      </c>
      <c r="K898" s="7"/>
      <c r="L898" s="7">
        <f>ROUNDUP(MAX(L899:L902)/Workhrs,0)</f>
        <v>2</v>
      </c>
      <c r="M898" s="108">
        <f t="shared" ref="M898" si="1353">SUBTOTAL(9,M899:M902)</f>
        <v>1135.135135135135</v>
      </c>
      <c r="N898" s="108">
        <f t="shared" ref="N898" si="1354">SUBTOTAL(9,N899:N902)</f>
        <v>3003</v>
      </c>
      <c r="O898" s="108">
        <f t="shared" ref="O898" si="1355">SUBTOTAL(9,O899:O902)</f>
        <v>1216.2162162162163</v>
      </c>
      <c r="P898" s="108">
        <f t="shared" ref="P898" si="1356">SUBTOTAL(9,P899:P902)</f>
        <v>0</v>
      </c>
      <c r="Q898" s="108">
        <f t="shared" ref="Q898" si="1357">SUBTOTAL(9,Q899:Q902)</f>
        <v>5354.3513513513517</v>
      </c>
      <c r="R898" s="120"/>
      <c r="T898" s="188"/>
    </row>
    <row r="899" spans="1:20" x14ac:dyDescent="0.25">
      <c r="A899" s="100">
        <v>124.1</v>
      </c>
      <c r="B899" s="3">
        <v>1</v>
      </c>
      <c r="C899" s="5" t="s">
        <v>63</v>
      </c>
      <c r="D899" s="3" t="s">
        <v>48</v>
      </c>
      <c r="E899" s="100" t="str">
        <f>IFERROR(VLOOKUP(C899,Resources!B:D,3,FALSE)," ")</f>
        <v>P</v>
      </c>
      <c r="F899" s="8">
        <v>1</v>
      </c>
      <c r="G899" s="103">
        <f>VLOOKUP($A899,'Model Inputs'!$A:$D,4,FALSE)</f>
        <v>3.33</v>
      </c>
      <c r="H899" s="8">
        <f>H898</f>
        <v>30</v>
      </c>
      <c r="I899" s="109">
        <f>IFERROR(VLOOKUP(C899,Resources!B:G,6,FALSE)," ")</f>
        <v>135</v>
      </c>
      <c r="J899" s="109">
        <f t="shared" ref="J899:J902" si="1358">(H899/(G899/F899))*I899</f>
        <v>1216.2162162162163</v>
      </c>
      <c r="K899" s="8">
        <f t="shared" ref="K899" si="1359">L899*F899</f>
        <v>9.0090090090090094</v>
      </c>
      <c r="L899" s="8">
        <f t="shared" ref="L899:L902" si="1360">IF(E899="M"," ",H899/G899)</f>
        <v>9.0090090090090094</v>
      </c>
      <c r="M899" s="109">
        <f t="shared" ref="M899:M902" si="1361">IF($E899="L",$J899,0)</f>
        <v>0</v>
      </c>
      <c r="N899" s="109">
        <f t="shared" ref="N899:N902" si="1362">IF($E899="M",$J899,0)</f>
        <v>0</v>
      </c>
      <c r="O899" s="109">
        <f t="shared" ref="O899:O902" si="1363">IF($E899="P",$J899,0)</f>
        <v>1216.2162162162163</v>
      </c>
      <c r="P899" s="109">
        <f t="shared" ref="P899:P902" si="1364">IF($E899="S",$J899,0)</f>
        <v>0</v>
      </c>
      <c r="Q899" s="109">
        <f t="shared" ref="Q899:Q902" si="1365">SUM(M899:P899)</f>
        <v>1216.2162162162163</v>
      </c>
      <c r="R899" s="121">
        <v>81</v>
      </c>
      <c r="T899" s="188"/>
    </row>
    <row r="900" spans="1:20" x14ac:dyDescent="0.25">
      <c r="A900" s="100"/>
      <c r="B900" s="3">
        <v>2</v>
      </c>
      <c r="C900" s="5" t="s">
        <v>451</v>
      </c>
      <c r="D900" s="3" t="s">
        <v>89</v>
      </c>
      <c r="E900" s="100" t="str">
        <f>IFERROR(VLOOKUP(C900,Resources!B:D,3,FALSE)," ")</f>
        <v>M</v>
      </c>
      <c r="F900" s="8">
        <v>1</v>
      </c>
      <c r="G900" s="8">
        <v>1</v>
      </c>
      <c r="H900" s="8">
        <f>H898</f>
        <v>30</v>
      </c>
      <c r="I900" s="109">
        <f>IFERROR(VLOOKUP(C900,Resources!B:G,6,FALSE)," ")</f>
        <v>92.1</v>
      </c>
      <c r="J900" s="109">
        <f t="shared" si="1358"/>
        <v>2763</v>
      </c>
      <c r="K900" s="8"/>
      <c r="L900" s="8" t="str">
        <f t="shared" si="1360"/>
        <v xml:space="preserve"> </v>
      </c>
      <c r="M900" s="109">
        <f t="shared" si="1361"/>
        <v>0</v>
      </c>
      <c r="N900" s="109">
        <f t="shared" si="1362"/>
        <v>2763</v>
      </c>
      <c r="O900" s="109">
        <f t="shared" si="1363"/>
        <v>0</v>
      </c>
      <c r="P900" s="109">
        <f t="shared" si="1364"/>
        <v>0</v>
      </c>
      <c r="Q900" s="109">
        <f t="shared" si="1365"/>
        <v>2763</v>
      </c>
      <c r="R900" s="121" t="s">
        <v>2346</v>
      </c>
      <c r="T900" s="188"/>
    </row>
    <row r="901" spans="1:20" x14ac:dyDescent="0.25">
      <c r="A901" s="100"/>
      <c r="B901" s="3">
        <v>3</v>
      </c>
      <c r="C901" s="5" t="s">
        <v>81</v>
      </c>
      <c r="D901" s="3" t="s">
        <v>82</v>
      </c>
      <c r="E901" s="100" t="str">
        <f>IFERROR(VLOOKUP(C901,Resources!B:D,3,FALSE)," ")</f>
        <v>M</v>
      </c>
      <c r="F901" s="8">
        <v>1</v>
      </c>
      <c r="G901" s="8">
        <v>1</v>
      </c>
      <c r="H901" s="8">
        <f>H898/3</f>
        <v>10</v>
      </c>
      <c r="I901" s="109">
        <f>IFERROR(VLOOKUP(C901,Resources!B:G,6,FALSE)," ")</f>
        <v>24</v>
      </c>
      <c r="J901" s="109">
        <f t="shared" si="1358"/>
        <v>240</v>
      </c>
      <c r="K901" s="8"/>
      <c r="L901" s="8" t="str">
        <f t="shared" si="1360"/>
        <v xml:space="preserve"> </v>
      </c>
      <c r="M901" s="109">
        <f t="shared" si="1361"/>
        <v>0</v>
      </c>
      <c r="N901" s="109">
        <f t="shared" si="1362"/>
        <v>240</v>
      </c>
      <c r="O901" s="109">
        <f t="shared" si="1363"/>
        <v>0</v>
      </c>
      <c r="P901" s="109">
        <f t="shared" si="1364"/>
        <v>0</v>
      </c>
      <c r="Q901" s="109">
        <f t="shared" si="1365"/>
        <v>240</v>
      </c>
      <c r="R901" s="121" t="s">
        <v>2341</v>
      </c>
      <c r="T901" s="188"/>
    </row>
    <row r="902" spans="1:20" x14ac:dyDescent="0.25">
      <c r="A902" s="100">
        <v>124.2</v>
      </c>
      <c r="B902" s="3">
        <v>4</v>
      </c>
      <c r="C902" s="5" t="s">
        <v>8</v>
      </c>
      <c r="D902" s="3" t="s">
        <v>48</v>
      </c>
      <c r="E902" s="100" t="str">
        <f>IFERROR(VLOOKUP(C902,Resources!B:D,3,FALSE)," ")</f>
        <v>L</v>
      </c>
      <c r="F902" s="103">
        <f>VLOOKUP($A902,'Model Inputs'!$A:$D,4,FALSE)</f>
        <v>3</v>
      </c>
      <c r="G902" s="8">
        <f>G899</f>
        <v>3.33</v>
      </c>
      <c r="H902" s="8">
        <f>H898</f>
        <v>30</v>
      </c>
      <c r="I902" s="109">
        <f>IFERROR(VLOOKUP(C902,Resources!B:G,6,FALSE)," ")</f>
        <v>42</v>
      </c>
      <c r="J902" s="109">
        <f t="shared" si="1358"/>
        <v>1135.135135135135</v>
      </c>
      <c r="K902" s="8">
        <f t="shared" ref="K902" si="1366">L902*F902</f>
        <v>27.027027027027028</v>
      </c>
      <c r="L902" s="8">
        <f t="shared" si="1360"/>
        <v>9.0090090090090094</v>
      </c>
      <c r="M902" s="109">
        <f t="shared" si="1361"/>
        <v>1135.135135135135</v>
      </c>
      <c r="N902" s="109">
        <f t="shared" si="1362"/>
        <v>0</v>
      </c>
      <c r="O902" s="109">
        <f t="shared" si="1363"/>
        <v>0</v>
      </c>
      <c r="P902" s="109">
        <f t="shared" si="1364"/>
        <v>0</v>
      </c>
      <c r="Q902" s="109">
        <f t="shared" si="1365"/>
        <v>1135.135135135135</v>
      </c>
      <c r="R902" s="121">
        <v>81</v>
      </c>
      <c r="T902" s="188"/>
    </row>
    <row r="903" spans="1:20" x14ac:dyDescent="0.25">
      <c r="A903" s="101"/>
      <c r="B903" s="4"/>
      <c r="C903" s="6"/>
      <c r="D903" s="4"/>
      <c r="E903" s="101" t="str">
        <f>IFERROR(VLOOKUP(C903,Resources!B:D,3,FALSE)," ")</f>
        <v xml:space="preserve"> </v>
      </c>
      <c r="F903" s="9"/>
      <c r="G903" s="9"/>
      <c r="H903" s="9"/>
      <c r="I903" s="38" t="str">
        <f>IFERROR(VLOOKUP(C903,Resources!B:G,6,FALSE)," ")</f>
        <v xml:space="preserve"> </v>
      </c>
      <c r="J903" s="38"/>
      <c r="K903" s="9"/>
      <c r="L903" s="9"/>
      <c r="M903" s="38"/>
      <c r="N903" s="38"/>
      <c r="O903" s="38"/>
      <c r="P903" s="38"/>
      <c r="Q903" s="38"/>
      <c r="R903" s="122"/>
      <c r="T903" s="188"/>
    </row>
    <row r="904" spans="1:20" ht="30" x14ac:dyDescent="0.25">
      <c r="A904" s="114"/>
      <c r="B904" s="1" t="s">
        <v>457</v>
      </c>
      <c r="C904" s="1" t="s">
        <v>77</v>
      </c>
      <c r="D904" s="2"/>
      <c r="E904" s="99" t="str">
        <f>IFERROR(VLOOKUP(C904,Resources!B:D,3,FALSE)," ")</f>
        <v xml:space="preserve"> </v>
      </c>
      <c r="F904" s="7"/>
      <c r="G904" s="7"/>
      <c r="H904" s="7"/>
      <c r="I904" s="108" t="str">
        <f>IFERROR(VLOOKUP(C904,Resources!B:G,6,FALSE)," ")</f>
        <v xml:space="preserve"> </v>
      </c>
      <c r="J904" s="108"/>
      <c r="K904" s="7"/>
      <c r="L904" s="7"/>
      <c r="M904" s="108"/>
      <c r="N904" s="108"/>
      <c r="O904" s="108"/>
      <c r="P904" s="108"/>
      <c r="Q904" s="108"/>
      <c r="R904" s="120"/>
      <c r="T904" s="188"/>
    </row>
    <row r="905" spans="1:20" ht="30" x14ac:dyDescent="0.25">
      <c r="A905" s="114">
        <v>125</v>
      </c>
      <c r="B905" s="1" t="s">
        <v>458</v>
      </c>
      <c r="C905" s="1" t="s">
        <v>459</v>
      </c>
      <c r="D905" s="2" t="s">
        <v>89</v>
      </c>
      <c r="E905" s="99" t="str">
        <f>IFERROR(VLOOKUP(C905,Resources!B:D,3,FALSE)," ")</f>
        <v xml:space="preserve"> </v>
      </c>
      <c r="F905" s="7"/>
      <c r="G905" s="7"/>
      <c r="H905" s="103">
        <f>VLOOKUP($A905,'Model Inputs'!$A:$D,4,FALSE)</f>
        <v>12</v>
      </c>
      <c r="I905" s="108" t="str">
        <f>IFERROR(VLOOKUP(C905,Resources!B:G,6,FALSE)," ")</f>
        <v xml:space="preserve"> </v>
      </c>
      <c r="J905" s="108">
        <f>SUBTOTAL(9,J908:J915)</f>
        <v>7752.5</v>
      </c>
      <c r="K905" s="7"/>
      <c r="L905" s="7">
        <f>ROUNDUP((MAX(L909:L910)+MAX(L912:L915))/Workhrs,0)</f>
        <v>2</v>
      </c>
      <c r="M905" s="108">
        <f t="shared" ref="M905:Q905" si="1367">SUBTOTAL(9,M908:M915)</f>
        <v>1260</v>
      </c>
      <c r="N905" s="108">
        <f t="shared" si="1367"/>
        <v>4825</v>
      </c>
      <c r="O905" s="108">
        <f t="shared" si="1367"/>
        <v>1667.5</v>
      </c>
      <c r="P905" s="108">
        <f t="shared" si="1367"/>
        <v>0</v>
      </c>
      <c r="Q905" s="108">
        <f t="shared" si="1367"/>
        <v>7752.5</v>
      </c>
      <c r="R905" s="120"/>
      <c r="T905" s="188"/>
    </row>
    <row r="906" spans="1:20" x14ac:dyDescent="0.25">
      <c r="A906" s="100"/>
      <c r="B906" s="3">
        <v>1</v>
      </c>
      <c r="C906" s="5" t="s">
        <v>2377</v>
      </c>
      <c r="D906" s="3"/>
      <c r="E906" s="100" t="str">
        <f>IFERROR(VLOOKUP(C906,Resources!B:D,3,FALSE)," ")</f>
        <v xml:space="preserve"> </v>
      </c>
      <c r="F906" s="8"/>
      <c r="G906" s="8"/>
      <c r="H906" s="8">
        <f>H905/1.2</f>
        <v>10</v>
      </c>
      <c r="I906" s="109" t="str">
        <f>IFERROR(VLOOKUP(C906,Resources!B:G,6,FALSE)," ")</f>
        <v xml:space="preserve"> </v>
      </c>
      <c r="J906" s="109"/>
      <c r="K906" s="8"/>
      <c r="L906" s="8"/>
      <c r="M906" s="109"/>
      <c r="N906" s="109"/>
      <c r="O906" s="109"/>
      <c r="P906" s="109"/>
      <c r="Q906" s="109"/>
      <c r="R906" s="121"/>
      <c r="T906" s="188"/>
    </row>
    <row r="907" spans="1:20" x14ac:dyDescent="0.25">
      <c r="A907" s="100"/>
      <c r="B907" s="3">
        <v>2</v>
      </c>
      <c r="C907" s="5" t="s">
        <v>2378</v>
      </c>
      <c r="D907" s="3"/>
      <c r="E907" s="100" t="str">
        <f>IFERROR(VLOOKUP(C907,Resources!B:D,3,FALSE)," ")</f>
        <v xml:space="preserve"> </v>
      </c>
      <c r="F907" s="8"/>
      <c r="G907" s="8"/>
      <c r="H907" s="8">
        <f>H906*1.5</f>
        <v>15</v>
      </c>
      <c r="I907" s="109" t="str">
        <f>IFERROR(VLOOKUP(C907,Resources!B:G,6,FALSE)," ")</f>
        <v xml:space="preserve"> </v>
      </c>
      <c r="J907" s="109"/>
      <c r="K907" s="8"/>
      <c r="L907" s="8"/>
      <c r="M907" s="109"/>
      <c r="N907" s="109"/>
      <c r="O907" s="109"/>
      <c r="P907" s="109"/>
      <c r="Q907" s="109"/>
      <c r="R907" s="121"/>
      <c r="T907" s="188"/>
    </row>
    <row r="908" spans="1:20" x14ac:dyDescent="0.25">
      <c r="A908" s="100"/>
      <c r="B908" s="3">
        <v>3</v>
      </c>
      <c r="C908" s="5" t="s">
        <v>2160</v>
      </c>
      <c r="D908" s="3" t="s">
        <v>89</v>
      </c>
      <c r="E908" s="100" t="str">
        <f>IFERROR(VLOOKUP(C908,Resources!B:D,3,FALSE)," ")</f>
        <v>M</v>
      </c>
      <c r="F908" s="8">
        <v>1</v>
      </c>
      <c r="G908" s="8">
        <v>1</v>
      </c>
      <c r="H908" s="8">
        <f>H905</f>
        <v>12</v>
      </c>
      <c r="I908" s="109">
        <f>IFERROR(VLOOKUP(C908,Resources!B:G,6,FALSE)," ")</f>
        <v>387.5</v>
      </c>
      <c r="J908" s="109">
        <f t="shared" ref="J908:J915" si="1368">(H908/(G908/F908))*I908</f>
        <v>4650</v>
      </c>
      <c r="K908" s="8"/>
      <c r="L908" s="8" t="str">
        <f t="shared" ref="L908:L915" si="1369">IF(E908="M"," ",H908/G908)</f>
        <v xml:space="preserve"> </v>
      </c>
      <c r="M908" s="109">
        <f t="shared" ref="M908:M915" si="1370">IF($E908="L",$J908,0)</f>
        <v>0</v>
      </c>
      <c r="N908" s="109">
        <f t="shared" ref="N908:N915" si="1371">IF($E908="M",$J908,0)</f>
        <v>4650</v>
      </c>
      <c r="O908" s="109">
        <f t="shared" ref="O908:O915" si="1372">IF($E908="P",$J908,0)</f>
        <v>0</v>
      </c>
      <c r="P908" s="109">
        <f t="shared" ref="P908:P915" si="1373">IF($E908="S",$J908,0)</f>
        <v>0</v>
      </c>
      <c r="Q908" s="109">
        <f t="shared" ref="Q908:Q915" si="1374">SUM(M908:P908)</f>
        <v>4650</v>
      </c>
      <c r="R908" s="121" t="s">
        <v>2344</v>
      </c>
      <c r="T908" s="188"/>
    </row>
    <row r="909" spans="1:20" x14ac:dyDescent="0.25">
      <c r="A909" s="100">
        <v>125.1</v>
      </c>
      <c r="B909" s="3">
        <v>4</v>
      </c>
      <c r="C909" s="5" t="s">
        <v>63</v>
      </c>
      <c r="D909" s="3" t="s">
        <v>48</v>
      </c>
      <c r="E909" s="100" t="str">
        <f>IFERROR(VLOOKUP(C909,Resources!B:D,3,FALSE)," ")</f>
        <v>P</v>
      </c>
      <c r="F909" s="8">
        <v>1</v>
      </c>
      <c r="G909" s="103">
        <f>VLOOKUP($A909,'Model Inputs'!$A:$D,4,FALSE)</f>
        <v>2</v>
      </c>
      <c r="H909" s="8">
        <f>H906</f>
        <v>10</v>
      </c>
      <c r="I909" s="109">
        <f>IFERROR(VLOOKUP(C909,Resources!B:G,6,FALSE)," ")</f>
        <v>135</v>
      </c>
      <c r="J909" s="109">
        <f t="shared" si="1368"/>
        <v>675</v>
      </c>
      <c r="K909" s="8">
        <f t="shared" ref="K909:K915" si="1375">L909*F909</f>
        <v>5</v>
      </c>
      <c r="L909" s="8">
        <f t="shared" si="1369"/>
        <v>5</v>
      </c>
      <c r="M909" s="109">
        <f t="shared" si="1370"/>
        <v>0</v>
      </c>
      <c r="N909" s="109">
        <f t="shared" si="1371"/>
        <v>0</v>
      </c>
      <c r="O909" s="109">
        <f t="shared" si="1372"/>
        <v>675</v>
      </c>
      <c r="P909" s="109">
        <f t="shared" si="1373"/>
        <v>0</v>
      </c>
      <c r="Q909" s="109">
        <f t="shared" si="1374"/>
        <v>675</v>
      </c>
      <c r="R909" s="121">
        <v>181</v>
      </c>
      <c r="T909" s="188"/>
    </row>
    <row r="910" spans="1:20" x14ac:dyDescent="0.25">
      <c r="A910" s="100">
        <v>125.2</v>
      </c>
      <c r="B910" s="3">
        <v>5</v>
      </c>
      <c r="C910" s="5" t="s">
        <v>8</v>
      </c>
      <c r="D910" s="3" t="s">
        <v>48</v>
      </c>
      <c r="E910" s="100" t="str">
        <f>IFERROR(VLOOKUP(C910,Resources!B:D,3,FALSE)," ")</f>
        <v>L</v>
      </c>
      <c r="F910" s="103">
        <f>VLOOKUP($A910,'Model Inputs'!$A:$D,4,FALSE)</f>
        <v>3</v>
      </c>
      <c r="G910" s="8">
        <f>G909</f>
        <v>2</v>
      </c>
      <c r="H910" s="8">
        <f>H906</f>
        <v>10</v>
      </c>
      <c r="I910" s="109">
        <f>IFERROR(VLOOKUP(C910,Resources!B:G,6,FALSE)," ")</f>
        <v>42</v>
      </c>
      <c r="J910" s="109">
        <f t="shared" si="1368"/>
        <v>630</v>
      </c>
      <c r="K910" s="8">
        <f t="shared" si="1375"/>
        <v>15</v>
      </c>
      <c r="L910" s="8">
        <f t="shared" si="1369"/>
        <v>5</v>
      </c>
      <c r="M910" s="109">
        <f t="shared" si="1370"/>
        <v>630</v>
      </c>
      <c r="N910" s="109">
        <f t="shared" si="1371"/>
        <v>0</v>
      </c>
      <c r="O910" s="109">
        <f t="shared" si="1372"/>
        <v>0</v>
      </c>
      <c r="P910" s="109">
        <f t="shared" si="1373"/>
        <v>0</v>
      </c>
      <c r="Q910" s="109">
        <f t="shared" si="1374"/>
        <v>630</v>
      </c>
      <c r="R910" s="121">
        <v>181</v>
      </c>
      <c r="T910" s="188"/>
    </row>
    <row r="911" spans="1:20" x14ac:dyDescent="0.25">
      <c r="A911" s="100"/>
      <c r="B911" s="3">
        <v>6</v>
      </c>
      <c r="C911" s="5" t="s">
        <v>91</v>
      </c>
      <c r="D911" s="3" t="s">
        <v>89</v>
      </c>
      <c r="E911" s="100" t="str">
        <f>IFERROR(VLOOKUP(C911,Resources!B:D,3,FALSE)," ")</f>
        <v>M</v>
      </c>
      <c r="F911" s="8">
        <v>1</v>
      </c>
      <c r="G911" s="8">
        <v>1</v>
      </c>
      <c r="H911" s="8">
        <f>H906*3.5</f>
        <v>35</v>
      </c>
      <c r="I911" s="109">
        <f>IFERROR(VLOOKUP(C911,Resources!B:G,6,FALSE)," ")</f>
        <v>5</v>
      </c>
      <c r="J911" s="109">
        <f t="shared" si="1368"/>
        <v>175</v>
      </c>
      <c r="K911" s="8"/>
      <c r="L911" s="8" t="str">
        <f t="shared" si="1369"/>
        <v xml:space="preserve"> </v>
      </c>
      <c r="M911" s="109">
        <f t="shared" si="1370"/>
        <v>0</v>
      </c>
      <c r="N911" s="109">
        <f t="shared" si="1371"/>
        <v>175</v>
      </c>
      <c r="O911" s="109">
        <f t="shared" si="1372"/>
        <v>0</v>
      </c>
      <c r="P911" s="109">
        <f t="shared" si="1373"/>
        <v>0</v>
      </c>
      <c r="Q911" s="109">
        <f t="shared" si="1374"/>
        <v>175</v>
      </c>
      <c r="R911" s="121">
        <v>181</v>
      </c>
      <c r="T911" s="188"/>
    </row>
    <row r="912" spans="1:20" x14ac:dyDescent="0.25">
      <c r="A912" s="100">
        <v>125.3</v>
      </c>
      <c r="B912" s="3">
        <v>7</v>
      </c>
      <c r="C912" s="5" t="s">
        <v>45</v>
      </c>
      <c r="D912" s="3" t="s">
        <v>48</v>
      </c>
      <c r="E912" s="100" t="str">
        <f>IFERROR(VLOOKUP(C912,Resources!B:D,3,FALSE)," ")</f>
        <v>P</v>
      </c>
      <c r="F912" s="8">
        <v>1</v>
      </c>
      <c r="G912" s="103">
        <f>VLOOKUP($A912,'Model Inputs'!$A:$D,4,FALSE)</f>
        <v>3</v>
      </c>
      <c r="H912" s="8">
        <f>H907</f>
        <v>15</v>
      </c>
      <c r="I912" s="109">
        <f>IFERROR(VLOOKUP(C912,Resources!B:G,6,FALSE)," ")</f>
        <v>95</v>
      </c>
      <c r="J912" s="109">
        <f t="shared" si="1368"/>
        <v>475</v>
      </c>
      <c r="K912" s="8">
        <f t="shared" si="1375"/>
        <v>5</v>
      </c>
      <c r="L912" s="8">
        <f t="shared" si="1369"/>
        <v>5</v>
      </c>
      <c r="M912" s="109">
        <f t="shared" si="1370"/>
        <v>0</v>
      </c>
      <c r="N912" s="109">
        <f t="shared" si="1371"/>
        <v>0</v>
      </c>
      <c r="O912" s="109">
        <f t="shared" si="1372"/>
        <v>475</v>
      </c>
      <c r="P912" s="109">
        <f t="shared" si="1373"/>
        <v>0</v>
      </c>
      <c r="Q912" s="109">
        <f t="shared" si="1374"/>
        <v>475</v>
      </c>
      <c r="R912" s="121">
        <v>181</v>
      </c>
      <c r="T912" s="188"/>
    </row>
    <row r="913" spans="1:20" x14ac:dyDescent="0.25">
      <c r="A913" s="100">
        <v>125.4</v>
      </c>
      <c r="B913" s="3">
        <v>8</v>
      </c>
      <c r="C913" s="5" t="s">
        <v>8</v>
      </c>
      <c r="D913" s="3" t="s">
        <v>48</v>
      </c>
      <c r="E913" s="100" t="str">
        <f>IFERROR(VLOOKUP(C913,Resources!B:D,3,FALSE)," ")</f>
        <v>L</v>
      </c>
      <c r="F913" s="103">
        <f>VLOOKUP($A913,'Model Inputs'!$A:$D,4,FALSE)</f>
        <v>3</v>
      </c>
      <c r="G913" s="8">
        <f>G912</f>
        <v>3</v>
      </c>
      <c r="H913" s="8">
        <f>H907</f>
        <v>15</v>
      </c>
      <c r="I913" s="109">
        <f>IFERROR(VLOOKUP(C913,Resources!B:G,6,FALSE)," ")</f>
        <v>42</v>
      </c>
      <c r="J913" s="109">
        <f t="shared" si="1368"/>
        <v>630</v>
      </c>
      <c r="K913" s="8">
        <f t="shared" si="1375"/>
        <v>15</v>
      </c>
      <c r="L913" s="8">
        <f t="shared" si="1369"/>
        <v>5</v>
      </c>
      <c r="M913" s="109">
        <f t="shared" si="1370"/>
        <v>630</v>
      </c>
      <c r="N913" s="109">
        <f t="shared" si="1371"/>
        <v>0</v>
      </c>
      <c r="O913" s="109">
        <f t="shared" si="1372"/>
        <v>0</v>
      </c>
      <c r="P913" s="109">
        <f t="shared" si="1373"/>
        <v>0</v>
      </c>
      <c r="Q913" s="109">
        <f t="shared" si="1374"/>
        <v>630</v>
      </c>
      <c r="R913" s="121">
        <v>181</v>
      </c>
      <c r="T913" s="188"/>
    </row>
    <row r="914" spans="1:20" x14ac:dyDescent="0.25">
      <c r="A914" s="100"/>
      <c r="B914" s="3">
        <v>9</v>
      </c>
      <c r="C914" s="5" t="s">
        <v>92</v>
      </c>
      <c r="D914" s="3" t="s">
        <v>48</v>
      </c>
      <c r="E914" s="100" t="str">
        <f>IFERROR(VLOOKUP(C914,Resources!B:D,3,FALSE)," ")</f>
        <v>P</v>
      </c>
      <c r="F914" s="8">
        <v>1</v>
      </c>
      <c r="G914" s="8">
        <f>G912</f>
        <v>3</v>
      </c>
      <c r="H914" s="8">
        <f>H907</f>
        <v>15</v>
      </c>
      <c r="I914" s="109">
        <f>IFERROR(VLOOKUP(C914,Resources!B:G,6,FALSE)," ")</f>
        <v>3.5</v>
      </c>
      <c r="J914" s="109">
        <f t="shared" si="1368"/>
        <v>17.5</v>
      </c>
      <c r="K914" s="8">
        <f t="shared" si="1375"/>
        <v>5</v>
      </c>
      <c r="L914" s="8">
        <f t="shared" si="1369"/>
        <v>5</v>
      </c>
      <c r="M914" s="109">
        <f t="shared" si="1370"/>
        <v>0</v>
      </c>
      <c r="N914" s="109">
        <f t="shared" si="1371"/>
        <v>0</v>
      </c>
      <c r="O914" s="109">
        <f t="shared" si="1372"/>
        <v>17.5</v>
      </c>
      <c r="P914" s="109">
        <f t="shared" si="1373"/>
        <v>0</v>
      </c>
      <c r="Q914" s="109">
        <f t="shared" si="1374"/>
        <v>17.5</v>
      </c>
      <c r="R914" s="121">
        <v>181</v>
      </c>
      <c r="T914" s="188"/>
    </row>
    <row r="915" spans="1:20" x14ac:dyDescent="0.25">
      <c r="A915" s="100"/>
      <c r="B915" s="3">
        <v>10</v>
      </c>
      <c r="C915" s="5" t="s">
        <v>64</v>
      </c>
      <c r="D915" s="3" t="s">
        <v>48</v>
      </c>
      <c r="E915" s="100" t="str">
        <f>IFERROR(VLOOKUP(C915,Resources!B:D,3,FALSE)," ")</f>
        <v>P</v>
      </c>
      <c r="F915" s="8">
        <v>1</v>
      </c>
      <c r="G915" s="8">
        <f>G912</f>
        <v>3</v>
      </c>
      <c r="H915" s="8">
        <f>H907</f>
        <v>15</v>
      </c>
      <c r="I915" s="109">
        <f>IFERROR(VLOOKUP(C915,Resources!B:G,6,FALSE)," ")</f>
        <v>100</v>
      </c>
      <c r="J915" s="109">
        <f t="shared" si="1368"/>
        <v>500</v>
      </c>
      <c r="K915" s="8">
        <f t="shared" si="1375"/>
        <v>5</v>
      </c>
      <c r="L915" s="8">
        <f t="shared" si="1369"/>
        <v>5</v>
      </c>
      <c r="M915" s="109">
        <f t="shared" si="1370"/>
        <v>0</v>
      </c>
      <c r="N915" s="109">
        <f t="shared" si="1371"/>
        <v>0</v>
      </c>
      <c r="O915" s="109">
        <f t="shared" si="1372"/>
        <v>500</v>
      </c>
      <c r="P915" s="109">
        <f t="shared" si="1373"/>
        <v>0</v>
      </c>
      <c r="Q915" s="109">
        <f t="shared" si="1374"/>
        <v>500</v>
      </c>
      <c r="R915" s="121">
        <v>181</v>
      </c>
      <c r="T915" s="188"/>
    </row>
    <row r="916" spans="1:20" x14ac:dyDescent="0.25">
      <c r="A916" s="101"/>
      <c r="B916" s="4"/>
      <c r="C916" s="6"/>
      <c r="D916" s="4"/>
      <c r="E916" s="101" t="str">
        <f>IFERROR(VLOOKUP(C916,Resources!B:D,3,FALSE)," ")</f>
        <v xml:space="preserve"> </v>
      </c>
      <c r="F916" s="9"/>
      <c r="G916" s="9"/>
      <c r="H916" s="9"/>
      <c r="I916" s="38" t="str">
        <f>IFERROR(VLOOKUP(C916,Resources!B:G,6,FALSE)," ")</f>
        <v xml:space="preserve"> </v>
      </c>
      <c r="J916" s="38"/>
      <c r="K916" s="9"/>
      <c r="L916" s="9"/>
      <c r="M916" s="38"/>
      <c r="N916" s="38"/>
      <c r="O916" s="38"/>
      <c r="P916" s="38"/>
      <c r="Q916" s="38"/>
      <c r="R916" s="122"/>
      <c r="T916" s="188"/>
    </row>
    <row r="917" spans="1:20" ht="30" x14ac:dyDescent="0.25">
      <c r="A917" s="114">
        <v>126</v>
      </c>
      <c r="B917" s="1" t="s">
        <v>460</v>
      </c>
      <c r="C917" s="1" t="s">
        <v>461</v>
      </c>
      <c r="D917" s="2" t="s">
        <v>89</v>
      </c>
      <c r="E917" s="99" t="str">
        <f>IFERROR(VLOOKUP(C917,Resources!B:D,3,FALSE)," ")</f>
        <v xml:space="preserve"> </v>
      </c>
      <c r="F917" s="7"/>
      <c r="G917" s="7"/>
      <c r="H917" s="103">
        <f>VLOOKUP($A917,'Model Inputs'!$A:$D,4,FALSE)</f>
        <v>88</v>
      </c>
      <c r="I917" s="108" t="str">
        <f>IFERROR(VLOOKUP(C917,Resources!B:G,6,FALSE)," ")</f>
        <v xml:space="preserve"> </v>
      </c>
      <c r="J917" s="108">
        <f>SUBTOTAL(9,J920:J927)</f>
        <v>50229.5</v>
      </c>
      <c r="K917" s="7"/>
      <c r="L917" s="7">
        <f>ROUNDUP((MAX(L921:L922)+MAX(L924:L927))/Workhrs,0)</f>
        <v>6</v>
      </c>
      <c r="M917" s="108">
        <f t="shared" ref="M917:Q917" si="1376">SUBTOTAL(9,M920:M927)</f>
        <v>6552</v>
      </c>
      <c r="N917" s="108">
        <f t="shared" si="1376"/>
        <v>35705</v>
      </c>
      <c r="O917" s="108">
        <f t="shared" si="1376"/>
        <v>7972.5</v>
      </c>
      <c r="P917" s="108">
        <f t="shared" si="1376"/>
        <v>0</v>
      </c>
      <c r="Q917" s="108">
        <f t="shared" si="1376"/>
        <v>50229.5</v>
      </c>
      <c r="R917" s="120"/>
      <c r="T917" s="188"/>
    </row>
    <row r="918" spans="1:20" x14ac:dyDescent="0.25">
      <c r="A918" s="100"/>
      <c r="B918" s="3">
        <v>1</v>
      </c>
      <c r="C918" s="5" t="s">
        <v>2379</v>
      </c>
      <c r="D918" s="3"/>
      <c r="E918" s="100" t="str">
        <f>IFERROR(VLOOKUP(C918,Resources!B:D,3,FALSE)," ")</f>
        <v xml:space="preserve"> </v>
      </c>
      <c r="F918" s="8"/>
      <c r="G918" s="8"/>
      <c r="H918" s="8">
        <f>ROUNDUP(H917/1.2,0)</f>
        <v>74</v>
      </c>
      <c r="I918" s="109" t="str">
        <f>IFERROR(VLOOKUP(C918,Resources!B:G,6,FALSE)," ")</f>
        <v xml:space="preserve"> </v>
      </c>
      <c r="J918" s="109"/>
      <c r="K918" s="8"/>
      <c r="L918" s="8"/>
      <c r="M918" s="109"/>
      <c r="N918" s="109"/>
      <c r="O918" s="109"/>
      <c r="P918" s="109"/>
      <c r="Q918" s="109"/>
      <c r="R918" s="121"/>
      <c r="T918" s="188"/>
    </row>
    <row r="919" spans="1:20" x14ac:dyDescent="0.25">
      <c r="A919" s="100"/>
      <c r="B919" s="3">
        <v>2</v>
      </c>
      <c r="C919" s="5" t="s">
        <v>462</v>
      </c>
      <c r="D919" s="3"/>
      <c r="E919" s="100" t="str">
        <f>IFERROR(VLOOKUP(C919,Resources!B:D,3,FALSE)," ")</f>
        <v xml:space="preserve"> </v>
      </c>
      <c r="F919" s="8"/>
      <c r="G919" s="8"/>
      <c r="H919" s="8">
        <f>ROUND(H918/1.644,0)</f>
        <v>45</v>
      </c>
      <c r="I919" s="109" t="str">
        <f>IFERROR(VLOOKUP(C919,Resources!B:G,6,FALSE)," ")</f>
        <v xml:space="preserve"> </v>
      </c>
      <c r="J919" s="109"/>
      <c r="K919" s="8"/>
      <c r="L919" s="8"/>
      <c r="M919" s="109"/>
      <c r="N919" s="109"/>
      <c r="O919" s="109"/>
      <c r="P919" s="109"/>
      <c r="Q919" s="109"/>
      <c r="R919" s="121"/>
      <c r="T919" s="188"/>
    </row>
    <row r="920" spans="1:20" x14ac:dyDescent="0.25">
      <c r="A920" s="100"/>
      <c r="B920" s="3">
        <v>3</v>
      </c>
      <c r="C920" s="5" t="s">
        <v>2160</v>
      </c>
      <c r="D920" s="3" t="s">
        <v>89</v>
      </c>
      <c r="E920" s="100" t="str">
        <f>IFERROR(VLOOKUP(C920,Resources!B:D,3,FALSE)," ")</f>
        <v>M</v>
      </c>
      <c r="F920" s="8">
        <v>1</v>
      </c>
      <c r="G920" s="8">
        <v>1</v>
      </c>
      <c r="H920" s="8">
        <f>H918*1.2</f>
        <v>88.8</v>
      </c>
      <c r="I920" s="109">
        <f>IFERROR(VLOOKUP(C920,Resources!B:G,6,FALSE)," ")</f>
        <v>387.5</v>
      </c>
      <c r="J920" s="109">
        <f t="shared" ref="J920:J927" si="1377">(H920/(G920/F920))*I920</f>
        <v>34410</v>
      </c>
      <c r="K920" s="8"/>
      <c r="L920" s="8" t="str">
        <f t="shared" ref="L920:L927" si="1378">IF(E920="M"," ",H920/G920)</f>
        <v xml:space="preserve"> </v>
      </c>
      <c r="M920" s="109">
        <f t="shared" ref="M920:M927" si="1379">IF($E920="L",$J920,0)</f>
        <v>0</v>
      </c>
      <c r="N920" s="109">
        <f t="shared" ref="N920:N927" si="1380">IF($E920="M",$J920,0)</f>
        <v>34410</v>
      </c>
      <c r="O920" s="109">
        <f t="shared" ref="O920:O927" si="1381">IF($E920="P",$J920,0)</f>
        <v>0</v>
      </c>
      <c r="P920" s="109">
        <f t="shared" ref="P920:P927" si="1382">IF($E920="S",$J920,0)</f>
        <v>0</v>
      </c>
      <c r="Q920" s="109">
        <f t="shared" ref="Q920:Q927" si="1383">SUM(M920:P920)</f>
        <v>34410</v>
      </c>
      <c r="R920" s="121" t="s">
        <v>2344</v>
      </c>
      <c r="T920" s="188"/>
    </row>
    <row r="921" spans="1:20" x14ac:dyDescent="0.25">
      <c r="A921" s="100">
        <v>126.1</v>
      </c>
      <c r="B921" s="3">
        <v>4</v>
      </c>
      <c r="C921" s="5" t="s">
        <v>63</v>
      </c>
      <c r="D921" s="3" t="s">
        <v>48</v>
      </c>
      <c r="E921" s="100" t="str">
        <f>IFERROR(VLOOKUP(C921,Resources!B:D,3,FALSE)," ")</f>
        <v>P</v>
      </c>
      <c r="F921" s="8">
        <v>1</v>
      </c>
      <c r="G921" s="103">
        <f>VLOOKUP($A921,'Model Inputs'!$A:$D,4,FALSE)</f>
        <v>2</v>
      </c>
      <c r="H921" s="8">
        <f>H918</f>
        <v>74</v>
      </c>
      <c r="I921" s="109">
        <f>IFERROR(VLOOKUP(C921,Resources!B:G,6,FALSE)," ")</f>
        <v>135</v>
      </c>
      <c r="J921" s="109">
        <f t="shared" si="1377"/>
        <v>4995</v>
      </c>
      <c r="K921" s="8">
        <f t="shared" ref="K921:K922" si="1384">L921*F921</f>
        <v>37</v>
      </c>
      <c r="L921" s="8">
        <f t="shared" si="1378"/>
        <v>37</v>
      </c>
      <c r="M921" s="109">
        <f t="shared" si="1379"/>
        <v>0</v>
      </c>
      <c r="N921" s="109">
        <f t="shared" si="1380"/>
        <v>0</v>
      </c>
      <c r="O921" s="109">
        <f t="shared" si="1381"/>
        <v>4995</v>
      </c>
      <c r="P921" s="109">
        <f t="shared" si="1382"/>
        <v>0</v>
      </c>
      <c r="Q921" s="109">
        <f t="shared" si="1383"/>
        <v>4995</v>
      </c>
      <c r="R921" s="121">
        <v>181</v>
      </c>
      <c r="T921" s="188"/>
    </row>
    <row r="922" spans="1:20" x14ac:dyDescent="0.25">
      <c r="A922" s="100">
        <v>126.2</v>
      </c>
      <c r="B922" s="3">
        <v>5</v>
      </c>
      <c r="C922" s="5" t="s">
        <v>8</v>
      </c>
      <c r="D922" s="3" t="s">
        <v>48</v>
      </c>
      <c r="E922" s="100" t="str">
        <f>IFERROR(VLOOKUP(C922,Resources!B:D,3,FALSE)," ")</f>
        <v>L</v>
      </c>
      <c r="F922" s="103">
        <f>VLOOKUP($A922,'Model Inputs'!$A:$D,4,FALSE)</f>
        <v>3</v>
      </c>
      <c r="G922" s="8">
        <v>2</v>
      </c>
      <c r="H922" s="8">
        <f>H918</f>
        <v>74</v>
      </c>
      <c r="I922" s="109">
        <f>IFERROR(VLOOKUP(C922,Resources!B:G,6,FALSE)," ")</f>
        <v>42</v>
      </c>
      <c r="J922" s="109">
        <f t="shared" si="1377"/>
        <v>4662</v>
      </c>
      <c r="K922" s="8">
        <f t="shared" si="1384"/>
        <v>111</v>
      </c>
      <c r="L922" s="8">
        <f t="shared" si="1378"/>
        <v>37</v>
      </c>
      <c r="M922" s="109">
        <f t="shared" si="1379"/>
        <v>4662</v>
      </c>
      <c r="N922" s="109">
        <f t="shared" si="1380"/>
        <v>0</v>
      </c>
      <c r="O922" s="109">
        <f t="shared" si="1381"/>
        <v>0</v>
      </c>
      <c r="P922" s="109">
        <f t="shared" si="1382"/>
        <v>0</v>
      </c>
      <c r="Q922" s="109">
        <f t="shared" si="1383"/>
        <v>4662</v>
      </c>
      <c r="R922" s="121">
        <v>181</v>
      </c>
      <c r="T922" s="188"/>
    </row>
    <row r="923" spans="1:20" x14ac:dyDescent="0.25">
      <c r="A923" s="100"/>
      <c r="B923" s="3">
        <v>6</v>
      </c>
      <c r="C923" s="5" t="s">
        <v>91</v>
      </c>
      <c r="D923" s="3" t="s">
        <v>89</v>
      </c>
      <c r="E923" s="100" t="str">
        <f>IFERROR(VLOOKUP(C923,Resources!B:D,3,FALSE)," ")</f>
        <v>M</v>
      </c>
      <c r="F923" s="8">
        <v>1</v>
      </c>
      <c r="G923" s="8">
        <v>1</v>
      </c>
      <c r="H923" s="8">
        <f>H918*3.5</f>
        <v>259</v>
      </c>
      <c r="I923" s="109">
        <f>IFERROR(VLOOKUP(C923,Resources!B:G,6,FALSE)," ")</f>
        <v>5</v>
      </c>
      <c r="J923" s="109">
        <f t="shared" si="1377"/>
        <v>1295</v>
      </c>
      <c r="K923" s="8"/>
      <c r="L923" s="8" t="str">
        <f t="shared" si="1378"/>
        <v xml:space="preserve"> </v>
      </c>
      <c r="M923" s="109">
        <f t="shared" si="1379"/>
        <v>0</v>
      </c>
      <c r="N923" s="109">
        <f t="shared" si="1380"/>
        <v>1295</v>
      </c>
      <c r="O923" s="109">
        <f t="shared" si="1381"/>
        <v>0</v>
      </c>
      <c r="P923" s="109">
        <f t="shared" si="1382"/>
        <v>0</v>
      </c>
      <c r="Q923" s="109">
        <f t="shared" si="1383"/>
        <v>1295</v>
      </c>
      <c r="R923" s="121">
        <v>181</v>
      </c>
      <c r="T923" s="188"/>
    </row>
    <row r="924" spans="1:20" x14ac:dyDescent="0.25">
      <c r="A924" s="100">
        <v>126.3</v>
      </c>
      <c r="B924" s="3">
        <v>7</v>
      </c>
      <c r="C924" s="5" t="s">
        <v>45</v>
      </c>
      <c r="D924" s="3" t="s">
        <v>48</v>
      </c>
      <c r="E924" s="100" t="str">
        <f>IFERROR(VLOOKUP(C924,Resources!B:D,3,FALSE)," ")</f>
        <v>P</v>
      </c>
      <c r="F924" s="8">
        <v>1</v>
      </c>
      <c r="G924" s="103">
        <f>VLOOKUP($A924,'Model Inputs'!$A:$D,4,FALSE)</f>
        <v>3</v>
      </c>
      <c r="H924" s="8">
        <f>H919</f>
        <v>45</v>
      </c>
      <c r="I924" s="109">
        <f>IFERROR(VLOOKUP(C924,Resources!B:G,6,FALSE)," ")</f>
        <v>95</v>
      </c>
      <c r="J924" s="109">
        <f t="shared" si="1377"/>
        <v>1425</v>
      </c>
      <c r="K924" s="8">
        <f t="shared" ref="K924:K927" si="1385">L924*F924</f>
        <v>15</v>
      </c>
      <c r="L924" s="8">
        <f t="shared" si="1378"/>
        <v>15</v>
      </c>
      <c r="M924" s="109">
        <f t="shared" si="1379"/>
        <v>0</v>
      </c>
      <c r="N924" s="109">
        <f t="shared" si="1380"/>
        <v>0</v>
      </c>
      <c r="O924" s="109">
        <f t="shared" si="1381"/>
        <v>1425</v>
      </c>
      <c r="P924" s="109">
        <f t="shared" si="1382"/>
        <v>0</v>
      </c>
      <c r="Q924" s="109">
        <f t="shared" si="1383"/>
        <v>1425</v>
      </c>
      <c r="R924" s="121">
        <v>181</v>
      </c>
      <c r="T924" s="188"/>
    </row>
    <row r="925" spans="1:20" x14ac:dyDescent="0.25">
      <c r="A925" s="100">
        <v>126.4</v>
      </c>
      <c r="B925" s="3">
        <v>8</v>
      </c>
      <c r="C925" s="5" t="s">
        <v>8</v>
      </c>
      <c r="D925" s="3" t="s">
        <v>48</v>
      </c>
      <c r="E925" s="100" t="str">
        <f>IFERROR(VLOOKUP(C925,Resources!B:D,3,FALSE)," ")</f>
        <v>L</v>
      </c>
      <c r="F925" s="103">
        <f>VLOOKUP($A925,'Model Inputs'!$A:$D,4,FALSE)</f>
        <v>3</v>
      </c>
      <c r="G925" s="8">
        <v>3</v>
      </c>
      <c r="H925" s="8">
        <f>H919</f>
        <v>45</v>
      </c>
      <c r="I925" s="109">
        <f>IFERROR(VLOOKUP(C925,Resources!B:G,6,FALSE)," ")</f>
        <v>42</v>
      </c>
      <c r="J925" s="109">
        <f t="shared" si="1377"/>
        <v>1890</v>
      </c>
      <c r="K925" s="8">
        <f t="shared" si="1385"/>
        <v>45</v>
      </c>
      <c r="L925" s="8">
        <f t="shared" si="1378"/>
        <v>15</v>
      </c>
      <c r="M925" s="109">
        <f t="shared" si="1379"/>
        <v>1890</v>
      </c>
      <c r="N925" s="109">
        <f t="shared" si="1380"/>
        <v>0</v>
      </c>
      <c r="O925" s="109">
        <f t="shared" si="1381"/>
        <v>0</v>
      </c>
      <c r="P925" s="109">
        <f t="shared" si="1382"/>
        <v>0</v>
      </c>
      <c r="Q925" s="109">
        <f t="shared" si="1383"/>
        <v>1890</v>
      </c>
      <c r="R925" s="121">
        <v>181</v>
      </c>
      <c r="T925" s="188"/>
    </row>
    <row r="926" spans="1:20" x14ac:dyDescent="0.25">
      <c r="A926" s="100"/>
      <c r="B926" s="3">
        <v>9</v>
      </c>
      <c r="C926" s="5" t="s">
        <v>92</v>
      </c>
      <c r="D926" s="3" t="s">
        <v>48</v>
      </c>
      <c r="E926" s="100" t="str">
        <f>IFERROR(VLOOKUP(C926,Resources!B:D,3,FALSE)," ")</f>
        <v>P</v>
      </c>
      <c r="F926" s="8">
        <v>1</v>
      </c>
      <c r="G926" s="8">
        <v>3</v>
      </c>
      <c r="H926" s="8">
        <f>H919</f>
        <v>45</v>
      </c>
      <c r="I926" s="109">
        <f>IFERROR(VLOOKUP(C926,Resources!B:G,6,FALSE)," ")</f>
        <v>3.5</v>
      </c>
      <c r="J926" s="109">
        <f t="shared" si="1377"/>
        <v>52.5</v>
      </c>
      <c r="K926" s="8">
        <f t="shared" si="1385"/>
        <v>15</v>
      </c>
      <c r="L926" s="8">
        <f t="shared" si="1378"/>
        <v>15</v>
      </c>
      <c r="M926" s="109">
        <f t="shared" si="1379"/>
        <v>0</v>
      </c>
      <c r="N926" s="109">
        <f t="shared" si="1380"/>
        <v>0</v>
      </c>
      <c r="O926" s="109">
        <f t="shared" si="1381"/>
        <v>52.5</v>
      </c>
      <c r="P926" s="109">
        <f t="shared" si="1382"/>
        <v>0</v>
      </c>
      <c r="Q926" s="109">
        <f t="shared" si="1383"/>
        <v>52.5</v>
      </c>
      <c r="R926" s="121">
        <v>181</v>
      </c>
      <c r="T926" s="188"/>
    </row>
    <row r="927" spans="1:20" x14ac:dyDescent="0.25">
      <c r="A927" s="100"/>
      <c r="B927" s="3">
        <v>10</v>
      </c>
      <c r="C927" s="5" t="s">
        <v>64</v>
      </c>
      <c r="D927" s="3" t="s">
        <v>48</v>
      </c>
      <c r="E927" s="100" t="str">
        <f>IFERROR(VLOOKUP(C927,Resources!B:D,3,FALSE)," ")</f>
        <v>P</v>
      </c>
      <c r="F927" s="8">
        <v>1</v>
      </c>
      <c r="G927" s="8">
        <v>3</v>
      </c>
      <c r="H927" s="8">
        <f>H919</f>
        <v>45</v>
      </c>
      <c r="I927" s="109">
        <f>IFERROR(VLOOKUP(C927,Resources!B:G,6,FALSE)," ")</f>
        <v>100</v>
      </c>
      <c r="J927" s="109">
        <f t="shared" si="1377"/>
        <v>1500</v>
      </c>
      <c r="K927" s="8">
        <f t="shared" si="1385"/>
        <v>15</v>
      </c>
      <c r="L927" s="8">
        <f t="shared" si="1378"/>
        <v>15</v>
      </c>
      <c r="M927" s="109">
        <f t="shared" si="1379"/>
        <v>0</v>
      </c>
      <c r="N927" s="109">
        <f t="shared" si="1380"/>
        <v>0</v>
      </c>
      <c r="O927" s="109">
        <f t="shared" si="1381"/>
        <v>1500</v>
      </c>
      <c r="P927" s="109">
        <f t="shared" si="1382"/>
        <v>0</v>
      </c>
      <c r="Q927" s="109">
        <f t="shared" si="1383"/>
        <v>1500</v>
      </c>
      <c r="R927" s="121">
        <v>181</v>
      </c>
      <c r="T927" s="188"/>
    </row>
    <row r="928" spans="1:20" x14ac:dyDescent="0.25">
      <c r="A928" s="101"/>
      <c r="B928" s="4"/>
      <c r="C928" s="6"/>
      <c r="D928" s="4"/>
      <c r="E928" s="101" t="str">
        <f>IFERROR(VLOOKUP(C928,Resources!B:D,3,FALSE)," ")</f>
        <v xml:space="preserve"> </v>
      </c>
      <c r="F928" s="9"/>
      <c r="G928" s="9"/>
      <c r="H928" s="9"/>
      <c r="I928" s="38" t="str">
        <f>IFERROR(VLOOKUP(C928,Resources!B:G,6,FALSE)," ")</f>
        <v xml:space="preserve"> </v>
      </c>
      <c r="J928" s="38"/>
      <c r="K928" s="9"/>
      <c r="L928" s="9"/>
      <c r="M928" s="38"/>
      <c r="N928" s="38"/>
      <c r="O928" s="38"/>
      <c r="P928" s="38"/>
      <c r="Q928" s="38"/>
      <c r="R928" s="122"/>
      <c r="T928" s="188"/>
    </row>
    <row r="929" spans="1:20" ht="30" x14ac:dyDescent="0.25">
      <c r="A929" s="114">
        <v>127</v>
      </c>
      <c r="B929" s="1" t="s">
        <v>463</v>
      </c>
      <c r="C929" s="1" t="s">
        <v>88</v>
      </c>
      <c r="D929" s="2" t="s">
        <v>89</v>
      </c>
      <c r="E929" s="99" t="str">
        <f>IFERROR(VLOOKUP(C929,Resources!B:D,3,FALSE)," ")</f>
        <v xml:space="preserve"> </v>
      </c>
      <c r="F929" s="7"/>
      <c r="G929" s="7"/>
      <c r="H929" s="103">
        <f>VLOOKUP($A929,'Model Inputs'!$A:$D,4,FALSE)</f>
        <v>10</v>
      </c>
      <c r="I929" s="108" t="str">
        <f>IFERROR(VLOOKUP(C929,Resources!B:G,6,FALSE)," ")</f>
        <v xml:space="preserve"> </v>
      </c>
      <c r="J929" s="108">
        <f>SUBTOTAL(9,J932:J939)</f>
        <v>7274.5</v>
      </c>
      <c r="K929" s="7"/>
      <c r="L929" s="7">
        <f>ROUNDUP((MAX(L933:L934)+MAX(L936:L939))/Workhrs,0)</f>
        <v>2</v>
      </c>
      <c r="M929" s="108">
        <f t="shared" ref="M929:Q929" si="1386">SUBTOTAL(9,M932:M939)</f>
        <v>1197</v>
      </c>
      <c r="N929" s="108">
        <f t="shared" si="1386"/>
        <v>4477.5</v>
      </c>
      <c r="O929" s="108">
        <f t="shared" si="1386"/>
        <v>1600</v>
      </c>
      <c r="P929" s="108">
        <f t="shared" si="1386"/>
        <v>0</v>
      </c>
      <c r="Q929" s="108">
        <f t="shared" si="1386"/>
        <v>7274.5</v>
      </c>
      <c r="R929" s="120"/>
      <c r="T929" s="188"/>
    </row>
    <row r="930" spans="1:20" x14ac:dyDescent="0.25">
      <c r="A930" s="100"/>
      <c r="B930" s="3">
        <v>1</v>
      </c>
      <c r="C930" s="5" t="s">
        <v>2380</v>
      </c>
      <c r="D930" s="3"/>
      <c r="E930" s="100" t="str">
        <f>IFERROR(VLOOKUP(C930,Resources!B:D,3,FALSE)," ")</f>
        <v xml:space="preserve"> </v>
      </c>
      <c r="F930" s="8"/>
      <c r="G930" s="8"/>
      <c r="H930" s="8">
        <f>ROUNDUP(H929/1.2,0)</f>
        <v>9</v>
      </c>
      <c r="I930" s="109" t="str">
        <f>IFERROR(VLOOKUP(C930,Resources!B:G,6,FALSE)," ")</f>
        <v xml:space="preserve"> </v>
      </c>
      <c r="J930" s="109"/>
      <c r="K930" s="8"/>
      <c r="L930" s="8"/>
      <c r="M930" s="109"/>
      <c r="N930" s="109"/>
      <c r="O930" s="109"/>
      <c r="P930" s="109"/>
      <c r="Q930" s="109"/>
      <c r="R930" s="121"/>
      <c r="T930" s="188"/>
    </row>
    <row r="931" spans="1:20" x14ac:dyDescent="0.25">
      <c r="A931" s="100"/>
      <c r="B931" s="3">
        <v>2</v>
      </c>
      <c r="C931" s="5" t="s">
        <v>90</v>
      </c>
      <c r="D931" s="3"/>
      <c r="E931" s="100" t="str">
        <f>IFERROR(VLOOKUP(C931,Resources!B:D,3,FALSE)," ")</f>
        <v xml:space="preserve"> </v>
      </c>
      <c r="F931" s="8"/>
      <c r="G931" s="8"/>
      <c r="H931" s="8">
        <f>H929*1.5</f>
        <v>15</v>
      </c>
      <c r="I931" s="109" t="str">
        <f>IFERROR(VLOOKUP(C931,Resources!B:G,6,FALSE)," ")</f>
        <v xml:space="preserve"> </v>
      </c>
      <c r="J931" s="109"/>
      <c r="K931" s="8"/>
      <c r="L931" s="8"/>
      <c r="M931" s="109"/>
      <c r="N931" s="109"/>
      <c r="O931" s="109"/>
      <c r="P931" s="109"/>
      <c r="Q931" s="109"/>
      <c r="R931" s="121"/>
      <c r="T931" s="188"/>
    </row>
    <row r="932" spans="1:20" x14ac:dyDescent="0.25">
      <c r="A932" s="100"/>
      <c r="B932" s="3">
        <v>3</v>
      </c>
      <c r="C932" s="5" t="s">
        <v>2161</v>
      </c>
      <c r="D932" s="3" t="s">
        <v>89</v>
      </c>
      <c r="E932" s="100" t="str">
        <f>IFERROR(VLOOKUP(C932,Resources!B:D,3,FALSE)," ")</f>
        <v>M</v>
      </c>
      <c r="F932" s="8">
        <v>1</v>
      </c>
      <c r="G932" s="8">
        <v>1</v>
      </c>
      <c r="H932" s="8">
        <f>H930*1.2</f>
        <v>10.799999999999999</v>
      </c>
      <c r="I932" s="109">
        <f>IFERROR(VLOOKUP(C932,Resources!B:G,6,FALSE)," ")</f>
        <v>400</v>
      </c>
      <c r="J932" s="109">
        <f t="shared" ref="J932:J939" si="1387">(H932/(G932/F932))*I932</f>
        <v>4320</v>
      </c>
      <c r="K932" s="8"/>
      <c r="L932" s="8" t="str">
        <f t="shared" ref="L932:L939" si="1388">IF(E932="M"," ",H932/G932)</f>
        <v xml:space="preserve"> </v>
      </c>
      <c r="M932" s="109">
        <f t="shared" ref="M932:M939" si="1389">IF($E932="L",$J932,0)</f>
        <v>0</v>
      </c>
      <c r="N932" s="109">
        <f t="shared" ref="N932:N939" si="1390">IF($E932="M",$J932,0)</f>
        <v>4320</v>
      </c>
      <c r="O932" s="109">
        <f t="shared" ref="O932:O939" si="1391">IF($E932="P",$J932,0)</f>
        <v>0</v>
      </c>
      <c r="P932" s="109">
        <f t="shared" ref="P932:P939" si="1392">IF($E932="S",$J932,0)</f>
        <v>0</v>
      </c>
      <c r="Q932" s="109">
        <f t="shared" ref="Q932:Q939" si="1393">SUM(M932:P932)</f>
        <v>4320</v>
      </c>
      <c r="R932" s="121" t="s">
        <v>2344</v>
      </c>
      <c r="T932" s="188"/>
    </row>
    <row r="933" spans="1:20" x14ac:dyDescent="0.25">
      <c r="A933" s="100">
        <v>127.1</v>
      </c>
      <c r="B933" s="3">
        <v>4</v>
      </c>
      <c r="C933" s="5" t="s">
        <v>63</v>
      </c>
      <c r="D933" s="3" t="s">
        <v>48</v>
      </c>
      <c r="E933" s="100" t="str">
        <f>IFERROR(VLOOKUP(C933,Resources!B:D,3,FALSE)," ")</f>
        <v>P</v>
      </c>
      <c r="F933" s="8">
        <v>1</v>
      </c>
      <c r="G933" s="103">
        <f>VLOOKUP($A933,'Model Inputs'!$A:$D,4,FALSE)</f>
        <v>2</v>
      </c>
      <c r="H933" s="8">
        <f>H930</f>
        <v>9</v>
      </c>
      <c r="I933" s="109">
        <f>IFERROR(VLOOKUP(C933,Resources!B:G,6,FALSE)," ")</f>
        <v>135</v>
      </c>
      <c r="J933" s="109">
        <f t="shared" si="1387"/>
        <v>607.5</v>
      </c>
      <c r="K933" s="8">
        <f t="shared" ref="K933:K934" si="1394">L933*F933</f>
        <v>4.5</v>
      </c>
      <c r="L933" s="8">
        <f t="shared" si="1388"/>
        <v>4.5</v>
      </c>
      <c r="M933" s="109">
        <f t="shared" si="1389"/>
        <v>0</v>
      </c>
      <c r="N933" s="109">
        <f t="shared" si="1390"/>
        <v>0</v>
      </c>
      <c r="O933" s="109">
        <f t="shared" si="1391"/>
        <v>607.5</v>
      </c>
      <c r="P933" s="109">
        <f t="shared" si="1392"/>
        <v>0</v>
      </c>
      <c r="Q933" s="109">
        <f t="shared" si="1393"/>
        <v>607.5</v>
      </c>
      <c r="R933" s="121">
        <v>181</v>
      </c>
      <c r="T933" s="188"/>
    </row>
    <row r="934" spans="1:20" x14ac:dyDescent="0.25">
      <c r="A934" s="100">
        <v>127.2</v>
      </c>
      <c r="B934" s="3">
        <v>5</v>
      </c>
      <c r="C934" s="5" t="s">
        <v>8</v>
      </c>
      <c r="D934" s="3" t="s">
        <v>48</v>
      </c>
      <c r="E934" s="100" t="str">
        <f>IFERROR(VLOOKUP(C934,Resources!B:D,3,FALSE)," ")</f>
        <v>L</v>
      </c>
      <c r="F934" s="103">
        <f>VLOOKUP($A934,'Model Inputs'!$A:$D,4,FALSE)</f>
        <v>3</v>
      </c>
      <c r="G934" s="8">
        <v>2</v>
      </c>
      <c r="H934" s="8">
        <f>H930</f>
        <v>9</v>
      </c>
      <c r="I934" s="109">
        <f>IFERROR(VLOOKUP(C934,Resources!B:G,6,FALSE)," ")</f>
        <v>42</v>
      </c>
      <c r="J934" s="109">
        <f t="shared" si="1387"/>
        <v>567</v>
      </c>
      <c r="K934" s="8">
        <f t="shared" si="1394"/>
        <v>13.5</v>
      </c>
      <c r="L934" s="8">
        <f t="shared" si="1388"/>
        <v>4.5</v>
      </c>
      <c r="M934" s="109">
        <f t="shared" si="1389"/>
        <v>567</v>
      </c>
      <c r="N934" s="109">
        <f t="shared" si="1390"/>
        <v>0</v>
      </c>
      <c r="O934" s="109">
        <f t="shared" si="1391"/>
        <v>0</v>
      </c>
      <c r="P934" s="109">
        <f t="shared" si="1392"/>
        <v>0</v>
      </c>
      <c r="Q934" s="109">
        <f t="shared" si="1393"/>
        <v>567</v>
      </c>
      <c r="R934" s="121">
        <v>181</v>
      </c>
      <c r="T934" s="188"/>
    </row>
    <row r="935" spans="1:20" x14ac:dyDescent="0.25">
      <c r="A935" s="100"/>
      <c r="B935" s="3">
        <v>6</v>
      </c>
      <c r="C935" s="5" t="s">
        <v>91</v>
      </c>
      <c r="D935" s="3" t="s">
        <v>89</v>
      </c>
      <c r="E935" s="100" t="str">
        <f>IFERROR(VLOOKUP(C935,Resources!B:D,3,FALSE)," ")</f>
        <v>M</v>
      </c>
      <c r="F935" s="8">
        <v>1</v>
      </c>
      <c r="G935" s="8">
        <v>1</v>
      </c>
      <c r="H935" s="8">
        <f>H930*3.5</f>
        <v>31.5</v>
      </c>
      <c r="I935" s="109">
        <f>IFERROR(VLOOKUP(C935,Resources!B:G,6,FALSE)," ")</f>
        <v>5</v>
      </c>
      <c r="J935" s="109">
        <f t="shared" si="1387"/>
        <v>157.5</v>
      </c>
      <c r="K935" s="8"/>
      <c r="L935" s="8" t="str">
        <f t="shared" si="1388"/>
        <v xml:space="preserve"> </v>
      </c>
      <c r="M935" s="109">
        <f t="shared" si="1389"/>
        <v>0</v>
      </c>
      <c r="N935" s="109">
        <f t="shared" si="1390"/>
        <v>157.5</v>
      </c>
      <c r="O935" s="109">
        <f t="shared" si="1391"/>
        <v>0</v>
      </c>
      <c r="P935" s="109">
        <f t="shared" si="1392"/>
        <v>0</v>
      </c>
      <c r="Q935" s="109">
        <f t="shared" si="1393"/>
        <v>157.5</v>
      </c>
      <c r="R935" s="121">
        <v>181</v>
      </c>
      <c r="T935" s="188"/>
    </row>
    <row r="936" spans="1:20" x14ac:dyDescent="0.25">
      <c r="A936" s="100">
        <v>127.3</v>
      </c>
      <c r="B936" s="3">
        <v>7</v>
      </c>
      <c r="C936" s="5" t="s">
        <v>45</v>
      </c>
      <c r="D936" s="3" t="s">
        <v>48</v>
      </c>
      <c r="E936" s="100" t="str">
        <f>IFERROR(VLOOKUP(C936,Resources!B:D,3,FALSE)," ")</f>
        <v>P</v>
      </c>
      <c r="F936" s="8">
        <v>1</v>
      </c>
      <c r="G936" s="103">
        <f>VLOOKUP($A936,'Model Inputs'!$A:$D,4,FALSE)</f>
        <v>3</v>
      </c>
      <c r="H936" s="8">
        <f>H931</f>
        <v>15</v>
      </c>
      <c r="I936" s="109">
        <f>IFERROR(VLOOKUP(C936,Resources!B:G,6,FALSE)," ")</f>
        <v>95</v>
      </c>
      <c r="J936" s="109">
        <f t="shared" si="1387"/>
        <v>475</v>
      </c>
      <c r="K936" s="8">
        <f t="shared" ref="K936:K939" si="1395">L936*F936</f>
        <v>5</v>
      </c>
      <c r="L936" s="8">
        <f t="shared" si="1388"/>
        <v>5</v>
      </c>
      <c r="M936" s="109">
        <f t="shared" si="1389"/>
        <v>0</v>
      </c>
      <c r="N936" s="109">
        <f t="shared" si="1390"/>
        <v>0</v>
      </c>
      <c r="O936" s="109">
        <f t="shared" si="1391"/>
        <v>475</v>
      </c>
      <c r="P936" s="109">
        <f t="shared" si="1392"/>
        <v>0</v>
      </c>
      <c r="Q936" s="109">
        <f t="shared" si="1393"/>
        <v>475</v>
      </c>
      <c r="R936" s="121">
        <v>181</v>
      </c>
      <c r="T936" s="188"/>
    </row>
    <row r="937" spans="1:20" x14ac:dyDescent="0.25">
      <c r="A937" s="100">
        <v>127.4</v>
      </c>
      <c r="B937" s="3">
        <v>8</v>
      </c>
      <c r="C937" s="5" t="s">
        <v>8</v>
      </c>
      <c r="D937" s="3" t="s">
        <v>48</v>
      </c>
      <c r="E937" s="100" t="str">
        <f>IFERROR(VLOOKUP(C937,Resources!B:D,3,FALSE)," ")</f>
        <v>L</v>
      </c>
      <c r="F937" s="103">
        <f>VLOOKUP($A937,'Model Inputs'!$A:$D,4,FALSE)</f>
        <v>3</v>
      </c>
      <c r="G937" s="8">
        <v>3</v>
      </c>
      <c r="H937" s="8">
        <f>H931</f>
        <v>15</v>
      </c>
      <c r="I937" s="109">
        <f>IFERROR(VLOOKUP(C937,Resources!B:G,6,FALSE)," ")</f>
        <v>42</v>
      </c>
      <c r="J937" s="109">
        <f t="shared" si="1387"/>
        <v>630</v>
      </c>
      <c r="K937" s="8">
        <f t="shared" si="1395"/>
        <v>15</v>
      </c>
      <c r="L937" s="8">
        <f t="shared" si="1388"/>
        <v>5</v>
      </c>
      <c r="M937" s="109">
        <f t="shared" si="1389"/>
        <v>630</v>
      </c>
      <c r="N937" s="109">
        <f t="shared" si="1390"/>
        <v>0</v>
      </c>
      <c r="O937" s="109">
        <f t="shared" si="1391"/>
        <v>0</v>
      </c>
      <c r="P937" s="109">
        <f t="shared" si="1392"/>
        <v>0</v>
      </c>
      <c r="Q937" s="109">
        <f t="shared" si="1393"/>
        <v>630</v>
      </c>
      <c r="R937" s="121">
        <v>181</v>
      </c>
      <c r="T937" s="188"/>
    </row>
    <row r="938" spans="1:20" x14ac:dyDescent="0.25">
      <c r="A938" s="100"/>
      <c r="B938" s="3">
        <v>9</v>
      </c>
      <c r="C938" s="5" t="s">
        <v>92</v>
      </c>
      <c r="D938" s="3" t="s">
        <v>48</v>
      </c>
      <c r="E938" s="100" t="str">
        <f>IFERROR(VLOOKUP(C938,Resources!B:D,3,FALSE)," ")</f>
        <v>P</v>
      </c>
      <c r="F938" s="8">
        <v>1</v>
      </c>
      <c r="G938" s="8">
        <v>3</v>
      </c>
      <c r="H938" s="8">
        <f>H931</f>
        <v>15</v>
      </c>
      <c r="I938" s="109">
        <f>IFERROR(VLOOKUP(C938,Resources!B:G,6,FALSE)," ")</f>
        <v>3.5</v>
      </c>
      <c r="J938" s="109">
        <f t="shared" si="1387"/>
        <v>17.5</v>
      </c>
      <c r="K938" s="8">
        <f t="shared" si="1395"/>
        <v>5</v>
      </c>
      <c r="L938" s="8">
        <f t="shared" si="1388"/>
        <v>5</v>
      </c>
      <c r="M938" s="109">
        <f t="shared" si="1389"/>
        <v>0</v>
      </c>
      <c r="N938" s="109">
        <f t="shared" si="1390"/>
        <v>0</v>
      </c>
      <c r="O938" s="109">
        <f t="shared" si="1391"/>
        <v>17.5</v>
      </c>
      <c r="P938" s="109">
        <f t="shared" si="1392"/>
        <v>0</v>
      </c>
      <c r="Q938" s="109">
        <f t="shared" si="1393"/>
        <v>17.5</v>
      </c>
      <c r="R938" s="121">
        <v>181</v>
      </c>
      <c r="T938" s="188"/>
    </row>
    <row r="939" spans="1:20" x14ac:dyDescent="0.25">
      <c r="A939" s="100"/>
      <c r="B939" s="3">
        <v>10</v>
      </c>
      <c r="C939" s="5" t="s">
        <v>64</v>
      </c>
      <c r="D939" s="3" t="s">
        <v>48</v>
      </c>
      <c r="E939" s="100" t="str">
        <f>IFERROR(VLOOKUP(C939,Resources!B:D,3,FALSE)," ")</f>
        <v>P</v>
      </c>
      <c r="F939" s="8">
        <v>1</v>
      </c>
      <c r="G939" s="8">
        <v>3</v>
      </c>
      <c r="H939" s="8">
        <f>H931</f>
        <v>15</v>
      </c>
      <c r="I939" s="109">
        <f>IFERROR(VLOOKUP(C939,Resources!B:G,6,FALSE)," ")</f>
        <v>100</v>
      </c>
      <c r="J939" s="109">
        <f t="shared" si="1387"/>
        <v>500</v>
      </c>
      <c r="K939" s="8">
        <f t="shared" si="1395"/>
        <v>5</v>
      </c>
      <c r="L939" s="8">
        <f t="shared" si="1388"/>
        <v>5</v>
      </c>
      <c r="M939" s="109">
        <f t="shared" si="1389"/>
        <v>0</v>
      </c>
      <c r="N939" s="109">
        <f t="shared" si="1390"/>
        <v>0</v>
      </c>
      <c r="O939" s="109">
        <f t="shared" si="1391"/>
        <v>500</v>
      </c>
      <c r="P939" s="109">
        <f t="shared" si="1392"/>
        <v>0</v>
      </c>
      <c r="Q939" s="109">
        <f t="shared" si="1393"/>
        <v>500</v>
      </c>
      <c r="R939" s="121">
        <v>181</v>
      </c>
      <c r="T939" s="188"/>
    </row>
    <row r="940" spans="1:20" x14ac:dyDescent="0.25">
      <c r="A940" s="101"/>
      <c r="B940" s="4"/>
      <c r="C940" s="6"/>
      <c r="D940" s="4"/>
      <c r="E940" s="101" t="str">
        <f>IFERROR(VLOOKUP(C940,Resources!B:D,3,FALSE)," ")</f>
        <v xml:space="preserve"> </v>
      </c>
      <c r="F940" s="9"/>
      <c r="G940" s="9"/>
      <c r="H940" s="9"/>
      <c r="I940" s="38" t="str">
        <f>IFERROR(VLOOKUP(C940,Resources!B:G,6,FALSE)," ")</f>
        <v xml:space="preserve"> </v>
      </c>
      <c r="J940" s="38"/>
      <c r="K940" s="9"/>
      <c r="L940" s="9"/>
      <c r="M940" s="38"/>
      <c r="N940" s="38"/>
      <c r="O940" s="38"/>
      <c r="P940" s="38"/>
      <c r="Q940" s="38"/>
      <c r="R940" s="122"/>
      <c r="T940" s="188"/>
    </row>
    <row r="941" spans="1:20" ht="30" x14ac:dyDescent="0.25">
      <c r="A941" s="114"/>
      <c r="B941" s="1" t="s">
        <v>464</v>
      </c>
      <c r="C941" s="1" t="s">
        <v>94</v>
      </c>
      <c r="D941" s="2"/>
      <c r="E941" s="99" t="str">
        <f>IFERROR(VLOOKUP(C941,Resources!B:D,3,FALSE)," ")</f>
        <v xml:space="preserve"> </v>
      </c>
      <c r="F941" s="7"/>
      <c r="G941" s="7"/>
      <c r="H941" s="7"/>
      <c r="I941" s="108" t="str">
        <f>IFERROR(VLOOKUP(C941,Resources!B:G,6,FALSE)," ")</f>
        <v xml:space="preserve"> </v>
      </c>
      <c r="J941" s="108"/>
      <c r="K941" s="7"/>
      <c r="L941" s="7"/>
      <c r="M941" s="108"/>
      <c r="N941" s="108"/>
      <c r="O941" s="108"/>
      <c r="P941" s="108"/>
      <c r="Q941" s="108"/>
      <c r="R941" s="120"/>
      <c r="T941" s="188"/>
    </row>
    <row r="942" spans="1:20" ht="30" x14ac:dyDescent="0.25">
      <c r="A942" s="114">
        <v>128</v>
      </c>
      <c r="B942" s="1" t="s">
        <v>465</v>
      </c>
      <c r="C942" s="1" t="s">
        <v>96</v>
      </c>
      <c r="D942" s="2" t="s">
        <v>62</v>
      </c>
      <c r="E942" s="99" t="str">
        <f>IFERROR(VLOOKUP(C942,Resources!B:D,3,FALSE)," ")</f>
        <v xml:space="preserve"> </v>
      </c>
      <c r="F942" s="7"/>
      <c r="G942" s="7"/>
      <c r="H942" s="103">
        <f>VLOOKUP($A942,'Model Inputs'!$A:$D,4,FALSE)</f>
        <v>0.63</v>
      </c>
      <c r="I942" s="108" t="str">
        <f>IFERROR(VLOOKUP(C942,Resources!B:G,6,FALSE)," ")</f>
        <v xml:space="preserve"> </v>
      </c>
      <c r="J942" s="108">
        <f>SUBTOTAL(9,J945:J949)</f>
        <v>410.15800000000002</v>
      </c>
      <c r="K942" s="7"/>
      <c r="L942" s="7">
        <f>ROUNDUP(L949/Workhrs,0)+1</f>
        <v>2</v>
      </c>
      <c r="M942" s="108">
        <f t="shared" ref="M942:Q942" si="1396">SUBTOTAL(9,M945:M949)</f>
        <v>0</v>
      </c>
      <c r="N942" s="108">
        <f t="shared" si="1396"/>
        <v>205.40800000000002</v>
      </c>
      <c r="O942" s="108">
        <f t="shared" si="1396"/>
        <v>0</v>
      </c>
      <c r="P942" s="108">
        <f t="shared" si="1396"/>
        <v>204.75</v>
      </c>
      <c r="Q942" s="108">
        <f t="shared" si="1396"/>
        <v>410.15800000000002</v>
      </c>
      <c r="R942" s="120"/>
      <c r="T942" s="188"/>
    </row>
    <row r="943" spans="1:20" x14ac:dyDescent="0.25">
      <c r="A943" s="101"/>
      <c r="B943" s="4">
        <v>1</v>
      </c>
      <c r="C943" s="6" t="s">
        <v>80</v>
      </c>
      <c r="D943" s="4"/>
      <c r="E943" s="101" t="str">
        <f>IFERROR(VLOOKUP(C943,Resources!B:D,3,FALSE)," ")</f>
        <v xml:space="preserve"> </v>
      </c>
      <c r="F943" s="9"/>
      <c r="G943" s="9"/>
      <c r="H943" s="9"/>
      <c r="I943" s="38" t="str">
        <f>IFERROR(VLOOKUP(C943,Resources!B:G,6,FALSE)," ")</f>
        <v xml:space="preserve"> </v>
      </c>
      <c r="J943" s="38"/>
      <c r="K943" s="9"/>
      <c r="L943" s="9"/>
      <c r="M943" s="38"/>
      <c r="N943" s="38"/>
      <c r="O943" s="38"/>
      <c r="P943" s="38"/>
      <c r="Q943" s="38"/>
      <c r="R943" s="122"/>
      <c r="T943" s="188"/>
    </row>
    <row r="944" spans="1:20" x14ac:dyDescent="0.25">
      <c r="A944" s="100"/>
      <c r="B944" s="3">
        <v>2</v>
      </c>
      <c r="C944" s="5" t="s">
        <v>2381</v>
      </c>
      <c r="D944" s="3"/>
      <c r="E944" s="100" t="str">
        <f>IFERROR(VLOOKUP(C944,Resources!B:D,3,FALSE)," ")</f>
        <v xml:space="preserve"> </v>
      </c>
      <c r="F944" s="8"/>
      <c r="G944" s="8"/>
      <c r="H944" s="8">
        <f>H942/0.2</f>
        <v>3.15</v>
      </c>
      <c r="I944" s="109" t="str">
        <f>IFERROR(VLOOKUP(C944,Resources!B:G,6,FALSE)," ")</f>
        <v xml:space="preserve"> </v>
      </c>
      <c r="J944" s="109"/>
      <c r="K944" s="8"/>
      <c r="L944" s="8"/>
      <c r="M944" s="109"/>
      <c r="N944" s="109"/>
      <c r="O944" s="109"/>
      <c r="P944" s="109"/>
      <c r="Q944" s="109"/>
      <c r="R944" s="121"/>
      <c r="T944" s="188"/>
    </row>
    <row r="945" spans="1:20" x14ac:dyDescent="0.25">
      <c r="A945" s="100"/>
      <c r="B945" s="3">
        <v>3</v>
      </c>
      <c r="C945" s="5" t="s">
        <v>81</v>
      </c>
      <c r="D945" s="3" t="s">
        <v>82</v>
      </c>
      <c r="E945" s="100" t="str">
        <f>IFERROR(VLOOKUP(C945,Resources!B:D,3,FALSE)," ")</f>
        <v>M</v>
      </c>
      <c r="F945" s="8">
        <v>1</v>
      </c>
      <c r="G945" s="8">
        <v>1</v>
      </c>
      <c r="H945" s="8">
        <f>H944*0.1</f>
        <v>0.315</v>
      </c>
      <c r="I945" s="109">
        <f>IFERROR(VLOOKUP(C945,Resources!B:G,6,FALSE)," ")</f>
        <v>24</v>
      </c>
      <c r="J945" s="109">
        <f t="shared" ref="J945:J949" si="1397">(H945/(G945/F945))*I945</f>
        <v>7.5600000000000005</v>
      </c>
      <c r="K945" s="8"/>
      <c r="L945" s="8" t="str">
        <f t="shared" ref="L945:L949" si="1398">IF(E945="M"," ",H945/G945)</f>
        <v xml:space="preserve"> </v>
      </c>
      <c r="M945" s="109">
        <f t="shared" ref="M945:M949" si="1399">IF($E945="L",$J945,0)</f>
        <v>0</v>
      </c>
      <c r="N945" s="109">
        <f t="shared" ref="N945:N949" si="1400">IF($E945="M",$J945,0)</f>
        <v>7.5600000000000005</v>
      </c>
      <c r="O945" s="109">
        <f t="shared" ref="O945:O949" si="1401">IF($E945="P",$J945,0)</f>
        <v>0</v>
      </c>
      <c r="P945" s="109">
        <f t="shared" ref="P945:P949" si="1402">IF($E945="S",$J945,0)</f>
        <v>0</v>
      </c>
      <c r="Q945" s="109">
        <f t="shared" ref="Q945:Q949" si="1403">SUM(M945:P945)</f>
        <v>7.5600000000000005</v>
      </c>
      <c r="R945" s="121" t="s">
        <v>2341</v>
      </c>
      <c r="T945" s="188"/>
    </row>
    <row r="946" spans="1:20" x14ac:dyDescent="0.25">
      <c r="A946" s="100"/>
      <c r="B946" s="3">
        <v>4</v>
      </c>
      <c r="C946" s="5" t="s">
        <v>2168</v>
      </c>
      <c r="D946" s="3" t="s">
        <v>83</v>
      </c>
      <c r="E946" s="100" t="str">
        <f>IFERROR(VLOOKUP(C946,Resources!B:D,3,FALSE)," ")</f>
        <v>M</v>
      </c>
      <c r="F946" s="8">
        <v>1</v>
      </c>
      <c r="G946" s="8">
        <v>1</v>
      </c>
      <c r="H946" s="8">
        <f>H944*1.2</f>
        <v>3.78</v>
      </c>
      <c r="I946" s="109">
        <f>IFERROR(VLOOKUP(C946,Resources!B:G,6,FALSE)," ")</f>
        <v>18</v>
      </c>
      <c r="J946" s="109">
        <f t="shared" si="1397"/>
        <v>68.039999999999992</v>
      </c>
      <c r="K946" s="8"/>
      <c r="L946" s="8" t="str">
        <f t="shared" si="1398"/>
        <v xml:space="preserve"> </v>
      </c>
      <c r="M946" s="109">
        <f t="shared" si="1399"/>
        <v>0</v>
      </c>
      <c r="N946" s="109">
        <f t="shared" si="1400"/>
        <v>68.039999999999992</v>
      </c>
      <c r="O946" s="109">
        <f t="shared" si="1401"/>
        <v>0</v>
      </c>
      <c r="P946" s="109">
        <f t="shared" si="1402"/>
        <v>0</v>
      </c>
      <c r="Q946" s="109">
        <f t="shared" si="1403"/>
        <v>68.039999999999992</v>
      </c>
      <c r="R946" s="121" t="s">
        <v>2343</v>
      </c>
      <c r="T946" s="188"/>
    </row>
    <row r="947" spans="1:20" x14ac:dyDescent="0.25">
      <c r="A947" s="100"/>
      <c r="B947" s="3">
        <v>5</v>
      </c>
      <c r="C947" s="5" t="s">
        <v>84</v>
      </c>
      <c r="D947" s="3" t="s">
        <v>29</v>
      </c>
      <c r="E947" s="100" t="str">
        <f>IFERROR(VLOOKUP(C947,Resources!B:D,3,FALSE)," ")</f>
        <v>M</v>
      </c>
      <c r="F947" s="8">
        <v>1</v>
      </c>
      <c r="G947" s="8">
        <v>1</v>
      </c>
      <c r="H947" s="8">
        <f>H944/0.9</f>
        <v>3.5</v>
      </c>
      <c r="I947" s="109">
        <f>IFERROR(VLOOKUP(C947,Resources!B:G,6,FALSE)," ")</f>
        <v>0.8</v>
      </c>
      <c r="J947" s="109">
        <f t="shared" si="1397"/>
        <v>2.8000000000000003</v>
      </c>
      <c r="K947" s="8"/>
      <c r="L947" s="8" t="str">
        <f t="shared" si="1398"/>
        <v xml:space="preserve"> </v>
      </c>
      <c r="M947" s="109">
        <f t="shared" si="1399"/>
        <v>0</v>
      </c>
      <c r="N947" s="109">
        <f t="shared" si="1400"/>
        <v>2.8000000000000003</v>
      </c>
      <c r="O947" s="109">
        <f t="shared" si="1401"/>
        <v>0</v>
      </c>
      <c r="P947" s="109">
        <f t="shared" si="1402"/>
        <v>0</v>
      </c>
      <c r="Q947" s="109">
        <f t="shared" si="1403"/>
        <v>2.8000000000000003</v>
      </c>
      <c r="R947" s="121" t="s">
        <v>2343</v>
      </c>
      <c r="T947" s="188"/>
    </row>
    <row r="948" spans="1:20" x14ac:dyDescent="0.25">
      <c r="A948" s="100"/>
      <c r="B948" s="3">
        <v>6</v>
      </c>
      <c r="C948" s="5" t="s">
        <v>85</v>
      </c>
      <c r="D948" s="3" t="s">
        <v>86</v>
      </c>
      <c r="E948" s="100" t="str">
        <f>IFERROR(VLOOKUP(C948,Resources!B:D,3,FALSE)," ")</f>
        <v>M</v>
      </c>
      <c r="F948" s="8">
        <v>1</v>
      </c>
      <c r="G948" s="8">
        <v>1</v>
      </c>
      <c r="H948" s="8">
        <f>H942*1.05</f>
        <v>0.66150000000000009</v>
      </c>
      <c r="I948" s="109">
        <f>IFERROR(VLOOKUP(C948,Resources!B:G,6,FALSE)," ")</f>
        <v>192</v>
      </c>
      <c r="J948" s="109">
        <f t="shared" si="1397"/>
        <v>127.00800000000001</v>
      </c>
      <c r="K948" s="8"/>
      <c r="L948" s="8" t="str">
        <f t="shared" si="1398"/>
        <v xml:space="preserve"> </v>
      </c>
      <c r="M948" s="109">
        <f t="shared" si="1399"/>
        <v>0</v>
      </c>
      <c r="N948" s="109">
        <f t="shared" si="1400"/>
        <v>127.00800000000001</v>
      </c>
      <c r="O948" s="109">
        <f t="shared" si="1401"/>
        <v>0</v>
      </c>
      <c r="P948" s="109">
        <f t="shared" si="1402"/>
        <v>0</v>
      </c>
      <c r="Q948" s="109">
        <f t="shared" si="1403"/>
        <v>127.00800000000001</v>
      </c>
      <c r="R948" s="121" t="s">
        <v>2335</v>
      </c>
      <c r="T948" s="188"/>
    </row>
    <row r="949" spans="1:20" x14ac:dyDescent="0.25">
      <c r="A949" s="100"/>
      <c r="B949" s="3">
        <v>7</v>
      </c>
      <c r="C949" s="5" t="s">
        <v>2259</v>
      </c>
      <c r="D949" s="3" t="s">
        <v>83</v>
      </c>
      <c r="E949" s="100" t="str">
        <f>IFERROR(VLOOKUP(C949,Resources!B:D,3,FALSE)," ")</f>
        <v>S</v>
      </c>
      <c r="F949" s="8">
        <v>1</v>
      </c>
      <c r="G949" s="8">
        <v>1</v>
      </c>
      <c r="H949" s="8">
        <f>H944</f>
        <v>3.15</v>
      </c>
      <c r="I949" s="109">
        <f>IFERROR(VLOOKUP(C949,Resources!B:G,6,FALSE)," ")</f>
        <v>65</v>
      </c>
      <c r="J949" s="109">
        <f t="shared" si="1397"/>
        <v>204.75</v>
      </c>
      <c r="K949" s="8">
        <f t="shared" ref="K949" si="1404">L949*F949</f>
        <v>3.15</v>
      </c>
      <c r="L949" s="8">
        <f t="shared" si="1398"/>
        <v>3.15</v>
      </c>
      <c r="M949" s="109">
        <f t="shared" si="1399"/>
        <v>0</v>
      </c>
      <c r="N949" s="109">
        <f t="shared" si="1400"/>
        <v>0</v>
      </c>
      <c r="O949" s="109">
        <f t="shared" si="1401"/>
        <v>0</v>
      </c>
      <c r="P949" s="109">
        <f t="shared" si="1402"/>
        <v>204.75</v>
      </c>
      <c r="Q949" s="109">
        <f t="shared" si="1403"/>
        <v>204.75</v>
      </c>
      <c r="R949" s="121">
        <v>72</v>
      </c>
      <c r="T949" s="188"/>
    </row>
    <row r="950" spans="1:20" x14ac:dyDescent="0.25">
      <c r="A950" s="101"/>
      <c r="B950" s="4"/>
      <c r="C950" s="6"/>
      <c r="D950" s="4"/>
      <c r="E950" s="101" t="str">
        <f>IFERROR(VLOOKUP(C950,Resources!B:D,3,FALSE)," ")</f>
        <v xml:space="preserve"> </v>
      </c>
      <c r="F950" s="9"/>
      <c r="G950" s="9"/>
      <c r="H950" s="9"/>
      <c r="I950" s="38" t="str">
        <f>IFERROR(VLOOKUP(C950,Resources!B:G,6,FALSE)," ")</f>
        <v xml:space="preserve"> </v>
      </c>
      <c r="J950" s="38"/>
      <c r="K950" s="9"/>
      <c r="L950" s="9"/>
      <c r="M950" s="38"/>
      <c r="N950" s="38"/>
      <c r="O950" s="38"/>
      <c r="P950" s="38"/>
      <c r="Q950" s="38"/>
      <c r="R950" s="122"/>
      <c r="T950" s="188"/>
    </row>
    <row r="951" spans="1:20" ht="30" x14ac:dyDescent="0.25">
      <c r="A951" s="114"/>
      <c r="B951" s="1" t="s">
        <v>466</v>
      </c>
      <c r="C951" s="1" t="s">
        <v>467</v>
      </c>
      <c r="D951" s="2"/>
      <c r="E951" s="99" t="str">
        <f>IFERROR(VLOOKUP(C951,Resources!B:D,3,FALSE)," ")</f>
        <v xml:space="preserve"> </v>
      </c>
      <c r="F951" s="7"/>
      <c r="G951" s="7"/>
      <c r="H951" s="7"/>
      <c r="I951" s="108" t="str">
        <f>IFERROR(VLOOKUP(C951,Resources!B:G,6,FALSE)," ")</f>
        <v xml:space="preserve"> </v>
      </c>
      <c r="J951" s="108"/>
      <c r="K951" s="7"/>
      <c r="L951" s="7"/>
      <c r="M951" s="108"/>
      <c r="N951" s="108"/>
      <c r="O951" s="108"/>
      <c r="P951" s="108"/>
      <c r="Q951" s="108"/>
      <c r="R951" s="120"/>
      <c r="T951" s="188"/>
    </row>
    <row r="952" spans="1:20" ht="30" x14ac:dyDescent="0.25">
      <c r="A952" s="114">
        <v>129</v>
      </c>
      <c r="B952" s="1" t="s">
        <v>468</v>
      </c>
      <c r="C952" s="1" t="s">
        <v>469</v>
      </c>
      <c r="D952" s="2" t="s">
        <v>29</v>
      </c>
      <c r="E952" s="99" t="str">
        <f>IFERROR(VLOOKUP(C952,Resources!B:D,3,FALSE)," ")</f>
        <v xml:space="preserve"> </v>
      </c>
      <c r="F952" s="7"/>
      <c r="G952" s="7"/>
      <c r="H952" s="103">
        <f>VLOOKUP($A952,'Model Inputs'!$A:$D,4,FALSE)</f>
        <v>5</v>
      </c>
      <c r="I952" s="108" t="str">
        <f>IFERROR(VLOOKUP(C952,Resources!B:G,6,FALSE)," ")</f>
        <v xml:space="preserve"> </v>
      </c>
      <c r="J952" s="108">
        <f>SUBTOTAL(9,J953:J955)</f>
        <v>27181.3</v>
      </c>
      <c r="K952" s="7"/>
      <c r="L952" s="7">
        <f>ROUNDUP(L953*2,0)</f>
        <v>10</v>
      </c>
      <c r="M952" s="108">
        <f t="shared" ref="M952:Q952" si="1405">SUBTOTAL(9,M953:M955)</f>
        <v>1700</v>
      </c>
      <c r="N952" s="108">
        <f t="shared" si="1405"/>
        <v>6731.3</v>
      </c>
      <c r="O952" s="108">
        <f t="shared" si="1405"/>
        <v>0</v>
      </c>
      <c r="P952" s="108">
        <f t="shared" si="1405"/>
        <v>18750</v>
      </c>
      <c r="Q952" s="108">
        <f t="shared" si="1405"/>
        <v>27181.3</v>
      </c>
      <c r="R952" s="120"/>
      <c r="T952" s="188"/>
    </row>
    <row r="953" spans="1:20" x14ac:dyDescent="0.25">
      <c r="A953" s="100"/>
      <c r="B953" s="3">
        <v>1</v>
      </c>
      <c r="C953" s="5" t="s">
        <v>183</v>
      </c>
      <c r="D953" s="3" t="s">
        <v>29</v>
      </c>
      <c r="E953" s="100" t="str">
        <f>IFERROR(VLOOKUP(C953,Resources!B:D,3,FALSE)," ")</f>
        <v>S</v>
      </c>
      <c r="F953" s="8">
        <v>1</v>
      </c>
      <c r="G953" s="8">
        <v>1</v>
      </c>
      <c r="H953" s="8">
        <f>H952</f>
        <v>5</v>
      </c>
      <c r="I953" s="109">
        <f>IFERROR(VLOOKUP(C953,Resources!B:G,6,FALSE)," ")</f>
        <v>3750</v>
      </c>
      <c r="J953" s="109">
        <f t="shared" ref="J953:J955" si="1406">(H953/(G953/F953))*I953</f>
        <v>18750</v>
      </c>
      <c r="K953" s="8">
        <f t="shared" ref="K953:K955" si="1407">L953*F953</f>
        <v>5</v>
      </c>
      <c r="L953" s="8">
        <f t="shared" ref="L953:L955" si="1408">IF(E953="M"," ",H953/G953)</f>
        <v>5</v>
      </c>
      <c r="M953" s="109">
        <f t="shared" ref="M953:M955" si="1409">IF($E953="L",$J953,0)</f>
        <v>0</v>
      </c>
      <c r="N953" s="109">
        <f t="shared" ref="N953:N955" si="1410">IF($E953="M",$J953,0)</f>
        <v>0</v>
      </c>
      <c r="O953" s="109">
        <f t="shared" ref="O953:O955" si="1411">IF($E953="P",$J953,0)</f>
        <v>0</v>
      </c>
      <c r="P953" s="109">
        <f t="shared" ref="P953:P955" si="1412">IF($E953="S",$J953,0)</f>
        <v>18750</v>
      </c>
      <c r="Q953" s="109">
        <f t="shared" ref="Q953:Q955" si="1413">SUM(M953:P953)</f>
        <v>18750</v>
      </c>
      <c r="R953" s="121">
        <v>85</v>
      </c>
      <c r="T953" s="188"/>
    </row>
    <row r="954" spans="1:20" x14ac:dyDescent="0.25">
      <c r="A954" s="100"/>
      <c r="B954" s="3">
        <v>2</v>
      </c>
      <c r="C954" s="5" t="s">
        <v>2093</v>
      </c>
      <c r="D954" s="3" t="s">
        <v>29</v>
      </c>
      <c r="E954" s="100" t="str">
        <f>IFERROR(VLOOKUP(C954,Resources!B:D,3,FALSE)," ")</f>
        <v>M</v>
      </c>
      <c r="F954" s="8">
        <v>1</v>
      </c>
      <c r="G954" s="8">
        <v>1</v>
      </c>
      <c r="H954" s="8">
        <f>H952</f>
        <v>5</v>
      </c>
      <c r="I954" s="109">
        <f>IFERROR(VLOOKUP(C954,Resources!B:G,6,FALSE)," ")</f>
        <v>1346.26</v>
      </c>
      <c r="J954" s="109">
        <f t="shared" si="1406"/>
        <v>6731.3</v>
      </c>
      <c r="K954" s="8"/>
      <c r="L954" s="8" t="str">
        <f t="shared" si="1408"/>
        <v xml:space="preserve"> </v>
      </c>
      <c r="M954" s="109">
        <f t="shared" si="1409"/>
        <v>0</v>
      </c>
      <c r="N954" s="109">
        <f t="shared" si="1410"/>
        <v>6731.3</v>
      </c>
      <c r="O954" s="109">
        <f t="shared" si="1411"/>
        <v>0</v>
      </c>
      <c r="P954" s="109">
        <f t="shared" si="1412"/>
        <v>0</v>
      </c>
      <c r="Q954" s="109">
        <f t="shared" si="1413"/>
        <v>6731.3</v>
      </c>
      <c r="R954" s="121" t="s">
        <v>2347</v>
      </c>
      <c r="T954" s="188"/>
    </row>
    <row r="955" spans="1:20" x14ac:dyDescent="0.25">
      <c r="A955" s="100"/>
      <c r="B955" s="3">
        <v>3</v>
      </c>
      <c r="C955" s="5" t="s">
        <v>384</v>
      </c>
      <c r="D955" s="3" t="s">
        <v>48</v>
      </c>
      <c r="E955" s="100" t="str">
        <f>IFERROR(VLOOKUP(C955,Resources!B:D,3,FALSE)," ")</f>
        <v>L</v>
      </c>
      <c r="F955" s="8">
        <v>1</v>
      </c>
      <c r="G955" s="8">
        <v>1</v>
      </c>
      <c r="H955" s="8">
        <f>H952*4</f>
        <v>20</v>
      </c>
      <c r="I955" s="109">
        <f>IFERROR(VLOOKUP(C955,Resources!B:G,6,FALSE)," ")</f>
        <v>85</v>
      </c>
      <c r="J955" s="109">
        <f t="shared" si="1406"/>
        <v>1700</v>
      </c>
      <c r="K955" s="8">
        <f t="shared" si="1407"/>
        <v>20</v>
      </c>
      <c r="L955" s="8">
        <f t="shared" si="1408"/>
        <v>20</v>
      </c>
      <c r="M955" s="109">
        <f t="shared" si="1409"/>
        <v>1700</v>
      </c>
      <c r="N955" s="109">
        <f t="shared" si="1410"/>
        <v>0</v>
      </c>
      <c r="O955" s="109">
        <f t="shared" si="1411"/>
        <v>0</v>
      </c>
      <c r="P955" s="109">
        <f t="shared" si="1412"/>
        <v>0</v>
      </c>
      <c r="Q955" s="109">
        <f t="shared" si="1413"/>
        <v>1700</v>
      </c>
      <c r="R955" s="121">
        <v>85</v>
      </c>
      <c r="T955" s="188"/>
    </row>
    <row r="956" spans="1:20" x14ac:dyDescent="0.25">
      <c r="A956" s="101"/>
      <c r="B956" s="4"/>
      <c r="C956" s="6"/>
      <c r="D956" s="4"/>
      <c r="E956" s="101" t="str">
        <f>IFERROR(VLOOKUP(C956,Resources!B:D,3,FALSE)," ")</f>
        <v xml:space="preserve"> </v>
      </c>
      <c r="F956" s="9"/>
      <c r="G956" s="9"/>
      <c r="H956" s="9"/>
      <c r="I956" s="38" t="str">
        <f>IFERROR(VLOOKUP(C956,Resources!B:G,6,FALSE)," ")</f>
        <v xml:space="preserve"> </v>
      </c>
      <c r="J956" s="38"/>
      <c r="K956" s="9"/>
      <c r="L956" s="9"/>
      <c r="M956" s="38"/>
      <c r="N956" s="38"/>
      <c r="O956" s="38"/>
      <c r="P956" s="38"/>
      <c r="Q956" s="38"/>
      <c r="R956" s="122"/>
      <c r="T956" s="188"/>
    </row>
    <row r="957" spans="1:20" ht="30" x14ac:dyDescent="0.25">
      <c r="A957" s="114">
        <v>130</v>
      </c>
      <c r="B957" s="1" t="s">
        <v>470</v>
      </c>
      <c r="C957" s="1" t="s">
        <v>471</v>
      </c>
      <c r="D957" s="2" t="s">
        <v>29</v>
      </c>
      <c r="E957" s="99" t="str">
        <f>IFERROR(VLOOKUP(C957,Resources!B:D,3,FALSE)," ")</f>
        <v xml:space="preserve"> </v>
      </c>
      <c r="F957" s="7"/>
      <c r="G957" s="7"/>
      <c r="H957" s="103">
        <f>VLOOKUP($A957,'Model Inputs'!$A:$D,4,FALSE)</f>
        <v>2</v>
      </c>
      <c r="I957" s="108" t="str">
        <f>IFERROR(VLOOKUP(C957,Resources!B:G,6,FALSE)," ")</f>
        <v xml:space="preserve"> </v>
      </c>
      <c r="J957" s="108">
        <f>SUBTOTAL(9,J958)</f>
        <v>7500</v>
      </c>
      <c r="K957" s="7"/>
      <c r="L957" s="7">
        <f>ROUNDUP(L958*2,0)</f>
        <v>4</v>
      </c>
      <c r="M957" s="108">
        <f t="shared" ref="M957:Q957" si="1414">SUBTOTAL(9,M958)</f>
        <v>0</v>
      </c>
      <c r="N957" s="108">
        <f t="shared" si="1414"/>
        <v>0</v>
      </c>
      <c r="O957" s="108">
        <f t="shared" si="1414"/>
        <v>0</v>
      </c>
      <c r="P957" s="108">
        <f t="shared" si="1414"/>
        <v>7500</v>
      </c>
      <c r="Q957" s="108">
        <f t="shared" si="1414"/>
        <v>7500</v>
      </c>
      <c r="R957" s="120"/>
      <c r="T957" s="188"/>
    </row>
    <row r="958" spans="1:20" x14ac:dyDescent="0.25">
      <c r="A958" s="100"/>
      <c r="B958" s="3">
        <v>1</v>
      </c>
      <c r="C958" s="5" t="s">
        <v>183</v>
      </c>
      <c r="D958" s="3" t="s">
        <v>29</v>
      </c>
      <c r="E958" s="100" t="str">
        <f>IFERROR(VLOOKUP(C958,Resources!B:D,3,FALSE)," ")</f>
        <v>S</v>
      </c>
      <c r="F958" s="8">
        <v>1</v>
      </c>
      <c r="G958" s="8">
        <v>1</v>
      </c>
      <c r="H958" s="8">
        <f>H957</f>
        <v>2</v>
      </c>
      <c r="I958" s="109">
        <f>IFERROR(VLOOKUP(C958,Resources!B:G,6,FALSE)," ")</f>
        <v>3750</v>
      </c>
      <c r="J958" s="109">
        <f t="shared" ref="J958" si="1415">(H958/(G958/F958))*I958</f>
        <v>7500</v>
      </c>
      <c r="K958" s="8">
        <f t="shared" ref="K958" si="1416">L958*F958</f>
        <v>2</v>
      </c>
      <c r="L958" s="8">
        <f t="shared" ref="L958" si="1417">IF(E958="M"," ",H958/G958)</f>
        <v>2</v>
      </c>
      <c r="M958" s="109">
        <f t="shared" ref="M958" si="1418">IF($E958="L",$J958,0)</f>
        <v>0</v>
      </c>
      <c r="N958" s="109">
        <f t="shared" ref="N958" si="1419">IF($E958="M",$J958,0)</f>
        <v>0</v>
      </c>
      <c r="O958" s="109">
        <f t="shared" ref="O958" si="1420">IF($E958="P",$J958,0)</f>
        <v>0</v>
      </c>
      <c r="P958" s="109">
        <f t="shared" ref="P958" si="1421">IF($E958="S",$J958,0)</f>
        <v>7500</v>
      </c>
      <c r="Q958" s="109">
        <f t="shared" ref="Q958" si="1422">SUM(M958:P958)</f>
        <v>7500</v>
      </c>
      <c r="R958" s="121">
        <v>85</v>
      </c>
      <c r="T958" s="188"/>
    </row>
    <row r="959" spans="1:20" x14ac:dyDescent="0.25">
      <c r="A959" s="101"/>
      <c r="B959" s="4"/>
      <c r="C959" s="6"/>
      <c r="D959" s="4"/>
      <c r="E959" s="101" t="str">
        <f>IFERROR(VLOOKUP(C959,Resources!B:D,3,FALSE)," ")</f>
        <v xml:space="preserve"> </v>
      </c>
      <c r="F959" s="9"/>
      <c r="G959" s="9"/>
      <c r="H959" s="9"/>
      <c r="I959" s="38" t="str">
        <f>IFERROR(VLOOKUP(C959,Resources!B:G,6,FALSE)," ")</f>
        <v xml:space="preserve"> </v>
      </c>
      <c r="J959" s="38"/>
      <c r="K959" s="9"/>
      <c r="L959" s="9"/>
      <c r="M959" s="38"/>
      <c r="N959" s="38"/>
      <c r="O959" s="38"/>
      <c r="P959" s="38"/>
      <c r="Q959" s="38"/>
      <c r="R959" s="122"/>
      <c r="T959" s="188"/>
    </row>
    <row r="960" spans="1:20" ht="30" x14ac:dyDescent="0.25">
      <c r="A960" s="114"/>
      <c r="B960" s="1" t="s">
        <v>472</v>
      </c>
      <c r="C960" s="1" t="s">
        <v>98</v>
      </c>
      <c r="D960" s="2"/>
      <c r="E960" s="99" t="str">
        <f>IFERROR(VLOOKUP(C960,Resources!B:D,3,FALSE)," ")</f>
        <v xml:space="preserve"> </v>
      </c>
      <c r="F960" s="7"/>
      <c r="G960" s="7"/>
      <c r="H960" s="7"/>
      <c r="I960" s="108" t="str">
        <f>IFERROR(VLOOKUP(C960,Resources!B:G,6,FALSE)," ")</f>
        <v xml:space="preserve"> </v>
      </c>
      <c r="J960" s="108"/>
      <c r="K960" s="7"/>
      <c r="L960" s="7"/>
      <c r="M960" s="108"/>
      <c r="N960" s="108"/>
      <c r="O960" s="108"/>
      <c r="P960" s="108"/>
      <c r="Q960" s="108"/>
      <c r="R960" s="120"/>
      <c r="T960" s="188"/>
    </row>
    <row r="961" spans="1:20" ht="30" x14ac:dyDescent="0.25">
      <c r="A961" s="114"/>
      <c r="B961" s="1" t="s">
        <v>473</v>
      </c>
      <c r="C961" s="1" t="s">
        <v>474</v>
      </c>
      <c r="D961" s="2"/>
      <c r="E961" s="99" t="str">
        <f>IFERROR(VLOOKUP(C961,Resources!B:D,3,FALSE)," ")</f>
        <v xml:space="preserve"> </v>
      </c>
      <c r="F961" s="7"/>
      <c r="G961" s="7"/>
      <c r="H961" s="7"/>
      <c r="I961" s="108" t="str">
        <f>IFERROR(VLOOKUP(C961,Resources!B:G,6,FALSE)," ")</f>
        <v xml:space="preserve"> </v>
      </c>
      <c r="J961" s="108"/>
      <c r="K961" s="7"/>
      <c r="L961" s="7"/>
      <c r="M961" s="108"/>
      <c r="N961" s="108"/>
      <c r="O961" s="108"/>
      <c r="P961" s="108"/>
      <c r="Q961" s="108"/>
      <c r="R961" s="120"/>
      <c r="T961" s="188"/>
    </row>
    <row r="962" spans="1:20" ht="30" x14ac:dyDescent="0.25">
      <c r="A962" s="114">
        <v>131</v>
      </c>
      <c r="B962" s="1" t="s">
        <v>475</v>
      </c>
      <c r="C962" s="1" t="s">
        <v>195</v>
      </c>
      <c r="D962" s="2" t="s">
        <v>89</v>
      </c>
      <c r="E962" s="99" t="str">
        <f>IFERROR(VLOOKUP(C962,Resources!B:D,3,FALSE)," ")</f>
        <v xml:space="preserve"> </v>
      </c>
      <c r="F962" s="7"/>
      <c r="G962" s="7"/>
      <c r="H962" s="103">
        <f>VLOOKUP($A962,'Model Inputs'!$A:$D,4,FALSE)</f>
        <v>32</v>
      </c>
      <c r="I962" s="108" t="str">
        <f>IFERROR(VLOOKUP(C962,Resources!B:G,6,FALSE)," ")</f>
        <v xml:space="preserve"> </v>
      </c>
      <c r="J962" s="108">
        <f>SUBTOTAL(9,J964:J967)</f>
        <v>1701.2167441860465</v>
      </c>
      <c r="K962" s="7"/>
      <c r="L962" s="7">
        <f>ROUNDUP(L967/200,0)</f>
        <v>1</v>
      </c>
      <c r="M962" s="108">
        <f t="shared" ref="M962:Q962" si="1423">SUBTOTAL(9,M964:M967)</f>
        <v>0</v>
      </c>
      <c r="N962" s="108">
        <f t="shared" si="1423"/>
        <v>741.21674418604653</v>
      </c>
      <c r="O962" s="108">
        <f t="shared" si="1423"/>
        <v>0</v>
      </c>
      <c r="P962" s="108">
        <f t="shared" si="1423"/>
        <v>960</v>
      </c>
      <c r="Q962" s="108">
        <f t="shared" si="1423"/>
        <v>1701.2167441860465</v>
      </c>
      <c r="R962" s="120"/>
      <c r="T962" s="188"/>
    </row>
    <row r="963" spans="1:20" ht="30" x14ac:dyDescent="0.25">
      <c r="A963" s="101"/>
      <c r="B963" s="4">
        <v>1</v>
      </c>
      <c r="C963" s="6" t="s">
        <v>196</v>
      </c>
      <c r="D963" s="4"/>
      <c r="E963" s="101" t="str">
        <f>IFERROR(VLOOKUP(C963,Resources!B:D,3,FALSE)," ")</f>
        <v xml:space="preserve"> </v>
      </c>
      <c r="F963" s="9"/>
      <c r="G963" s="9"/>
      <c r="H963" s="9"/>
      <c r="I963" s="38" t="str">
        <f>IFERROR(VLOOKUP(C963,Resources!B:G,6,FALSE)," ")</f>
        <v xml:space="preserve"> </v>
      </c>
      <c r="J963" s="38"/>
      <c r="K963" s="9"/>
      <c r="L963" s="9"/>
      <c r="M963" s="38"/>
      <c r="N963" s="38"/>
      <c r="O963" s="38"/>
      <c r="P963" s="38"/>
      <c r="Q963" s="38"/>
      <c r="R963" s="122"/>
      <c r="T963" s="188"/>
    </row>
    <row r="964" spans="1:20" x14ac:dyDescent="0.25">
      <c r="A964" s="100"/>
      <c r="B964" s="3">
        <v>2</v>
      </c>
      <c r="C964" s="5" t="s">
        <v>197</v>
      </c>
      <c r="D964" s="3" t="s">
        <v>86</v>
      </c>
      <c r="E964" s="100" t="str">
        <f>IFERROR(VLOOKUP(C964,Resources!B:D,3,FALSE)," ")</f>
        <v>M</v>
      </c>
      <c r="F964" s="8">
        <v>1</v>
      </c>
      <c r="G964" s="8">
        <v>1</v>
      </c>
      <c r="H964" s="8">
        <f>H962/8.6</f>
        <v>3.7209302325581395</v>
      </c>
      <c r="I964" s="109">
        <f>IFERROR(VLOOKUP(C964,Resources!B:G,6,FALSE)," ")</f>
        <v>190</v>
      </c>
      <c r="J964" s="109">
        <f t="shared" ref="J964:J967" si="1424">(H964/(G964/F964))*I964</f>
        <v>706.97674418604652</v>
      </c>
      <c r="K964" s="8"/>
      <c r="L964" s="8" t="str">
        <f t="shared" ref="L964:L967" si="1425">IF(E964="M"," ",H964/G964)</f>
        <v xml:space="preserve"> </v>
      </c>
      <c r="M964" s="109">
        <f t="shared" ref="M964:M967" si="1426">IF($E964="L",$J964,0)</f>
        <v>0</v>
      </c>
      <c r="N964" s="109">
        <f t="shared" ref="N964:N967" si="1427">IF($E964="M",$J964,0)</f>
        <v>706.97674418604652</v>
      </c>
      <c r="O964" s="109">
        <f t="shared" ref="O964:O967" si="1428">IF($E964="P",$J964,0)</f>
        <v>0</v>
      </c>
      <c r="P964" s="109">
        <f t="shared" ref="P964:P967" si="1429">IF($E964="S",$J964,0)</f>
        <v>0</v>
      </c>
      <c r="Q964" s="109">
        <f t="shared" ref="Q964:Q967" si="1430">SUM(M964:P964)</f>
        <v>706.97674418604652</v>
      </c>
      <c r="R964" s="121" t="s">
        <v>2337</v>
      </c>
      <c r="T964" s="188"/>
    </row>
    <row r="965" spans="1:20" x14ac:dyDescent="0.25">
      <c r="A965" s="100"/>
      <c r="B965" s="3">
        <v>3</v>
      </c>
      <c r="C965" s="5" t="s">
        <v>81</v>
      </c>
      <c r="D965" s="3" t="s">
        <v>82</v>
      </c>
      <c r="E965" s="100" t="str">
        <f>IFERROR(VLOOKUP(C965,Resources!B:D,3,FALSE)," ")</f>
        <v>M</v>
      </c>
      <c r="F965" s="8">
        <v>1</v>
      </c>
      <c r="G965" s="8">
        <v>1</v>
      </c>
      <c r="H965" s="8">
        <f>H962/75</f>
        <v>0.42666666666666669</v>
      </c>
      <c r="I965" s="109">
        <f>IFERROR(VLOOKUP(C965,Resources!B:G,6,FALSE)," ")</f>
        <v>24</v>
      </c>
      <c r="J965" s="109">
        <f t="shared" si="1424"/>
        <v>10.24</v>
      </c>
      <c r="K965" s="8"/>
      <c r="L965" s="8" t="str">
        <f t="shared" si="1425"/>
        <v xml:space="preserve"> </v>
      </c>
      <c r="M965" s="109">
        <f t="shared" si="1426"/>
        <v>0</v>
      </c>
      <c r="N965" s="109">
        <f t="shared" si="1427"/>
        <v>10.24</v>
      </c>
      <c r="O965" s="109">
        <f t="shared" si="1428"/>
        <v>0</v>
      </c>
      <c r="P965" s="109">
        <f t="shared" si="1429"/>
        <v>0</v>
      </c>
      <c r="Q965" s="109">
        <f t="shared" si="1430"/>
        <v>10.24</v>
      </c>
      <c r="R965" s="121" t="s">
        <v>2341</v>
      </c>
      <c r="T965" s="188"/>
    </row>
    <row r="966" spans="1:20" x14ac:dyDescent="0.25">
      <c r="A966" s="100"/>
      <c r="B966" s="3">
        <v>4</v>
      </c>
      <c r="C966" s="5" t="s">
        <v>109</v>
      </c>
      <c r="D966" s="3" t="s">
        <v>82</v>
      </c>
      <c r="E966" s="100" t="str">
        <f>IFERROR(VLOOKUP(C966,Resources!B:D,3,FALSE)," ")</f>
        <v>M</v>
      </c>
      <c r="F966" s="8">
        <v>1</v>
      </c>
      <c r="G966" s="8">
        <v>1</v>
      </c>
      <c r="H966" s="8">
        <f>H965/8</f>
        <v>5.3333333333333337E-2</v>
      </c>
      <c r="I966" s="109">
        <f>IFERROR(VLOOKUP(C966,Resources!B:G,6,FALSE)," ")</f>
        <v>450</v>
      </c>
      <c r="J966" s="109">
        <f t="shared" si="1424"/>
        <v>24</v>
      </c>
      <c r="K966" s="8"/>
      <c r="L966" s="8" t="str">
        <f t="shared" si="1425"/>
        <v xml:space="preserve"> </v>
      </c>
      <c r="M966" s="109">
        <f t="shared" si="1426"/>
        <v>0</v>
      </c>
      <c r="N966" s="109">
        <f t="shared" si="1427"/>
        <v>24</v>
      </c>
      <c r="O966" s="109">
        <f t="shared" si="1428"/>
        <v>0</v>
      </c>
      <c r="P966" s="109">
        <f t="shared" si="1429"/>
        <v>0</v>
      </c>
      <c r="Q966" s="109">
        <f t="shared" si="1430"/>
        <v>24</v>
      </c>
      <c r="R966" s="121" t="s">
        <v>2338</v>
      </c>
      <c r="T966" s="188"/>
    </row>
    <row r="967" spans="1:20" x14ac:dyDescent="0.25">
      <c r="A967" s="100"/>
      <c r="B967" s="3">
        <v>5</v>
      </c>
      <c r="C967" s="5" t="s">
        <v>198</v>
      </c>
      <c r="D967" s="3" t="s">
        <v>89</v>
      </c>
      <c r="E967" s="100" t="str">
        <f>IFERROR(VLOOKUP(C967,Resources!B:D,3,FALSE)," ")</f>
        <v>S</v>
      </c>
      <c r="F967" s="8">
        <v>1</v>
      </c>
      <c r="G967" s="8">
        <v>1</v>
      </c>
      <c r="H967" s="8">
        <f>H962</f>
        <v>32</v>
      </c>
      <c r="I967" s="109">
        <f>IFERROR(VLOOKUP(C967,Resources!B:G,6,FALSE)," ")</f>
        <v>30</v>
      </c>
      <c r="J967" s="109">
        <f t="shared" si="1424"/>
        <v>960</v>
      </c>
      <c r="K967" s="8">
        <f t="shared" ref="K967" si="1431">L967*F967</f>
        <v>32</v>
      </c>
      <c r="L967" s="8">
        <f t="shared" si="1425"/>
        <v>32</v>
      </c>
      <c r="M967" s="109">
        <f t="shared" si="1426"/>
        <v>0</v>
      </c>
      <c r="N967" s="109">
        <f t="shared" si="1427"/>
        <v>0</v>
      </c>
      <c r="O967" s="109">
        <f t="shared" si="1428"/>
        <v>0</v>
      </c>
      <c r="P967" s="109">
        <f t="shared" si="1429"/>
        <v>960</v>
      </c>
      <c r="Q967" s="109">
        <f t="shared" si="1430"/>
        <v>960</v>
      </c>
      <c r="R967" s="121">
        <v>71</v>
      </c>
      <c r="T967" s="188"/>
    </row>
    <row r="968" spans="1:20" x14ac:dyDescent="0.25">
      <c r="A968" s="101"/>
      <c r="B968" s="4"/>
      <c r="C968" s="6"/>
      <c r="D968" s="4"/>
      <c r="E968" s="101" t="str">
        <f>IFERROR(VLOOKUP(C968,Resources!B:D,3,FALSE)," ")</f>
        <v xml:space="preserve"> </v>
      </c>
      <c r="F968" s="9"/>
      <c r="G968" s="9"/>
      <c r="H968" s="9"/>
      <c r="I968" s="38" t="str">
        <f>IFERROR(VLOOKUP(C968,Resources!B:G,6,FALSE)," ")</f>
        <v xml:space="preserve"> </v>
      </c>
      <c r="J968" s="38"/>
      <c r="K968" s="9"/>
      <c r="L968" s="9"/>
      <c r="M968" s="38"/>
      <c r="N968" s="38"/>
      <c r="O968" s="38"/>
      <c r="P968" s="38"/>
      <c r="Q968" s="38"/>
      <c r="R968" s="122"/>
      <c r="T968" s="188"/>
    </row>
    <row r="969" spans="1:20" ht="30" x14ac:dyDescent="0.25">
      <c r="A969" s="114">
        <v>132</v>
      </c>
      <c r="B969" s="1" t="s">
        <v>476</v>
      </c>
      <c r="C969" s="1" t="s">
        <v>388</v>
      </c>
      <c r="D969" s="2" t="s">
        <v>89</v>
      </c>
      <c r="E969" s="99" t="str">
        <f>IFERROR(VLOOKUP(C969,Resources!B:D,3,FALSE)," ")</f>
        <v xml:space="preserve"> </v>
      </c>
      <c r="F969" s="7"/>
      <c r="G969" s="7"/>
      <c r="H969" s="103">
        <f>VLOOKUP($A969,'Model Inputs'!$A:$D,4,FALSE)</f>
        <v>180</v>
      </c>
      <c r="I969" s="108" t="str">
        <f>IFERROR(VLOOKUP(C969,Resources!B:G,6,FALSE)," ")</f>
        <v xml:space="preserve"> </v>
      </c>
      <c r="J969" s="108">
        <f>SUBTOTAL(9,J971:J974)</f>
        <v>10092.6</v>
      </c>
      <c r="K969" s="7"/>
      <c r="L969" s="7">
        <f>ROUNDUP(L974/200,0)</f>
        <v>1</v>
      </c>
      <c r="M969" s="108">
        <f t="shared" ref="M969:Q969" si="1432">SUBTOTAL(9,M971:M974)</f>
        <v>0</v>
      </c>
      <c r="N969" s="108">
        <f t="shared" si="1432"/>
        <v>4692.6000000000004</v>
      </c>
      <c r="O969" s="108">
        <f t="shared" si="1432"/>
        <v>0</v>
      </c>
      <c r="P969" s="108">
        <f t="shared" si="1432"/>
        <v>5400</v>
      </c>
      <c r="Q969" s="108">
        <f t="shared" si="1432"/>
        <v>10092.6</v>
      </c>
      <c r="R969" s="120"/>
      <c r="T969" s="188"/>
    </row>
    <row r="970" spans="1:20" ht="30" x14ac:dyDescent="0.25">
      <c r="A970" s="101"/>
      <c r="B970" s="4">
        <v>1</v>
      </c>
      <c r="C970" s="6" t="s">
        <v>196</v>
      </c>
      <c r="D970" s="4"/>
      <c r="E970" s="101" t="str">
        <f>IFERROR(VLOOKUP(C970,Resources!B:D,3,FALSE)," ")</f>
        <v xml:space="preserve"> </v>
      </c>
      <c r="F970" s="9"/>
      <c r="G970" s="9"/>
      <c r="H970" s="9"/>
      <c r="I970" s="38" t="str">
        <f>IFERROR(VLOOKUP(C970,Resources!B:G,6,FALSE)," ")</f>
        <v xml:space="preserve"> </v>
      </c>
      <c r="J970" s="38"/>
      <c r="K970" s="9"/>
      <c r="L970" s="9"/>
      <c r="M970" s="38"/>
      <c r="N970" s="38"/>
      <c r="O970" s="38"/>
      <c r="P970" s="38"/>
      <c r="Q970" s="38"/>
      <c r="R970" s="122"/>
      <c r="T970" s="188"/>
    </row>
    <row r="971" spans="1:20" x14ac:dyDescent="0.25">
      <c r="A971" s="100"/>
      <c r="B971" s="3">
        <v>2</v>
      </c>
      <c r="C971" s="5" t="s">
        <v>197</v>
      </c>
      <c r="D971" s="3" t="s">
        <v>86</v>
      </c>
      <c r="E971" s="100" t="str">
        <f>IFERROR(VLOOKUP(C971,Resources!B:D,3,FALSE)," ")</f>
        <v>M</v>
      </c>
      <c r="F971" s="8">
        <v>1</v>
      </c>
      <c r="G971" s="8">
        <v>1</v>
      </c>
      <c r="H971" s="8">
        <f>H969/7.6</f>
        <v>23.684210526315791</v>
      </c>
      <c r="I971" s="109">
        <f>IFERROR(VLOOKUP(C971,Resources!B:G,6,FALSE)," ")</f>
        <v>190</v>
      </c>
      <c r="J971" s="109">
        <f t="shared" ref="J971:J974" si="1433">(H971/(G971/F971))*I971</f>
        <v>4500</v>
      </c>
      <c r="K971" s="8"/>
      <c r="L971" s="8" t="str">
        <f t="shared" ref="L971:L974" si="1434">IF(E971="M"," ",H971/G971)</f>
        <v xml:space="preserve"> </v>
      </c>
      <c r="M971" s="109">
        <f t="shared" ref="M971:M974" si="1435">IF($E971="L",$J971,0)</f>
        <v>0</v>
      </c>
      <c r="N971" s="109">
        <f t="shared" ref="N971:N974" si="1436">IF($E971="M",$J971,0)</f>
        <v>4500</v>
      </c>
      <c r="O971" s="109">
        <f t="shared" ref="O971:O974" si="1437">IF($E971="P",$J971,0)</f>
        <v>0</v>
      </c>
      <c r="P971" s="109">
        <f t="shared" ref="P971:P974" si="1438">IF($E971="S",$J971,0)</f>
        <v>0</v>
      </c>
      <c r="Q971" s="109">
        <f t="shared" ref="Q971:Q974" si="1439">SUM(M971:P971)</f>
        <v>4500</v>
      </c>
      <c r="R971" s="121" t="s">
        <v>2337</v>
      </c>
      <c r="T971" s="188"/>
    </row>
    <row r="972" spans="1:20" x14ac:dyDescent="0.25">
      <c r="A972" s="100"/>
      <c r="B972" s="3">
        <v>3</v>
      </c>
      <c r="C972" s="5" t="s">
        <v>81</v>
      </c>
      <c r="D972" s="3" t="s">
        <v>82</v>
      </c>
      <c r="E972" s="100" t="str">
        <f>IFERROR(VLOOKUP(C972,Resources!B:D,3,FALSE)," ")</f>
        <v>M</v>
      </c>
      <c r="F972" s="8">
        <v>1</v>
      </c>
      <c r="G972" s="8">
        <v>1</v>
      </c>
      <c r="H972" s="8">
        <f>H969/75</f>
        <v>2.4</v>
      </c>
      <c r="I972" s="109">
        <f>IFERROR(VLOOKUP(C972,Resources!B:G,6,FALSE)," ")</f>
        <v>24</v>
      </c>
      <c r="J972" s="109">
        <f t="shared" si="1433"/>
        <v>57.599999999999994</v>
      </c>
      <c r="K972" s="8"/>
      <c r="L972" s="8" t="str">
        <f t="shared" si="1434"/>
        <v xml:space="preserve"> </v>
      </c>
      <c r="M972" s="109">
        <f t="shared" si="1435"/>
        <v>0</v>
      </c>
      <c r="N972" s="109">
        <f t="shared" si="1436"/>
        <v>57.599999999999994</v>
      </c>
      <c r="O972" s="109">
        <f t="shared" si="1437"/>
        <v>0</v>
      </c>
      <c r="P972" s="109">
        <f t="shared" si="1438"/>
        <v>0</v>
      </c>
      <c r="Q972" s="109">
        <f t="shared" si="1439"/>
        <v>57.599999999999994</v>
      </c>
      <c r="R972" s="121" t="s">
        <v>2341</v>
      </c>
      <c r="T972" s="188"/>
    </row>
    <row r="973" spans="1:20" x14ac:dyDescent="0.25">
      <c r="A973" s="100"/>
      <c r="B973" s="3">
        <v>4</v>
      </c>
      <c r="C973" s="5" t="s">
        <v>109</v>
      </c>
      <c r="D973" s="3" t="s">
        <v>82</v>
      </c>
      <c r="E973" s="100" t="str">
        <f>IFERROR(VLOOKUP(C973,Resources!B:D,3,FALSE)," ")</f>
        <v>M</v>
      </c>
      <c r="F973" s="8">
        <v>1</v>
      </c>
      <c r="G973" s="8">
        <v>1</v>
      </c>
      <c r="H973" s="8">
        <f>H972/8</f>
        <v>0.3</v>
      </c>
      <c r="I973" s="109">
        <f>IFERROR(VLOOKUP(C973,Resources!B:G,6,FALSE)," ")</f>
        <v>450</v>
      </c>
      <c r="J973" s="109">
        <f t="shared" si="1433"/>
        <v>135</v>
      </c>
      <c r="K973" s="8"/>
      <c r="L973" s="8" t="str">
        <f t="shared" si="1434"/>
        <v xml:space="preserve"> </v>
      </c>
      <c r="M973" s="109">
        <f t="shared" si="1435"/>
        <v>0</v>
      </c>
      <c r="N973" s="109">
        <f t="shared" si="1436"/>
        <v>135</v>
      </c>
      <c r="O973" s="109">
        <f t="shared" si="1437"/>
        <v>0</v>
      </c>
      <c r="P973" s="109">
        <f t="shared" si="1438"/>
        <v>0</v>
      </c>
      <c r="Q973" s="109">
        <f t="shared" si="1439"/>
        <v>135</v>
      </c>
      <c r="R973" s="121" t="s">
        <v>2338</v>
      </c>
      <c r="T973" s="188"/>
    </row>
    <row r="974" spans="1:20" x14ac:dyDescent="0.25">
      <c r="A974" s="100"/>
      <c r="B974" s="3">
        <v>5</v>
      </c>
      <c r="C974" s="5" t="s">
        <v>198</v>
      </c>
      <c r="D974" s="3" t="s">
        <v>89</v>
      </c>
      <c r="E974" s="100" t="str">
        <f>IFERROR(VLOOKUP(C974,Resources!B:D,3,FALSE)," ")</f>
        <v>S</v>
      </c>
      <c r="F974" s="8">
        <v>1</v>
      </c>
      <c r="G974" s="8">
        <v>1</v>
      </c>
      <c r="H974" s="8">
        <f>H969</f>
        <v>180</v>
      </c>
      <c r="I974" s="109">
        <f>IFERROR(VLOOKUP(C974,Resources!B:G,6,FALSE)," ")</f>
        <v>30</v>
      </c>
      <c r="J974" s="109">
        <f t="shared" si="1433"/>
        <v>5400</v>
      </c>
      <c r="K974" s="8">
        <f t="shared" ref="K974" si="1440">L974*F974</f>
        <v>180</v>
      </c>
      <c r="L974" s="8">
        <f t="shared" si="1434"/>
        <v>180</v>
      </c>
      <c r="M974" s="109">
        <f t="shared" si="1435"/>
        <v>0</v>
      </c>
      <c r="N974" s="109">
        <f t="shared" si="1436"/>
        <v>0</v>
      </c>
      <c r="O974" s="109">
        <f t="shared" si="1437"/>
        <v>0</v>
      </c>
      <c r="P974" s="109">
        <f t="shared" si="1438"/>
        <v>5400</v>
      </c>
      <c r="Q974" s="109">
        <f t="shared" si="1439"/>
        <v>5400</v>
      </c>
      <c r="R974" s="121">
        <v>71</v>
      </c>
      <c r="T974" s="188"/>
    </row>
    <row r="975" spans="1:20" x14ac:dyDescent="0.25">
      <c r="A975" s="101"/>
      <c r="B975" s="4"/>
      <c r="C975" s="6"/>
      <c r="D975" s="4"/>
      <c r="E975" s="101" t="str">
        <f>IFERROR(VLOOKUP(C975,Resources!B:D,3,FALSE)," ")</f>
        <v xml:space="preserve"> </v>
      </c>
      <c r="F975" s="9"/>
      <c r="G975" s="9"/>
      <c r="H975" s="9"/>
      <c r="I975" s="38" t="str">
        <f>IFERROR(VLOOKUP(C975,Resources!B:G,6,FALSE)," ")</f>
        <v xml:space="preserve"> </v>
      </c>
      <c r="J975" s="38"/>
      <c r="K975" s="9"/>
      <c r="L975" s="9"/>
      <c r="M975" s="38"/>
      <c r="N975" s="38"/>
      <c r="O975" s="38"/>
      <c r="P975" s="38"/>
      <c r="Q975" s="38"/>
      <c r="R975" s="122"/>
      <c r="T975" s="188"/>
    </row>
    <row r="976" spans="1:20" ht="30" x14ac:dyDescent="0.25">
      <c r="A976" s="114"/>
      <c r="B976" s="1" t="s">
        <v>477</v>
      </c>
      <c r="C976" s="1" t="s">
        <v>204</v>
      </c>
      <c r="D976" s="2"/>
      <c r="E976" s="99" t="str">
        <f>IFERROR(VLOOKUP(C976,Resources!B:D,3,FALSE)," ")</f>
        <v xml:space="preserve"> </v>
      </c>
      <c r="F976" s="7"/>
      <c r="G976" s="7"/>
      <c r="H976" s="7"/>
      <c r="I976" s="108" t="str">
        <f>IFERROR(VLOOKUP(C976,Resources!B:G,6,FALSE)," ")</f>
        <v xml:space="preserve"> </v>
      </c>
      <c r="J976" s="108"/>
      <c r="K976" s="7"/>
      <c r="L976" s="7"/>
      <c r="M976" s="108"/>
      <c r="N976" s="108"/>
      <c r="O976" s="108"/>
      <c r="P976" s="108"/>
      <c r="Q976" s="108"/>
      <c r="R976" s="120"/>
      <c r="T976" s="188"/>
    </row>
    <row r="977" spans="1:20" ht="30" x14ac:dyDescent="0.25">
      <c r="A977" s="114"/>
      <c r="B977" s="1" t="s">
        <v>478</v>
      </c>
      <c r="C977" s="1" t="s">
        <v>206</v>
      </c>
      <c r="D977" s="2"/>
      <c r="E977" s="99" t="str">
        <f>IFERROR(VLOOKUP(C977,Resources!B:D,3,FALSE)," ")</f>
        <v xml:space="preserve"> </v>
      </c>
      <c r="F977" s="7"/>
      <c r="G977" s="7"/>
      <c r="H977" s="7"/>
      <c r="I977" s="108" t="str">
        <f>IFERROR(VLOOKUP(C977,Resources!B:G,6,FALSE)," ")</f>
        <v xml:space="preserve"> </v>
      </c>
      <c r="J977" s="108"/>
      <c r="K977" s="7"/>
      <c r="L977" s="7"/>
      <c r="M977" s="108"/>
      <c r="N977" s="108"/>
      <c r="O977" s="108"/>
      <c r="P977" s="108"/>
      <c r="Q977" s="108"/>
      <c r="R977" s="120"/>
      <c r="T977" s="188"/>
    </row>
    <row r="978" spans="1:20" ht="30" x14ac:dyDescent="0.25">
      <c r="A978" s="114"/>
      <c r="B978" s="1" t="s">
        <v>479</v>
      </c>
      <c r="C978" s="1" t="s">
        <v>275</v>
      </c>
      <c r="D978" s="2"/>
      <c r="E978" s="99" t="str">
        <f>IFERROR(VLOOKUP(C978,Resources!B:D,3,FALSE)," ")</f>
        <v xml:space="preserve"> </v>
      </c>
      <c r="F978" s="7"/>
      <c r="G978" s="7"/>
      <c r="H978" s="7"/>
      <c r="I978" s="108" t="str">
        <f>IFERROR(VLOOKUP(C978,Resources!B:G,6,FALSE)," ")</f>
        <v xml:space="preserve"> </v>
      </c>
      <c r="J978" s="108"/>
      <c r="K978" s="7"/>
      <c r="L978" s="7"/>
      <c r="M978" s="108"/>
      <c r="N978" s="108"/>
      <c r="O978" s="108"/>
      <c r="P978" s="108"/>
      <c r="Q978" s="108"/>
      <c r="R978" s="120"/>
      <c r="T978" s="188"/>
    </row>
    <row r="979" spans="1:20" ht="30" x14ac:dyDescent="0.25">
      <c r="A979" s="114">
        <v>133</v>
      </c>
      <c r="B979" s="1" t="s">
        <v>480</v>
      </c>
      <c r="C979" s="1" t="s">
        <v>208</v>
      </c>
      <c r="D979" s="2" t="s">
        <v>89</v>
      </c>
      <c r="E979" s="99" t="str">
        <f>IFERROR(VLOOKUP(C979,Resources!B:D,3,FALSE)," ")</f>
        <v xml:space="preserve"> </v>
      </c>
      <c r="F979" s="7"/>
      <c r="G979" s="7"/>
      <c r="H979" s="103">
        <f>VLOOKUP($A979,'Model Inputs'!$A:$D,4,FALSE)</f>
        <v>210</v>
      </c>
      <c r="I979" s="108" t="str">
        <f>IFERROR(VLOOKUP(C979,Resources!B:G,6,FALSE)," ")</f>
        <v xml:space="preserve"> </v>
      </c>
      <c r="J979" s="108">
        <f>SUBTOTAL(9,J981:J987)</f>
        <v>8669.2695229522942</v>
      </c>
      <c r="K979" s="7"/>
      <c r="L979" s="7">
        <f>ROUNDUP((MAX(L984:L987)+L982)/Workhrs,0)</f>
        <v>3</v>
      </c>
      <c r="M979" s="108">
        <f t="shared" ref="M979:Q979" si="1441">SUBTOTAL(9,M981:M987)</f>
        <v>2381.6381638163816</v>
      </c>
      <c r="N979" s="108">
        <f t="shared" si="1441"/>
        <v>1273.44</v>
      </c>
      <c r="O979" s="108">
        <f t="shared" si="1441"/>
        <v>4413.591359135914</v>
      </c>
      <c r="P979" s="108">
        <f t="shared" si="1441"/>
        <v>600.6</v>
      </c>
      <c r="Q979" s="108">
        <f t="shared" si="1441"/>
        <v>8669.2695229522942</v>
      </c>
      <c r="R979" s="120"/>
      <c r="T979" s="188"/>
    </row>
    <row r="980" spans="1:20" ht="45" x14ac:dyDescent="0.25">
      <c r="A980" s="101"/>
      <c r="B980" s="4">
        <v>1</v>
      </c>
      <c r="C980" s="6" t="s">
        <v>209</v>
      </c>
      <c r="D980" s="4"/>
      <c r="E980" s="101" t="str">
        <f>IFERROR(VLOOKUP(C980,Resources!B:D,3,FALSE)," ")</f>
        <v xml:space="preserve"> </v>
      </c>
      <c r="F980" s="9"/>
      <c r="G980" s="9"/>
      <c r="H980" s="9"/>
      <c r="I980" s="38" t="str">
        <f>IFERROR(VLOOKUP(C980,Resources!B:G,6,FALSE)," ")</f>
        <v xml:space="preserve"> </v>
      </c>
      <c r="J980" s="38"/>
      <c r="K980" s="9"/>
      <c r="L980" s="9"/>
      <c r="M980" s="38"/>
      <c r="N980" s="38"/>
      <c r="O980" s="38"/>
      <c r="P980" s="38"/>
      <c r="Q980" s="38"/>
      <c r="R980" s="122"/>
      <c r="T980" s="188"/>
    </row>
    <row r="981" spans="1:20" x14ac:dyDescent="0.25">
      <c r="A981" s="100"/>
      <c r="B981" s="3">
        <v>2</v>
      </c>
      <c r="C981" s="5" t="s">
        <v>210</v>
      </c>
      <c r="D981" s="3" t="s">
        <v>89</v>
      </c>
      <c r="E981" s="100" t="str">
        <f>IFERROR(VLOOKUP(C981,Resources!B:D,3,FALSE)," ")</f>
        <v>M</v>
      </c>
      <c r="F981" s="8">
        <v>1</v>
      </c>
      <c r="G981" s="8">
        <v>1</v>
      </c>
      <c r="H981" s="8">
        <f>H979</f>
        <v>210</v>
      </c>
      <c r="I981" s="109">
        <f>IFERROR(VLOOKUP(C981,Resources!B:G,6,FALSE)," ")</f>
        <v>2.5</v>
      </c>
      <c r="J981" s="109">
        <f t="shared" ref="J981:J987" si="1442">(H981/(G981/F981))*I981</f>
        <v>525</v>
      </c>
      <c r="K981" s="8"/>
      <c r="L981" s="8" t="str">
        <f t="shared" ref="L981:L987" si="1443">IF(E981="M"," ",H981/G981)</f>
        <v xml:space="preserve"> </v>
      </c>
      <c r="M981" s="109">
        <f t="shared" ref="M981:M987" si="1444">IF($E981="L",$J981,0)</f>
        <v>0</v>
      </c>
      <c r="N981" s="109">
        <f t="shared" ref="N981:N987" si="1445">IF($E981="M",$J981,0)</f>
        <v>525</v>
      </c>
      <c r="O981" s="109">
        <f t="shared" ref="O981:O987" si="1446">IF($E981="P",$J981,0)</f>
        <v>0</v>
      </c>
      <c r="P981" s="109">
        <f t="shared" ref="P981:P987" si="1447">IF($E981="S",$J981,0)</f>
        <v>0</v>
      </c>
      <c r="Q981" s="109">
        <f t="shared" ref="Q981:Q987" si="1448">SUM(M981:P981)</f>
        <v>525</v>
      </c>
      <c r="R981" s="121">
        <v>87</v>
      </c>
      <c r="T981" s="188"/>
    </row>
    <row r="982" spans="1:20" x14ac:dyDescent="0.25">
      <c r="A982" s="100"/>
      <c r="B982" s="3">
        <v>3</v>
      </c>
      <c r="C982" s="5" t="s">
        <v>211</v>
      </c>
      <c r="D982" s="3" t="s">
        <v>29</v>
      </c>
      <c r="E982" s="100" t="str">
        <f>IFERROR(VLOOKUP(C982,Resources!B:D,3,FALSE)," ")</f>
        <v>S</v>
      </c>
      <c r="F982" s="8">
        <v>1</v>
      </c>
      <c r="G982" s="8">
        <v>1</v>
      </c>
      <c r="H982" s="8">
        <f>H979/50</f>
        <v>4.2</v>
      </c>
      <c r="I982" s="109">
        <f>IFERROR(VLOOKUP(C982,Resources!B:G,6,FALSE)," ")</f>
        <v>143</v>
      </c>
      <c r="J982" s="109">
        <f t="shared" si="1442"/>
        <v>600.6</v>
      </c>
      <c r="K982" s="8">
        <f t="shared" ref="K982:K987" si="1449">L982*F982</f>
        <v>4.2</v>
      </c>
      <c r="L982" s="8">
        <f t="shared" si="1443"/>
        <v>4.2</v>
      </c>
      <c r="M982" s="109">
        <f t="shared" si="1444"/>
        <v>0</v>
      </c>
      <c r="N982" s="109">
        <f t="shared" si="1445"/>
        <v>0</v>
      </c>
      <c r="O982" s="109">
        <f t="shared" si="1446"/>
        <v>0</v>
      </c>
      <c r="P982" s="109">
        <f t="shared" si="1447"/>
        <v>600.6</v>
      </c>
      <c r="Q982" s="109">
        <f t="shared" si="1448"/>
        <v>600.6</v>
      </c>
      <c r="R982" s="121">
        <v>87</v>
      </c>
      <c r="T982" s="188"/>
    </row>
    <row r="983" spans="1:20" x14ac:dyDescent="0.25">
      <c r="A983" s="100"/>
      <c r="B983" s="3">
        <v>4</v>
      </c>
      <c r="C983" s="5" t="s">
        <v>81</v>
      </c>
      <c r="D983" s="3" t="s">
        <v>82</v>
      </c>
      <c r="E983" s="100" t="str">
        <f>IFERROR(VLOOKUP(C983,Resources!B:D,3,FALSE)," ")</f>
        <v>M</v>
      </c>
      <c r="F983" s="8">
        <v>1</v>
      </c>
      <c r="G983" s="8">
        <v>1</v>
      </c>
      <c r="H983" s="8">
        <f>H979*0.3*0.3*1.5*1.1</f>
        <v>31.184999999999999</v>
      </c>
      <c r="I983" s="109">
        <f>IFERROR(VLOOKUP(C983,Resources!B:G,6,FALSE)," ")</f>
        <v>24</v>
      </c>
      <c r="J983" s="109">
        <f t="shared" si="1442"/>
        <v>748.43999999999994</v>
      </c>
      <c r="K983" s="8"/>
      <c r="L983" s="8" t="str">
        <f t="shared" si="1443"/>
        <v xml:space="preserve"> </v>
      </c>
      <c r="M983" s="109">
        <f t="shared" si="1444"/>
        <v>0</v>
      </c>
      <c r="N983" s="109">
        <f t="shared" si="1445"/>
        <v>748.43999999999994</v>
      </c>
      <c r="O983" s="109">
        <f t="shared" si="1446"/>
        <v>0</v>
      </c>
      <c r="P983" s="109">
        <f t="shared" si="1447"/>
        <v>0</v>
      </c>
      <c r="Q983" s="109">
        <f t="shared" si="1448"/>
        <v>748.43999999999994</v>
      </c>
      <c r="R983" s="121" t="s">
        <v>2341</v>
      </c>
      <c r="T983" s="188"/>
    </row>
    <row r="984" spans="1:20" x14ac:dyDescent="0.25">
      <c r="A984" s="100">
        <v>133.1</v>
      </c>
      <c r="B984" s="3">
        <v>5</v>
      </c>
      <c r="C984" s="5" t="s">
        <v>63</v>
      </c>
      <c r="D984" s="3" t="s">
        <v>48</v>
      </c>
      <c r="E984" s="100" t="str">
        <f>IFERROR(VLOOKUP(C984,Resources!B:D,3,FALSE)," ")</f>
        <v>P</v>
      </c>
      <c r="F984" s="8">
        <v>1</v>
      </c>
      <c r="G984" s="103">
        <f>VLOOKUP($A984,'Model Inputs'!$A:$D,4,FALSE)</f>
        <v>11.11</v>
      </c>
      <c r="H984" s="8">
        <f>H979</f>
        <v>210</v>
      </c>
      <c r="I984" s="109">
        <f>IFERROR(VLOOKUP(C984,Resources!B:G,6,FALSE)," ")</f>
        <v>135</v>
      </c>
      <c r="J984" s="109">
        <f t="shared" si="1442"/>
        <v>2551.7551755175518</v>
      </c>
      <c r="K984" s="8">
        <f t="shared" si="1449"/>
        <v>18.901890189018903</v>
      </c>
      <c r="L984" s="8">
        <f t="shared" si="1443"/>
        <v>18.901890189018903</v>
      </c>
      <c r="M984" s="109">
        <f t="shared" si="1444"/>
        <v>0</v>
      </c>
      <c r="N984" s="109">
        <f t="shared" si="1445"/>
        <v>0</v>
      </c>
      <c r="O984" s="109">
        <f t="shared" si="1446"/>
        <v>2551.7551755175518</v>
      </c>
      <c r="P984" s="109">
        <f t="shared" si="1447"/>
        <v>0</v>
      </c>
      <c r="Q984" s="109">
        <f t="shared" si="1448"/>
        <v>2551.7551755175518</v>
      </c>
      <c r="R984" s="121">
        <v>87</v>
      </c>
      <c r="T984" s="188"/>
    </row>
    <row r="985" spans="1:20" x14ac:dyDescent="0.25">
      <c r="A985" s="100">
        <v>133.19999999999999</v>
      </c>
      <c r="B985" s="3">
        <v>6</v>
      </c>
      <c r="C985" s="5" t="s">
        <v>8</v>
      </c>
      <c r="D985" s="3" t="s">
        <v>48</v>
      </c>
      <c r="E985" s="100" t="str">
        <f>IFERROR(VLOOKUP(C985,Resources!B:D,3,FALSE)," ")</f>
        <v>L</v>
      </c>
      <c r="F985" s="103">
        <f>VLOOKUP($A985,'Model Inputs'!$A:$D,4,FALSE)</f>
        <v>3</v>
      </c>
      <c r="G985" s="8">
        <f>G984</f>
        <v>11.11</v>
      </c>
      <c r="H985" s="8">
        <f>H979</f>
        <v>210</v>
      </c>
      <c r="I985" s="109">
        <f>IFERROR(VLOOKUP(C985,Resources!B:G,6,FALSE)," ")</f>
        <v>42</v>
      </c>
      <c r="J985" s="109">
        <f t="shared" si="1442"/>
        <v>2381.6381638163816</v>
      </c>
      <c r="K985" s="8">
        <f t="shared" si="1449"/>
        <v>56.705670567056714</v>
      </c>
      <c r="L985" s="8">
        <f t="shared" si="1443"/>
        <v>18.901890189018903</v>
      </c>
      <c r="M985" s="109">
        <f t="shared" si="1444"/>
        <v>2381.6381638163816</v>
      </c>
      <c r="N985" s="109">
        <f t="shared" si="1445"/>
        <v>0</v>
      </c>
      <c r="O985" s="109">
        <f t="shared" si="1446"/>
        <v>0</v>
      </c>
      <c r="P985" s="109">
        <f t="shared" si="1447"/>
        <v>0</v>
      </c>
      <c r="Q985" s="109">
        <f t="shared" si="1448"/>
        <v>2381.6381638163816</v>
      </c>
      <c r="R985" s="121">
        <v>87</v>
      </c>
      <c r="T985" s="188"/>
    </row>
    <row r="986" spans="1:20" x14ac:dyDescent="0.25">
      <c r="A986" s="100"/>
      <c r="B986" s="3">
        <v>7</v>
      </c>
      <c r="C986" s="5" t="s">
        <v>45</v>
      </c>
      <c r="D986" s="3" t="s">
        <v>48</v>
      </c>
      <c r="E986" s="100" t="str">
        <f>IFERROR(VLOOKUP(C986,Resources!B:D,3,FALSE)," ")</f>
        <v>P</v>
      </c>
      <c r="F986" s="8">
        <v>1</v>
      </c>
      <c r="G986" s="8">
        <f>G984</f>
        <v>11.11</v>
      </c>
      <c r="H986" s="8">
        <f>H979</f>
        <v>210</v>
      </c>
      <c r="I986" s="109">
        <f>IFERROR(VLOOKUP(C986,Resources!B:G,6,FALSE)," ")</f>
        <v>95</v>
      </c>
      <c r="J986" s="109">
        <f t="shared" si="1442"/>
        <v>1795.6795679567958</v>
      </c>
      <c r="K986" s="8">
        <f t="shared" si="1449"/>
        <v>18.901890189018903</v>
      </c>
      <c r="L986" s="8">
        <f t="shared" si="1443"/>
        <v>18.901890189018903</v>
      </c>
      <c r="M986" s="109">
        <f t="shared" si="1444"/>
        <v>0</v>
      </c>
      <c r="N986" s="109">
        <f t="shared" si="1445"/>
        <v>0</v>
      </c>
      <c r="O986" s="109">
        <f t="shared" si="1446"/>
        <v>1795.6795679567958</v>
      </c>
      <c r="P986" s="109">
        <f t="shared" si="1447"/>
        <v>0</v>
      </c>
      <c r="Q986" s="109">
        <f t="shared" si="1448"/>
        <v>1795.6795679567958</v>
      </c>
      <c r="R986" s="121">
        <v>87</v>
      </c>
      <c r="T986" s="188"/>
    </row>
    <row r="987" spans="1:20" x14ac:dyDescent="0.25">
      <c r="A987" s="100"/>
      <c r="B987" s="3">
        <v>8</v>
      </c>
      <c r="C987" s="5" t="s">
        <v>92</v>
      </c>
      <c r="D987" s="3" t="s">
        <v>48</v>
      </c>
      <c r="E987" s="100" t="str">
        <f>IFERROR(VLOOKUP(C987,Resources!B:D,3,FALSE)," ")</f>
        <v>P</v>
      </c>
      <c r="F987" s="8">
        <v>1</v>
      </c>
      <c r="G987" s="8">
        <f>G984</f>
        <v>11.11</v>
      </c>
      <c r="H987" s="8">
        <f>H979</f>
        <v>210</v>
      </c>
      <c r="I987" s="109">
        <f>IFERROR(VLOOKUP(C987,Resources!B:G,6,FALSE)," ")</f>
        <v>3.5</v>
      </c>
      <c r="J987" s="109">
        <f t="shared" si="1442"/>
        <v>66.156615661566164</v>
      </c>
      <c r="K987" s="8">
        <f t="shared" si="1449"/>
        <v>18.901890189018903</v>
      </c>
      <c r="L987" s="8">
        <f t="shared" si="1443"/>
        <v>18.901890189018903</v>
      </c>
      <c r="M987" s="109">
        <f t="shared" si="1444"/>
        <v>0</v>
      </c>
      <c r="N987" s="109">
        <f t="shared" si="1445"/>
        <v>0</v>
      </c>
      <c r="O987" s="109">
        <f t="shared" si="1446"/>
        <v>66.156615661566164</v>
      </c>
      <c r="P987" s="109">
        <f t="shared" si="1447"/>
        <v>0</v>
      </c>
      <c r="Q987" s="109">
        <f t="shared" si="1448"/>
        <v>66.156615661566164</v>
      </c>
      <c r="R987" s="121">
        <v>87</v>
      </c>
      <c r="T987" s="188"/>
    </row>
    <row r="988" spans="1:20" x14ac:dyDescent="0.25">
      <c r="A988" s="101"/>
      <c r="B988" s="4"/>
      <c r="C988" s="6"/>
      <c r="D988" s="4"/>
      <c r="E988" s="101" t="str">
        <f>IFERROR(VLOOKUP(C988,Resources!B:D,3,FALSE)," ")</f>
        <v xml:space="preserve"> </v>
      </c>
      <c r="F988" s="9"/>
      <c r="G988" s="9"/>
      <c r="H988" s="9"/>
      <c r="I988" s="38" t="str">
        <f>IFERROR(VLOOKUP(C988,Resources!B:G,6,FALSE)," ")</f>
        <v xml:space="preserve"> </v>
      </c>
      <c r="J988" s="38"/>
      <c r="K988" s="9"/>
      <c r="L988" s="9"/>
      <c r="M988" s="38"/>
      <c r="N988" s="38"/>
      <c r="O988" s="38"/>
      <c r="P988" s="38"/>
      <c r="Q988" s="38"/>
      <c r="R988" s="122"/>
      <c r="T988" s="188"/>
    </row>
    <row r="989" spans="1:20" ht="30" x14ac:dyDescent="0.25">
      <c r="A989" s="114">
        <v>134</v>
      </c>
      <c r="B989" s="1" t="s">
        <v>481</v>
      </c>
      <c r="C989" s="1" t="s">
        <v>213</v>
      </c>
      <c r="D989" s="2" t="s">
        <v>29</v>
      </c>
      <c r="E989" s="99" t="str">
        <f>IFERROR(VLOOKUP(C989,Resources!B:D,3,FALSE)," ")</f>
        <v xml:space="preserve"> </v>
      </c>
      <c r="F989" s="7"/>
      <c r="G989" s="7"/>
      <c r="H989" s="103">
        <f>VLOOKUP($A989,'Model Inputs'!$A:$D,4,FALSE)</f>
        <v>6</v>
      </c>
      <c r="I989" s="108" t="str">
        <f>IFERROR(VLOOKUP(C989,Resources!B:G,6,FALSE)," ")</f>
        <v xml:space="preserve"> </v>
      </c>
      <c r="J989" s="108">
        <f>SUBTOTAL(9,J990)</f>
        <v>858</v>
      </c>
      <c r="K989" s="7"/>
      <c r="L989" s="7">
        <f>ROUNDUP(L990/Workhrs,0)</f>
        <v>1</v>
      </c>
      <c r="M989" s="108">
        <f t="shared" ref="M989:Q989" si="1450">SUBTOTAL(9,M990)</f>
        <v>0</v>
      </c>
      <c r="N989" s="108">
        <f t="shared" si="1450"/>
        <v>0</v>
      </c>
      <c r="O989" s="108">
        <f t="shared" si="1450"/>
        <v>0</v>
      </c>
      <c r="P989" s="108">
        <f t="shared" si="1450"/>
        <v>858</v>
      </c>
      <c r="Q989" s="108">
        <f t="shared" si="1450"/>
        <v>858</v>
      </c>
      <c r="R989" s="120"/>
      <c r="T989" s="188"/>
    </row>
    <row r="990" spans="1:20" x14ac:dyDescent="0.25">
      <c r="A990" s="100"/>
      <c r="B990" s="3">
        <v>1</v>
      </c>
      <c r="C990" s="5" t="s">
        <v>211</v>
      </c>
      <c r="D990" s="3" t="s">
        <v>29</v>
      </c>
      <c r="E990" s="100" t="str">
        <f>IFERROR(VLOOKUP(C990,Resources!B:D,3,FALSE)," ")</f>
        <v>S</v>
      </c>
      <c r="F990" s="8">
        <v>1</v>
      </c>
      <c r="G990" s="8">
        <v>1</v>
      </c>
      <c r="H990" s="8">
        <f>H989</f>
        <v>6</v>
      </c>
      <c r="I990" s="109">
        <f>IFERROR(VLOOKUP(C990,Resources!B:G,6,FALSE)," ")</f>
        <v>143</v>
      </c>
      <c r="J990" s="109">
        <f t="shared" ref="J990" si="1451">(H990/(G990/F990))*I990</f>
        <v>858</v>
      </c>
      <c r="K990" s="8">
        <f t="shared" ref="K990" si="1452">L990*F990</f>
        <v>6</v>
      </c>
      <c r="L990" s="8">
        <f t="shared" ref="L990" si="1453">IF(E990="M"," ",H990/G990)</f>
        <v>6</v>
      </c>
      <c r="M990" s="109">
        <f t="shared" ref="M990" si="1454">IF($E990="L",$J990,0)</f>
        <v>0</v>
      </c>
      <c r="N990" s="109">
        <f t="shared" ref="N990" si="1455">IF($E990="M",$J990,0)</f>
        <v>0</v>
      </c>
      <c r="O990" s="109">
        <f t="shared" ref="O990" si="1456">IF($E990="P",$J990,0)</f>
        <v>0</v>
      </c>
      <c r="P990" s="109">
        <f t="shared" ref="P990" si="1457">IF($E990="S",$J990,0)</f>
        <v>858</v>
      </c>
      <c r="Q990" s="109">
        <f t="shared" ref="Q990" si="1458">SUM(M990:P990)</f>
        <v>858</v>
      </c>
      <c r="R990" s="121">
        <v>87</v>
      </c>
      <c r="T990" s="188"/>
    </row>
    <row r="991" spans="1:20" x14ac:dyDescent="0.25">
      <c r="A991" s="101"/>
      <c r="B991" s="4"/>
      <c r="C991" s="6"/>
      <c r="D991" s="4"/>
      <c r="E991" s="101" t="str">
        <f>IFERROR(VLOOKUP(C991,Resources!B:D,3,FALSE)," ")</f>
        <v xml:space="preserve"> </v>
      </c>
      <c r="F991" s="9"/>
      <c r="G991" s="9"/>
      <c r="H991" s="9"/>
      <c r="I991" s="38" t="str">
        <f>IFERROR(VLOOKUP(C991,Resources!B:G,6,FALSE)," ")</f>
        <v xml:space="preserve"> </v>
      </c>
      <c r="J991" s="38"/>
      <c r="K991" s="9"/>
      <c r="L991" s="9"/>
      <c r="M991" s="38"/>
      <c r="N991" s="38"/>
      <c r="O991" s="38"/>
      <c r="P991" s="38"/>
      <c r="Q991" s="38"/>
      <c r="R991" s="122"/>
      <c r="T991" s="188"/>
    </row>
    <row r="992" spans="1:20" ht="30" x14ac:dyDescent="0.25">
      <c r="A992" s="114"/>
      <c r="B992" s="1" t="s">
        <v>482</v>
      </c>
      <c r="C992" s="1" t="s">
        <v>102</v>
      </c>
      <c r="D992" s="2"/>
      <c r="E992" s="99" t="str">
        <f>IFERROR(VLOOKUP(C992,Resources!B:D,3,FALSE)," ")</f>
        <v xml:space="preserve"> </v>
      </c>
      <c r="F992" s="7"/>
      <c r="G992" s="7"/>
      <c r="H992" s="7"/>
      <c r="I992" s="108" t="str">
        <f>IFERROR(VLOOKUP(C992,Resources!B:G,6,FALSE)," ")</f>
        <v xml:space="preserve"> </v>
      </c>
      <c r="J992" s="108"/>
      <c r="K992" s="7"/>
      <c r="L992" s="7"/>
      <c r="M992" s="108"/>
      <c r="N992" s="108"/>
      <c r="O992" s="108"/>
      <c r="P992" s="108"/>
      <c r="Q992" s="108"/>
      <c r="R992" s="120"/>
      <c r="T992" s="188"/>
    </row>
    <row r="993" spans="1:20" ht="30" x14ac:dyDescent="0.25">
      <c r="A993" s="114"/>
      <c r="B993" s="1" t="s">
        <v>483</v>
      </c>
      <c r="C993" s="1" t="s">
        <v>111</v>
      </c>
      <c r="D993" s="2"/>
      <c r="E993" s="99" t="str">
        <f>IFERROR(VLOOKUP(C993,Resources!B:D,3,FALSE)," ")</f>
        <v xml:space="preserve"> </v>
      </c>
      <c r="F993" s="7"/>
      <c r="G993" s="7"/>
      <c r="H993" s="7"/>
      <c r="I993" s="108" t="str">
        <f>IFERROR(VLOOKUP(C993,Resources!B:G,6,FALSE)," ")</f>
        <v xml:space="preserve"> </v>
      </c>
      <c r="J993" s="108"/>
      <c r="K993" s="7"/>
      <c r="L993" s="7"/>
      <c r="M993" s="108"/>
      <c r="N993" s="108"/>
      <c r="O993" s="108"/>
      <c r="P993" s="108"/>
      <c r="Q993" s="108"/>
      <c r="R993" s="120"/>
      <c r="T993" s="188"/>
    </row>
    <row r="994" spans="1:20" ht="30" x14ac:dyDescent="0.25">
      <c r="A994" s="114">
        <v>135</v>
      </c>
      <c r="B994" s="1" t="s">
        <v>484</v>
      </c>
      <c r="C994" s="1" t="s">
        <v>217</v>
      </c>
      <c r="D994" s="2" t="s">
        <v>62</v>
      </c>
      <c r="E994" s="99" t="str">
        <f>IFERROR(VLOOKUP(C994,Resources!B:D,3,FALSE)," ")</f>
        <v xml:space="preserve"> </v>
      </c>
      <c r="F994" s="7"/>
      <c r="G994" s="7"/>
      <c r="H994" s="103">
        <f>VLOOKUP($A994,'Model Inputs'!$A:$D,4,FALSE)</f>
        <v>148</v>
      </c>
      <c r="I994" s="108" t="str">
        <f>IFERROR(VLOOKUP(C994,Resources!B:G,6,FALSE)," ")</f>
        <v xml:space="preserve"> </v>
      </c>
      <c r="J994" s="108">
        <f>SUBTOTAL(9,J996:J1002)</f>
        <v>8380.212421242124</v>
      </c>
      <c r="K994" s="7"/>
      <c r="L994" s="7">
        <f>ROUNDUP(MAX((L996+4),L998:L1002)/Workhrs,0)</f>
        <v>2</v>
      </c>
      <c r="M994" s="108">
        <f t="shared" ref="M994:Q994" si="1459">SUBTOTAL(9,M996:M1002)</f>
        <v>1007.0927092709271</v>
      </c>
      <c r="N994" s="108">
        <f t="shared" si="1459"/>
        <v>0</v>
      </c>
      <c r="O994" s="108">
        <f t="shared" si="1459"/>
        <v>7373.1197119711978</v>
      </c>
      <c r="P994" s="108">
        <f t="shared" si="1459"/>
        <v>0</v>
      </c>
      <c r="Q994" s="108">
        <f t="shared" si="1459"/>
        <v>8380.212421242124</v>
      </c>
      <c r="R994" s="120"/>
      <c r="T994" s="188"/>
    </row>
    <row r="995" spans="1:20" x14ac:dyDescent="0.25">
      <c r="A995" s="100">
        <v>135.1</v>
      </c>
      <c r="B995" s="3">
        <v>1</v>
      </c>
      <c r="C995" s="5" t="s">
        <v>2382</v>
      </c>
      <c r="D995" s="3"/>
      <c r="E995" s="100" t="str">
        <f>IFERROR(VLOOKUP(C995,Resources!B:D,3,FALSE)," ")</f>
        <v xml:space="preserve"> </v>
      </c>
      <c r="F995" s="103">
        <f>VLOOKUP($A995,'Model Inputs'!$A:$D,4,FALSE)</f>
        <v>2.4</v>
      </c>
      <c r="G995" s="8"/>
      <c r="H995" s="8">
        <f>H994*F995</f>
        <v>355.2</v>
      </c>
      <c r="I995" s="109" t="str">
        <f>IFERROR(VLOOKUP(C995,Resources!B:G,6,FALSE)," ")</f>
        <v xml:space="preserve"> </v>
      </c>
      <c r="J995" s="109"/>
      <c r="K995" s="8"/>
      <c r="L995" s="8"/>
      <c r="M995" s="109"/>
      <c r="N995" s="109"/>
      <c r="O995" s="109"/>
      <c r="P995" s="109"/>
      <c r="Q995" s="109"/>
      <c r="R995" s="121"/>
      <c r="T995" s="188"/>
    </row>
    <row r="996" spans="1:20" x14ac:dyDescent="0.25">
      <c r="A996" s="100">
        <v>135.19999999999999</v>
      </c>
      <c r="B996" s="3">
        <v>2</v>
      </c>
      <c r="C996" s="5" t="s">
        <v>44</v>
      </c>
      <c r="D996" s="3" t="s">
        <v>48</v>
      </c>
      <c r="E996" s="100" t="str">
        <f>IFERROR(VLOOKUP(C996,Resources!B:D,3,FALSE)," ")</f>
        <v>P</v>
      </c>
      <c r="F996" s="103">
        <f>VLOOKUP($A996,'Model Inputs'!$A:$D,4,FALSE)</f>
        <v>3</v>
      </c>
      <c r="G996" s="8">
        <v>37</v>
      </c>
      <c r="H996" s="8">
        <f>H995</f>
        <v>355.2</v>
      </c>
      <c r="I996" s="109">
        <f>IFERROR(VLOOKUP(C996,Resources!B:G,6,FALSE)," ")</f>
        <v>145</v>
      </c>
      <c r="J996" s="109">
        <f t="shared" ref="J996" si="1460">(H996/(G996/F996))*I996</f>
        <v>4176</v>
      </c>
      <c r="K996" s="8">
        <f t="shared" ref="K996" si="1461">L996*F996</f>
        <v>28.799999999999997</v>
      </c>
      <c r="L996" s="8">
        <f t="shared" ref="L996" si="1462">IF(E996="M"," ",H996/G996)</f>
        <v>9.6</v>
      </c>
      <c r="M996" s="109">
        <f t="shared" ref="M996" si="1463">IF($E996="L",$J996,0)</f>
        <v>0</v>
      </c>
      <c r="N996" s="109">
        <f t="shared" ref="N996" si="1464">IF($E996="M",$J996,0)</f>
        <v>0</v>
      </c>
      <c r="O996" s="109">
        <f t="shared" ref="O996" si="1465">IF($E996="P",$J996,0)</f>
        <v>4176</v>
      </c>
      <c r="P996" s="109">
        <f t="shared" ref="P996" si="1466">IF($E996="S",$J996,0)</f>
        <v>0</v>
      </c>
      <c r="Q996" s="109">
        <f t="shared" ref="Q996" si="1467">SUM(M996:P996)</f>
        <v>4176</v>
      </c>
      <c r="R996" s="121">
        <v>62</v>
      </c>
      <c r="T996" s="188"/>
    </row>
    <row r="997" spans="1:20" x14ac:dyDescent="0.25">
      <c r="A997" s="101"/>
      <c r="B997" s="4">
        <v>3</v>
      </c>
      <c r="C997" s="6" t="s">
        <v>114</v>
      </c>
      <c r="D997" s="4"/>
      <c r="E997" s="101" t="str">
        <f>IFERROR(VLOOKUP(C997,Resources!B:D,3,FALSE)," ")</f>
        <v xml:space="preserve"> </v>
      </c>
      <c r="F997" s="9"/>
      <c r="G997" s="9"/>
      <c r="H997" s="9"/>
      <c r="I997" s="38" t="str">
        <f>IFERROR(VLOOKUP(C997,Resources!B:G,6,FALSE)," ")</f>
        <v xml:space="preserve"> </v>
      </c>
      <c r="J997" s="38"/>
      <c r="K997" s="9"/>
      <c r="L997" s="9"/>
      <c r="M997" s="38"/>
      <c r="N997" s="38"/>
      <c r="O997" s="38"/>
      <c r="P997" s="38"/>
      <c r="Q997" s="38"/>
      <c r="R997" s="122"/>
      <c r="T997" s="188"/>
    </row>
    <row r="998" spans="1:20" x14ac:dyDescent="0.25">
      <c r="A998" s="100">
        <v>135.30000000000001</v>
      </c>
      <c r="B998" s="3">
        <v>4</v>
      </c>
      <c r="C998" s="5" t="s">
        <v>39</v>
      </c>
      <c r="D998" s="3" t="s">
        <v>48</v>
      </c>
      <c r="E998" s="100" t="str">
        <f>IFERROR(VLOOKUP(C998,Resources!B:D,3,FALSE)," ")</f>
        <v>P</v>
      </c>
      <c r="F998" s="8">
        <v>1</v>
      </c>
      <c r="G998" s="103">
        <f>VLOOKUP($A998,'Model Inputs'!$A:$D,4,FALSE)</f>
        <v>44.44</v>
      </c>
      <c r="H998" s="8">
        <f>H995</f>
        <v>355.2</v>
      </c>
      <c r="I998" s="109">
        <f>IFERROR(VLOOKUP(C998,Resources!B:G,6,FALSE)," ")</f>
        <v>145</v>
      </c>
      <c r="J998" s="109">
        <f t="shared" ref="J998:J1002" si="1468">(H998/(G998/F998))*I998</f>
        <v>1158.9558955895588</v>
      </c>
      <c r="K998" s="8">
        <f t="shared" ref="K998:K1002" si="1469">L998*F998</f>
        <v>7.9927992799279926</v>
      </c>
      <c r="L998" s="8">
        <f t="shared" ref="L998:L1002" si="1470">IF(E998="M"," ",H998/G998)</f>
        <v>7.9927992799279926</v>
      </c>
      <c r="M998" s="109">
        <f t="shared" ref="M998:M1002" si="1471">IF($E998="L",$J998,0)</f>
        <v>0</v>
      </c>
      <c r="N998" s="109">
        <f t="shared" ref="N998:N1002" si="1472">IF($E998="M",$J998,0)</f>
        <v>0</v>
      </c>
      <c r="O998" s="109">
        <f t="shared" ref="O998:O1002" si="1473">IF($E998="P",$J998,0)</f>
        <v>1158.9558955895588</v>
      </c>
      <c r="P998" s="109">
        <f t="shared" ref="P998:P1002" si="1474">IF($E998="S",$J998,0)</f>
        <v>0</v>
      </c>
      <c r="Q998" s="109">
        <f t="shared" ref="Q998:Q1002" si="1475">SUM(M998:P998)</f>
        <v>1158.9558955895588</v>
      </c>
      <c r="R998" s="121">
        <v>62</v>
      </c>
      <c r="T998" s="188"/>
    </row>
    <row r="999" spans="1:20" x14ac:dyDescent="0.25">
      <c r="A999" s="100"/>
      <c r="B999" s="3">
        <v>5</v>
      </c>
      <c r="C999" s="5" t="s">
        <v>64</v>
      </c>
      <c r="D999" s="3" t="s">
        <v>48</v>
      </c>
      <c r="E999" s="100" t="str">
        <f>IFERROR(VLOOKUP(C999,Resources!B:D,3,FALSE)," ")</f>
        <v>P</v>
      </c>
      <c r="F999" s="8">
        <v>1</v>
      </c>
      <c r="G999" s="8">
        <f>G998</f>
        <v>44.44</v>
      </c>
      <c r="H999" s="8">
        <f>H995</f>
        <v>355.2</v>
      </c>
      <c r="I999" s="109">
        <f>IFERROR(VLOOKUP(C999,Resources!B:G,6,FALSE)," ")</f>
        <v>100</v>
      </c>
      <c r="J999" s="109">
        <f t="shared" si="1468"/>
        <v>799.27992799279923</v>
      </c>
      <c r="K999" s="8">
        <f t="shared" si="1469"/>
        <v>7.9927992799279926</v>
      </c>
      <c r="L999" s="8">
        <f t="shared" si="1470"/>
        <v>7.9927992799279926</v>
      </c>
      <c r="M999" s="109">
        <f t="shared" si="1471"/>
        <v>0</v>
      </c>
      <c r="N999" s="109">
        <f t="shared" si="1472"/>
        <v>0</v>
      </c>
      <c r="O999" s="109">
        <f t="shared" si="1473"/>
        <v>799.27992799279923</v>
      </c>
      <c r="P999" s="109">
        <f t="shared" si="1474"/>
        <v>0</v>
      </c>
      <c r="Q999" s="109">
        <f t="shared" si="1475"/>
        <v>799.27992799279923</v>
      </c>
      <c r="R999" s="121">
        <v>62</v>
      </c>
      <c r="T999" s="188"/>
    </row>
    <row r="1000" spans="1:20" x14ac:dyDescent="0.25">
      <c r="A1000" s="100"/>
      <c r="B1000" s="3">
        <v>6</v>
      </c>
      <c r="C1000" s="5" t="s">
        <v>69</v>
      </c>
      <c r="D1000" s="3" t="s">
        <v>48</v>
      </c>
      <c r="E1000" s="100" t="str">
        <f>IFERROR(VLOOKUP(C1000,Resources!B:D,3,FALSE)," ")</f>
        <v>P</v>
      </c>
      <c r="F1000" s="8">
        <v>1</v>
      </c>
      <c r="G1000" s="8">
        <f>G998</f>
        <v>44.44</v>
      </c>
      <c r="H1000" s="8">
        <f>H995</f>
        <v>355.2</v>
      </c>
      <c r="I1000" s="109">
        <f>IFERROR(VLOOKUP(C1000,Resources!B:G,6,FALSE)," ")</f>
        <v>55</v>
      </c>
      <c r="J1000" s="109">
        <f t="shared" si="1468"/>
        <v>439.60396039603961</v>
      </c>
      <c r="K1000" s="8">
        <f t="shared" si="1469"/>
        <v>7.9927992799279926</v>
      </c>
      <c r="L1000" s="8">
        <f t="shared" si="1470"/>
        <v>7.9927992799279926</v>
      </c>
      <c r="M1000" s="109">
        <f t="shared" si="1471"/>
        <v>0</v>
      </c>
      <c r="N1000" s="109">
        <f t="shared" si="1472"/>
        <v>0</v>
      </c>
      <c r="O1000" s="109">
        <f t="shared" si="1473"/>
        <v>439.60396039603961</v>
      </c>
      <c r="P1000" s="109">
        <f t="shared" si="1474"/>
        <v>0</v>
      </c>
      <c r="Q1000" s="109">
        <f t="shared" si="1475"/>
        <v>439.60396039603961</v>
      </c>
      <c r="R1000" s="121">
        <v>62</v>
      </c>
      <c r="T1000" s="188"/>
    </row>
    <row r="1001" spans="1:20" x14ac:dyDescent="0.25">
      <c r="A1001" s="100">
        <v>135.4</v>
      </c>
      <c r="B1001" s="3">
        <v>7</v>
      </c>
      <c r="C1001" s="5" t="s">
        <v>8</v>
      </c>
      <c r="D1001" s="3" t="s">
        <v>48</v>
      </c>
      <c r="E1001" s="100" t="str">
        <f>IFERROR(VLOOKUP(C1001,Resources!B:D,3,FALSE)," ")</f>
        <v>L</v>
      </c>
      <c r="F1001" s="103">
        <f>VLOOKUP($A1001,'Model Inputs'!$A:$D,4,FALSE)</f>
        <v>3</v>
      </c>
      <c r="G1001" s="8">
        <f>G998</f>
        <v>44.44</v>
      </c>
      <c r="H1001" s="8">
        <f>H995</f>
        <v>355.2</v>
      </c>
      <c r="I1001" s="109">
        <f>IFERROR(VLOOKUP(C1001,Resources!B:G,6,FALSE)," ")</f>
        <v>42</v>
      </c>
      <c r="J1001" s="109">
        <f t="shared" si="1468"/>
        <v>1007.0927092709271</v>
      </c>
      <c r="K1001" s="8">
        <f t="shared" si="1469"/>
        <v>23.978397839783977</v>
      </c>
      <c r="L1001" s="8">
        <f t="shared" si="1470"/>
        <v>7.9927992799279926</v>
      </c>
      <c r="M1001" s="109">
        <f t="shared" si="1471"/>
        <v>1007.0927092709271</v>
      </c>
      <c r="N1001" s="109">
        <f t="shared" si="1472"/>
        <v>0</v>
      </c>
      <c r="O1001" s="109">
        <f t="shared" si="1473"/>
        <v>0</v>
      </c>
      <c r="P1001" s="109">
        <f t="shared" si="1474"/>
        <v>0</v>
      </c>
      <c r="Q1001" s="109">
        <f t="shared" si="1475"/>
        <v>1007.0927092709271</v>
      </c>
      <c r="R1001" s="121">
        <v>62</v>
      </c>
      <c r="T1001" s="188"/>
    </row>
    <row r="1002" spans="1:20" x14ac:dyDescent="0.25">
      <c r="A1002" s="100"/>
      <c r="B1002" s="3">
        <v>8</v>
      </c>
      <c r="C1002" s="5" t="s">
        <v>115</v>
      </c>
      <c r="D1002" s="3" t="s">
        <v>48</v>
      </c>
      <c r="E1002" s="100" t="str">
        <f>IFERROR(VLOOKUP(C1002,Resources!B:D,3,FALSE)," ")</f>
        <v>P</v>
      </c>
      <c r="F1002" s="8">
        <v>1</v>
      </c>
      <c r="G1002" s="8">
        <f>G998</f>
        <v>44.44</v>
      </c>
      <c r="H1002" s="8">
        <f>H995</f>
        <v>355.2</v>
      </c>
      <c r="I1002" s="109">
        <f>IFERROR(VLOOKUP(C1002,Resources!B:G,6,FALSE)," ")</f>
        <v>100</v>
      </c>
      <c r="J1002" s="109">
        <f t="shared" si="1468"/>
        <v>799.27992799279923</v>
      </c>
      <c r="K1002" s="8">
        <f t="shared" si="1469"/>
        <v>7.9927992799279926</v>
      </c>
      <c r="L1002" s="8">
        <f t="shared" si="1470"/>
        <v>7.9927992799279926</v>
      </c>
      <c r="M1002" s="109">
        <f t="shared" si="1471"/>
        <v>0</v>
      </c>
      <c r="N1002" s="109">
        <f t="shared" si="1472"/>
        <v>0</v>
      </c>
      <c r="O1002" s="109">
        <f t="shared" si="1473"/>
        <v>799.27992799279923</v>
      </c>
      <c r="P1002" s="109">
        <f t="shared" si="1474"/>
        <v>0</v>
      </c>
      <c r="Q1002" s="109">
        <f t="shared" si="1475"/>
        <v>799.27992799279923</v>
      </c>
      <c r="R1002" s="121">
        <v>62</v>
      </c>
      <c r="T1002" s="188"/>
    </row>
    <row r="1003" spans="1:20" x14ac:dyDescent="0.25">
      <c r="A1003" s="101"/>
      <c r="B1003" s="4"/>
      <c r="C1003" s="6"/>
      <c r="D1003" s="4"/>
      <c r="E1003" s="101" t="str">
        <f>IFERROR(VLOOKUP(C1003,Resources!B:D,3,FALSE)," ")</f>
        <v xml:space="preserve"> </v>
      </c>
      <c r="F1003" s="9"/>
      <c r="G1003" s="9"/>
      <c r="H1003" s="9"/>
      <c r="I1003" s="38" t="str">
        <f>IFERROR(VLOOKUP(C1003,Resources!B:G,6,FALSE)," ")</f>
        <v xml:space="preserve"> </v>
      </c>
      <c r="J1003" s="38"/>
      <c r="K1003" s="9"/>
      <c r="L1003" s="9"/>
      <c r="M1003" s="38"/>
      <c r="N1003" s="38"/>
      <c r="O1003" s="38"/>
      <c r="P1003" s="38"/>
      <c r="Q1003" s="38"/>
      <c r="R1003" s="122"/>
      <c r="T1003" s="188"/>
    </row>
    <row r="1004" spans="1:20" ht="30" x14ac:dyDescent="0.25">
      <c r="A1004" s="114">
        <v>136</v>
      </c>
      <c r="B1004" s="1" t="s">
        <v>485</v>
      </c>
      <c r="C1004" s="1" t="s">
        <v>486</v>
      </c>
      <c r="D1004" s="2" t="s">
        <v>62</v>
      </c>
      <c r="E1004" s="99" t="str">
        <f>IFERROR(VLOOKUP(C1004,Resources!B:D,3,FALSE)," ")</f>
        <v xml:space="preserve"> </v>
      </c>
      <c r="F1004" s="7"/>
      <c r="G1004" s="7"/>
      <c r="H1004" s="103">
        <f>VLOOKUP($A1004,'Model Inputs'!$A:$D,4,FALSE)</f>
        <v>96</v>
      </c>
      <c r="I1004" s="108" t="str">
        <f>IFERROR(VLOOKUP(C1004,Resources!B:G,6,FALSE)," ")</f>
        <v xml:space="preserve"> </v>
      </c>
      <c r="J1004" s="108">
        <f>SUBTOTAL(9,J1006:J1017)</f>
        <v>8090.9334624273233</v>
      </c>
      <c r="K1004" s="7"/>
      <c r="L1004" s="7">
        <f>ROUNDUP((MAX((L1006+4),L1008:L1012)+MAX(L1014:L1017))/Workhrs,0)</f>
        <v>3</v>
      </c>
      <c r="M1004" s="108">
        <f t="shared" ref="M1004:Q1004" si="1476">SUBTOTAL(9,M1006:M1017)</f>
        <v>1348.7693249324932</v>
      </c>
      <c r="N1004" s="108">
        <f t="shared" si="1476"/>
        <v>0</v>
      </c>
      <c r="O1004" s="108">
        <f t="shared" si="1476"/>
        <v>6742.1641374948294</v>
      </c>
      <c r="P1004" s="108">
        <f t="shared" si="1476"/>
        <v>0</v>
      </c>
      <c r="Q1004" s="108">
        <f t="shared" si="1476"/>
        <v>8090.9334624273233</v>
      </c>
      <c r="R1004" s="120"/>
      <c r="T1004" s="188"/>
    </row>
    <row r="1005" spans="1:20" x14ac:dyDescent="0.25">
      <c r="A1005" s="100">
        <v>136.1</v>
      </c>
      <c r="B1005" s="3">
        <v>1</v>
      </c>
      <c r="C1005" s="5" t="s">
        <v>2382</v>
      </c>
      <c r="D1005" s="3"/>
      <c r="E1005" s="100" t="str">
        <f>IFERROR(VLOOKUP(C1005,Resources!B:D,3,FALSE)," ")</f>
        <v xml:space="preserve"> </v>
      </c>
      <c r="F1005" s="103">
        <f>VLOOKUP($A1005,'Model Inputs'!$A:$D,4,FALSE)</f>
        <v>2.4</v>
      </c>
      <c r="G1005" s="8"/>
      <c r="H1005" s="8">
        <f>H1004*F1005</f>
        <v>230.39999999999998</v>
      </c>
      <c r="I1005" s="109" t="str">
        <f>IFERROR(VLOOKUP(C1005,Resources!B:G,6,FALSE)," ")</f>
        <v xml:space="preserve"> </v>
      </c>
      <c r="J1005" s="109"/>
      <c r="K1005" s="8"/>
      <c r="L1005" s="8"/>
      <c r="M1005" s="109"/>
      <c r="N1005" s="109"/>
      <c r="O1005" s="109"/>
      <c r="P1005" s="109"/>
      <c r="Q1005" s="109"/>
      <c r="R1005" s="121"/>
      <c r="T1005" s="188"/>
    </row>
    <row r="1006" spans="1:20" x14ac:dyDescent="0.25">
      <c r="A1006" s="100">
        <v>136.19999999999999</v>
      </c>
      <c r="B1006" s="3">
        <v>2</v>
      </c>
      <c r="C1006" s="5" t="s">
        <v>44</v>
      </c>
      <c r="D1006" s="3" t="s">
        <v>48</v>
      </c>
      <c r="E1006" s="100" t="str">
        <f>IFERROR(VLOOKUP(C1006,Resources!B:D,3,FALSE)," ")</f>
        <v>P</v>
      </c>
      <c r="F1006" s="103">
        <f>VLOOKUP($A1006,'Model Inputs'!$A:$D,4,FALSE)</f>
        <v>3</v>
      </c>
      <c r="G1006" s="8">
        <v>37</v>
      </c>
      <c r="H1006" s="8">
        <f>H1005</f>
        <v>230.39999999999998</v>
      </c>
      <c r="I1006" s="109">
        <f>IFERROR(VLOOKUP(C1006,Resources!B:G,6,FALSE)," ")</f>
        <v>145</v>
      </c>
      <c r="J1006" s="109">
        <f t="shared" ref="J1006" si="1477">(H1006/(G1006/F1006))*I1006</f>
        <v>2708.7567567567562</v>
      </c>
      <c r="K1006" s="8">
        <f t="shared" ref="K1006" si="1478">L1006*F1006</f>
        <v>18.681081081081079</v>
      </c>
      <c r="L1006" s="8">
        <f t="shared" ref="L1006" si="1479">IF(E1006="M"," ",H1006/G1006)</f>
        <v>6.2270270270270265</v>
      </c>
      <c r="M1006" s="109">
        <f t="shared" ref="M1006" si="1480">IF($E1006="L",$J1006,0)</f>
        <v>0</v>
      </c>
      <c r="N1006" s="109">
        <f t="shared" ref="N1006" si="1481">IF($E1006="M",$J1006,0)</f>
        <v>0</v>
      </c>
      <c r="O1006" s="109">
        <f t="shared" ref="O1006" si="1482">IF($E1006="P",$J1006,0)</f>
        <v>2708.7567567567562</v>
      </c>
      <c r="P1006" s="109">
        <f t="shared" ref="P1006" si="1483">IF($E1006="S",$J1006,0)</f>
        <v>0</v>
      </c>
      <c r="Q1006" s="109">
        <f t="shared" ref="Q1006" si="1484">SUM(M1006:P1006)</f>
        <v>2708.7567567567562</v>
      </c>
      <c r="R1006" s="121">
        <v>62</v>
      </c>
      <c r="T1006" s="188"/>
    </row>
    <row r="1007" spans="1:20" x14ac:dyDescent="0.25">
      <c r="A1007" s="101"/>
      <c r="B1007" s="4">
        <v>3</v>
      </c>
      <c r="C1007" s="6" t="s">
        <v>114</v>
      </c>
      <c r="D1007" s="4"/>
      <c r="E1007" s="101" t="str">
        <f>IFERROR(VLOOKUP(C1007,Resources!B:D,3,FALSE)," ")</f>
        <v xml:space="preserve"> </v>
      </c>
      <c r="F1007" s="9"/>
      <c r="G1007" s="9"/>
      <c r="H1007" s="9"/>
      <c r="I1007" s="38" t="str">
        <f>IFERROR(VLOOKUP(C1007,Resources!B:G,6,FALSE)," ")</f>
        <v xml:space="preserve"> </v>
      </c>
      <c r="J1007" s="38"/>
      <c r="K1007" s="9"/>
      <c r="L1007" s="9"/>
      <c r="M1007" s="38"/>
      <c r="N1007" s="38"/>
      <c r="O1007" s="38"/>
      <c r="P1007" s="38"/>
      <c r="Q1007" s="38"/>
      <c r="R1007" s="122"/>
      <c r="T1007" s="188"/>
    </row>
    <row r="1008" spans="1:20" x14ac:dyDescent="0.25">
      <c r="A1008" s="100">
        <v>136.30000000000001</v>
      </c>
      <c r="B1008" s="3">
        <v>4</v>
      </c>
      <c r="C1008" s="5" t="s">
        <v>39</v>
      </c>
      <c r="D1008" s="3" t="s">
        <v>48</v>
      </c>
      <c r="E1008" s="100" t="str">
        <f>IFERROR(VLOOKUP(C1008,Resources!B:D,3,FALSE)," ")</f>
        <v>P</v>
      </c>
      <c r="F1008" s="8">
        <v>1</v>
      </c>
      <c r="G1008" s="103">
        <f>VLOOKUP($A1008,'Model Inputs'!$A:$D,4,FALSE)</f>
        <v>44.44</v>
      </c>
      <c r="H1008" s="8">
        <f>H1005</f>
        <v>230.39999999999998</v>
      </c>
      <c r="I1008" s="109">
        <f>IFERROR(VLOOKUP(C1008,Resources!B:G,6,FALSE)," ")</f>
        <v>145</v>
      </c>
      <c r="J1008" s="109">
        <f t="shared" ref="J1008:J1012" si="1485">(H1008/(G1008/F1008))*I1008</f>
        <v>751.75517551755172</v>
      </c>
      <c r="K1008" s="8">
        <f t="shared" ref="K1008:K1012" si="1486">L1008*F1008</f>
        <v>5.1845184518451841</v>
      </c>
      <c r="L1008" s="8">
        <f t="shared" ref="L1008:L1012" si="1487">IF(E1008="M"," ",H1008/G1008)</f>
        <v>5.1845184518451841</v>
      </c>
      <c r="M1008" s="109">
        <f t="shared" ref="M1008:M1012" si="1488">IF($E1008="L",$J1008,0)</f>
        <v>0</v>
      </c>
      <c r="N1008" s="109">
        <f t="shared" ref="N1008:N1012" si="1489">IF($E1008="M",$J1008,0)</f>
        <v>0</v>
      </c>
      <c r="O1008" s="109">
        <f t="shared" ref="O1008:O1012" si="1490">IF($E1008="P",$J1008,0)</f>
        <v>751.75517551755172</v>
      </c>
      <c r="P1008" s="109">
        <f t="shared" ref="P1008:P1012" si="1491">IF($E1008="S",$J1008,0)</f>
        <v>0</v>
      </c>
      <c r="Q1008" s="109">
        <f t="shared" ref="Q1008:Q1012" si="1492">SUM(M1008:P1008)</f>
        <v>751.75517551755172</v>
      </c>
      <c r="R1008" s="121">
        <v>62</v>
      </c>
      <c r="T1008" s="188"/>
    </row>
    <row r="1009" spans="1:20" x14ac:dyDescent="0.25">
      <c r="A1009" s="100"/>
      <c r="B1009" s="3">
        <v>5</v>
      </c>
      <c r="C1009" s="5" t="s">
        <v>64</v>
      </c>
      <c r="D1009" s="3" t="s">
        <v>48</v>
      </c>
      <c r="E1009" s="100" t="str">
        <f>IFERROR(VLOOKUP(C1009,Resources!B:D,3,FALSE)," ")</f>
        <v>P</v>
      </c>
      <c r="F1009" s="8">
        <v>1</v>
      </c>
      <c r="G1009" s="8">
        <f>G1008</f>
        <v>44.44</v>
      </c>
      <c r="H1009" s="8">
        <f>H1005</f>
        <v>230.39999999999998</v>
      </c>
      <c r="I1009" s="109">
        <f>IFERROR(VLOOKUP(C1009,Resources!B:G,6,FALSE)," ")</f>
        <v>100</v>
      </c>
      <c r="J1009" s="109">
        <f t="shared" si="1485"/>
        <v>518.45184518451845</v>
      </c>
      <c r="K1009" s="8">
        <f t="shared" si="1486"/>
        <v>5.1845184518451841</v>
      </c>
      <c r="L1009" s="8">
        <f t="shared" si="1487"/>
        <v>5.1845184518451841</v>
      </c>
      <c r="M1009" s="109">
        <f t="shared" si="1488"/>
        <v>0</v>
      </c>
      <c r="N1009" s="109">
        <f t="shared" si="1489"/>
        <v>0</v>
      </c>
      <c r="O1009" s="109">
        <f t="shared" si="1490"/>
        <v>518.45184518451845</v>
      </c>
      <c r="P1009" s="109">
        <f t="shared" si="1491"/>
        <v>0</v>
      </c>
      <c r="Q1009" s="109">
        <f t="shared" si="1492"/>
        <v>518.45184518451845</v>
      </c>
      <c r="R1009" s="121">
        <v>62</v>
      </c>
      <c r="T1009" s="188"/>
    </row>
    <row r="1010" spans="1:20" x14ac:dyDescent="0.25">
      <c r="A1010" s="100"/>
      <c r="B1010" s="3">
        <v>6</v>
      </c>
      <c r="C1010" s="5" t="s">
        <v>69</v>
      </c>
      <c r="D1010" s="3" t="s">
        <v>48</v>
      </c>
      <c r="E1010" s="100" t="str">
        <f>IFERROR(VLOOKUP(C1010,Resources!B:D,3,FALSE)," ")</f>
        <v>P</v>
      </c>
      <c r="F1010" s="8">
        <v>1</v>
      </c>
      <c r="G1010" s="8">
        <f>G1008</f>
        <v>44.44</v>
      </c>
      <c r="H1010" s="8">
        <f>H1005</f>
        <v>230.39999999999998</v>
      </c>
      <c r="I1010" s="109">
        <f>IFERROR(VLOOKUP(C1010,Resources!B:G,6,FALSE)," ")</f>
        <v>55</v>
      </c>
      <c r="J1010" s="109">
        <f t="shared" si="1485"/>
        <v>285.14851485148512</v>
      </c>
      <c r="K1010" s="8">
        <f t="shared" si="1486"/>
        <v>5.1845184518451841</v>
      </c>
      <c r="L1010" s="8">
        <f t="shared" si="1487"/>
        <v>5.1845184518451841</v>
      </c>
      <c r="M1010" s="109">
        <f t="shared" si="1488"/>
        <v>0</v>
      </c>
      <c r="N1010" s="109">
        <f t="shared" si="1489"/>
        <v>0</v>
      </c>
      <c r="O1010" s="109">
        <f t="shared" si="1490"/>
        <v>285.14851485148512</v>
      </c>
      <c r="P1010" s="109">
        <f t="shared" si="1491"/>
        <v>0</v>
      </c>
      <c r="Q1010" s="109">
        <f t="shared" si="1492"/>
        <v>285.14851485148512</v>
      </c>
      <c r="R1010" s="121">
        <v>62</v>
      </c>
      <c r="T1010" s="188"/>
    </row>
    <row r="1011" spans="1:20" x14ac:dyDescent="0.25">
      <c r="A1011" s="100"/>
      <c r="B1011" s="3">
        <v>7</v>
      </c>
      <c r="C1011" s="5" t="s">
        <v>8</v>
      </c>
      <c r="D1011" s="3" t="s">
        <v>48</v>
      </c>
      <c r="E1011" s="100" t="str">
        <f>IFERROR(VLOOKUP(C1011,Resources!B:D,3,FALSE)," ")</f>
        <v>L</v>
      </c>
      <c r="F1011" s="8">
        <v>3</v>
      </c>
      <c r="G1011" s="8">
        <f>G1008</f>
        <v>44.44</v>
      </c>
      <c r="H1011" s="8">
        <f>H1005</f>
        <v>230.39999999999998</v>
      </c>
      <c r="I1011" s="109">
        <f>IFERROR(VLOOKUP(C1011,Resources!B:G,6,FALSE)," ")</f>
        <v>42</v>
      </c>
      <c r="J1011" s="109">
        <f t="shared" si="1485"/>
        <v>653.24932493249321</v>
      </c>
      <c r="K1011" s="8">
        <f t="shared" si="1486"/>
        <v>15.553555355535552</v>
      </c>
      <c r="L1011" s="8">
        <f t="shared" si="1487"/>
        <v>5.1845184518451841</v>
      </c>
      <c r="M1011" s="109">
        <f t="shared" si="1488"/>
        <v>653.24932493249321</v>
      </c>
      <c r="N1011" s="109">
        <f t="shared" si="1489"/>
        <v>0</v>
      </c>
      <c r="O1011" s="109">
        <f t="shared" si="1490"/>
        <v>0</v>
      </c>
      <c r="P1011" s="109">
        <f t="shared" si="1491"/>
        <v>0</v>
      </c>
      <c r="Q1011" s="109">
        <f t="shared" si="1492"/>
        <v>653.24932493249321</v>
      </c>
      <c r="R1011" s="121">
        <v>62</v>
      </c>
      <c r="T1011" s="188"/>
    </row>
    <row r="1012" spans="1:20" x14ac:dyDescent="0.25">
      <c r="A1012" s="100"/>
      <c r="B1012" s="3">
        <v>8</v>
      </c>
      <c r="C1012" s="5" t="s">
        <v>115</v>
      </c>
      <c r="D1012" s="3" t="s">
        <v>48</v>
      </c>
      <c r="E1012" s="100" t="str">
        <f>IFERROR(VLOOKUP(C1012,Resources!B:D,3,FALSE)," ")</f>
        <v>P</v>
      </c>
      <c r="F1012" s="8">
        <v>1</v>
      </c>
      <c r="G1012" s="8">
        <f>G1008</f>
        <v>44.44</v>
      </c>
      <c r="H1012" s="8">
        <f>H1005</f>
        <v>230.39999999999998</v>
      </c>
      <c r="I1012" s="109">
        <f>IFERROR(VLOOKUP(C1012,Resources!B:G,6,FALSE)," ")</f>
        <v>100</v>
      </c>
      <c r="J1012" s="109">
        <f t="shared" si="1485"/>
        <v>518.45184518451845</v>
      </c>
      <c r="K1012" s="8">
        <f t="shared" si="1486"/>
        <v>5.1845184518451841</v>
      </c>
      <c r="L1012" s="8">
        <f t="shared" si="1487"/>
        <v>5.1845184518451841</v>
      </c>
      <c r="M1012" s="109">
        <f t="shared" si="1488"/>
        <v>0</v>
      </c>
      <c r="N1012" s="109">
        <f t="shared" si="1489"/>
        <v>0</v>
      </c>
      <c r="O1012" s="109">
        <f t="shared" si="1490"/>
        <v>518.45184518451845</v>
      </c>
      <c r="P1012" s="109">
        <f t="shared" si="1491"/>
        <v>0</v>
      </c>
      <c r="Q1012" s="109">
        <f t="shared" si="1492"/>
        <v>518.45184518451845</v>
      </c>
      <c r="R1012" s="121">
        <v>62</v>
      </c>
      <c r="T1012" s="188"/>
    </row>
    <row r="1013" spans="1:20" x14ac:dyDescent="0.25">
      <c r="A1013" s="101"/>
      <c r="B1013" s="4">
        <v>9</v>
      </c>
      <c r="C1013" s="6" t="s">
        <v>116</v>
      </c>
      <c r="D1013" s="4"/>
      <c r="E1013" s="101" t="str">
        <f>IFERROR(VLOOKUP(C1013,Resources!B:D,3,FALSE)," ")</f>
        <v xml:space="preserve"> </v>
      </c>
      <c r="F1013" s="9"/>
      <c r="G1013" s="9"/>
      <c r="H1013" s="9"/>
      <c r="I1013" s="38" t="str">
        <f>IFERROR(VLOOKUP(C1013,Resources!B:G,6,FALSE)," ")</f>
        <v xml:space="preserve"> </v>
      </c>
      <c r="J1013" s="38"/>
      <c r="K1013" s="9"/>
      <c r="L1013" s="9"/>
      <c r="M1013" s="38"/>
      <c r="N1013" s="38"/>
      <c r="O1013" s="38"/>
      <c r="P1013" s="38"/>
      <c r="Q1013" s="38"/>
      <c r="R1013" s="122"/>
      <c r="T1013" s="188"/>
    </row>
    <row r="1014" spans="1:20" x14ac:dyDescent="0.25">
      <c r="A1014" s="100">
        <v>136.4</v>
      </c>
      <c r="B1014" s="3">
        <v>10</v>
      </c>
      <c r="C1014" s="5" t="s">
        <v>39</v>
      </c>
      <c r="D1014" s="3" t="s">
        <v>48</v>
      </c>
      <c r="E1014" s="100" t="str">
        <f>IFERROR(VLOOKUP(C1014,Resources!B:D,3,FALSE)," ")</f>
        <v>P</v>
      </c>
      <c r="F1014" s="8">
        <v>1</v>
      </c>
      <c r="G1014" s="103">
        <f>VLOOKUP($A1014,'Model Inputs'!$A:$D,4,FALSE)</f>
        <v>150</v>
      </c>
      <c r="H1014" s="8">
        <f>ROUND(H1004/0.116,0)</f>
        <v>828</v>
      </c>
      <c r="I1014" s="109">
        <f>IFERROR(VLOOKUP(C1014,Resources!B:G,6,FALSE)," ")</f>
        <v>145</v>
      </c>
      <c r="J1014" s="109">
        <f t="shared" ref="J1014:J1017" si="1493">(H1014/(G1014/F1014))*I1014</f>
        <v>800.4</v>
      </c>
      <c r="K1014" s="8">
        <f t="shared" ref="K1014:K1017" si="1494">L1014*F1014</f>
        <v>5.52</v>
      </c>
      <c r="L1014" s="8">
        <f t="shared" ref="L1014:L1017" si="1495">IF(E1014="M"," ",H1014/G1014)</f>
        <v>5.52</v>
      </c>
      <c r="M1014" s="109">
        <f t="shared" ref="M1014:M1017" si="1496">IF($E1014="L",$J1014,0)</f>
        <v>0</v>
      </c>
      <c r="N1014" s="109">
        <f t="shared" ref="N1014:N1017" si="1497">IF($E1014="M",$J1014,0)</f>
        <v>0</v>
      </c>
      <c r="O1014" s="109">
        <f t="shared" ref="O1014:O1017" si="1498">IF($E1014="P",$J1014,0)</f>
        <v>800.4</v>
      </c>
      <c r="P1014" s="109">
        <f t="shared" ref="P1014:P1017" si="1499">IF($E1014="S",$J1014,0)</f>
        <v>0</v>
      </c>
      <c r="Q1014" s="109">
        <f t="shared" ref="Q1014:Q1017" si="1500">SUM(M1014:P1014)</f>
        <v>800.4</v>
      </c>
      <c r="R1014" s="121">
        <v>63</v>
      </c>
      <c r="T1014" s="188"/>
    </row>
    <row r="1015" spans="1:20" x14ac:dyDescent="0.25">
      <c r="A1015" s="100"/>
      <c r="B1015" s="3">
        <v>11</v>
      </c>
      <c r="C1015" s="5" t="s">
        <v>64</v>
      </c>
      <c r="D1015" s="3" t="s">
        <v>48</v>
      </c>
      <c r="E1015" s="100" t="str">
        <f>IFERROR(VLOOKUP(C1015,Resources!B:D,3,FALSE)," ")</f>
        <v>P</v>
      </c>
      <c r="F1015" s="8">
        <v>1</v>
      </c>
      <c r="G1015" s="8">
        <f>G1014</f>
        <v>150</v>
      </c>
      <c r="H1015" s="8">
        <f>H1014</f>
        <v>828</v>
      </c>
      <c r="I1015" s="109">
        <f>IFERROR(VLOOKUP(C1015,Resources!B:G,6,FALSE)," ")</f>
        <v>100</v>
      </c>
      <c r="J1015" s="109">
        <f t="shared" si="1493"/>
        <v>552</v>
      </c>
      <c r="K1015" s="8">
        <f t="shared" si="1494"/>
        <v>5.52</v>
      </c>
      <c r="L1015" s="8">
        <f t="shared" si="1495"/>
        <v>5.52</v>
      </c>
      <c r="M1015" s="109">
        <f t="shared" si="1496"/>
        <v>0</v>
      </c>
      <c r="N1015" s="109">
        <f t="shared" si="1497"/>
        <v>0</v>
      </c>
      <c r="O1015" s="109">
        <f t="shared" si="1498"/>
        <v>552</v>
      </c>
      <c r="P1015" s="109">
        <f t="shared" si="1499"/>
        <v>0</v>
      </c>
      <c r="Q1015" s="109">
        <f t="shared" si="1500"/>
        <v>552</v>
      </c>
      <c r="R1015" s="121">
        <v>63</v>
      </c>
      <c r="T1015" s="188"/>
    </row>
    <row r="1016" spans="1:20" x14ac:dyDescent="0.25">
      <c r="A1016" s="100"/>
      <c r="B1016" s="3">
        <v>12</v>
      </c>
      <c r="C1016" s="5" t="s">
        <v>43</v>
      </c>
      <c r="D1016" s="3" t="s">
        <v>48</v>
      </c>
      <c r="E1016" s="100" t="str">
        <f>IFERROR(VLOOKUP(C1016,Resources!B:D,3,FALSE)," ")</f>
        <v>P</v>
      </c>
      <c r="F1016" s="8">
        <v>1</v>
      </c>
      <c r="G1016" s="8">
        <f>G1014/2</f>
        <v>75</v>
      </c>
      <c r="H1016" s="8">
        <f>H1014</f>
        <v>828</v>
      </c>
      <c r="I1016" s="109">
        <f>IFERROR(VLOOKUP(C1016,Resources!B:G,6,FALSE)," ")</f>
        <v>55</v>
      </c>
      <c r="J1016" s="109">
        <f t="shared" si="1493"/>
        <v>607.19999999999993</v>
      </c>
      <c r="K1016" s="8">
        <f t="shared" si="1494"/>
        <v>11.04</v>
      </c>
      <c r="L1016" s="8">
        <f t="shared" si="1495"/>
        <v>11.04</v>
      </c>
      <c r="M1016" s="109">
        <f t="shared" si="1496"/>
        <v>0</v>
      </c>
      <c r="N1016" s="109">
        <f t="shared" si="1497"/>
        <v>0</v>
      </c>
      <c r="O1016" s="109">
        <f t="shared" si="1498"/>
        <v>607.19999999999993</v>
      </c>
      <c r="P1016" s="109">
        <f t="shared" si="1499"/>
        <v>0</v>
      </c>
      <c r="Q1016" s="109">
        <f t="shared" si="1500"/>
        <v>607.19999999999993</v>
      </c>
      <c r="R1016" s="121">
        <v>63</v>
      </c>
      <c r="T1016" s="188"/>
    </row>
    <row r="1017" spans="1:20" x14ac:dyDescent="0.25">
      <c r="A1017" s="100">
        <v>136.5</v>
      </c>
      <c r="B1017" s="3">
        <v>13</v>
      </c>
      <c r="C1017" s="5" t="s">
        <v>8</v>
      </c>
      <c r="D1017" s="3" t="s">
        <v>48</v>
      </c>
      <c r="E1017" s="100" t="str">
        <f>IFERROR(VLOOKUP(C1017,Resources!B:D,3,FALSE)," ")</f>
        <v>L</v>
      </c>
      <c r="F1017" s="103">
        <f>VLOOKUP($A1017,'Model Inputs'!$A:$D,4,FALSE)</f>
        <v>3</v>
      </c>
      <c r="G1017" s="8">
        <f>G1014</f>
        <v>150</v>
      </c>
      <c r="H1017" s="8">
        <f>H1014</f>
        <v>828</v>
      </c>
      <c r="I1017" s="109">
        <f>IFERROR(VLOOKUP(C1017,Resources!B:G,6,FALSE)," ")</f>
        <v>42</v>
      </c>
      <c r="J1017" s="109">
        <f t="shared" si="1493"/>
        <v>695.52</v>
      </c>
      <c r="K1017" s="8">
        <f t="shared" si="1494"/>
        <v>16.559999999999999</v>
      </c>
      <c r="L1017" s="8">
        <f t="shared" si="1495"/>
        <v>5.52</v>
      </c>
      <c r="M1017" s="109">
        <f t="shared" si="1496"/>
        <v>695.52</v>
      </c>
      <c r="N1017" s="109">
        <f t="shared" si="1497"/>
        <v>0</v>
      </c>
      <c r="O1017" s="109">
        <f t="shared" si="1498"/>
        <v>0</v>
      </c>
      <c r="P1017" s="109">
        <f t="shared" si="1499"/>
        <v>0</v>
      </c>
      <c r="Q1017" s="109">
        <f t="shared" si="1500"/>
        <v>695.52</v>
      </c>
      <c r="R1017" s="121">
        <v>63</v>
      </c>
      <c r="T1017" s="188"/>
    </row>
    <row r="1018" spans="1:20" x14ac:dyDescent="0.25">
      <c r="A1018" s="101"/>
      <c r="B1018" s="4"/>
      <c r="C1018" s="6"/>
      <c r="D1018" s="4"/>
      <c r="E1018" s="101" t="str">
        <f>IFERROR(VLOOKUP(C1018,Resources!B:D,3,FALSE)," ")</f>
        <v xml:space="preserve"> </v>
      </c>
      <c r="F1018" s="9"/>
      <c r="G1018" s="9"/>
      <c r="H1018" s="9"/>
      <c r="I1018" s="38" t="str">
        <f>IFERROR(VLOOKUP(C1018,Resources!B:G,6,FALSE)," ")</f>
        <v xml:space="preserve"> </v>
      </c>
      <c r="J1018" s="38"/>
      <c r="K1018" s="9"/>
      <c r="L1018" s="9"/>
      <c r="M1018" s="38"/>
      <c r="N1018" s="38"/>
      <c r="O1018" s="38"/>
      <c r="P1018" s="38"/>
      <c r="Q1018" s="38"/>
      <c r="R1018" s="122"/>
      <c r="T1018" s="188"/>
    </row>
    <row r="1019" spans="1:20" ht="30" x14ac:dyDescent="0.25">
      <c r="A1019" s="114">
        <v>137</v>
      </c>
      <c r="B1019" s="1" t="s">
        <v>487</v>
      </c>
      <c r="C1019" s="1" t="s">
        <v>223</v>
      </c>
      <c r="D1019" s="2" t="s">
        <v>107</v>
      </c>
      <c r="E1019" s="99" t="str">
        <f>IFERROR(VLOOKUP(C1019,Resources!B:D,3,FALSE)," ")</f>
        <v xml:space="preserve"> </v>
      </c>
      <c r="F1019" s="7"/>
      <c r="G1019" s="7"/>
      <c r="H1019" s="103">
        <f>VLOOKUP($A1019,'Model Inputs'!$A:$D,4,FALSE)</f>
        <v>928</v>
      </c>
      <c r="I1019" s="108" t="str">
        <f>IFERROR(VLOOKUP(C1019,Resources!B:G,6,FALSE)," ")</f>
        <v xml:space="preserve"> </v>
      </c>
      <c r="J1019" s="108">
        <f>SUBTOTAL(9,J1020:J1022)</f>
        <v>1467.623859649123</v>
      </c>
      <c r="K1019" s="7"/>
      <c r="L1019" s="7">
        <f>ROUNDUP(MAX(L1021:L1022)/Workhrs,0)</f>
        <v>1</v>
      </c>
      <c r="M1019" s="108">
        <f t="shared" ref="M1019:Q1019" si="1501">SUBTOTAL(9,M1020:M1022)</f>
        <v>225.65052631578948</v>
      </c>
      <c r="N1019" s="108">
        <f t="shared" si="1501"/>
        <v>1071.8400000000001</v>
      </c>
      <c r="O1019" s="108">
        <f t="shared" si="1501"/>
        <v>170.13333333333335</v>
      </c>
      <c r="P1019" s="108">
        <f t="shared" si="1501"/>
        <v>0</v>
      </c>
      <c r="Q1019" s="108">
        <f t="shared" si="1501"/>
        <v>1467.623859649123</v>
      </c>
      <c r="R1019" s="120"/>
      <c r="T1019" s="188"/>
    </row>
    <row r="1020" spans="1:20" x14ac:dyDescent="0.25">
      <c r="A1020" s="100"/>
      <c r="B1020" s="3">
        <v>1</v>
      </c>
      <c r="C1020" s="5" t="s">
        <v>2088</v>
      </c>
      <c r="D1020" s="3" t="s">
        <v>83</v>
      </c>
      <c r="E1020" s="100" t="str">
        <f>IFERROR(VLOOKUP(C1020,Resources!B:D,3,FALSE)," ")</f>
        <v>M</v>
      </c>
      <c r="F1020" s="8">
        <v>1</v>
      </c>
      <c r="G1020" s="8">
        <v>1</v>
      </c>
      <c r="H1020" s="8">
        <f>H1019*1.1</f>
        <v>1020.8000000000001</v>
      </c>
      <c r="I1020" s="109">
        <f>IFERROR(VLOOKUP(C1020,Resources!B:G,6,FALSE)," ")</f>
        <v>1.05</v>
      </c>
      <c r="J1020" s="109">
        <f t="shared" ref="J1020:J1022" si="1502">(H1020/(G1020/F1020))*I1020</f>
        <v>1071.8400000000001</v>
      </c>
      <c r="K1020" s="8"/>
      <c r="L1020" s="8" t="str">
        <f t="shared" ref="L1020:L1022" si="1503">IF(E1020="M"," ",H1020/G1020)</f>
        <v xml:space="preserve"> </v>
      </c>
      <c r="M1020" s="109">
        <f t="shared" ref="M1020:M1022" si="1504">IF($E1020="L",$J1020,0)</f>
        <v>0</v>
      </c>
      <c r="N1020" s="109">
        <f t="shared" ref="N1020:N1022" si="1505">IF($E1020="M",$J1020,0)</f>
        <v>1071.8400000000001</v>
      </c>
      <c r="O1020" s="109">
        <f t="shared" ref="O1020:O1022" si="1506">IF($E1020="P",$J1020,0)</f>
        <v>0</v>
      </c>
      <c r="P1020" s="109">
        <f t="shared" ref="P1020:P1022" si="1507">IF($E1020="S",$J1020,0)</f>
        <v>0</v>
      </c>
      <c r="Q1020" s="109">
        <f t="shared" ref="Q1020:Q1022" si="1508">SUM(M1020:P1020)</f>
        <v>1071.8400000000001</v>
      </c>
      <c r="R1020" s="121">
        <v>222</v>
      </c>
      <c r="T1020" s="188"/>
    </row>
    <row r="1021" spans="1:20" x14ac:dyDescent="0.25">
      <c r="A1021" s="100">
        <v>137.1</v>
      </c>
      <c r="B1021" s="3">
        <v>2</v>
      </c>
      <c r="C1021" s="5" t="s">
        <v>8</v>
      </c>
      <c r="D1021" s="3" t="s">
        <v>48</v>
      </c>
      <c r="E1021" s="100" t="str">
        <f>IFERROR(VLOOKUP(C1021,Resources!B:D,3,FALSE)," ")</f>
        <v>L</v>
      </c>
      <c r="F1021" s="8">
        <v>3</v>
      </c>
      <c r="G1021" s="103">
        <f>VLOOKUP($A1021,'Model Inputs'!$A:$D,4,FALSE)</f>
        <v>570</v>
      </c>
      <c r="H1021" s="8">
        <f>H1020</f>
        <v>1020.8000000000001</v>
      </c>
      <c r="I1021" s="109">
        <f>IFERROR(VLOOKUP(C1021,Resources!B:G,6,FALSE)," ")</f>
        <v>42</v>
      </c>
      <c r="J1021" s="109">
        <f t="shared" si="1502"/>
        <v>225.65052631578948</v>
      </c>
      <c r="K1021" s="8">
        <f t="shared" ref="K1021:K1022" si="1509">L1021*F1021</f>
        <v>5.3726315789473684</v>
      </c>
      <c r="L1021" s="8">
        <f t="shared" si="1503"/>
        <v>1.7908771929824563</v>
      </c>
      <c r="M1021" s="109">
        <f t="shared" si="1504"/>
        <v>225.65052631578948</v>
      </c>
      <c r="N1021" s="109">
        <f t="shared" si="1505"/>
        <v>0</v>
      </c>
      <c r="O1021" s="109">
        <f t="shared" si="1506"/>
        <v>0</v>
      </c>
      <c r="P1021" s="109">
        <f t="shared" si="1507"/>
        <v>0</v>
      </c>
      <c r="Q1021" s="109">
        <f t="shared" si="1508"/>
        <v>225.65052631578948</v>
      </c>
      <c r="R1021" s="121">
        <v>222</v>
      </c>
      <c r="T1021" s="188"/>
    </row>
    <row r="1022" spans="1:20" x14ac:dyDescent="0.25">
      <c r="A1022" s="100"/>
      <c r="B1022" s="3">
        <v>3</v>
      </c>
      <c r="C1022" s="5" t="s">
        <v>45</v>
      </c>
      <c r="D1022" s="3" t="s">
        <v>48</v>
      </c>
      <c r="E1022" s="100" t="str">
        <f>IFERROR(VLOOKUP(C1022,Resources!B:D,3,FALSE)," ")</f>
        <v>P</v>
      </c>
      <c r="F1022" s="8">
        <v>1</v>
      </c>
      <c r="G1022" s="8">
        <f>G1021</f>
        <v>570</v>
      </c>
      <c r="H1022" s="8">
        <f>H1020</f>
        <v>1020.8000000000001</v>
      </c>
      <c r="I1022" s="109">
        <f>IFERROR(VLOOKUP(C1022,Resources!B:G,6,FALSE)," ")</f>
        <v>95</v>
      </c>
      <c r="J1022" s="109">
        <f t="shared" si="1502"/>
        <v>170.13333333333335</v>
      </c>
      <c r="K1022" s="8">
        <f t="shared" si="1509"/>
        <v>1.7908771929824563</v>
      </c>
      <c r="L1022" s="8">
        <f t="shared" si="1503"/>
        <v>1.7908771929824563</v>
      </c>
      <c r="M1022" s="109">
        <f t="shared" si="1504"/>
        <v>0</v>
      </c>
      <c r="N1022" s="109">
        <f t="shared" si="1505"/>
        <v>0</v>
      </c>
      <c r="O1022" s="109">
        <f t="shared" si="1506"/>
        <v>170.13333333333335</v>
      </c>
      <c r="P1022" s="109">
        <f t="shared" si="1507"/>
        <v>0</v>
      </c>
      <c r="Q1022" s="109">
        <f t="shared" si="1508"/>
        <v>170.13333333333335</v>
      </c>
      <c r="R1022" s="121">
        <v>222</v>
      </c>
      <c r="T1022" s="188"/>
    </row>
    <row r="1023" spans="1:20" x14ac:dyDescent="0.25">
      <c r="A1023" s="101"/>
      <c r="B1023" s="4"/>
      <c r="C1023" s="6"/>
      <c r="D1023" s="4"/>
      <c r="E1023" s="101" t="str">
        <f>IFERROR(VLOOKUP(C1023,Resources!B:D,3,FALSE)," ")</f>
        <v xml:space="preserve"> </v>
      </c>
      <c r="F1023" s="9"/>
      <c r="G1023" s="9"/>
      <c r="H1023" s="9"/>
      <c r="I1023" s="38" t="str">
        <f>IFERROR(VLOOKUP(C1023,Resources!B:G,6,FALSE)," ")</f>
        <v xml:space="preserve"> </v>
      </c>
      <c r="J1023" s="38"/>
      <c r="K1023" s="9"/>
      <c r="L1023" s="9"/>
      <c r="M1023" s="38"/>
      <c r="N1023" s="38"/>
      <c r="O1023" s="38"/>
      <c r="P1023" s="38"/>
      <c r="Q1023" s="38"/>
      <c r="R1023" s="122"/>
      <c r="T1023" s="188"/>
    </row>
    <row r="1024" spans="1:20" ht="30" x14ac:dyDescent="0.25">
      <c r="A1024" s="114"/>
      <c r="B1024" s="1" t="s">
        <v>488</v>
      </c>
      <c r="C1024" s="1" t="s">
        <v>120</v>
      </c>
      <c r="D1024" s="2"/>
      <c r="E1024" s="99" t="str">
        <f>IFERROR(VLOOKUP(C1024,Resources!B:D,3,FALSE)," ")</f>
        <v xml:space="preserve"> </v>
      </c>
      <c r="F1024" s="7"/>
      <c r="G1024" s="7"/>
      <c r="H1024" s="7"/>
      <c r="I1024" s="108" t="str">
        <f>IFERROR(VLOOKUP(C1024,Resources!B:G,6,FALSE)," ")</f>
        <v xml:space="preserve"> </v>
      </c>
      <c r="J1024" s="108"/>
      <c r="K1024" s="7"/>
      <c r="L1024" s="7"/>
      <c r="M1024" s="108"/>
      <c r="N1024" s="108"/>
      <c r="O1024" s="108"/>
      <c r="P1024" s="108"/>
      <c r="Q1024" s="108"/>
      <c r="R1024" s="120"/>
      <c r="T1024" s="188"/>
    </row>
    <row r="1025" spans="1:20" ht="60" x14ac:dyDescent="0.25">
      <c r="A1025" s="114"/>
      <c r="B1025" s="1" t="s">
        <v>489</v>
      </c>
      <c r="C1025" s="1" t="s">
        <v>490</v>
      </c>
      <c r="D1025" s="2"/>
      <c r="E1025" s="99" t="str">
        <f>IFERROR(VLOOKUP(C1025,Resources!B:D,3,FALSE)," ")</f>
        <v xml:space="preserve"> </v>
      </c>
      <c r="F1025" s="7"/>
      <c r="G1025" s="7"/>
      <c r="H1025" s="7"/>
      <c r="I1025" s="108" t="str">
        <f>IFERROR(VLOOKUP(C1025,Resources!B:G,6,FALSE)," ")</f>
        <v xml:space="preserve"> </v>
      </c>
      <c r="J1025" s="108"/>
      <c r="K1025" s="7"/>
      <c r="L1025" s="7"/>
      <c r="M1025" s="108"/>
      <c r="N1025" s="108"/>
      <c r="O1025" s="108"/>
      <c r="P1025" s="108"/>
      <c r="Q1025" s="108"/>
      <c r="R1025" s="120"/>
      <c r="T1025" s="188"/>
    </row>
    <row r="1026" spans="1:20" ht="30" x14ac:dyDescent="0.25">
      <c r="A1026" s="114">
        <v>138</v>
      </c>
      <c r="B1026" s="1" t="s">
        <v>491</v>
      </c>
      <c r="C1026" s="1" t="s">
        <v>124</v>
      </c>
      <c r="D1026" s="2" t="s">
        <v>107</v>
      </c>
      <c r="E1026" s="99" t="str">
        <f>IFERROR(VLOOKUP(C1026,Resources!B:D,3,FALSE)," ")</f>
        <v xml:space="preserve"> </v>
      </c>
      <c r="F1026" s="7"/>
      <c r="G1026" s="7"/>
      <c r="H1026" s="103">
        <f>VLOOKUP($A1026,'Model Inputs'!$A:$D,4,FALSE)</f>
        <v>828</v>
      </c>
      <c r="I1026" s="108" t="str">
        <f>IFERROR(VLOOKUP(C1026,Resources!B:G,6,FALSE)," ")</f>
        <v xml:space="preserve"> </v>
      </c>
      <c r="J1026" s="108">
        <f>SUBTOTAL(9,J1027)</f>
        <v>13597.416000000001</v>
      </c>
      <c r="K1026" s="7"/>
      <c r="L1026" s="7">
        <f>ROUNDUP(L1027/2000,0)</f>
        <v>1</v>
      </c>
      <c r="M1026" s="108">
        <f t="shared" ref="M1026:Q1026" si="1510">SUBTOTAL(9,M1027)</f>
        <v>0</v>
      </c>
      <c r="N1026" s="108">
        <f t="shared" si="1510"/>
        <v>0</v>
      </c>
      <c r="O1026" s="108">
        <f t="shared" si="1510"/>
        <v>0</v>
      </c>
      <c r="P1026" s="108">
        <f t="shared" si="1510"/>
        <v>13597.416000000001</v>
      </c>
      <c r="Q1026" s="108">
        <f t="shared" si="1510"/>
        <v>13597.416000000001</v>
      </c>
      <c r="R1026" s="120"/>
      <c r="T1026" s="188"/>
    </row>
    <row r="1027" spans="1:20" x14ac:dyDescent="0.25">
      <c r="A1027" s="100"/>
      <c r="B1027" s="3">
        <v>1</v>
      </c>
      <c r="C1027" s="5" t="s">
        <v>2264</v>
      </c>
      <c r="D1027" s="3" t="s">
        <v>83</v>
      </c>
      <c r="E1027" s="100" t="str">
        <f>IFERROR(VLOOKUP(C1027,Resources!B:D,3,FALSE)," ")</f>
        <v>S</v>
      </c>
      <c r="F1027" s="8">
        <v>1</v>
      </c>
      <c r="G1027" s="8">
        <v>1</v>
      </c>
      <c r="H1027" s="8">
        <f>H1026*1.05</f>
        <v>869.40000000000009</v>
      </c>
      <c r="I1027" s="109">
        <f>IFERROR(VLOOKUP(C1027,Resources!B:G,6,FALSE)," ")</f>
        <v>15.64</v>
      </c>
      <c r="J1027" s="109">
        <f t="shared" ref="J1027" si="1511">(H1027/(G1027/F1027))*I1027</f>
        <v>13597.416000000001</v>
      </c>
      <c r="K1027" s="8">
        <f t="shared" ref="K1027" si="1512">L1027*F1027</f>
        <v>869.40000000000009</v>
      </c>
      <c r="L1027" s="8">
        <f t="shared" ref="L1027" si="1513">IF(E1027="M"," ",H1027/G1027)</f>
        <v>869.40000000000009</v>
      </c>
      <c r="M1027" s="109">
        <f t="shared" ref="M1027" si="1514">IF($E1027="L",$J1027,0)</f>
        <v>0</v>
      </c>
      <c r="N1027" s="109">
        <f t="shared" ref="N1027" si="1515">IF($E1027="M",$J1027,0)</f>
        <v>0</v>
      </c>
      <c r="O1027" s="109">
        <f t="shared" ref="O1027" si="1516">IF($E1027="P",$J1027,0)</f>
        <v>0</v>
      </c>
      <c r="P1027" s="109">
        <f t="shared" ref="P1027" si="1517">IF($E1027="S",$J1027,0)</f>
        <v>13597.416000000001</v>
      </c>
      <c r="Q1027" s="109">
        <f t="shared" ref="Q1027" si="1518">SUM(M1027:P1027)</f>
        <v>13597.416000000001</v>
      </c>
      <c r="R1027" s="121">
        <v>64</v>
      </c>
      <c r="T1027" s="188"/>
    </row>
    <row r="1028" spans="1:20" x14ac:dyDescent="0.25">
      <c r="A1028" s="101"/>
      <c r="B1028" s="4"/>
      <c r="C1028" s="6"/>
      <c r="D1028" s="4"/>
      <c r="E1028" s="101" t="str">
        <f>IFERROR(VLOOKUP(C1028,Resources!B:D,3,FALSE)," ")</f>
        <v xml:space="preserve"> </v>
      </c>
      <c r="F1028" s="9"/>
      <c r="G1028" s="9"/>
      <c r="H1028" s="9"/>
      <c r="I1028" s="38" t="str">
        <f>IFERROR(VLOOKUP(C1028,Resources!B:G,6,FALSE)," ")</f>
        <v xml:space="preserve"> </v>
      </c>
      <c r="J1028" s="38"/>
      <c r="K1028" s="9"/>
      <c r="L1028" s="9"/>
      <c r="M1028" s="38"/>
      <c r="N1028" s="38"/>
      <c r="O1028" s="38"/>
      <c r="P1028" s="38"/>
      <c r="Q1028" s="38"/>
      <c r="R1028" s="122"/>
      <c r="T1028" s="188"/>
    </row>
    <row r="1029" spans="1:20" ht="30" x14ac:dyDescent="0.25">
      <c r="A1029" s="114"/>
      <c r="B1029" s="1" t="s">
        <v>492</v>
      </c>
      <c r="C1029" s="1" t="s">
        <v>403</v>
      </c>
      <c r="D1029" s="2"/>
      <c r="E1029" s="99" t="str">
        <f>IFERROR(VLOOKUP(C1029,Resources!B:D,3,FALSE)," ")</f>
        <v xml:space="preserve"> </v>
      </c>
      <c r="F1029" s="7"/>
      <c r="G1029" s="7"/>
      <c r="H1029" s="7"/>
      <c r="I1029" s="108" t="str">
        <f>IFERROR(VLOOKUP(C1029,Resources!B:G,6,FALSE)," ")</f>
        <v xml:space="preserve"> </v>
      </c>
      <c r="J1029" s="108"/>
      <c r="K1029" s="7"/>
      <c r="L1029" s="7"/>
      <c r="M1029" s="108"/>
      <c r="N1029" s="108"/>
      <c r="O1029" s="108"/>
      <c r="P1029" s="108"/>
      <c r="Q1029" s="108"/>
      <c r="R1029" s="120"/>
      <c r="T1029" s="188"/>
    </row>
    <row r="1030" spans="1:20" ht="30" x14ac:dyDescent="0.25">
      <c r="A1030" s="114"/>
      <c r="B1030" s="1" t="s">
        <v>493</v>
      </c>
      <c r="C1030" s="1" t="s">
        <v>226</v>
      </c>
      <c r="D1030" s="2"/>
      <c r="E1030" s="99" t="str">
        <f>IFERROR(VLOOKUP(C1030,Resources!B:D,3,FALSE)," ")</f>
        <v xml:space="preserve"> </v>
      </c>
      <c r="F1030" s="7"/>
      <c r="G1030" s="7"/>
      <c r="H1030" s="7"/>
      <c r="I1030" s="108" t="str">
        <f>IFERROR(VLOOKUP(C1030,Resources!B:G,6,FALSE)," ")</f>
        <v xml:space="preserve"> </v>
      </c>
      <c r="J1030" s="108"/>
      <c r="K1030" s="7"/>
      <c r="L1030" s="7"/>
      <c r="M1030" s="108"/>
      <c r="N1030" s="108"/>
      <c r="O1030" s="108"/>
      <c r="P1030" s="108"/>
      <c r="Q1030" s="108"/>
      <c r="R1030" s="120"/>
      <c r="T1030" s="188"/>
    </row>
    <row r="1031" spans="1:20" ht="30" x14ac:dyDescent="0.25">
      <c r="A1031" s="114">
        <v>139</v>
      </c>
      <c r="B1031" s="1" t="s">
        <v>494</v>
      </c>
      <c r="C1031" s="1" t="s">
        <v>228</v>
      </c>
      <c r="D1031" s="2" t="s">
        <v>82</v>
      </c>
      <c r="E1031" s="99" t="str">
        <f>IFERROR(VLOOKUP(C1031,Resources!B:D,3,FALSE)," ")</f>
        <v xml:space="preserve"> </v>
      </c>
      <c r="F1031" s="7"/>
      <c r="G1031" s="7"/>
      <c r="H1031" s="103">
        <f>VLOOKUP($A1031,'Model Inputs'!$A:$D,4,FALSE)</f>
        <v>99.36</v>
      </c>
      <c r="I1031" s="108" t="str">
        <f>IFERROR(VLOOKUP(C1031,Resources!B:G,6,FALSE)," ")</f>
        <v xml:space="preserve"> </v>
      </c>
      <c r="J1031" s="108">
        <f>SUBTOTAL(9,J1032)</f>
        <v>33384.959999999999</v>
      </c>
      <c r="K1031" s="7"/>
      <c r="L1031" s="7">
        <f>ROUNDUP(L1032/200,0)</f>
        <v>1</v>
      </c>
      <c r="M1031" s="108">
        <f t="shared" ref="M1031" si="1519">SUBTOTAL(9,M1032)</f>
        <v>0</v>
      </c>
      <c r="N1031" s="108">
        <f t="shared" ref="N1031" si="1520">SUBTOTAL(9,N1032)</f>
        <v>0</v>
      </c>
      <c r="O1031" s="108">
        <f t="shared" ref="O1031" si="1521">SUBTOTAL(9,O1032)</f>
        <v>0</v>
      </c>
      <c r="P1031" s="108">
        <f t="shared" ref="P1031" si="1522">SUBTOTAL(9,P1032)</f>
        <v>33384.959999999999</v>
      </c>
      <c r="Q1031" s="108">
        <f t="shared" ref="Q1031" si="1523">SUBTOTAL(9,Q1032)</f>
        <v>33384.959999999999</v>
      </c>
      <c r="R1031" s="120"/>
      <c r="T1031" s="188"/>
    </row>
    <row r="1032" spans="1:20" x14ac:dyDescent="0.25">
      <c r="A1032" s="100"/>
      <c r="B1032" s="3">
        <v>1</v>
      </c>
      <c r="C1032" s="5" t="s">
        <v>2238</v>
      </c>
      <c r="D1032" s="3" t="s">
        <v>82</v>
      </c>
      <c r="E1032" s="100" t="str">
        <f>IFERROR(VLOOKUP(C1032,Resources!B:D,3,FALSE)," ")</f>
        <v>S</v>
      </c>
      <c r="F1032" s="8">
        <v>1</v>
      </c>
      <c r="G1032" s="8">
        <v>1</v>
      </c>
      <c r="H1032" s="8">
        <f>H1031*1.05</f>
        <v>104.328</v>
      </c>
      <c r="I1032" s="109">
        <f>IFERROR(VLOOKUP(C1032,Resources!B:G,6,FALSE)," ")</f>
        <v>320</v>
      </c>
      <c r="J1032" s="109">
        <f t="shared" ref="J1032" si="1524">(H1032/(G1032/F1032))*I1032</f>
        <v>33384.959999999999</v>
      </c>
      <c r="K1032" s="8">
        <f t="shared" ref="K1032" si="1525">L1032*F1032</f>
        <v>104.328</v>
      </c>
      <c r="L1032" s="8">
        <f t="shared" ref="L1032" si="1526">IF(E1032="M"," ",H1032/G1032)</f>
        <v>104.328</v>
      </c>
      <c r="M1032" s="109">
        <f t="shared" ref="M1032" si="1527">IF($E1032="L",$J1032,0)</f>
        <v>0</v>
      </c>
      <c r="N1032" s="109">
        <f t="shared" ref="N1032" si="1528">IF($E1032="M",$J1032,0)</f>
        <v>0</v>
      </c>
      <c r="O1032" s="109">
        <f t="shared" ref="O1032" si="1529">IF($E1032="P",$J1032,0)</f>
        <v>0</v>
      </c>
      <c r="P1032" s="109">
        <f t="shared" ref="P1032" si="1530">IF($E1032="S",$J1032,0)</f>
        <v>33384.959999999999</v>
      </c>
      <c r="Q1032" s="109">
        <f t="shared" ref="Q1032" si="1531">SUM(M1032:P1032)</f>
        <v>33384.959999999999</v>
      </c>
      <c r="R1032" s="121">
        <v>65</v>
      </c>
      <c r="T1032" s="188"/>
    </row>
    <row r="1033" spans="1:20" x14ac:dyDescent="0.25">
      <c r="A1033" s="101"/>
      <c r="B1033" s="4"/>
      <c r="C1033" s="6"/>
      <c r="D1033" s="4"/>
      <c r="E1033" s="101" t="str">
        <f>IFERROR(VLOOKUP(C1033,Resources!B:D,3,FALSE)," ")</f>
        <v xml:space="preserve"> </v>
      </c>
      <c r="F1033" s="9"/>
      <c r="G1033" s="9"/>
      <c r="H1033" s="9"/>
      <c r="I1033" s="38" t="str">
        <f>IFERROR(VLOOKUP(C1033,Resources!B:G,6,FALSE)," ")</f>
        <v xml:space="preserve"> </v>
      </c>
      <c r="J1033" s="38"/>
      <c r="K1033" s="9"/>
      <c r="L1033" s="9"/>
      <c r="M1033" s="38"/>
      <c r="N1033" s="38"/>
      <c r="O1033" s="38"/>
      <c r="P1033" s="38"/>
      <c r="Q1033" s="38"/>
      <c r="R1033" s="122"/>
      <c r="T1033" s="188"/>
    </row>
    <row r="1034" spans="1:20" ht="30" x14ac:dyDescent="0.25">
      <c r="A1034" s="114"/>
      <c r="B1034" s="1" t="s">
        <v>495</v>
      </c>
      <c r="C1034" s="1" t="s">
        <v>129</v>
      </c>
      <c r="D1034" s="2"/>
      <c r="E1034" s="99" t="str">
        <f>IFERROR(VLOOKUP(C1034,Resources!B:D,3,FALSE)," ")</f>
        <v xml:space="preserve"> </v>
      </c>
      <c r="F1034" s="7"/>
      <c r="G1034" s="7"/>
      <c r="H1034" s="7"/>
      <c r="I1034" s="108" t="str">
        <f>IFERROR(VLOOKUP(C1034,Resources!B:G,6,FALSE)," ")</f>
        <v xml:space="preserve"> </v>
      </c>
      <c r="J1034" s="108"/>
      <c r="K1034" s="7"/>
      <c r="L1034" s="7"/>
      <c r="M1034" s="108"/>
      <c r="N1034" s="108"/>
      <c r="O1034" s="108"/>
      <c r="P1034" s="108"/>
      <c r="Q1034" s="108"/>
      <c r="R1034" s="120"/>
      <c r="T1034" s="188"/>
    </row>
    <row r="1035" spans="1:20" ht="30" x14ac:dyDescent="0.25">
      <c r="A1035" s="114"/>
      <c r="B1035" s="1" t="s">
        <v>496</v>
      </c>
      <c r="C1035" s="1" t="s">
        <v>497</v>
      </c>
      <c r="D1035" s="2"/>
      <c r="E1035" s="99" t="str">
        <f>IFERROR(VLOOKUP(C1035,Resources!B:D,3,FALSE)," ")</f>
        <v xml:space="preserve"> </v>
      </c>
      <c r="F1035" s="7"/>
      <c r="G1035" s="7"/>
      <c r="H1035" s="7"/>
      <c r="I1035" s="108" t="str">
        <f>IFERROR(VLOOKUP(C1035,Resources!B:G,6,FALSE)," ")</f>
        <v xml:space="preserve"> </v>
      </c>
      <c r="J1035" s="108"/>
      <c r="K1035" s="7"/>
      <c r="L1035" s="7"/>
      <c r="M1035" s="108"/>
      <c r="N1035" s="108"/>
      <c r="O1035" s="108"/>
      <c r="P1035" s="108"/>
      <c r="Q1035" s="108"/>
      <c r="R1035" s="120"/>
      <c r="T1035" s="188"/>
    </row>
    <row r="1036" spans="1:20" ht="30" x14ac:dyDescent="0.25">
      <c r="A1036" s="114">
        <v>140</v>
      </c>
      <c r="B1036" s="1" t="s">
        <v>498</v>
      </c>
      <c r="C1036" s="1" t="s">
        <v>410</v>
      </c>
      <c r="D1036" s="2" t="s">
        <v>33</v>
      </c>
      <c r="E1036" s="99" t="str">
        <f>IFERROR(VLOOKUP(C1036,Resources!B:D,3,FALSE)," ")</f>
        <v xml:space="preserve"> </v>
      </c>
      <c r="F1036" s="7"/>
      <c r="G1036" s="7"/>
      <c r="H1036" s="103">
        <f>VLOOKUP($A1036,'Model Inputs'!$A:$D,4,FALSE)</f>
        <v>2</v>
      </c>
      <c r="I1036" s="108" t="str">
        <f>IFERROR(VLOOKUP(C1036,Resources!B:G,6,FALSE)," ")</f>
        <v xml:space="preserve"> </v>
      </c>
      <c r="J1036" s="108">
        <f>SUBTOTAL(9,J1037:J1038)</f>
        <v>1048</v>
      </c>
      <c r="K1036" s="7"/>
      <c r="L1036" s="7">
        <f>ROUNDUP(L1037/Workhrs,0)</f>
        <v>1</v>
      </c>
      <c r="M1036" s="108">
        <f t="shared" ref="M1036:Q1036" si="1532">SUBTOTAL(9,M1037:M1038)</f>
        <v>0</v>
      </c>
      <c r="N1036" s="108">
        <f t="shared" si="1532"/>
        <v>1048</v>
      </c>
      <c r="O1036" s="108">
        <f t="shared" si="1532"/>
        <v>0</v>
      </c>
      <c r="P1036" s="108">
        <f t="shared" si="1532"/>
        <v>0</v>
      </c>
      <c r="Q1036" s="108">
        <f t="shared" si="1532"/>
        <v>1048</v>
      </c>
      <c r="R1036" s="120"/>
      <c r="T1036" s="188"/>
    </row>
    <row r="1037" spans="1:20" x14ac:dyDescent="0.25">
      <c r="A1037" s="100"/>
      <c r="B1037" s="3">
        <v>1</v>
      </c>
      <c r="C1037" s="5" t="s">
        <v>411</v>
      </c>
      <c r="D1037" s="3" t="s">
        <v>29</v>
      </c>
      <c r="E1037" s="100" t="str">
        <f>IFERROR(VLOOKUP(C1037,Resources!B:D,3,FALSE)," ")</f>
        <v>M</v>
      </c>
      <c r="F1037" s="8">
        <v>1</v>
      </c>
      <c r="G1037" s="8">
        <v>1</v>
      </c>
      <c r="H1037" s="8">
        <f>H1036</f>
        <v>2</v>
      </c>
      <c r="I1037" s="109">
        <f>IFERROR(VLOOKUP(C1037,Resources!B:G,6,FALSE)," ")</f>
        <v>140</v>
      </c>
      <c r="J1037" s="109">
        <f t="shared" ref="J1037:J1038" si="1533">(H1037/(G1037/F1037))*I1037</f>
        <v>280</v>
      </c>
      <c r="K1037" s="8"/>
      <c r="L1037" s="8">
        <f>H1037*2</f>
        <v>4</v>
      </c>
      <c r="M1037" s="109">
        <f t="shared" ref="M1037:M1038" si="1534">IF($E1037="L",$J1037,0)</f>
        <v>0</v>
      </c>
      <c r="N1037" s="109">
        <f t="shared" ref="N1037:N1038" si="1535">IF($E1037="M",$J1037,0)</f>
        <v>280</v>
      </c>
      <c r="O1037" s="109">
        <f t="shared" ref="O1037:O1038" si="1536">IF($E1037="P",$J1037,0)</f>
        <v>0</v>
      </c>
      <c r="P1037" s="109">
        <f t="shared" ref="P1037:P1038" si="1537">IF($E1037="S",$J1037,0)</f>
        <v>0</v>
      </c>
      <c r="Q1037" s="109">
        <f t="shared" ref="Q1037:Q1038" si="1538">SUM(M1037:P1037)</f>
        <v>280</v>
      </c>
      <c r="R1037" s="121" t="s">
        <v>2342</v>
      </c>
      <c r="T1037" s="188"/>
    </row>
    <row r="1038" spans="1:20" x14ac:dyDescent="0.25">
      <c r="A1038" s="100"/>
      <c r="B1038" s="3">
        <v>2</v>
      </c>
      <c r="C1038" s="5" t="s">
        <v>85</v>
      </c>
      <c r="D1038" s="3" t="s">
        <v>86</v>
      </c>
      <c r="E1038" s="100" t="str">
        <f>IFERROR(VLOOKUP(C1038,Resources!B:D,3,FALSE)," ")</f>
        <v>M</v>
      </c>
      <c r="F1038" s="8">
        <v>1</v>
      </c>
      <c r="G1038" s="8">
        <v>1</v>
      </c>
      <c r="H1038" s="8">
        <f>H1036*2</f>
        <v>4</v>
      </c>
      <c r="I1038" s="109">
        <f>IFERROR(VLOOKUP(C1038,Resources!B:G,6,FALSE)," ")</f>
        <v>192</v>
      </c>
      <c r="J1038" s="109">
        <f t="shared" si="1533"/>
        <v>768</v>
      </c>
      <c r="K1038" s="8"/>
      <c r="L1038" s="8" t="str">
        <f t="shared" ref="L1038" si="1539">IF(E1038="M"," ",H1038/G1038)</f>
        <v xml:space="preserve"> </v>
      </c>
      <c r="M1038" s="109">
        <f t="shared" si="1534"/>
        <v>0</v>
      </c>
      <c r="N1038" s="109">
        <f t="shared" si="1535"/>
        <v>768</v>
      </c>
      <c r="O1038" s="109">
        <f t="shared" si="1536"/>
        <v>0</v>
      </c>
      <c r="P1038" s="109">
        <f t="shared" si="1537"/>
        <v>0</v>
      </c>
      <c r="Q1038" s="109">
        <f t="shared" si="1538"/>
        <v>768</v>
      </c>
      <c r="R1038" s="121" t="s">
        <v>2335</v>
      </c>
      <c r="T1038" s="188"/>
    </row>
    <row r="1039" spans="1:20" x14ac:dyDescent="0.25">
      <c r="A1039" s="101"/>
      <c r="B1039" s="4"/>
      <c r="C1039" s="6"/>
      <c r="D1039" s="4"/>
      <c r="E1039" s="101" t="str">
        <f>IFERROR(VLOOKUP(C1039,Resources!B:D,3,FALSE)," ")</f>
        <v xml:space="preserve"> </v>
      </c>
      <c r="F1039" s="9"/>
      <c r="G1039" s="9"/>
      <c r="H1039" s="9"/>
      <c r="I1039" s="38" t="str">
        <f>IFERROR(VLOOKUP(C1039,Resources!B:G,6,FALSE)," ")</f>
        <v xml:space="preserve"> </v>
      </c>
      <c r="J1039" s="38"/>
      <c r="K1039" s="9"/>
      <c r="L1039" s="9"/>
      <c r="M1039" s="38"/>
      <c r="N1039" s="38"/>
      <c r="O1039" s="38"/>
      <c r="P1039" s="38"/>
      <c r="Q1039" s="38"/>
      <c r="R1039" s="122"/>
      <c r="T1039" s="188"/>
    </row>
    <row r="1040" spans="1:20" ht="30" x14ac:dyDescent="0.25">
      <c r="A1040" s="114"/>
      <c r="B1040" s="1" t="s">
        <v>499</v>
      </c>
      <c r="C1040" s="1" t="s">
        <v>500</v>
      </c>
      <c r="D1040" s="2"/>
      <c r="E1040" s="99" t="str">
        <f>IFERROR(VLOOKUP(C1040,Resources!B:D,3,FALSE)," ")</f>
        <v xml:space="preserve"> </v>
      </c>
      <c r="F1040" s="7"/>
      <c r="G1040" s="7"/>
      <c r="H1040" s="7"/>
      <c r="I1040" s="108" t="str">
        <f>IFERROR(VLOOKUP(C1040,Resources!B:G,6,FALSE)," ")</f>
        <v xml:space="preserve"> </v>
      </c>
      <c r="J1040" s="108"/>
      <c r="K1040" s="7"/>
      <c r="L1040" s="7"/>
      <c r="M1040" s="108"/>
      <c r="N1040" s="108"/>
      <c r="O1040" s="108"/>
      <c r="P1040" s="108"/>
      <c r="Q1040" s="108"/>
      <c r="R1040" s="120"/>
      <c r="T1040" s="188"/>
    </row>
    <row r="1041" spans="1:20" ht="30" x14ac:dyDescent="0.25">
      <c r="A1041" s="114"/>
      <c r="B1041" s="1" t="s">
        <v>501</v>
      </c>
      <c r="C1041" s="1" t="s">
        <v>502</v>
      </c>
      <c r="D1041" s="2"/>
      <c r="E1041" s="99" t="str">
        <f>IFERROR(VLOOKUP(C1041,Resources!B:D,3,FALSE)," ")</f>
        <v xml:space="preserve"> </v>
      </c>
      <c r="F1041" s="7"/>
      <c r="G1041" s="7"/>
      <c r="H1041" s="7"/>
      <c r="I1041" s="108" t="str">
        <f>IFERROR(VLOOKUP(C1041,Resources!B:G,6,FALSE)," ")</f>
        <v xml:space="preserve"> </v>
      </c>
      <c r="J1041" s="108"/>
      <c r="K1041" s="7"/>
      <c r="L1041" s="7"/>
      <c r="M1041" s="108"/>
      <c r="N1041" s="108"/>
      <c r="O1041" s="108"/>
      <c r="P1041" s="108"/>
      <c r="Q1041" s="108"/>
      <c r="R1041" s="120"/>
      <c r="T1041" s="188"/>
    </row>
    <row r="1042" spans="1:20" ht="30" x14ac:dyDescent="0.25">
      <c r="A1042" s="114">
        <v>141</v>
      </c>
      <c r="B1042" s="1" t="s">
        <v>503</v>
      </c>
      <c r="C1042" s="1" t="s">
        <v>504</v>
      </c>
      <c r="D1042" s="2" t="s">
        <v>89</v>
      </c>
      <c r="E1042" s="99" t="str">
        <f>IFERROR(VLOOKUP(C1042,Resources!B:D,3,FALSE)," ")</f>
        <v xml:space="preserve"> </v>
      </c>
      <c r="F1042" s="7"/>
      <c r="G1042" s="7"/>
      <c r="H1042" s="103">
        <f>VLOOKUP($A1042,'Model Inputs'!$A:$D,4,FALSE)</f>
        <v>11</v>
      </c>
      <c r="I1042" s="108" t="str">
        <f>IFERROR(VLOOKUP(C1042,Resources!B:G,6,FALSE)," ")</f>
        <v xml:space="preserve"> </v>
      </c>
      <c r="J1042" s="108">
        <f>SUBTOTAL(9,J1043)</f>
        <v>1375</v>
      </c>
      <c r="K1042" s="7"/>
      <c r="L1042" s="7">
        <f>ROUNDUP(H1042/50,0)</f>
        <v>1</v>
      </c>
      <c r="M1042" s="108">
        <f t="shared" ref="M1042" si="1540">SUBTOTAL(9,M1043)</f>
        <v>0</v>
      </c>
      <c r="N1042" s="108">
        <f t="shared" ref="N1042" si="1541">SUBTOTAL(9,N1043)</f>
        <v>0</v>
      </c>
      <c r="O1042" s="108">
        <f t="shared" ref="O1042" si="1542">SUBTOTAL(9,O1043)</f>
        <v>0</v>
      </c>
      <c r="P1042" s="108">
        <f t="shared" ref="P1042" si="1543">SUBTOTAL(9,P1043)</f>
        <v>1375</v>
      </c>
      <c r="Q1042" s="108">
        <f t="shared" ref="Q1042" si="1544">SUBTOTAL(9,Q1043)</f>
        <v>1375</v>
      </c>
      <c r="R1042" s="120"/>
      <c r="T1042" s="188"/>
    </row>
    <row r="1043" spans="1:20" x14ac:dyDescent="0.25">
      <c r="A1043" s="100"/>
      <c r="B1043" s="3">
        <v>1</v>
      </c>
      <c r="C1043" s="5" t="s">
        <v>505</v>
      </c>
      <c r="D1043" s="3" t="s">
        <v>41</v>
      </c>
      <c r="E1043" s="100" t="str">
        <f>IFERROR(VLOOKUP(C1043,Resources!B:D,3,FALSE)," ")</f>
        <v>S</v>
      </c>
      <c r="F1043" s="8">
        <v>1</v>
      </c>
      <c r="G1043" s="8">
        <v>1</v>
      </c>
      <c r="H1043" s="8">
        <f>H1042*125</f>
        <v>1375</v>
      </c>
      <c r="I1043" s="109">
        <f>IFERROR(VLOOKUP(C1043,Resources!B:G,6,FALSE)," ")</f>
        <v>1</v>
      </c>
      <c r="J1043" s="109">
        <f t="shared" ref="J1043" si="1545">(H1043/(G1043/F1043))*I1043</f>
        <v>1375</v>
      </c>
      <c r="K1043" s="8"/>
      <c r="L1043" s="8">
        <f>H1043*2</f>
        <v>2750</v>
      </c>
      <c r="M1043" s="109">
        <f t="shared" ref="M1043" si="1546">IF($E1043="L",$J1043,0)</f>
        <v>0</v>
      </c>
      <c r="N1043" s="109">
        <f t="shared" ref="N1043" si="1547">IF($E1043="M",$J1043,0)</f>
        <v>0</v>
      </c>
      <c r="O1043" s="109">
        <f t="shared" ref="O1043" si="1548">IF($E1043="P",$J1043,0)</f>
        <v>0</v>
      </c>
      <c r="P1043" s="109">
        <f t="shared" ref="P1043" si="1549">IF($E1043="S",$J1043,0)</f>
        <v>1375</v>
      </c>
      <c r="Q1043" s="109">
        <f t="shared" ref="Q1043" si="1550">SUM(M1043:P1043)</f>
        <v>1375</v>
      </c>
      <c r="R1043" s="121">
        <v>67</v>
      </c>
      <c r="T1043" s="188"/>
    </row>
    <row r="1044" spans="1:20" x14ac:dyDescent="0.25">
      <c r="A1044" s="101"/>
      <c r="B1044" s="4"/>
      <c r="C1044" s="6"/>
      <c r="D1044" s="4"/>
      <c r="E1044" s="101" t="str">
        <f>IFERROR(VLOOKUP(C1044,Resources!B:D,3,FALSE)," ")</f>
        <v xml:space="preserve"> </v>
      </c>
      <c r="F1044" s="9"/>
      <c r="G1044" s="9"/>
      <c r="H1044" s="9"/>
      <c r="I1044" s="38" t="str">
        <f>IFERROR(VLOOKUP(C1044,Resources!B:G,6,FALSE)," ")</f>
        <v xml:space="preserve"> </v>
      </c>
      <c r="J1044" s="38"/>
      <c r="K1044" s="9"/>
      <c r="L1044" s="9"/>
      <c r="M1044" s="38"/>
      <c r="N1044" s="38"/>
      <c r="O1044" s="38"/>
      <c r="P1044" s="38"/>
      <c r="Q1044" s="38"/>
      <c r="R1044" s="122"/>
      <c r="T1044" s="188"/>
    </row>
    <row r="1045" spans="1:20" ht="30" x14ac:dyDescent="0.25">
      <c r="A1045" s="114"/>
      <c r="B1045" s="1" t="s">
        <v>506</v>
      </c>
      <c r="C1045" s="1" t="s">
        <v>136</v>
      </c>
      <c r="D1045" s="2"/>
      <c r="E1045" s="99" t="str">
        <f>IFERROR(VLOOKUP(C1045,Resources!B:D,3,FALSE)," ")</f>
        <v xml:space="preserve"> </v>
      </c>
      <c r="F1045" s="7"/>
      <c r="G1045" s="7"/>
      <c r="H1045" s="7"/>
      <c r="I1045" s="108" t="str">
        <f>IFERROR(VLOOKUP(C1045,Resources!B:G,6,FALSE)," ")</f>
        <v xml:space="preserve"> </v>
      </c>
      <c r="J1045" s="108"/>
      <c r="K1045" s="7"/>
      <c r="L1045" s="7"/>
      <c r="M1045" s="108"/>
      <c r="N1045" s="108"/>
      <c r="O1045" s="108"/>
      <c r="P1045" s="108"/>
      <c r="Q1045" s="108"/>
      <c r="R1045" s="120"/>
      <c r="T1045" s="188"/>
    </row>
    <row r="1046" spans="1:20" ht="30" x14ac:dyDescent="0.25">
      <c r="A1046" s="114"/>
      <c r="B1046" s="1" t="s">
        <v>507</v>
      </c>
      <c r="C1046" s="1" t="s">
        <v>231</v>
      </c>
      <c r="D1046" s="2"/>
      <c r="E1046" s="99" t="str">
        <f>IFERROR(VLOOKUP(C1046,Resources!B:D,3,FALSE)," ")</f>
        <v xml:space="preserve"> </v>
      </c>
      <c r="F1046" s="7"/>
      <c r="G1046" s="7"/>
      <c r="H1046" s="7"/>
      <c r="I1046" s="108" t="str">
        <f>IFERROR(VLOOKUP(C1046,Resources!B:G,6,FALSE)," ")</f>
        <v xml:space="preserve"> </v>
      </c>
      <c r="J1046" s="108"/>
      <c r="K1046" s="7"/>
      <c r="L1046" s="7"/>
      <c r="M1046" s="108"/>
      <c r="N1046" s="108"/>
      <c r="O1046" s="108"/>
      <c r="P1046" s="108"/>
      <c r="Q1046" s="108"/>
      <c r="R1046" s="120"/>
      <c r="T1046" s="188"/>
    </row>
    <row r="1047" spans="1:20" ht="30" x14ac:dyDescent="0.25">
      <c r="A1047" s="114"/>
      <c r="B1047" s="1" t="s">
        <v>508</v>
      </c>
      <c r="C1047" s="1" t="s">
        <v>415</v>
      </c>
      <c r="D1047" s="2"/>
      <c r="E1047" s="99" t="str">
        <f>IFERROR(VLOOKUP(C1047,Resources!B:D,3,FALSE)," ")</f>
        <v xml:space="preserve"> </v>
      </c>
      <c r="F1047" s="7"/>
      <c r="G1047" s="7"/>
      <c r="H1047" s="7"/>
      <c r="I1047" s="108" t="str">
        <f>IFERROR(VLOOKUP(C1047,Resources!B:G,6,FALSE)," ")</f>
        <v xml:space="preserve"> </v>
      </c>
      <c r="J1047" s="108"/>
      <c r="K1047" s="7"/>
      <c r="L1047" s="7"/>
      <c r="M1047" s="108"/>
      <c r="N1047" s="108"/>
      <c r="O1047" s="108"/>
      <c r="P1047" s="108"/>
      <c r="Q1047" s="108"/>
      <c r="R1047" s="120"/>
      <c r="T1047" s="188"/>
    </row>
    <row r="1048" spans="1:20" ht="30" x14ac:dyDescent="0.25">
      <c r="A1048" s="114">
        <v>142</v>
      </c>
      <c r="B1048" s="1" t="s">
        <v>509</v>
      </c>
      <c r="C1048" s="1" t="s">
        <v>510</v>
      </c>
      <c r="D1048" s="2" t="s">
        <v>29</v>
      </c>
      <c r="E1048" s="99" t="str">
        <f>IFERROR(VLOOKUP(C1048,Resources!B:D,3,FALSE)," ")</f>
        <v xml:space="preserve"> </v>
      </c>
      <c r="F1048" s="7"/>
      <c r="G1048" s="7"/>
      <c r="H1048" s="103">
        <f>VLOOKUP($A1048,'Model Inputs'!$A:$D,4,FALSE)</f>
        <v>5</v>
      </c>
      <c r="I1048" s="108" t="str">
        <f>IFERROR(VLOOKUP(C1048,Resources!B:G,6,FALSE)," ")</f>
        <v xml:space="preserve"> </v>
      </c>
      <c r="J1048" s="108">
        <f>SUBTOTAL(9,J1050:J1060)</f>
        <v>2449.4666666666667</v>
      </c>
      <c r="K1048" s="7"/>
      <c r="L1048" s="7">
        <f>ROUNDUP(H1048/2,0)+1</f>
        <v>4</v>
      </c>
      <c r="M1048" s="108">
        <f t="shared" ref="M1048:Q1048" si="1551">SUBTOTAL(9,M1050:M1060)</f>
        <v>25.2</v>
      </c>
      <c r="N1048" s="108">
        <f t="shared" si="1551"/>
        <v>1326.2666666666667</v>
      </c>
      <c r="O1048" s="108">
        <f t="shared" si="1551"/>
        <v>138</v>
      </c>
      <c r="P1048" s="108">
        <f t="shared" si="1551"/>
        <v>960</v>
      </c>
      <c r="Q1048" s="108">
        <f t="shared" si="1551"/>
        <v>2449.4666666666667</v>
      </c>
      <c r="R1048" s="120"/>
      <c r="T1048" s="188"/>
    </row>
    <row r="1049" spans="1:20" x14ac:dyDescent="0.25">
      <c r="A1049" s="101"/>
      <c r="B1049" s="4">
        <v>1</v>
      </c>
      <c r="C1049" s="6" t="s">
        <v>187</v>
      </c>
      <c r="D1049" s="4"/>
      <c r="E1049" s="101" t="str">
        <f>IFERROR(VLOOKUP(C1049,Resources!B:D,3,FALSE)," ")</f>
        <v xml:space="preserve"> </v>
      </c>
      <c r="F1049" s="9"/>
      <c r="G1049" s="9"/>
      <c r="H1049" s="9"/>
      <c r="I1049" s="38" t="str">
        <f>IFERROR(VLOOKUP(C1049,Resources!B:G,6,FALSE)," ")</f>
        <v xml:space="preserve"> </v>
      </c>
      <c r="J1049" s="38"/>
      <c r="K1049" s="9"/>
      <c r="L1049" s="9"/>
      <c r="M1049" s="38"/>
      <c r="N1049" s="38"/>
      <c r="O1049" s="38"/>
      <c r="P1049" s="38"/>
      <c r="Q1049" s="38"/>
      <c r="R1049" s="122"/>
      <c r="T1049" s="188"/>
    </row>
    <row r="1050" spans="1:20" x14ac:dyDescent="0.25">
      <c r="A1050" s="100"/>
      <c r="B1050" s="3">
        <v>2</v>
      </c>
      <c r="C1050" s="5" t="s">
        <v>85</v>
      </c>
      <c r="D1050" s="3" t="s">
        <v>86</v>
      </c>
      <c r="E1050" s="100" t="str">
        <f>IFERROR(VLOOKUP(C1050,Resources!B:D,3,FALSE)," ")</f>
        <v>M</v>
      </c>
      <c r="F1050" s="8">
        <v>1</v>
      </c>
      <c r="G1050" s="8">
        <v>1</v>
      </c>
      <c r="H1050" s="8">
        <f>H1048*6*0.125*1.1</f>
        <v>4.125</v>
      </c>
      <c r="I1050" s="109">
        <f>IFERROR(VLOOKUP(C1050,Resources!B:G,6,FALSE)," ")</f>
        <v>192</v>
      </c>
      <c r="J1050" s="109">
        <f t="shared" ref="J1050:J1053" si="1552">(H1050/(G1050/F1050))*I1050</f>
        <v>792</v>
      </c>
      <c r="K1050" s="8"/>
      <c r="L1050" s="8" t="str">
        <f t="shared" ref="L1050:L1053" si="1553">IF(E1050="M"," ",H1050/G1050)</f>
        <v xml:space="preserve"> </v>
      </c>
      <c r="M1050" s="109">
        <f t="shared" ref="M1050:M1053" si="1554">IF($E1050="L",$J1050,0)</f>
        <v>0</v>
      </c>
      <c r="N1050" s="109">
        <f t="shared" ref="N1050:N1053" si="1555">IF($E1050="M",$J1050,0)</f>
        <v>792</v>
      </c>
      <c r="O1050" s="109">
        <f t="shared" ref="O1050:O1053" si="1556">IF($E1050="P",$J1050,0)</f>
        <v>0</v>
      </c>
      <c r="P1050" s="109">
        <f t="shared" ref="P1050:P1053" si="1557">IF($E1050="S",$J1050,0)</f>
        <v>0</v>
      </c>
      <c r="Q1050" s="109">
        <f t="shared" ref="Q1050:Q1053" si="1558">SUM(M1050:P1050)</f>
        <v>792</v>
      </c>
      <c r="R1050" s="121" t="s">
        <v>2335</v>
      </c>
      <c r="T1050" s="188"/>
    </row>
    <row r="1051" spans="1:20" x14ac:dyDescent="0.25">
      <c r="A1051" s="100"/>
      <c r="B1051" s="3">
        <v>3</v>
      </c>
      <c r="C1051" s="5" t="s">
        <v>81</v>
      </c>
      <c r="D1051" s="3" t="s">
        <v>82</v>
      </c>
      <c r="E1051" s="100" t="str">
        <f>IFERROR(VLOOKUP(C1051,Resources!B:D,3,FALSE)," ")</f>
        <v>M</v>
      </c>
      <c r="F1051" s="8">
        <v>1</v>
      </c>
      <c r="G1051" s="8">
        <v>1</v>
      </c>
      <c r="H1051" s="8">
        <f>H1048*0.1*1.5*6</f>
        <v>4.5</v>
      </c>
      <c r="I1051" s="109">
        <f>IFERROR(VLOOKUP(C1051,Resources!B:G,6,FALSE)," ")</f>
        <v>24</v>
      </c>
      <c r="J1051" s="109">
        <f t="shared" si="1552"/>
        <v>108</v>
      </c>
      <c r="K1051" s="8"/>
      <c r="L1051" s="8" t="str">
        <f t="shared" si="1553"/>
        <v xml:space="preserve"> </v>
      </c>
      <c r="M1051" s="109">
        <f t="shared" si="1554"/>
        <v>0</v>
      </c>
      <c r="N1051" s="109">
        <f t="shared" si="1555"/>
        <v>108</v>
      </c>
      <c r="O1051" s="109">
        <f t="shared" si="1556"/>
        <v>0</v>
      </c>
      <c r="P1051" s="109">
        <f t="shared" si="1557"/>
        <v>0</v>
      </c>
      <c r="Q1051" s="109">
        <f t="shared" si="1558"/>
        <v>108</v>
      </c>
      <c r="R1051" s="121" t="s">
        <v>2341</v>
      </c>
      <c r="T1051" s="188"/>
    </row>
    <row r="1052" spans="1:20" x14ac:dyDescent="0.25">
      <c r="A1052" s="100"/>
      <c r="B1052" s="3">
        <v>4</v>
      </c>
      <c r="C1052" s="5" t="s">
        <v>189</v>
      </c>
      <c r="D1052" s="3" t="s">
        <v>83</v>
      </c>
      <c r="E1052" s="100" t="str">
        <f>IFERROR(VLOOKUP(C1052,Resources!B:D,3,FALSE)," ")</f>
        <v>M</v>
      </c>
      <c r="F1052" s="8">
        <v>1</v>
      </c>
      <c r="G1052" s="8">
        <v>1</v>
      </c>
      <c r="H1052" s="8">
        <f>H1048*6*1.2</f>
        <v>36</v>
      </c>
      <c r="I1052" s="109">
        <f>IFERROR(VLOOKUP(C1052,Resources!B:G,6,FALSE)," ")</f>
        <v>9.1</v>
      </c>
      <c r="J1052" s="109">
        <f t="shared" si="1552"/>
        <v>327.59999999999997</v>
      </c>
      <c r="K1052" s="8"/>
      <c r="L1052" s="8" t="str">
        <f t="shared" si="1553"/>
        <v xml:space="preserve"> </v>
      </c>
      <c r="M1052" s="109">
        <f t="shared" si="1554"/>
        <v>0</v>
      </c>
      <c r="N1052" s="109">
        <f t="shared" si="1555"/>
        <v>327.59999999999997</v>
      </c>
      <c r="O1052" s="109">
        <f t="shared" si="1556"/>
        <v>0</v>
      </c>
      <c r="P1052" s="109">
        <f t="shared" si="1557"/>
        <v>0</v>
      </c>
      <c r="Q1052" s="109">
        <f t="shared" si="1558"/>
        <v>327.59999999999997</v>
      </c>
      <c r="R1052" s="121" t="s">
        <v>2343</v>
      </c>
      <c r="T1052" s="188"/>
    </row>
    <row r="1053" spans="1:20" x14ac:dyDescent="0.25">
      <c r="A1053" s="100"/>
      <c r="B1053" s="3">
        <v>5</v>
      </c>
      <c r="C1053" s="5" t="s">
        <v>190</v>
      </c>
      <c r="D1053" s="3" t="s">
        <v>89</v>
      </c>
      <c r="E1053" s="100" t="str">
        <f>IFERROR(VLOOKUP(C1053,Resources!B:D,3,FALSE)," ")</f>
        <v>M</v>
      </c>
      <c r="F1053" s="8">
        <v>1</v>
      </c>
      <c r="G1053" s="8">
        <v>1</v>
      </c>
      <c r="H1053" s="8">
        <f>H1048*6*1.2/1.5</f>
        <v>24</v>
      </c>
      <c r="I1053" s="109">
        <f>IFERROR(VLOOKUP(C1053,Resources!B:G,6,FALSE)," ")</f>
        <v>3</v>
      </c>
      <c r="J1053" s="109">
        <f t="shared" si="1552"/>
        <v>72</v>
      </c>
      <c r="K1053" s="8"/>
      <c r="L1053" s="8" t="str">
        <f t="shared" si="1553"/>
        <v xml:space="preserve"> </v>
      </c>
      <c r="M1053" s="109">
        <f t="shared" si="1554"/>
        <v>0</v>
      </c>
      <c r="N1053" s="109">
        <f t="shared" si="1555"/>
        <v>72</v>
      </c>
      <c r="O1053" s="109">
        <f t="shared" si="1556"/>
        <v>0</v>
      </c>
      <c r="P1053" s="109">
        <f t="shared" si="1557"/>
        <v>0</v>
      </c>
      <c r="Q1053" s="109">
        <f t="shared" si="1558"/>
        <v>72</v>
      </c>
      <c r="R1053" s="121" t="s">
        <v>2343</v>
      </c>
      <c r="T1053" s="188"/>
    </row>
    <row r="1054" spans="1:20" x14ac:dyDescent="0.25">
      <c r="A1054" s="101"/>
      <c r="B1054" s="4">
        <v>6</v>
      </c>
      <c r="C1054" s="6" t="s">
        <v>191</v>
      </c>
      <c r="D1054" s="4"/>
      <c r="E1054" s="101" t="str">
        <f>IFERROR(VLOOKUP(C1054,Resources!B:D,3,FALSE)," ")</f>
        <v xml:space="preserve"> </v>
      </c>
      <c r="F1054" s="9"/>
      <c r="G1054" s="9"/>
      <c r="H1054" s="9"/>
      <c r="I1054" s="38" t="str">
        <f>IFERROR(VLOOKUP(C1054,Resources!B:G,6,FALSE)," ")</f>
        <v xml:space="preserve"> </v>
      </c>
      <c r="J1054" s="38"/>
      <c r="K1054" s="9"/>
      <c r="L1054" s="9"/>
      <c r="M1054" s="38"/>
      <c r="N1054" s="38"/>
      <c r="O1054" s="38"/>
      <c r="P1054" s="38"/>
      <c r="Q1054" s="38"/>
      <c r="R1054" s="122"/>
      <c r="T1054" s="188"/>
    </row>
    <row r="1055" spans="1:20" x14ac:dyDescent="0.25">
      <c r="A1055" s="100">
        <v>142.1</v>
      </c>
      <c r="B1055" s="3">
        <v>7</v>
      </c>
      <c r="C1055" s="5" t="s">
        <v>63</v>
      </c>
      <c r="D1055" s="3" t="s">
        <v>48</v>
      </c>
      <c r="E1055" s="100" t="str">
        <f>IFERROR(VLOOKUP(C1055,Resources!B:D,3,FALSE)," ")</f>
        <v>P</v>
      </c>
      <c r="F1055" s="8">
        <v>1</v>
      </c>
      <c r="G1055" s="103">
        <f>VLOOKUP($A1055,'Model Inputs'!$A:$D,4,FALSE)</f>
        <v>5</v>
      </c>
      <c r="H1055" s="8">
        <f>H1048*6*0.1</f>
        <v>3</v>
      </c>
      <c r="I1055" s="109">
        <f>IFERROR(VLOOKUP(C1055,Resources!B:G,6,FALSE)," ")</f>
        <v>135</v>
      </c>
      <c r="J1055" s="109">
        <f t="shared" ref="J1055:J1057" si="1559">(H1055/(G1055/F1055))*I1055</f>
        <v>81</v>
      </c>
      <c r="K1055" s="8">
        <f t="shared" ref="K1055:K1057" si="1560">L1055*F1055</f>
        <v>0.6</v>
      </c>
      <c r="L1055" s="8">
        <f t="shared" ref="L1055:L1057" si="1561">IF(E1055="M"," ",H1055/G1055)</f>
        <v>0.6</v>
      </c>
      <c r="M1055" s="109">
        <f t="shared" ref="M1055:M1057" si="1562">IF($E1055="L",$J1055,0)</f>
        <v>0</v>
      </c>
      <c r="N1055" s="109">
        <f t="shared" ref="N1055:N1057" si="1563">IF($E1055="M",$J1055,0)</f>
        <v>0</v>
      </c>
      <c r="O1055" s="109">
        <f t="shared" ref="O1055:O1057" si="1564">IF($E1055="P",$J1055,0)</f>
        <v>81</v>
      </c>
      <c r="P1055" s="109">
        <f t="shared" ref="P1055:P1057" si="1565">IF($E1055="S",$J1055,0)</f>
        <v>0</v>
      </c>
      <c r="Q1055" s="109">
        <f t="shared" ref="Q1055:Q1057" si="1566">SUM(M1055:P1055)</f>
        <v>81</v>
      </c>
      <c r="R1055" s="121">
        <v>71</v>
      </c>
      <c r="T1055" s="188"/>
    </row>
    <row r="1056" spans="1:20" x14ac:dyDescent="0.25">
      <c r="A1056" s="100"/>
      <c r="B1056" s="3">
        <v>8</v>
      </c>
      <c r="C1056" s="5" t="s">
        <v>173</v>
      </c>
      <c r="D1056" s="3" t="s">
        <v>48</v>
      </c>
      <c r="E1056" s="100" t="str">
        <f>IFERROR(VLOOKUP(C1056,Resources!B:D,3,FALSE)," ")</f>
        <v>P</v>
      </c>
      <c r="F1056" s="8">
        <v>1</v>
      </c>
      <c r="G1056" s="8">
        <f>G1055</f>
        <v>5</v>
      </c>
      <c r="H1056" s="8">
        <f>H1055</f>
        <v>3</v>
      </c>
      <c r="I1056" s="109">
        <f>IFERROR(VLOOKUP(C1056,Resources!B:G,6,FALSE)," ")</f>
        <v>95</v>
      </c>
      <c r="J1056" s="109">
        <f t="shared" si="1559"/>
        <v>57</v>
      </c>
      <c r="K1056" s="8">
        <f t="shared" si="1560"/>
        <v>0.6</v>
      </c>
      <c r="L1056" s="8">
        <f t="shared" si="1561"/>
        <v>0.6</v>
      </c>
      <c r="M1056" s="109">
        <f t="shared" si="1562"/>
        <v>0</v>
      </c>
      <c r="N1056" s="109">
        <f t="shared" si="1563"/>
        <v>0</v>
      </c>
      <c r="O1056" s="109">
        <f t="shared" si="1564"/>
        <v>57</v>
      </c>
      <c r="P1056" s="109">
        <f t="shared" si="1565"/>
        <v>0</v>
      </c>
      <c r="Q1056" s="109">
        <f t="shared" si="1566"/>
        <v>57</v>
      </c>
      <c r="R1056" s="121">
        <v>71</v>
      </c>
      <c r="T1056" s="188"/>
    </row>
    <row r="1057" spans="1:20" x14ac:dyDescent="0.25">
      <c r="A1057" s="100"/>
      <c r="B1057" s="3">
        <v>9</v>
      </c>
      <c r="C1057" s="5" t="s">
        <v>8</v>
      </c>
      <c r="D1057" s="3" t="s">
        <v>48</v>
      </c>
      <c r="E1057" s="100" t="str">
        <f>IFERROR(VLOOKUP(C1057,Resources!B:D,3,FALSE)," ")</f>
        <v>L</v>
      </c>
      <c r="F1057" s="8">
        <v>1</v>
      </c>
      <c r="G1057" s="8">
        <f>G1055</f>
        <v>5</v>
      </c>
      <c r="H1057" s="8">
        <f>H1055</f>
        <v>3</v>
      </c>
      <c r="I1057" s="109">
        <f>IFERROR(VLOOKUP(C1057,Resources!B:G,6,FALSE)," ")</f>
        <v>42</v>
      </c>
      <c r="J1057" s="109">
        <f t="shared" si="1559"/>
        <v>25.2</v>
      </c>
      <c r="K1057" s="8">
        <f t="shared" si="1560"/>
        <v>0.6</v>
      </c>
      <c r="L1057" s="8">
        <f t="shared" si="1561"/>
        <v>0.6</v>
      </c>
      <c r="M1057" s="109">
        <f t="shared" si="1562"/>
        <v>25.2</v>
      </c>
      <c r="N1057" s="109">
        <f t="shared" si="1563"/>
        <v>0</v>
      </c>
      <c r="O1057" s="109">
        <f t="shared" si="1564"/>
        <v>0</v>
      </c>
      <c r="P1057" s="109">
        <f t="shared" si="1565"/>
        <v>0</v>
      </c>
      <c r="Q1057" s="109">
        <f t="shared" si="1566"/>
        <v>25.2</v>
      </c>
      <c r="R1057" s="121">
        <v>71</v>
      </c>
      <c r="T1057" s="188"/>
    </row>
    <row r="1058" spans="1:20" x14ac:dyDescent="0.25">
      <c r="A1058" s="101"/>
      <c r="B1058" s="4">
        <v>10</v>
      </c>
      <c r="C1058" s="6" t="s">
        <v>192</v>
      </c>
      <c r="D1058" s="4"/>
      <c r="E1058" s="101" t="str">
        <f>IFERROR(VLOOKUP(C1058,Resources!B:D,3,FALSE)," ")</f>
        <v xml:space="preserve"> </v>
      </c>
      <c r="F1058" s="9"/>
      <c r="G1058" s="9"/>
      <c r="H1058" s="9"/>
      <c r="I1058" s="38" t="str">
        <f>IFERROR(VLOOKUP(C1058,Resources!B:G,6,FALSE)," ")</f>
        <v xml:space="preserve"> </v>
      </c>
      <c r="J1058" s="38"/>
      <c r="K1058" s="9"/>
      <c r="L1058" s="9"/>
      <c r="M1058" s="38"/>
      <c r="N1058" s="38"/>
      <c r="O1058" s="38"/>
      <c r="P1058" s="38"/>
      <c r="Q1058" s="38"/>
      <c r="R1058" s="122"/>
      <c r="T1058" s="188"/>
    </row>
    <row r="1059" spans="1:20" x14ac:dyDescent="0.25">
      <c r="A1059" s="100"/>
      <c r="B1059" s="3">
        <v>11</v>
      </c>
      <c r="C1059" s="5" t="s">
        <v>84</v>
      </c>
      <c r="D1059" s="3" t="s">
        <v>29</v>
      </c>
      <c r="E1059" s="100" t="str">
        <f>IFERROR(VLOOKUP(C1059,Resources!B:D,3,FALSE)," ")</f>
        <v>M</v>
      </c>
      <c r="F1059" s="8">
        <v>1</v>
      </c>
      <c r="G1059" s="8">
        <v>1</v>
      </c>
      <c r="H1059" s="8">
        <f>H1048*6/0.9</f>
        <v>33.333333333333336</v>
      </c>
      <c r="I1059" s="109">
        <f>IFERROR(VLOOKUP(C1059,Resources!B:G,6,FALSE)," ")</f>
        <v>0.8</v>
      </c>
      <c r="J1059" s="109">
        <f t="shared" ref="J1059:J1060" si="1567">(H1059/(G1059/F1059))*I1059</f>
        <v>26.666666666666671</v>
      </c>
      <c r="K1059" s="8"/>
      <c r="L1059" s="8" t="str">
        <f t="shared" ref="L1059:L1060" si="1568">IF(E1059="M"," ",H1059/G1059)</f>
        <v xml:space="preserve"> </v>
      </c>
      <c r="M1059" s="109">
        <f t="shared" ref="M1059:M1060" si="1569">IF($E1059="L",$J1059,0)</f>
        <v>0</v>
      </c>
      <c r="N1059" s="109">
        <f t="shared" ref="N1059:N1060" si="1570">IF($E1059="M",$J1059,0)</f>
        <v>26.666666666666671</v>
      </c>
      <c r="O1059" s="109">
        <f t="shared" ref="O1059:O1060" si="1571">IF($E1059="P",$J1059,0)</f>
        <v>0</v>
      </c>
      <c r="P1059" s="109">
        <f t="shared" ref="P1059:P1060" si="1572">IF($E1059="S",$J1059,0)</f>
        <v>0</v>
      </c>
      <c r="Q1059" s="109">
        <f t="shared" ref="Q1059:Q1060" si="1573">SUM(M1059:P1059)</f>
        <v>26.666666666666671</v>
      </c>
      <c r="R1059" s="121" t="s">
        <v>2343</v>
      </c>
      <c r="T1059" s="188"/>
    </row>
    <row r="1060" spans="1:20" x14ac:dyDescent="0.25">
      <c r="A1060" s="100"/>
      <c r="B1060" s="3">
        <v>12</v>
      </c>
      <c r="C1060" s="5" t="s">
        <v>193</v>
      </c>
      <c r="D1060" s="3" t="s">
        <v>83</v>
      </c>
      <c r="E1060" s="100" t="str">
        <f>IFERROR(VLOOKUP(C1060,Resources!B:D,3,FALSE)," ")</f>
        <v>S</v>
      </c>
      <c r="F1060" s="8">
        <v>1</v>
      </c>
      <c r="G1060" s="8">
        <v>1</v>
      </c>
      <c r="H1060" s="8">
        <f>H1048*6</f>
        <v>30</v>
      </c>
      <c r="I1060" s="109">
        <f>IFERROR(VLOOKUP(C1060,Resources!B:G,6,FALSE)," ")</f>
        <v>32</v>
      </c>
      <c r="J1060" s="109">
        <f t="shared" si="1567"/>
        <v>960</v>
      </c>
      <c r="K1060" s="8">
        <f t="shared" ref="K1060" si="1574">L1060*F1060</f>
        <v>30</v>
      </c>
      <c r="L1060" s="8">
        <f t="shared" si="1568"/>
        <v>30</v>
      </c>
      <c r="M1060" s="109">
        <f t="shared" si="1569"/>
        <v>0</v>
      </c>
      <c r="N1060" s="109">
        <f t="shared" si="1570"/>
        <v>0</v>
      </c>
      <c r="O1060" s="109">
        <f t="shared" si="1571"/>
        <v>0</v>
      </c>
      <c r="P1060" s="109">
        <f t="shared" si="1572"/>
        <v>960</v>
      </c>
      <c r="Q1060" s="109">
        <f t="shared" si="1573"/>
        <v>960</v>
      </c>
      <c r="R1060" s="121">
        <v>71</v>
      </c>
      <c r="T1060" s="188"/>
    </row>
    <row r="1061" spans="1:20" x14ac:dyDescent="0.25">
      <c r="A1061" s="101"/>
      <c r="B1061" s="4"/>
      <c r="C1061" s="6"/>
      <c r="D1061" s="4"/>
      <c r="E1061" s="101" t="str">
        <f>IFERROR(VLOOKUP(C1061,Resources!B:D,3,FALSE)," ")</f>
        <v xml:space="preserve"> </v>
      </c>
      <c r="F1061" s="9"/>
      <c r="G1061" s="9"/>
      <c r="H1061" s="9"/>
      <c r="I1061" s="38" t="str">
        <f>IFERROR(VLOOKUP(C1061,Resources!B:G,6,FALSE)," ")</f>
        <v xml:space="preserve"> </v>
      </c>
      <c r="J1061" s="38"/>
      <c r="K1061" s="9"/>
      <c r="L1061" s="9"/>
      <c r="M1061" s="38"/>
      <c r="N1061" s="38"/>
      <c r="O1061" s="38"/>
      <c r="P1061" s="38"/>
      <c r="Q1061" s="38"/>
      <c r="R1061" s="122"/>
      <c r="T1061" s="188"/>
    </row>
    <row r="1062" spans="1:20" ht="30" x14ac:dyDescent="0.25">
      <c r="A1062" s="114"/>
      <c r="B1062" s="1" t="s">
        <v>511</v>
      </c>
      <c r="C1062" s="1" t="s">
        <v>418</v>
      </c>
      <c r="D1062" s="2"/>
      <c r="E1062" s="99" t="str">
        <f>IFERROR(VLOOKUP(C1062,Resources!B:D,3,FALSE)," ")</f>
        <v xml:space="preserve"> </v>
      </c>
      <c r="F1062" s="7"/>
      <c r="G1062" s="7"/>
      <c r="H1062" s="7"/>
      <c r="I1062" s="108" t="str">
        <f>IFERROR(VLOOKUP(C1062,Resources!B:G,6,FALSE)," ")</f>
        <v xml:space="preserve"> </v>
      </c>
      <c r="J1062" s="108"/>
      <c r="K1062" s="7"/>
      <c r="L1062" s="7"/>
      <c r="M1062" s="108"/>
      <c r="N1062" s="108"/>
      <c r="O1062" s="108"/>
      <c r="P1062" s="108"/>
      <c r="Q1062" s="108"/>
      <c r="R1062" s="120"/>
      <c r="T1062" s="188"/>
    </row>
    <row r="1063" spans="1:20" ht="30" x14ac:dyDescent="0.25">
      <c r="A1063" s="114"/>
      <c r="B1063" s="1" t="s">
        <v>512</v>
      </c>
      <c r="C1063" s="1" t="s">
        <v>420</v>
      </c>
      <c r="D1063" s="2"/>
      <c r="E1063" s="99" t="str">
        <f>IFERROR(VLOOKUP(C1063,Resources!B:D,3,FALSE)," ")</f>
        <v xml:space="preserve"> </v>
      </c>
      <c r="F1063" s="7"/>
      <c r="G1063" s="7"/>
      <c r="H1063" s="7"/>
      <c r="I1063" s="108" t="str">
        <f>IFERROR(VLOOKUP(C1063,Resources!B:G,6,FALSE)," ")</f>
        <v xml:space="preserve"> </v>
      </c>
      <c r="J1063" s="108"/>
      <c r="K1063" s="7"/>
      <c r="L1063" s="7"/>
      <c r="M1063" s="108"/>
      <c r="N1063" s="108"/>
      <c r="O1063" s="108"/>
      <c r="P1063" s="108"/>
      <c r="Q1063" s="108"/>
      <c r="R1063" s="120"/>
      <c r="T1063" s="188"/>
    </row>
    <row r="1064" spans="1:20" ht="30" x14ac:dyDescent="0.25">
      <c r="A1064" s="114">
        <v>143</v>
      </c>
      <c r="B1064" s="1" t="s">
        <v>513</v>
      </c>
      <c r="C1064" s="1" t="s">
        <v>514</v>
      </c>
      <c r="D1064" s="2" t="s">
        <v>20</v>
      </c>
      <c r="E1064" s="99" t="str">
        <f>IFERROR(VLOOKUP(C1064,Resources!B:D,3,FALSE)," ")</f>
        <v xml:space="preserve"> </v>
      </c>
      <c r="F1064" s="7"/>
      <c r="G1064" s="7"/>
      <c r="H1064" s="103">
        <f>VLOOKUP($A1064,'Model Inputs'!$A:$D,4,FALSE)</f>
        <v>1</v>
      </c>
      <c r="I1064" s="108" t="str">
        <f>IFERROR(VLOOKUP(C1064,Resources!B:G,6,FALSE)," ")</f>
        <v xml:space="preserve"> </v>
      </c>
      <c r="J1064" s="108">
        <f>SUBTOTAL(9,J1065)</f>
        <v>7920</v>
      </c>
      <c r="K1064" s="7"/>
      <c r="L1064" s="7">
        <f>ROUNDUP(L1065,0)</f>
        <v>3</v>
      </c>
      <c r="M1064" s="108">
        <f t="shared" ref="M1064:Q1064" si="1575">SUBTOTAL(9,M1065)</f>
        <v>0</v>
      </c>
      <c r="N1064" s="108">
        <f t="shared" si="1575"/>
        <v>0</v>
      </c>
      <c r="O1064" s="108">
        <f t="shared" si="1575"/>
        <v>0</v>
      </c>
      <c r="P1064" s="108">
        <f t="shared" si="1575"/>
        <v>7920</v>
      </c>
      <c r="Q1064" s="108">
        <f t="shared" si="1575"/>
        <v>7920</v>
      </c>
      <c r="R1064" s="120"/>
      <c r="T1064" s="188"/>
    </row>
    <row r="1065" spans="1:20" x14ac:dyDescent="0.25">
      <c r="A1065" s="100"/>
      <c r="B1065" s="3">
        <v>1</v>
      </c>
      <c r="C1065" s="5" t="s">
        <v>306</v>
      </c>
      <c r="D1065" s="3" t="s">
        <v>33</v>
      </c>
      <c r="E1065" s="100" t="str">
        <f>IFERROR(VLOOKUP(C1065,Resources!B:D,3,FALSE)," ")</f>
        <v>S</v>
      </c>
      <c r="F1065" s="8">
        <v>1</v>
      </c>
      <c r="G1065" s="8">
        <v>1</v>
      </c>
      <c r="H1065" s="8">
        <f>H1064*7920</f>
        <v>7920</v>
      </c>
      <c r="I1065" s="109">
        <f>IFERROR(VLOOKUP(C1065,Resources!B:G,6,FALSE)," ")</f>
        <v>1</v>
      </c>
      <c r="J1065" s="109">
        <f t="shared" ref="J1065" si="1576">(H1065/(G1065/F1065))*I1065</f>
        <v>7920</v>
      </c>
      <c r="K1065" s="8"/>
      <c r="L1065" s="8">
        <f>H1064*3</f>
        <v>3</v>
      </c>
      <c r="M1065" s="109">
        <f t="shared" ref="M1065" si="1577">IF($E1065="L",$J1065,0)</f>
        <v>0</v>
      </c>
      <c r="N1065" s="109">
        <f t="shared" ref="N1065" si="1578">IF($E1065="M",$J1065,0)</f>
        <v>0</v>
      </c>
      <c r="O1065" s="109">
        <f t="shared" ref="O1065" si="1579">IF($E1065="P",$J1065,0)</f>
        <v>0</v>
      </c>
      <c r="P1065" s="109">
        <f t="shared" ref="P1065" si="1580">IF($E1065="S",$J1065,0)</f>
        <v>7920</v>
      </c>
      <c r="Q1065" s="109">
        <f t="shared" ref="Q1065" si="1581">SUM(M1065:P1065)</f>
        <v>7920</v>
      </c>
      <c r="R1065" s="121">
        <v>103</v>
      </c>
      <c r="T1065" s="188"/>
    </row>
    <row r="1066" spans="1:20" x14ac:dyDescent="0.25">
      <c r="A1066" s="101"/>
      <c r="B1066" s="4"/>
      <c r="C1066" s="6"/>
      <c r="D1066" s="4"/>
      <c r="E1066" s="101" t="str">
        <f>IFERROR(VLOOKUP(C1066,Resources!B:D,3,FALSE)," ")</f>
        <v xml:space="preserve"> </v>
      </c>
      <c r="F1066" s="9"/>
      <c r="G1066" s="9"/>
      <c r="H1066" s="9"/>
      <c r="I1066" s="38" t="str">
        <f>IFERROR(VLOOKUP(C1066,Resources!B:G,6,FALSE)," ")</f>
        <v xml:space="preserve"> </v>
      </c>
      <c r="J1066" s="38"/>
      <c r="K1066" s="9"/>
      <c r="L1066" s="9"/>
      <c r="M1066" s="38"/>
      <c r="N1066" s="38"/>
      <c r="O1066" s="38"/>
      <c r="P1066" s="38"/>
      <c r="Q1066" s="38"/>
      <c r="R1066" s="122"/>
      <c r="T1066" s="188"/>
    </row>
    <row r="1067" spans="1:20" ht="30" x14ac:dyDescent="0.25">
      <c r="A1067" s="114">
        <v>144</v>
      </c>
      <c r="B1067" s="1" t="s">
        <v>515</v>
      </c>
      <c r="C1067" s="1" t="s">
        <v>516</v>
      </c>
      <c r="D1067" s="2" t="s">
        <v>20</v>
      </c>
      <c r="E1067" s="99" t="str">
        <f>IFERROR(VLOOKUP(C1067,Resources!B:D,3,FALSE)," ")</f>
        <v xml:space="preserve"> </v>
      </c>
      <c r="F1067" s="7"/>
      <c r="G1067" s="7"/>
      <c r="H1067" s="103">
        <f>VLOOKUP($A1067,'Model Inputs'!$A:$D,4,FALSE)</f>
        <v>1</v>
      </c>
      <c r="I1067" s="108" t="str">
        <f>IFERROR(VLOOKUP(C1067,Resources!B:G,6,FALSE)," ")</f>
        <v xml:space="preserve"> </v>
      </c>
      <c r="J1067" s="108">
        <f>SUBTOTAL(9,J1068)</f>
        <v>7000</v>
      </c>
      <c r="K1067" s="7"/>
      <c r="L1067" s="7">
        <f>ROUNDUP(L1068,0)</f>
        <v>2</v>
      </c>
      <c r="M1067" s="108">
        <f t="shared" ref="M1067" si="1582">SUBTOTAL(9,M1068)</f>
        <v>0</v>
      </c>
      <c r="N1067" s="108">
        <f t="shared" ref="N1067" si="1583">SUBTOTAL(9,N1068)</f>
        <v>0</v>
      </c>
      <c r="O1067" s="108">
        <f t="shared" ref="O1067" si="1584">SUBTOTAL(9,O1068)</f>
        <v>0</v>
      </c>
      <c r="P1067" s="108">
        <f t="shared" ref="P1067" si="1585">SUBTOTAL(9,P1068)</f>
        <v>7000</v>
      </c>
      <c r="Q1067" s="108">
        <f t="shared" ref="Q1067" si="1586">SUBTOTAL(9,Q1068)</f>
        <v>7000</v>
      </c>
      <c r="R1067" s="120"/>
      <c r="T1067" s="188"/>
    </row>
    <row r="1068" spans="1:20" x14ac:dyDescent="0.25">
      <c r="A1068" s="100"/>
      <c r="B1068" s="3">
        <v>1</v>
      </c>
      <c r="C1068" s="5" t="s">
        <v>306</v>
      </c>
      <c r="D1068" s="3" t="s">
        <v>33</v>
      </c>
      <c r="E1068" s="100" t="str">
        <f>IFERROR(VLOOKUP(C1068,Resources!B:D,3,FALSE)," ")</f>
        <v>S</v>
      </c>
      <c r="F1068" s="8">
        <v>1</v>
      </c>
      <c r="G1068" s="8">
        <v>1</v>
      </c>
      <c r="H1068" s="8">
        <f>H1067*7000</f>
        <v>7000</v>
      </c>
      <c r="I1068" s="109">
        <f>IFERROR(VLOOKUP(C1068,Resources!B:G,6,FALSE)," ")</f>
        <v>1</v>
      </c>
      <c r="J1068" s="109">
        <f t="shared" ref="J1068" si="1587">(H1068/(G1068/F1068))*I1068</f>
        <v>7000</v>
      </c>
      <c r="K1068" s="8"/>
      <c r="L1068" s="8">
        <f>H1067*2</f>
        <v>2</v>
      </c>
      <c r="M1068" s="109">
        <f t="shared" ref="M1068" si="1588">IF($E1068="L",$J1068,0)</f>
        <v>0</v>
      </c>
      <c r="N1068" s="109">
        <f t="shared" ref="N1068" si="1589">IF($E1068="M",$J1068,0)</f>
        <v>0</v>
      </c>
      <c r="O1068" s="109">
        <f t="shared" ref="O1068" si="1590">IF($E1068="P",$J1068,0)</f>
        <v>0</v>
      </c>
      <c r="P1068" s="109">
        <f t="shared" ref="P1068" si="1591">IF($E1068="S",$J1068,0)</f>
        <v>7000</v>
      </c>
      <c r="Q1068" s="109">
        <f t="shared" ref="Q1068" si="1592">SUM(M1068:P1068)</f>
        <v>7000</v>
      </c>
      <c r="R1068" s="121">
        <v>103</v>
      </c>
      <c r="T1068" s="188"/>
    </row>
    <row r="1069" spans="1:20" x14ac:dyDescent="0.25">
      <c r="A1069" s="101"/>
      <c r="B1069" s="4"/>
      <c r="C1069" s="6"/>
      <c r="D1069" s="4"/>
      <c r="E1069" s="101" t="str">
        <f>IFERROR(VLOOKUP(C1069,Resources!B:D,3,FALSE)," ")</f>
        <v xml:space="preserve"> </v>
      </c>
      <c r="F1069" s="9"/>
      <c r="G1069" s="9"/>
      <c r="H1069" s="9"/>
      <c r="I1069" s="38" t="str">
        <f>IFERROR(VLOOKUP(C1069,Resources!B:G,6,FALSE)," ")</f>
        <v xml:space="preserve"> </v>
      </c>
      <c r="J1069" s="38"/>
      <c r="K1069" s="9"/>
      <c r="L1069" s="9"/>
      <c r="M1069" s="38"/>
      <c r="N1069" s="38"/>
      <c r="O1069" s="38"/>
      <c r="P1069" s="38"/>
      <c r="Q1069" s="38"/>
      <c r="R1069" s="122"/>
      <c r="T1069" s="188"/>
    </row>
    <row r="1070" spans="1:20" ht="30" x14ac:dyDescent="0.25">
      <c r="A1070" s="114">
        <v>145</v>
      </c>
      <c r="B1070" s="1" t="s">
        <v>517</v>
      </c>
      <c r="C1070" s="1" t="s">
        <v>518</v>
      </c>
      <c r="D1070" s="2" t="s">
        <v>20</v>
      </c>
      <c r="E1070" s="99" t="str">
        <f>IFERROR(VLOOKUP(C1070,Resources!B:D,3,FALSE)," ")</f>
        <v xml:space="preserve"> </v>
      </c>
      <c r="F1070" s="7"/>
      <c r="G1070" s="7"/>
      <c r="H1070" s="103">
        <f>VLOOKUP($A1070,'Model Inputs'!$A:$D,4,FALSE)</f>
        <v>1</v>
      </c>
      <c r="I1070" s="108" t="str">
        <f>IFERROR(VLOOKUP(C1070,Resources!B:G,6,FALSE)," ")</f>
        <v xml:space="preserve"> </v>
      </c>
      <c r="J1070" s="108">
        <f>SUBTOTAL(9,J1071)</f>
        <v>1000</v>
      </c>
      <c r="K1070" s="7"/>
      <c r="L1070" s="7">
        <f>ROUNDUP(L1071,0)</f>
        <v>2</v>
      </c>
      <c r="M1070" s="108">
        <f t="shared" ref="M1070" si="1593">SUBTOTAL(9,M1071)</f>
        <v>0</v>
      </c>
      <c r="N1070" s="108">
        <f t="shared" ref="N1070" si="1594">SUBTOTAL(9,N1071)</f>
        <v>0</v>
      </c>
      <c r="O1070" s="108">
        <f t="shared" ref="O1070" si="1595">SUBTOTAL(9,O1071)</f>
        <v>0</v>
      </c>
      <c r="P1070" s="108">
        <f t="shared" ref="P1070" si="1596">SUBTOTAL(9,P1071)</f>
        <v>1000</v>
      </c>
      <c r="Q1070" s="108">
        <f t="shared" ref="Q1070" si="1597">SUBTOTAL(9,Q1071)</f>
        <v>1000</v>
      </c>
      <c r="R1070" s="120"/>
      <c r="T1070" s="188"/>
    </row>
    <row r="1071" spans="1:20" x14ac:dyDescent="0.25">
      <c r="A1071" s="100"/>
      <c r="B1071" s="3">
        <v>1</v>
      </c>
      <c r="C1071" s="5" t="s">
        <v>306</v>
      </c>
      <c r="D1071" s="3" t="s">
        <v>33</v>
      </c>
      <c r="E1071" s="100" t="str">
        <f>IFERROR(VLOOKUP(C1071,Resources!B:D,3,FALSE)," ")</f>
        <v>S</v>
      </c>
      <c r="F1071" s="8">
        <v>1</v>
      </c>
      <c r="G1071" s="8">
        <v>1</v>
      </c>
      <c r="H1071" s="8">
        <f>H1070*1000</f>
        <v>1000</v>
      </c>
      <c r="I1071" s="109">
        <f>IFERROR(VLOOKUP(C1071,Resources!B:G,6,FALSE)," ")</f>
        <v>1</v>
      </c>
      <c r="J1071" s="109">
        <f t="shared" ref="J1071" si="1598">(H1071/(G1071/F1071))*I1071</f>
        <v>1000</v>
      </c>
      <c r="K1071" s="8"/>
      <c r="L1071" s="8">
        <f>H1070*2</f>
        <v>2</v>
      </c>
      <c r="M1071" s="109">
        <f t="shared" ref="M1071" si="1599">IF($E1071="L",$J1071,0)</f>
        <v>0</v>
      </c>
      <c r="N1071" s="109">
        <f t="shared" ref="N1071" si="1600">IF($E1071="M",$J1071,0)</f>
        <v>0</v>
      </c>
      <c r="O1071" s="109">
        <f t="shared" ref="O1071" si="1601">IF($E1071="P",$J1071,0)</f>
        <v>0</v>
      </c>
      <c r="P1071" s="109">
        <f t="shared" ref="P1071" si="1602">IF($E1071="S",$J1071,0)</f>
        <v>1000</v>
      </c>
      <c r="Q1071" s="109">
        <f t="shared" ref="Q1071" si="1603">SUM(M1071:P1071)</f>
        <v>1000</v>
      </c>
      <c r="R1071" s="121">
        <v>103</v>
      </c>
      <c r="T1071" s="188"/>
    </row>
    <row r="1072" spans="1:20" x14ac:dyDescent="0.25">
      <c r="A1072" s="101"/>
      <c r="B1072" s="4"/>
      <c r="C1072" s="6"/>
      <c r="D1072" s="4"/>
      <c r="E1072" s="101" t="str">
        <f>IFERROR(VLOOKUP(C1072,Resources!B:D,3,FALSE)," ")</f>
        <v xml:space="preserve"> </v>
      </c>
      <c r="F1072" s="9"/>
      <c r="G1072" s="9"/>
      <c r="H1072" s="9"/>
      <c r="I1072" s="38" t="str">
        <f>IFERROR(VLOOKUP(C1072,Resources!B:G,6,FALSE)," ")</f>
        <v xml:space="preserve"> </v>
      </c>
      <c r="J1072" s="38"/>
      <c r="K1072" s="9"/>
      <c r="L1072" s="9"/>
      <c r="M1072" s="38"/>
      <c r="N1072" s="38"/>
      <c r="O1072" s="38"/>
      <c r="P1072" s="38"/>
      <c r="Q1072" s="38"/>
      <c r="R1072" s="122"/>
      <c r="T1072" s="188"/>
    </row>
    <row r="1073" spans="1:20" ht="30" x14ac:dyDescent="0.25">
      <c r="A1073" s="114"/>
      <c r="B1073" s="1" t="s">
        <v>519</v>
      </c>
      <c r="C1073" s="1" t="s">
        <v>145</v>
      </c>
      <c r="D1073" s="2"/>
      <c r="E1073" s="99" t="str">
        <f>IFERROR(VLOOKUP(C1073,Resources!B:D,3,FALSE)," ")</f>
        <v xml:space="preserve"> </v>
      </c>
      <c r="F1073" s="7"/>
      <c r="G1073" s="7"/>
      <c r="H1073" s="7"/>
      <c r="I1073" s="108" t="str">
        <f>IFERROR(VLOOKUP(C1073,Resources!B:G,6,FALSE)," ")</f>
        <v xml:space="preserve"> </v>
      </c>
      <c r="J1073" s="108"/>
      <c r="K1073" s="7"/>
      <c r="L1073" s="7"/>
      <c r="M1073" s="108"/>
      <c r="N1073" s="108"/>
      <c r="O1073" s="108"/>
      <c r="P1073" s="108"/>
      <c r="Q1073" s="108"/>
      <c r="R1073" s="120"/>
      <c r="T1073" s="188"/>
    </row>
    <row r="1074" spans="1:20" ht="30" x14ac:dyDescent="0.25">
      <c r="A1074" s="114">
        <v>146</v>
      </c>
      <c r="B1074" s="1" t="s">
        <v>520</v>
      </c>
      <c r="C1074" s="1" t="s">
        <v>147</v>
      </c>
      <c r="D1074" s="2" t="s">
        <v>20</v>
      </c>
      <c r="E1074" s="99" t="str">
        <f>IFERROR(VLOOKUP(C1074,Resources!B:D,3,FALSE)," ")</f>
        <v xml:space="preserve"> </v>
      </c>
      <c r="F1074" s="7"/>
      <c r="G1074" s="7"/>
      <c r="H1074" s="103">
        <f>VLOOKUP($A1074,'Model Inputs'!$A:$D,4,FALSE)</f>
        <v>1</v>
      </c>
      <c r="I1074" s="108" t="str">
        <f>IFERROR(VLOOKUP(C1074,Resources!B:G,6,FALSE)," ")</f>
        <v xml:space="preserve"> </v>
      </c>
      <c r="J1074" s="108">
        <f>SUBTOTAL(9,J1075)</f>
        <v>2400</v>
      </c>
      <c r="K1074" s="7"/>
      <c r="L1074" s="7">
        <f>ROUNDUP(L1075/Workhrs,0)</f>
        <v>3</v>
      </c>
      <c r="M1074" s="108">
        <f t="shared" ref="M1074" si="1604">SUBTOTAL(9,M1075)</f>
        <v>0</v>
      </c>
      <c r="N1074" s="108">
        <f t="shared" ref="N1074" si="1605">SUBTOTAL(9,N1075)</f>
        <v>0</v>
      </c>
      <c r="O1074" s="108">
        <f t="shared" ref="O1074" si="1606">SUBTOTAL(9,O1075)</f>
        <v>0</v>
      </c>
      <c r="P1074" s="108">
        <f t="shared" ref="P1074" si="1607">SUBTOTAL(9,P1075)</f>
        <v>2400</v>
      </c>
      <c r="Q1074" s="108">
        <f t="shared" ref="Q1074" si="1608">SUBTOTAL(9,Q1075)</f>
        <v>2400</v>
      </c>
      <c r="R1074" s="120"/>
      <c r="T1074" s="188"/>
    </row>
    <row r="1075" spans="1:20" x14ac:dyDescent="0.25">
      <c r="A1075" s="100"/>
      <c r="B1075" s="3">
        <v>1</v>
      </c>
      <c r="C1075" s="5" t="s">
        <v>148</v>
      </c>
      <c r="D1075" s="3" t="s">
        <v>33</v>
      </c>
      <c r="E1075" s="100" t="str">
        <f>IFERROR(VLOOKUP(C1075,Resources!B:D,3,FALSE)," ")</f>
        <v>S</v>
      </c>
      <c r="F1075" s="8">
        <v>1</v>
      </c>
      <c r="G1075" s="8">
        <v>1</v>
      </c>
      <c r="H1075" s="8">
        <f>H1074*2400</f>
        <v>2400</v>
      </c>
      <c r="I1075" s="109">
        <f>IFERROR(VLOOKUP(C1075,Resources!B:G,6,FALSE)," ")</f>
        <v>1</v>
      </c>
      <c r="J1075" s="109">
        <f t="shared" ref="J1075" si="1609">(H1075/(G1075/F1075))*I1075</f>
        <v>2400</v>
      </c>
      <c r="K1075" s="8"/>
      <c r="L1075" s="8">
        <f>H1075/125</f>
        <v>19.2</v>
      </c>
      <c r="M1075" s="109">
        <f t="shared" ref="M1075" si="1610">IF($E1075="L",$J1075,0)</f>
        <v>0</v>
      </c>
      <c r="N1075" s="109">
        <f t="shared" ref="N1075" si="1611">IF($E1075="M",$J1075,0)</f>
        <v>0</v>
      </c>
      <c r="O1075" s="109">
        <f t="shared" ref="O1075" si="1612">IF($E1075="P",$J1075,0)</f>
        <v>0</v>
      </c>
      <c r="P1075" s="109">
        <f t="shared" ref="P1075" si="1613">IF($E1075="S",$J1075,0)</f>
        <v>2400</v>
      </c>
      <c r="Q1075" s="109">
        <f t="shared" ref="Q1075" si="1614">SUM(M1075:P1075)</f>
        <v>2400</v>
      </c>
      <c r="R1075" s="121">
        <v>12</v>
      </c>
      <c r="T1075" s="188"/>
    </row>
    <row r="1076" spans="1:20" x14ac:dyDescent="0.25">
      <c r="A1076" s="101"/>
      <c r="B1076" s="4"/>
      <c r="C1076" s="6"/>
      <c r="D1076" s="4"/>
      <c r="E1076" s="101" t="str">
        <f>IFERROR(VLOOKUP(C1076,Resources!B:D,3,FALSE)," ")</f>
        <v xml:space="preserve"> </v>
      </c>
      <c r="F1076" s="9"/>
      <c r="G1076" s="9"/>
      <c r="H1076" s="9"/>
      <c r="I1076" s="38" t="str">
        <f>IFERROR(VLOOKUP(C1076,Resources!B:G,6,FALSE)," ")</f>
        <v xml:space="preserve"> </v>
      </c>
      <c r="J1076" s="38"/>
      <c r="K1076" s="9"/>
      <c r="L1076" s="9"/>
      <c r="M1076" s="38"/>
      <c r="N1076" s="38"/>
      <c r="O1076" s="38"/>
      <c r="P1076" s="38"/>
      <c r="Q1076" s="38"/>
      <c r="R1076" s="122"/>
      <c r="T1076" s="188"/>
    </row>
    <row r="1077" spans="1:20" ht="30" x14ac:dyDescent="0.25">
      <c r="A1077" s="114">
        <v>700</v>
      </c>
      <c r="B1077" s="1" t="s">
        <v>521</v>
      </c>
      <c r="C1077" s="1" t="s">
        <v>522</v>
      </c>
      <c r="D1077" s="2"/>
      <c r="E1077" s="99" t="str">
        <f>IFERROR(VLOOKUP(C1077,Resources!B:D,3,FALSE)," ")</f>
        <v xml:space="preserve"> </v>
      </c>
      <c r="F1077" s="7"/>
      <c r="G1077" s="7"/>
      <c r="H1077" s="7"/>
      <c r="I1077" s="108" t="str">
        <f>IFERROR(VLOOKUP(C1077,Resources!B:G,6,FALSE)," ")</f>
        <v xml:space="preserve"> </v>
      </c>
      <c r="J1077" s="108"/>
      <c r="K1077" s="7"/>
      <c r="L1077" s="7"/>
      <c r="M1077" s="108"/>
      <c r="N1077" s="108"/>
      <c r="O1077" s="108"/>
      <c r="P1077" s="108"/>
      <c r="Q1077" s="108"/>
      <c r="R1077" s="120"/>
      <c r="T1077" s="188"/>
    </row>
    <row r="1078" spans="1:20" ht="30" x14ac:dyDescent="0.25">
      <c r="A1078" s="114"/>
      <c r="B1078" s="1" t="s">
        <v>523</v>
      </c>
      <c r="C1078" s="1" t="s">
        <v>17</v>
      </c>
      <c r="D1078" s="2"/>
      <c r="E1078" s="99" t="str">
        <f>IFERROR(VLOOKUP(C1078,Resources!B:D,3,FALSE)," ")</f>
        <v xml:space="preserve"> </v>
      </c>
      <c r="F1078" s="7"/>
      <c r="G1078" s="7"/>
      <c r="H1078" s="7"/>
      <c r="I1078" s="108" t="str">
        <f>IFERROR(VLOOKUP(C1078,Resources!B:G,6,FALSE)," ")</f>
        <v xml:space="preserve"> </v>
      </c>
      <c r="J1078" s="108"/>
      <c r="K1078" s="7"/>
      <c r="L1078" s="7"/>
      <c r="M1078" s="108"/>
      <c r="N1078" s="108"/>
      <c r="O1078" s="108"/>
      <c r="P1078" s="108"/>
      <c r="Q1078" s="108"/>
      <c r="R1078" s="120"/>
      <c r="T1078" s="188"/>
    </row>
    <row r="1079" spans="1:20" ht="30" x14ac:dyDescent="0.25">
      <c r="A1079" s="114"/>
      <c r="B1079" s="1" t="s">
        <v>524</v>
      </c>
      <c r="C1079" s="1" t="s">
        <v>25</v>
      </c>
      <c r="D1079" s="2"/>
      <c r="E1079" s="99" t="str">
        <f>IFERROR(VLOOKUP(C1079,Resources!B:D,3,FALSE)," ")</f>
        <v xml:space="preserve"> </v>
      </c>
      <c r="F1079" s="7"/>
      <c r="G1079" s="7"/>
      <c r="H1079" s="7"/>
      <c r="I1079" s="108" t="str">
        <f>IFERROR(VLOOKUP(C1079,Resources!B:G,6,FALSE)," ")</f>
        <v xml:space="preserve"> </v>
      </c>
      <c r="J1079" s="108"/>
      <c r="K1079" s="7"/>
      <c r="L1079" s="7"/>
      <c r="M1079" s="108"/>
      <c r="N1079" s="108"/>
      <c r="O1079" s="108"/>
      <c r="P1079" s="108"/>
      <c r="Q1079" s="108"/>
      <c r="R1079" s="120"/>
      <c r="T1079" s="188"/>
    </row>
    <row r="1080" spans="1:20" ht="30" x14ac:dyDescent="0.25">
      <c r="A1080" s="114">
        <v>147</v>
      </c>
      <c r="B1080" s="1" t="s">
        <v>525</v>
      </c>
      <c r="C1080" s="1" t="s">
        <v>27</v>
      </c>
      <c r="D1080" s="2" t="s">
        <v>20</v>
      </c>
      <c r="E1080" s="99" t="str">
        <f>IFERROR(VLOOKUP(C1080,Resources!B:D,3,FALSE)," ")</f>
        <v xml:space="preserve"> </v>
      </c>
      <c r="F1080" s="7"/>
      <c r="G1080" s="7"/>
      <c r="H1080" s="103">
        <f>VLOOKUP($A1080,'Model Inputs'!$A:$D,4,FALSE)</f>
        <v>1</v>
      </c>
      <c r="I1080" s="108" t="str">
        <f>IFERROR(VLOOKUP(C1080,Resources!B:G,6,FALSE)," ")</f>
        <v xml:space="preserve"> </v>
      </c>
      <c r="J1080" s="108">
        <f>SUBTOTAL(9,J1081:J1087)</f>
        <v>10470</v>
      </c>
      <c r="K1080" s="7"/>
      <c r="L1080" s="7">
        <v>0</v>
      </c>
      <c r="M1080" s="108">
        <f t="shared" ref="M1080:Q1080" si="1615">SUBTOTAL(9,M1081:M1087)</f>
        <v>3250</v>
      </c>
      <c r="N1080" s="108">
        <f t="shared" si="1615"/>
        <v>0</v>
      </c>
      <c r="O1080" s="108">
        <f t="shared" si="1615"/>
        <v>0</v>
      </c>
      <c r="P1080" s="108">
        <f t="shared" si="1615"/>
        <v>7220</v>
      </c>
      <c r="Q1080" s="108">
        <f t="shared" si="1615"/>
        <v>10470</v>
      </c>
      <c r="R1080" s="120"/>
      <c r="T1080" s="188"/>
    </row>
    <row r="1081" spans="1:20" x14ac:dyDescent="0.25">
      <c r="A1081" s="100"/>
      <c r="B1081" s="3">
        <v>1</v>
      </c>
      <c r="C1081" s="5" t="s">
        <v>21</v>
      </c>
      <c r="D1081" s="3" t="s">
        <v>22</v>
      </c>
      <c r="E1081" s="100" t="str">
        <f>IFERROR(VLOOKUP(C1081,Resources!B:D,3,FALSE)," ")</f>
        <v>L</v>
      </c>
      <c r="F1081" s="8">
        <v>1</v>
      </c>
      <c r="G1081" s="8">
        <v>1</v>
      </c>
      <c r="H1081" s="8">
        <f>H1080</f>
        <v>1</v>
      </c>
      <c r="I1081" s="109">
        <f>IFERROR(VLOOKUP(C1081,Resources!B:G,6,FALSE)," ")</f>
        <v>3250</v>
      </c>
      <c r="J1081" s="109">
        <f t="shared" ref="J1081" si="1616">(H1081/(G1081/F1081))*I1081</f>
        <v>3250</v>
      </c>
      <c r="K1081" s="8"/>
      <c r="L1081" s="8"/>
      <c r="M1081" s="109">
        <f t="shared" ref="M1081" si="1617">IF($E1081="L",$J1081,0)</f>
        <v>3250</v>
      </c>
      <c r="N1081" s="109">
        <f t="shared" ref="N1081" si="1618">IF($E1081="M",$J1081,0)</f>
        <v>0</v>
      </c>
      <c r="O1081" s="109">
        <f t="shared" ref="O1081" si="1619">IF($E1081="P",$J1081,0)</f>
        <v>0</v>
      </c>
      <c r="P1081" s="109">
        <f t="shared" ref="P1081" si="1620">IF($E1081="S",$J1081,0)</f>
        <v>0</v>
      </c>
      <c r="Q1081" s="109">
        <f t="shared" ref="Q1081" si="1621">SUM(M1081:P1081)</f>
        <v>3250</v>
      </c>
      <c r="R1081" s="121">
        <v>901</v>
      </c>
      <c r="T1081" s="188"/>
    </row>
    <row r="1082" spans="1:20" x14ac:dyDescent="0.25">
      <c r="A1082" s="100">
        <v>147.1</v>
      </c>
      <c r="B1082" s="3">
        <v>2</v>
      </c>
      <c r="C1082" s="5" t="s">
        <v>2383</v>
      </c>
      <c r="D1082" s="3"/>
      <c r="E1082" s="100" t="str">
        <f>IFERROR(VLOOKUP(C1082,Resources!B:D,3,FALSE)," ")</f>
        <v xml:space="preserve"> </v>
      </c>
      <c r="F1082" s="8"/>
      <c r="G1082" s="8"/>
      <c r="H1082" s="103">
        <f>VLOOKUP($A1082,'Model Inputs'!$A:$D,4,FALSE)</f>
        <v>30</v>
      </c>
      <c r="I1082" s="109" t="str">
        <f>IFERROR(VLOOKUP(C1082,Resources!B:G,6,FALSE)," ")</f>
        <v xml:space="preserve"> </v>
      </c>
      <c r="J1082" s="109"/>
      <c r="K1082" s="8"/>
      <c r="L1082" s="8"/>
      <c r="M1082" s="109"/>
      <c r="N1082" s="109"/>
      <c r="O1082" s="109"/>
      <c r="P1082" s="109"/>
      <c r="Q1082" s="109"/>
      <c r="R1082" s="121"/>
      <c r="T1082" s="188"/>
    </row>
    <row r="1083" spans="1:20" x14ac:dyDescent="0.25">
      <c r="A1083" s="100">
        <v>147.19999999999999</v>
      </c>
      <c r="B1083" s="3">
        <v>3</v>
      </c>
      <c r="C1083" s="5" t="s">
        <v>2363</v>
      </c>
      <c r="D1083" s="3"/>
      <c r="E1083" s="100" t="str">
        <f>IFERROR(VLOOKUP(C1083,Resources!B:D,3,FALSE)," ")</f>
        <v xml:space="preserve"> </v>
      </c>
      <c r="F1083" s="8"/>
      <c r="G1083" s="8"/>
      <c r="H1083" s="103">
        <f>VLOOKUP($A1083,'Model Inputs'!$A:$D,4,FALSE)</f>
        <v>6</v>
      </c>
      <c r="I1083" s="109" t="str">
        <f>IFERROR(VLOOKUP(C1083,Resources!B:G,6,FALSE)," ")</f>
        <v xml:space="preserve"> </v>
      </c>
      <c r="J1083" s="109"/>
      <c r="K1083" s="8"/>
      <c r="L1083" s="8"/>
      <c r="M1083" s="109"/>
      <c r="N1083" s="109"/>
      <c r="O1083" s="109"/>
      <c r="P1083" s="109"/>
      <c r="Q1083" s="109"/>
      <c r="R1083" s="121"/>
      <c r="T1083" s="188"/>
    </row>
    <row r="1084" spans="1:20" x14ac:dyDescent="0.25">
      <c r="A1084" s="100"/>
      <c r="B1084" s="3">
        <v>4</v>
      </c>
      <c r="C1084" s="5" t="s">
        <v>28</v>
      </c>
      <c r="D1084" s="3" t="s">
        <v>29</v>
      </c>
      <c r="E1084" s="100" t="str">
        <f>IFERROR(VLOOKUP(C1084,Resources!B:D,3,FALSE)," ")</f>
        <v>S</v>
      </c>
      <c r="F1084" s="8">
        <v>1</v>
      </c>
      <c r="G1084" s="8">
        <v>1</v>
      </c>
      <c r="H1084" s="8">
        <f>H1082</f>
        <v>30</v>
      </c>
      <c r="I1084" s="109">
        <f>IFERROR(VLOOKUP(C1084,Resources!B:G,6,FALSE)," ")</f>
        <v>45</v>
      </c>
      <c r="J1084" s="109">
        <f t="shared" ref="J1084:J1086" si="1622">(H1084/(G1084/F1084))*I1084</f>
        <v>1350</v>
      </c>
      <c r="K1084" s="8"/>
      <c r="L1084" s="8"/>
      <c r="M1084" s="109">
        <f t="shared" ref="M1084:M1087" si="1623">IF($E1084="L",$J1084,0)</f>
        <v>0</v>
      </c>
      <c r="N1084" s="109">
        <f t="shared" ref="N1084:N1087" si="1624">IF($E1084="M",$J1084,0)</f>
        <v>0</v>
      </c>
      <c r="O1084" s="109">
        <f t="shared" ref="O1084:O1087" si="1625">IF($E1084="P",$J1084,0)</f>
        <v>0</v>
      </c>
      <c r="P1084" s="109">
        <f t="shared" ref="P1084:P1087" si="1626">IF($E1084="S",$J1084,0)</f>
        <v>1350</v>
      </c>
      <c r="Q1084" s="109">
        <f t="shared" ref="Q1084:Q1087" si="1627">SUM(M1084:P1084)</f>
        <v>1350</v>
      </c>
      <c r="R1084" s="121">
        <v>13</v>
      </c>
      <c r="T1084" s="188"/>
    </row>
    <row r="1085" spans="1:20" x14ac:dyDescent="0.25">
      <c r="A1085" s="100"/>
      <c r="B1085" s="3">
        <v>5</v>
      </c>
      <c r="C1085" s="5" t="s">
        <v>30</v>
      </c>
      <c r="D1085" s="3" t="s">
        <v>29</v>
      </c>
      <c r="E1085" s="100" t="str">
        <f>IFERROR(VLOOKUP(C1085,Resources!B:D,3,FALSE)," ")</f>
        <v>S</v>
      </c>
      <c r="F1085" s="8">
        <v>1</v>
      </c>
      <c r="G1085" s="8">
        <v>1</v>
      </c>
      <c r="H1085" s="8">
        <v>3</v>
      </c>
      <c r="I1085" s="109">
        <f>IFERROR(VLOOKUP(C1085,Resources!B:G,6,FALSE)," ")</f>
        <v>390</v>
      </c>
      <c r="J1085" s="109">
        <f t="shared" si="1622"/>
        <v>1170</v>
      </c>
      <c r="K1085" s="8"/>
      <c r="L1085" s="8"/>
      <c r="M1085" s="109">
        <f t="shared" si="1623"/>
        <v>0</v>
      </c>
      <c r="N1085" s="109">
        <f t="shared" si="1624"/>
        <v>0</v>
      </c>
      <c r="O1085" s="109">
        <f t="shared" si="1625"/>
        <v>0</v>
      </c>
      <c r="P1085" s="109">
        <f t="shared" si="1626"/>
        <v>1170</v>
      </c>
      <c r="Q1085" s="109">
        <f t="shared" si="1627"/>
        <v>1170</v>
      </c>
      <c r="R1085" s="121">
        <v>13</v>
      </c>
      <c r="T1085" s="188"/>
    </row>
    <row r="1086" spans="1:20" x14ac:dyDescent="0.25">
      <c r="A1086" s="100"/>
      <c r="B1086" s="3">
        <v>6</v>
      </c>
      <c r="C1086" s="5" t="s">
        <v>31</v>
      </c>
      <c r="D1086" s="3" t="s">
        <v>29</v>
      </c>
      <c r="E1086" s="100" t="str">
        <f>IFERROR(VLOOKUP(C1086,Resources!B:D,3,FALSE)," ")</f>
        <v>S</v>
      </c>
      <c r="F1086" s="8">
        <v>1</v>
      </c>
      <c r="G1086" s="8">
        <v>1</v>
      </c>
      <c r="H1086" s="8">
        <f>H1083</f>
        <v>6</v>
      </c>
      <c r="I1086" s="109">
        <f>IFERROR(VLOOKUP(C1086,Resources!B:G,6,FALSE)," ")</f>
        <v>150</v>
      </c>
      <c r="J1086" s="109">
        <f t="shared" si="1622"/>
        <v>900</v>
      </c>
      <c r="K1086" s="8"/>
      <c r="L1086" s="8"/>
      <c r="M1086" s="109">
        <f t="shared" si="1623"/>
        <v>0</v>
      </c>
      <c r="N1086" s="109">
        <f t="shared" si="1624"/>
        <v>0</v>
      </c>
      <c r="O1086" s="109">
        <f t="shared" si="1625"/>
        <v>0</v>
      </c>
      <c r="P1086" s="109">
        <f t="shared" si="1626"/>
        <v>900</v>
      </c>
      <c r="Q1086" s="109">
        <f t="shared" si="1627"/>
        <v>900</v>
      </c>
      <c r="R1086" s="121">
        <v>13</v>
      </c>
      <c r="T1086" s="188"/>
    </row>
    <row r="1087" spans="1:20" x14ac:dyDescent="0.25">
      <c r="A1087" s="100">
        <v>147.30000000000001</v>
      </c>
      <c r="B1087" s="3">
        <v>7</v>
      </c>
      <c r="C1087" s="5" t="s">
        <v>148</v>
      </c>
      <c r="D1087" s="3" t="s">
        <v>33</v>
      </c>
      <c r="E1087" s="100" t="str">
        <f>IFERROR(VLOOKUP(C1087,Resources!B:D,3,FALSE)," ")</f>
        <v>S</v>
      </c>
      <c r="F1087" s="103">
        <f>VLOOKUP($A1087,'Model Inputs'!$A:$D,4,FALSE)</f>
        <v>3800</v>
      </c>
      <c r="G1087" s="8">
        <v>1</v>
      </c>
      <c r="H1087" s="8">
        <f>H1080*F1087</f>
        <v>3800</v>
      </c>
      <c r="I1087" s="109">
        <f>IFERROR(VLOOKUP(C1087,Resources!B:G,6,FALSE)," ")</f>
        <v>1</v>
      </c>
      <c r="J1087" s="109">
        <f>I1087*H1087</f>
        <v>3800</v>
      </c>
      <c r="K1087" s="8"/>
      <c r="L1087" s="8"/>
      <c r="M1087" s="109">
        <f t="shared" si="1623"/>
        <v>0</v>
      </c>
      <c r="N1087" s="109">
        <f t="shared" si="1624"/>
        <v>0</v>
      </c>
      <c r="O1087" s="109">
        <f t="shared" si="1625"/>
        <v>0</v>
      </c>
      <c r="P1087" s="109">
        <f t="shared" si="1626"/>
        <v>3800</v>
      </c>
      <c r="Q1087" s="109">
        <f t="shared" si="1627"/>
        <v>3800</v>
      </c>
      <c r="R1087" s="121">
        <v>11</v>
      </c>
      <c r="T1087" s="188"/>
    </row>
    <row r="1088" spans="1:20" x14ac:dyDescent="0.25">
      <c r="A1088" s="101"/>
      <c r="B1088" s="4"/>
      <c r="C1088" s="6"/>
      <c r="D1088" s="4"/>
      <c r="E1088" s="101" t="str">
        <f>IFERROR(VLOOKUP(C1088,Resources!B:D,3,FALSE)," ")</f>
        <v xml:space="preserve"> </v>
      </c>
      <c r="F1088" s="9"/>
      <c r="G1088" s="9"/>
      <c r="H1088" s="9"/>
      <c r="I1088" s="38" t="str">
        <f>IFERROR(VLOOKUP(C1088,Resources!B:G,6,FALSE)," ")</f>
        <v xml:space="preserve"> </v>
      </c>
      <c r="J1088" s="38"/>
      <c r="K1088" s="9"/>
      <c r="L1088" s="9"/>
      <c r="M1088" s="38"/>
      <c r="N1088" s="38"/>
      <c r="O1088" s="38"/>
      <c r="P1088" s="38"/>
      <c r="Q1088" s="38"/>
      <c r="R1088" s="122"/>
      <c r="T1088" s="188"/>
    </row>
    <row r="1089" spans="1:20" ht="30" x14ac:dyDescent="0.25">
      <c r="A1089" s="114"/>
      <c r="B1089" s="1" t="s">
        <v>526</v>
      </c>
      <c r="C1089" s="1" t="s">
        <v>35</v>
      </c>
      <c r="D1089" s="2"/>
      <c r="E1089" s="99" t="str">
        <f>IFERROR(VLOOKUP(C1089,Resources!B:D,3,FALSE)," ")</f>
        <v xml:space="preserve"> </v>
      </c>
      <c r="F1089" s="7"/>
      <c r="G1089" s="7"/>
      <c r="H1089" s="7"/>
      <c r="I1089" s="108" t="str">
        <f>IFERROR(VLOOKUP(C1089,Resources!B:G,6,FALSE)," ")</f>
        <v xml:space="preserve"> </v>
      </c>
      <c r="J1089" s="108"/>
      <c r="K1089" s="7"/>
      <c r="L1089" s="7"/>
      <c r="M1089" s="108"/>
      <c r="N1089" s="108"/>
      <c r="O1089" s="108"/>
      <c r="P1089" s="108"/>
      <c r="Q1089" s="108"/>
      <c r="R1089" s="120"/>
      <c r="T1089" s="188"/>
    </row>
    <row r="1090" spans="1:20" ht="30" x14ac:dyDescent="0.25">
      <c r="A1090" s="114"/>
      <c r="B1090" s="1" t="s">
        <v>527</v>
      </c>
      <c r="C1090" s="1" t="s">
        <v>36</v>
      </c>
      <c r="D1090" s="2"/>
      <c r="E1090" s="99" t="str">
        <f>IFERROR(VLOOKUP(C1090,Resources!B:D,3,FALSE)," ")</f>
        <v xml:space="preserve"> </v>
      </c>
      <c r="F1090" s="7"/>
      <c r="G1090" s="7"/>
      <c r="H1090" s="7"/>
      <c r="I1090" s="108" t="str">
        <f>IFERROR(VLOOKUP(C1090,Resources!B:G,6,FALSE)," ")</f>
        <v xml:space="preserve"> </v>
      </c>
      <c r="J1090" s="108"/>
      <c r="K1090" s="7"/>
      <c r="L1090" s="7"/>
      <c r="M1090" s="108"/>
      <c r="N1090" s="108"/>
      <c r="O1090" s="108"/>
      <c r="P1090" s="108"/>
      <c r="Q1090" s="108"/>
      <c r="R1090" s="120"/>
      <c r="T1090" s="188"/>
    </row>
    <row r="1091" spans="1:20" ht="30" x14ac:dyDescent="0.25">
      <c r="A1091" s="114"/>
      <c r="B1091" s="1" t="s">
        <v>528</v>
      </c>
      <c r="C1091" s="1" t="s">
        <v>38</v>
      </c>
      <c r="D1091" s="2" t="s">
        <v>20</v>
      </c>
      <c r="E1091" s="99" t="str">
        <f>IFERROR(VLOOKUP(C1091,Resources!B:D,3,FALSE)," ")</f>
        <v xml:space="preserve"> </v>
      </c>
      <c r="F1091" s="7"/>
      <c r="G1091" s="7"/>
      <c r="H1091" s="7">
        <v>1</v>
      </c>
      <c r="I1091" s="108" t="str">
        <f>IFERROR(VLOOKUP(C1091,Resources!B:G,6,FALSE)," ")</f>
        <v xml:space="preserve"> </v>
      </c>
      <c r="J1091" s="108"/>
      <c r="K1091" s="7"/>
      <c r="L1091" s="7"/>
      <c r="M1091" s="108"/>
      <c r="N1091" s="108"/>
      <c r="O1091" s="108"/>
      <c r="P1091" s="108"/>
      <c r="Q1091" s="108"/>
      <c r="R1091" s="120"/>
      <c r="T1091" s="188"/>
    </row>
    <row r="1092" spans="1:20" x14ac:dyDescent="0.25">
      <c r="A1092" s="101"/>
      <c r="B1092" s="4"/>
      <c r="C1092" s="6"/>
      <c r="D1092" s="4"/>
      <c r="E1092" s="101" t="str">
        <f>IFERROR(VLOOKUP(C1092,Resources!B:D,3,FALSE)," ")</f>
        <v xml:space="preserve"> </v>
      </c>
      <c r="F1092" s="9"/>
      <c r="G1092" s="9"/>
      <c r="H1092" s="9"/>
      <c r="I1092" s="38" t="str">
        <f>IFERROR(VLOOKUP(C1092,Resources!B:G,6,FALSE)," ")</f>
        <v xml:space="preserve"> </v>
      </c>
      <c r="J1092" s="38"/>
      <c r="K1092" s="9"/>
      <c r="L1092" s="9"/>
      <c r="M1092" s="38"/>
      <c r="N1092" s="38"/>
      <c r="O1092" s="38"/>
      <c r="P1092" s="38"/>
      <c r="Q1092" s="38"/>
      <c r="R1092" s="122"/>
      <c r="T1092" s="188"/>
    </row>
    <row r="1093" spans="1:20" ht="30" x14ac:dyDescent="0.25">
      <c r="A1093" s="114"/>
      <c r="B1093" s="1" t="s">
        <v>529</v>
      </c>
      <c r="C1093" s="1" t="s">
        <v>50</v>
      </c>
      <c r="D1093" s="2"/>
      <c r="E1093" s="99" t="str">
        <f>IFERROR(VLOOKUP(C1093,Resources!B:D,3,FALSE)," ")</f>
        <v xml:space="preserve"> </v>
      </c>
      <c r="F1093" s="7"/>
      <c r="G1093" s="7"/>
      <c r="H1093" s="7"/>
      <c r="I1093" s="108" t="str">
        <f>IFERROR(VLOOKUP(C1093,Resources!B:G,6,FALSE)," ")</f>
        <v xml:space="preserve"> </v>
      </c>
      <c r="J1093" s="108"/>
      <c r="K1093" s="7"/>
      <c r="L1093" s="7"/>
      <c r="M1093" s="108"/>
      <c r="N1093" s="108"/>
      <c r="O1093" s="108"/>
      <c r="P1093" s="108"/>
      <c r="Q1093" s="108"/>
      <c r="R1093" s="120"/>
      <c r="T1093" s="188"/>
    </row>
    <row r="1094" spans="1:20" ht="30" x14ac:dyDescent="0.25">
      <c r="A1094" s="114"/>
      <c r="B1094" s="1" t="s">
        <v>530</v>
      </c>
      <c r="C1094" s="1" t="s">
        <v>52</v>
      </c>
      <c r="D1094" s="2"/>
      <c r="E1094" s="99" t="str">
        <f>IFERROR(VLOOKUP(C1094,Resources!B:D,3,FALSE)," ")</f>
        <v xml:space="preserve"> </v>
      </c>
      <c r="F1094" s="7"/>
      <c r="G1094" s="7"/>
      <c r="H1094" s="7"/>
      <c r="I1094" s="108" t="str">
        <f>IFERROR(VLOOKUP(C1094,Resources!B:G,6,FALSE)," ")</f>
        <v xml:space="preserve"> </v>
      </c>
      <c r="J1094" s="108"/>
      <c r="K1094" s="7"/>
      <c r="L1094" s="7"/>
      <c r="M1094" s="108"/>
      <c r="N1094" s="108"/>
      <c r="O1094" s="108"/>
      <c r="P1094" s="108"/>
      <c r="Q1094" s="108"/>
      <c r="R1094" s="120"/>
      <c r="T1094" s="188"/>
    </row>
    <row r="1095" spans="1:20" ht="30" x14ac:dyDescent="0.25">
      <c r="A1095" s="114">
        <v>148</v>
      </c>
      <c r="B1095" s="1" t="s">
        <v>531</v>
      </c>
      <c r="C1095" s="1" t="s">
        <v>54</v>
      </c>
      <c r="D1095" s="2" t="s">
        <v>20</v>
      </c>
      <c r="E1095" s="99" t="str">
        <f>IFERROR(VLOOKUP(C1095,Resources!B:D,3,FALSE)," ")</f>
        <v xml:space="preserve"> </v>
      </c>
      <c r="F1095" s="7"/>
      <c r="G1095" s="7"/>
      <c r="H1095" s="103">
        <f>VLOOKUP($A1095,'Model Inputs'!$A:$D,4,FALSE)</f>
        <v>1</v>
      </c>
      <c r="I1095" s="108" t="str">
        <f>IFERROR(VLOOKUP(C1095,Resources!B:G,6,FALSE)," ")</f>
        <v xml:space="preserve"> </v>
      </c>
      <c r="J1095" s="108">
        <f>SUBTOTAL(9,J1097)</f>
        <v>34938.720000000001</v>
      </c>
      <c r="K1095" s="7"/>
      <c r="L1095" s="7">
        <f>ROUNDUP(L1097,0)</f>
        <v>30</v>
      </c>
      <c r="M1095" s="108">
        <f t="shared" ref="M1095:Q1095" si="1628">SUBTOTAL(9,M1097)</f>
        <v>0</v>
      </c>
      <c r="N1095" s="108">
        <f t="shared" si="1628"/>
        <v>0</v>
      </c>
      <c r="O1095" s="108">
        <f t="shared" si="1628"/>
        <v>0</v>
      </c>
      <c r="P1095" s="108">
        <f t="shared" si="1628"/>
        <v>34938.720000000001</v>
      </c>
      <c r="Q1095" s="108">
        <f t="shared" si="1628"/>
        <v>34938.720000000001</v>
      </c>
      <c r="R1095" s="120"/>
      <c r="T1095" s="188"/>
    </row>
    <row r="1096" spans="1:20" ht="30" x14ac:dyDescent="0.25">
      <c r="A1096" s="100"/>
      <c r="B1096" s="3">
        <v>1</v>
      </c>
      <c r="C1096" s="5" t="s">
        <v>2384</v>
      </c>
      <c r="D1096" s="3"/>
      <c r="E1096" s="100" t="str">
        <f>IFERROR(VLOOKUP(C1096,Resources!B:D,3,FALSE)," ")</f>
        <v xml:space="preserve"> </v>
      </c>
      <c r="F1096" s="8"/>
      <c r="G1096" s="8"/>
      <c r="H1096" s="8">
        <f>H1095*6</f>
        <v>6</v>
      </c>
      <c r="I1096" s="109" t="str">
        <f>IFERROR(VLOOKUP(C1096,Resources!B:G,6,FALSE)," ")</f>
        <v xml:space="preserve"> </v>
      </c>
      <c r="J1096" s="109"/>
      <c r="K1096" s="8"/>
      <c r="L1096" s="8"/>
      <c r="M1096" s="109"/>
      <c r="N1096" s="109"/>
      <c r="O1096" s="109"/>
      <c r="P1096" s="109"/>
      <c r="Q1096" s="109"/>
      <c r="R1096" s="121"/>
      <c r="T1096" s="188"/>
    </row>
    <row r="1097" spans="1:20" x14ac:dyDescent="0.25">
      <c r="A1097" s="100">
        <v>148.1</v>
      </c>
      <c r="B1097" s="3">
        <v>2</v>
      </c>
      <c r="C1097" s="5" t="s">
        <v>55</v>
      </c>
      <c r="D1097" s="3" t="s">
        <v>48</v>
      </c>
      <c r="E1097" s="100" t="str">
        <f>IFERROR(VLOOKUP(C1097,Resources!B:D,3,FALSE)," ")</f>
        <v>S</v>
      </c>
      <c r="F1097" s="103">
        <f>VLOOKUP($A1097,'Model Inputs'!$A:$D,4,FALSE)</f>
        <v>6</v>
      </c>
      <c r="G1097" s="8">
        <v>1</v>
      </c>
      <c r="H1097" s="8">
        <f>H1096*F1097*9.5</f>
        <v>342</v>
      </c>
      <c r="I1097" s="109">
        <f>IFERROR(VLOOKUP(C1097,Resources!B:G,6,FALSE)," ")</f>
        <v>102.16</v>
      </c>
      <c r="J1097" s="109">
        <f>I1097*H1097</f>
        <v>34938.720000000001</v>
      </c>
      <c r="K1097" s="8"/>
      <c r="L1097" s="8">
        <f>H1096*5</f>
        <v>30</v>
      </c>
      <c r="M1097" s="109">
        <f t="shared" ref="M1097" si="1629">IF($E1097="L",$J1097,0)</f>
        <v>0</v>
      </c>
      <c r="N1097" s="109">
        <f t="shared" ref="N1097" si="1630">IF($E1097="M",$J1097,0)</f>
        <v>0</v>
      </c>
      <c r="O1097" s="109">
        <f t="shared" ref="O1097" si="1631">IF($E1097="P",$J1097,0)</f>
        <v>0</v>
      </c>
      <c r="P1097" s="109">
        <f t="shared" ref="P1097" si="1632">IF($E1097="S",$J1097,0)</f>
        <v>34938.720000000001</v>
      </c>
      <c r="Q1097" s="109">
        <f t="shared" ref="Q1097" si="1633">SUM(M1097:P1097)</f>
        <v>34938.720000000001</v>
      </c>
      <c r="R1097" s="121">
        <v>141</v>
      </c>
      <c r="T1097" s="188"/>
    </row>
    <row r="1098" spans="1:20" x14ac:dyDescent="0.25">
      <c r="A1098" s="101"/>
      <c r="B1098" s="4"/>
      <c r="C1098" s="6"/>
      <c r="D1098" s="4"/>
      <c r="E1098" s="101" t="str">
        <f>IFERROR(VLOOKUP(C1098,Resources!B:D,3,FALSE)," ")</f>
        <v xml:space="preserve"> </v>
      </c>
      <c r="F1098" s="9"/>
      <c r="G1098" s="9"/>
      <c r="H1098" s="9"/>
      <c r="I1098" s="38" t="str">
        <f>IFERROR(VLOOKUP(C1098,Resources!B:G,6,FALSE)," ")</f>
        <v xml:space="preserve"> </v>
      </c>
      <c r="J1098" s="38"/>
      <c r="K1098" s="9"/>
      <c r="L1098" s="9"/>
      <c r="M1098" s="38"/>
      <c r="N1098" s="38"/>
      <c r="O1098" s="38"/>
      <c r="P1098" s="38"/>
      <c r="Q1098" s="38"/>
      <c r="R1098" s="122"/>
      <c r="T1098" s="188"/>
    </row>
    <row r="1099" spans="1:20" ht="30" x14ac:dyDescent="0.25">
      <c r="A1099" s="114"/>
      <c r="B1099" s="1" t="s">
        <v>532</v>
      </c>
      <c r="C1099" s="1" t="s">
        <v>161</v>
      </c>
      <c r="D1099" s="2"/>
      <c r="E1099" s="99" t="str">
        <f>IFERROR(VLOOKUP(C1099,Resources!B:D,3,FALSE)," ")</f>
        <v xml:space="preserve"> </v>
      </c>
      <c r="F1099" s="7"/>
      <c r="G1099" s="7"/>
      <c r="H1099" s="7"/>
      <c r="I1099" s="108" t="str">
        <f>IFERROR(VLOOKUP(C1099,Resources!B:G,6,FALSE)," ")</f>
        <v xml:space="preserve"> </v>
      </c>
      <c r="J1099" s="108"/>
      <c r="K1099" s="7"/>
      <c r="L1099" s="7"/>
      <c r="M1099" s="108"/>
      <c r="N1099" s="108"/>
      <c r="O1099" s="108"/>
      <c r="P1099" s="108"/>
      <c r="Q1099" s="108"/>
      <c r="R1099" s="120"/>
      <c r="T1099" s="188"/>
    </row>
    <row r="1100" spans="1:20" ht="45" x14ac:dyDescent="0.25">
      <c r="A1100" s="114">
        <v>149</v>
      </c>
      <c r="B1100" s="1" t="s">
        <v>533</v>
      </c>
      <c r="C1100" s="1" t="s">
        <v>163</v>
      </c>
      <c r="D1100" s="2" t="s">
        <v>20</v>
      </c>
      <c r="E1100" s="99" t="str">
        <f>IFERROR(VLOOKUP(C1100,Resources!B:D,3,FALSE)," ")</f>
        <v xml:space="preserve"> </v>
      </c>
      <c r="F1100" s="7"/>
      <c r="G1100" s="7"/>
      <c r="H1100" s="103">
        <f>VLOOKUP($A1100,'Model Inputs'!$A:$D,4,FALSE)</f>
        <v>1</v>
      </c>
      <c r="I1100" s="108" t="str">
        <f>IFERROR(VLOOKUP(C1100,Resources!B:G,6,FALSE)," ")</f>
        <v xml:space="preserve"> </v>
      </c>
      <c r="J1100" s="108">
        <f>SUBTOTAL(9,J1101:J1102)</f>
        <v>11050</v>
      </c>
      <c r="K1100" s="7"/>
      <c r="L1100" s="7">
        <f>ROUNDUP(MAX(L1101:L1102)/Workhrs,0)</f>
        <v>6</v>
      </c>
      <c r="M1100" s="108">
        <f t="shared" ref="M1100:Q1100" si="1634">SUBTOTAL(9,M1101:M1102)</f>
        <v>6300</v>
      </c>
      <c r="N1100" s="108">
        <f t="shared" si="1634"/>
        <v>0</v>
      </c>
      <c r="O1100" s="108">
        <f t="shared" si="1634"/>
        <v>4750</v>
      </c>
      <c r="P1100" s="108">
        <f t="shared" si="1634"/>
        <v>0</v>
      </c>
      <c r="Q1100" s="108">
        <f t="shared" si="1634"/>
        <v>11050</v>
      </c>
      <c r="R1100" s="120"/>
      <c r="T1100" s="188"/>
    </row>
    <row r="1101" spans="1:20" x14ac:dyDescent="0.25">
      <c r="A1101" s="100"/>
      <c r="B1101" s="3">
        <v>1</v>
      </c>
      <c r="C1101" s="5" t="s">
        <v>8</v>
      </c>
      <c r="D1101" s="3" t="s">
        <v>48</v>
      </c>
      <c r="E1101" s="100" t="str">
        <f>IFERROR(VLOOKUP(C1101,Resources!B:D,3,FALSE)," ")</f>
        <v>L</v>
      </c>
      <c r="F1101" s="8">
        <v>3</v>
      </c>
      <c r="G1101" s="8">
        <v>1</v>
      </c>
      <c r="H1101" s="8">
        <f>H1100*50</f>
        <v>50</v>
      </c>
      <c r="I1101" s="109">
        <f>IFERROR(VLOOKUP(C1101,Resources!B:G,6,FALSE)," ")</f>
        <v>42</v>
      </c>
      <c r="J1101" s="109">
        <f t="shared" ref="J1101:J1102" si="1635">(H1101/(G1101/F1101))*I1101</f>
        <v>6300</v>
      </c>
      <c r="K1101" s="8">
        <f t="shared" ref="K1101:K1102" si="1636">L1101*F1101</f>
        <v>150</v>
      </c>
      <c r="L1101" s="8">
        <f t="shared" ref="L1101:L1102" si="1637">IF(E1101="M"," ",H1101/G1101)</f>
        <v>50</v>
      </c>
      <c r="M1101" s="109">
        <f t="shared" ref="M1101:M1102" si="1638">IF($E1101="L",$J1101,0)</f>
        <v>6300</v>
      </c>
      <c r="N1101" s="109">
        <f t="shared" ref="N1101:N1102" si="1639">IF($E1101="M",$J1101,0)</f>
        <v>0</v>
      </c>
      <c r="O1101" s="109">
        <f t="shared" ref="O1101:O1102" si="1640">IF($E1101="P",$J1101,0)</f>
        <v>0</v>
      </c>
      <c r="P1101" s="109">
        <f t="shared" ref="P1101:P1102" si="1641">IF($E1101="S",$J1101,0)</f>
        <v>0</v>
      </c>
      <c r="Q1101" s="109">
        <f t="shared" ref="Q1101:Q1102" si="1642">SUM(M1101:P1101)</f>
        <v>6300</v>
      </c>
      <c r="R1101" s="121">
        <v>151</v>
      </c>
      <c r="T1101" s="188"/>
    </row>
    <row r="1102" spans="1:20" x14ac:dyDescent="0.25">
      <c r="A1102" s="100"/>
      <c r="B1102" s="3">
        <v>2</v>
      </c>
      <c r="C1102" s="5" t="s">
        <v>45</v>
      </c>
      <c r="D1102" s="3" t="s">
        <v>48</v>
      </c>
      <c r="E1102" s="100" t="str">
        <f>IFERROR(VLOOKUP(C1102,Resources!B:D,3,FALSE)," ")</f>
        <v>P</v>
      </c>
      <c r="F1102" s="8">
        <v>1</v>
      </c>
      <c r="G1102" s="8">
        <v>1</v>
      </c>
      <c r="H1102" s="8">
        <f>H1101</f>
        <v>50</v>
      </c>
      <c r="I1102" s="109">
        <f>IFERROR(VLOOKUP(C1102,Resources!B:G,6,FALSE)," ")</f>
        <v>95</v>
      </c>
      <c r="J1102" s="109">
        <f t="shared" si="1635"/>
        <v>4750</v>
      </c>
      <c r="K1102" s="8">
        <f t="shared" si="1636"/>
        <v>50</v>
      </c>
      <c r="L1102" s="8">
        <f t="shared" si="1637"/>
        <v>50</v>
      </c>
      <c r="M1102" s="109">
        <f t="shared" si="1638"/>
        <v>0</v>
      </c>
      <c r="N1102" s="109">
        <f t="shared" si="1639"/>
        <v>0</v>
      </c>
      <c r="O1102" s="109">
        <f t="shared" si="1640"/>
        <v>4750</v>
      </c>
      <c r="P1102" s="109">
        <f t="shared" si="1641"/>
        <v>0</v>
      </c>
      <c r="Q1102" s="109">
        <f t="shared" si="1642"/>
        <v>4750</v>
      </c>
      <c r="R1102" s="121">
        <v>151</v>
      </c>
      <c r="T1102" s="188"/>
    </row>
    <row r="1103" spans="1:20" x14ac:dyDescent="0.25">
      <c r="A1103" s="101"/>
      <c r="B1103" s="4"/>
      <c r="C1103" s="6"/>
      <c r="D1103" s="4"/>
      <c r="E1103" s="101" t="str">
        <f>IFERROR(VLOOKUP(C1103,Resources!B:D,3,FALSE)," ")</f>
        <v xml:space="preserve"> </v>
      </c>
      <c r="F1103" s="9"/>
      <c r="G1103" s="9"/>
      <c r="H1103" s="9"/>
      <c r="I1103" s="38" t="str">
        <f>IFERROR(VLOOKUP(C1103,Resources!B:G,6,FALSE)," ")</f>
        <v xml:space="preserve"> </v>
      </c>
      <c r="J1103" s="38"/>
      <c r="K1103" s="9"/>
      <c r="L1103" s="9"/>
      <c r="M1103" s="38"/>
      <c r="N1103" s="38"/>
      <c r="O1103" s="38"/>
      <c r="P1103" s="38"/>
      <c r="Q1103" s="38"/>
      <c r="R1103" s="122"/>
      <c r="T1103" s="188"/>
    </row>
    <row r="1104" spans="1:20" ht="30" x14ac:dyDescent="0.25">
      <c r="A1104" s="114"/>
      <c r="B1104" s="1" t="s">
        <v>534</v>
      </c>
      <c r="C1104" s="1" t="s">
        <v>362</v>
      </c>
      <c r="D1104" s="2"/>
      <c r="E1104" s="99" t="str">
        <f>IFERROR(VLOOKUP(C1104,Resources!B:D,3,FALSE)," ")</f>
        <v xml:space="preserve"> </v>
      </c>
      <c r="F1104" s="7"/>
      <c r="G1104" s="7"/>
      <c r="H1104" s="7"/>
      <c r="I1104" s="108" t="str">
        <f>IFERROR(VLOOKUP(C1104,Resources!B:G,6,FALSE)," ")</f>
        <v xml:space="preserve"> </v>
      </c>
      <c r="J1104" s="108"/>
      <c r="K1104" s="7"/>
      <c r="L1104" s="7"/>
      <c r="M1104" s="108"/>
      <c r="N1104" s="108"/>
      <c r="O1104" s="108"/>
      <c r="P1104" s="108"/>
      <c r="Q1104" s="108"/>
      <c r="R1104" s="120"/>
      <c r="T1104" s="188"/>
    </row>
    <row r="1105" spans="1:20" ht="30" x14ac:dyDescent="0.25">
      <c r="A1105" s="114">
        <v>150</v>
      </c>
      <c r="B1105" s="1" t="s">
        <v>535</v>
      </c>
      <c r="C1105" s="1" t="s">
        <v>536</v>
      </c>
      <c r="D1105" s="2" t="s">
        <v>20</v>
      </c>
      <c r="E1105" s="99" t="str">
        <f>IFERROR(VLOOKUP(C1105,Resources!B:D,3,FALSE)," ")</f>
        <v xml:space="preserve"> </v>
      </c>
      <c r="F1105" s="7"/>
      <c r="G1105" s="7"/>
      <c r="H1105" s="103">
        <f>VLOOKUP($A1105,'Model Inputs'!$A:$D,4,FALSE)</f>
        <v>1</v>
      </c>
      <c r="I1105" s="108" t="str">
        <f>IFERROR(VLOOKUP(C1105,Resources!B:G,6,FALSE)," ")</f>
        <v xml:space="preserve"> </v>
      </c>
      <c r="J1105" s="108">
        <f>SUBTOTAL(9,J1106:J1109)</f>
        <v>10066.666666666666</v>
      </c>
      <c r="K1105" s="7"/>
      <c r="L1105" s="7">
        <f>ROUNDUP(MAX(L1106:L1109)/Workhrs,0)</f>
        <v>2</v>
      </c>
      <c r="M1105" s="108">
        <f t="shared" ref="M1105:Q1105" si="1643">SUBTOTAL(9,M1106:M1109)</f>
        <v>1400</v>
      </c>
      <c r="N1105" s="108">
        <f t="shared" si="1643"/>
        <v>0</v>
      </c>
      <c r="O1105" s="108">
        <f t="shared" si="1643"/>
        <v>8666.6666666666661</v>
      </c>
      <c r="P1105" s="108">
        <f t="shared" si="1643"/>
        <v>0</v>
      </c>
      <c r="Q1105" s="108">
        <f t="shared" si="1643"/>
        <v>10066.666666666666</v>
      </c>
      <c r="R1105" s="120"/>
      <c r="T1105" s="188"/>
    </row>
    <row r="1106" spans="1:20" x14ac:dyDescent="0.25">
      <c r="A1106" s="100">
        <v>150.1</v>
      </c>
      <c r="B1106" s="3">
        <v>1</v>
      </c>
      <c r="C1106" s="5" t="s">
        <v>63</v>
      </c>
      <c r="D1106" s="3" t="s">
        <v>48</v>
      </c>
      <c r="E1106" s="100" t="str">
        <f>IFERROR(VLOOKUP(C1106,Resources!B:D,3,FALSE)," ")</f>
        <v>P</v>
      </c>
      <c r="F1106" s="8">
        <v>1</v>
      </c>
      <c r="G1106" s="103">
        <f>VLOOKUP($A1106,'Model Inputs'!$A:$D,4,FALSE)</f>
        <v>0.06</v>
      </c>
      <c r="H1106" s="8">
        <f>H1105</f>
        <v>1</v>
      </c>
      <c r="I1106" s="109">
        <f>IFERROR(VLOOKUP(C1106,Resources!B:G,6,FALSE)," ")</f>
        <v>135</v>
      </c>
      <c r="J1106" s="109">
        <f t="shared" ref="J1106:J1109" si="1644">(H1106/(G1106/F1106))*I1106</f>
        <v>2250</v>
      </c>
      <c r="K1106" s="8">
        <f t="shared" ref="K1106:K1109" si="1645">L1106*F1106</f>
        <v>16.666666666666668</v>
      </c>
      <c r="L1106" s="8">
        <f t="shared" ref="L1106:L1109" si="1646">IF(E1106="M"," ",H1106/G1106)</f>
        <v>16.666666666666668</v>
      </c>
      <c r="M1106" s="109">
        <f t="shared" ref="M1106:M1109" si="1647">IF($E1106="L",$J1106,0)</f>
        <v>0</v>
      </c>
      <c r="N1106" s="109">
        <f t="shared" ref="N1106:N1109" si="1648">IF($E1106="M",$J1106,0)</f>
        <v>0</v>
      </c>
      <c r="O1106" s="109">
        <f t="shared" ref="O1106:O1109" si="1649">IF($E1106="P",$J1106,0)</f>
        <v>2250</v>
      </c>
      <c r="P1106" s="109">
        <f t="shared" ref="P1106:P1109" si="1650">IF($E1106="S",$J1106,0)</f>
        <v>0</v>
      </c>
      <c r="Q1106" s="109">
        <f t="shared" ref="Q1106:Q1109" si="1651">SUM(M1106:P1106)</f>
        <v>2250</v>
      </c>
      <c r="R1106" s="121">
        <v>41</v>
      </c>
      <c r="T1106" s="188"/>
    </row>
    <row r="1107" spans="1:20" x14ac:dyDescent="0.25">
      <c r="A1107" s="100">
        <v>150.19999999999999</v>
      </c>
      <c r="B1107" s="3">
        <v>2</v>
      </c>
      <c r="C1107" s="5" t="s">
        <v>173</v>
      </c>
      <c r="D1107" s="3" t="s">
        <v>48</v>
      </c>
      <c r="E1107" s="100" t="str">
        <f>IFERROR(VLOOKUP(C1107,Resources!B:D,3,FALSE)," ")</f>
        <v>P</v>
      </c>
      <c r="F1107" s="103">
        <f>VLOOKUP($A1107,'Model Inputs'!$A:$D,4,FALSE)</f>
        <v>3</v>
      </c>
      <c r="G1107" s="8">
        <f>G1106</f>
        <v>0.06</v>
      </c>
      <c r="H1107" s="8">
        <f>H1105</f>
        <v>1</v>
      </c>
      <c r="I1107" s="109">
        <f>IFERROR(VLOOKUP(C1107,Resources!B:G,6,FALSE)," ")</f>
        <v>95</v>
      </c>
      <c r="J1107" s="109">
        <f t="shared" si="1644"/>
        <v>4750</v>
      </c>
      <c r="K1107" s="8">
        <f t="shared" si="1645"/>
        <v>50</v>
      </c>
      <c r="L1107" s="8">
        <f t="shared" si="1646"/>
        <v>16.666666666666668</v>
      </c>
      <c r="M1107" s="109">
        <f t="shared" si="1647"/>
        <v>0</v>
      </c>
      <c r="N1107" s="109">
        <f t="shared" si="1648"/>
        <v>0</v>
      </c>
      <c r="O1107" s="109">
        <f t="shared" si="1649"/>
        <v>4750</v>
      </c>
      <c r="P1107" s="109">
        <f t="shared" si="1650"/>
        <v>0</v>
      </c>
      <c r="Q1107" s="109">
        <f t="shared" si="1651"/>
        <v>4750</v>
      </c>
      <c r="R1107" s="121">
        <v>41</v>
      </c>
      <c r="T1107" s="188"/>
    </row>
    <row r="1108" spans="1:20" x14ac:dyDescent="0.25">
      <c r="A1108" s="100"/>
      <c r="B1108" s="3">
        <v>3</v>
      </c>
      <c r="C1108" s="5" t="s">
        <v>64</v>
      </c>
      <c r="D1108" s="3" t="s">
        <v>48</v>
      </c>
      <c r="E1108" s="100" t="str">
        <f>IFERROR(VLOOKUP(C1108,Resources!B:D,3,FALSE)," ")</f>
        <v>P</v>
      </c>
      <c r="F1108" s="8">
        <v>1</v>
      </c>
      <c r="G1108" s="8">
        <f>G1106</f>
        <v>0.06</v>
      </c>
      <c r="H1108" s="8">
        <f>H1105</f>
        <v>1</v>
      </c>
      <c r="I1108" s="109">
        <f>IFERROR(VLOOKUP(C1108,Resources!B:G,6,FALSE)," ")</f>
        <v>100</v>
      </c>
      <c r="J1108" s="109">
        <f t="shared" si="1644"/>
        <v>1666.6666666666667</v>
      </c>
      <c r="K1108" s="8">
        <f t="shared" si="1645"/>
        <v>16.666666666666668</v>
      </c>
      <c r="L1108" s="8">
        <f t="shared" si="1646"/>
        <v>16.666666666666668</v>
      </c>
      <c r="M1108" s="109">
        <f t="shared" si="1647"/>
        <v>0</v>
      </c>
      <c r="N1108" s="109">
        <f t="shared" si="1648"/>
        <v>0</v>
      </c>
      <c r="O1108" s="109">
        <f t="shared" si="1649"/>
        <v>1666.6666666666667</v>
      </c>
      <c r="P1108" s="109">
        <f t="shared" si="1650"/>
        <v>0</v>
      </c>
      <c r="Q1108" s="109">
        <f t="shared" si="1651"/>
        <v>1666.6666666666667</v>
      </c>
      <c r="R1108" s="121">
        <v>41</v>
      </c>
      <c r="T1108" s="188"/>
    </row>
    <row r="1109" spans="1:20" x14ac:dyDescent="0.25">
      <c r="A1109" s="100"/>
      <c r="B1109" s="3">
        <v>4</v>
      </c>
      <c r="C1109" s="5" t="s">
        <v>8</v>
      </c>
      <c r="D1109" s="3" t="s">
        <v>48</v>
      </c>
      <c r="E1109" s="100" t="str">
        <f>IFERROR(VLOOKUP(C1109,Resources!B:D,3,FALSE)," ")</f>
        <v>L</v>
      </c>
      <c r="F1109" s="8">
        <v>2</v>
      </c>
      <c r="G1109" s="8">
        <f>G1106</f>
        <v>0.06</v>
      </c>
      <c r="H1109" s="8">
        <f>H1105</f>
        <v>1</v>
      </c>
      <c r="I1109" s="109">
        <f>IFERROR(VLOOKUP(C1109,Resources!B:G,6,FALSE)," ")</f>
        <v>42</v>
      </c>
      <c r="J1109" s="109">
        <f t="shared" si="1644"/>
        <v>1400</v>
      </c>
      <c r="K1109" s="8">
        <f t="shared" si="1645"/>
        <v>33.333333333333336</v>
      </c>
      <c r="L1109" s="8">
        <f t="shared" si="1646"/>
        <v>16.666666666666668</v>
      </c>
      <c r="M1109" s="109">
        <f t="shared" si="1647"/>
        <v>1400</v>
      </c>
      <c r="N1109" s="109">
        <f t="shared" si="1648"/>
        <v>0</v>
      </c>
      <c r="O1109" s="109">
        <f t="shared" si="1649"/>
        <v>0</v>
      </c>
      <c r="P1109" s="109">
        <f t="shared" si="1650"/>
        <v>0</v>
      </c>
      <c r="Q1109" s="109">
        <f t="shared" si="1651"/>
        <v>1400</v>
      </c>
      <c r="R1109" s="121">
        <v>41</v>
      </c>
      <c r="T1109" s="188"/>
    </row>
    <row r="1110" spans="1:20" x14ac:dyDescent="0.25">
      <c r="A1110" s="101"/>
      <c r="B1110" s="4"/>
      <c r="C1110" s="6"/>
      <c r="D1110" s="4"/>
      <c r="E1110" s="101" t="str">
        <f>IFERROR(VLOOKUP(C1110,Resources!B:D,3,FALSE)," ")</f>
        <v xml:space="preserve"> </v>
      </c>
      <c r="F1110" s="9"/>
      <c r="G1110" s="9"/>
      <c r="H1110" s="9"/>
      <c r="I1110" s="38" t="str">
        <f>IFERROR(VLOOKUP(C1110,Resources!B:G,6,FALSE)," ")</f>
        <v xml:space="preserve"> </v>
      </c>
      <c r="J1110" s="38"/>
      <c r="K1110" s="9"/>
      <c r="L1110" s="9"/>
      <c r="M1110" s="38"/>
      <c r="N1110" s="38"/>
      <c r="O1110" s="38"/>
      <c r="P1110" s="38"/>
      <c r="Q1110" s="38"/>
      <c r="R1110" s="122"/>
      <c r="T1110" s="188"/>
    </row>
    <row r="1111" spans="1:20" ht="30" x14ac:dyDescent="0.25">
      <c r="A1111" s="114"/>
      <c r="B1111" s="1" t="s">
        <v>537</v>
      </c>
      <c r="C1111" s="1" t="s">
        <v>59</v>
      </c>
      <c r="D1111" s="2"/>
      <c r="E1111" s="99" t="str">
        <f>IFERROR(VLOOKUP(C1111,Resources!B:D,3,FALSE)," ")</f>
        <v xml:space="preserve"> </v>
      </c>
      <c r="F1111" s="7"/>
      <c r="G1111" s="7"/>
      <c r="H1111" s="7"/>
      <c r="I1111" s="108" t="str">
        <f>IFERROR(VLOOKUP(C1111,Resources!B:G,6,FALSE)," ")</f>
        <v xml:space="preserve"> </v>
      </c>
      <c r="J1111" s="108"/>
      <c r="K1111" s="7"/>
      <c r="L1111" s="7"/>
      <c r="M1111" s="108"/>
      <c r="N1111" s="108"/>
      <c r="O1111" s="108"/>
      <c r="P1111" s="108"/>
      <c r="Q1111" s="108"/>
      <c r="R1111" s="120"/>
      <c r="T1111" s="188"/>
    </row>
    <row r="1112" spans="1:20" ht="30" x14ac:dyDescent="0.25">
      <c r="A1112" s="114">
        <v>151</v>
      </c>
      <c r="B1112" s="1" t="s">
        <v>538</v>
      </c>
      <c r="C1112" s="1" t="s">
        <v>61</v>
      </c>
      <c r="D1112" s="2" t="s">
        <v>62</v>
      </c>
      <c r="E1112" s="99" t="str">
        <f>IFERROR(VLOOKUP(C1112,Resources!B:D,3,FALSE)," ")</f>
        <v xml:space="preserve"> </v>
      </c>
      <c r="F1112" s="7"/>
      <c r="G1112" s="7"/>
      <c r="H1112" s="103">
        <f>VLOOKUP($A1112,'Model Inputs'!$A:$D,4,FALSE)</f>
        <v>543</v>
      </c>
      <c r="I1112" s="108" t="str">
        <f>IFERROR(VLOOKUP(C1112,Resources!B:G,6,FALSE)," ")</f>
        <v xml:space="preserve"> </v>
      </c>
      <c r="J1112" s="108">
        <f>SUBTOTAL(9,J1113:J1121)</f>
        <v>13092.333333333334</v>
      </c>
      <c r="K1112" s="7"/>
      <c r="L1112" s="7">
        <f>ROUNDUP((MAX(L1113:L1116)+MAX(L1118:L1121))/Workhrs,0)</f>
        <v>3</v>
      </c>
      <c r="M1112" s="108">
        <f t="shared" ref="M1112:Q1112" si="1652">SUBTOTAL(9,M1113:M1121)</f>
        <v>1583.75</v>
      </c>
      <c r="N1112" s="108">
        <f t="shared" si="1652"/>
        <v>0</v>
      </c>
      <c r="O1112" s="108">
        <f t="shared" si="1652"/>
        <v>11508.583333333336</v>
      </c>
      <c r="P1112" s="108">
        <f t="shared" si="1652"/>
        <v>0</v>
      </c>
      <c r="Q1112" s="108">
        <f t="shared" si="1652"/>
        <v>13092.333333333334</v>
      </c>
      <c r="R1112" s="120"/>
      <c r="T1112" s="188"/>
    </row>
    <row r="1113" spans="1:20" x14ac:dyDescent="0.25">
      <c r="A1113" s="100">
        <v>151.1</v>
      </c>
      <c r="B1113" s="3">
        <v>1</v>
      </c>
      <c r="C1113" s="5" t="s">
        <v>63</v>
      </c>
      <c r="D1113" s="3" t="s">
        <v>48</v>
      </c>
      <c r="E1113" s="100" t="str">
        <f>IFERROR(VLOOKUP(C1113,Resources!B:D,3,FALSE)," ")</f>
        <v>P</v>
      </c>
      <c r="F1113" s="8">
        <v>1</v>
      </c>
      <c r="G1113" s="103">
        <f>VLOOKUP($A1113,'Model Inputs'!$A:$D,4,FALSE)</f>
        <v>40</v>
      </c>
      <c r="H1113" s="8">
        <f>H1112</f>
        <v>543</v>
      </c>
      <c r="I1113" s="109">
        <f>IFERROR(VLOOKUP(C1113,Resources!B:G,6,FALSE)," ")</f>
        <v>135</v>
      </c>
      <c r="J1113" s="109">
        <f t="shared" ref="J1113:J1116" si="1653">(H1113/(G1113/F1113))*I1113</f>
        <v>1832.625</v>
      </c>
      <c r="K1113" s="8">
        <f t="shared" ref="K1113:K1116" si="1654">L1113*F1113</f>
        <v>13.574999999999999</v>
      </c>
      <c r="L1113" s="8">
        <f t="shared" ref="L1113:L1116" si="1655">IF(E1113="M"," ",H1113/G1113)</f>
        <v>13.574999999999999</v>
      </c>
      <c r="M1113" s="109">
        <f t="shared" ref="M1113:M1116" si="1656">IF($E1113="L",$J1113,0)</f>
        <v>0</v>
      </c>
      <c r="N1113" s="109">
        <f t="shared" ref="N1113:N1116" si="1657">IF($E1113="M",$J1113,0)</f>
        <v>0</v>
      </c>
      <c r="O1113" s="109">
        <f t="shared" ref="O1113:O1116" si="1658">IF($E1113="P",$J1113,0)</f>
        <v>1832.625</v>
      </c>
      <c r="P1113" s="109">
        <f t="shared" ref="P1113:P1116" si="1659">IF($E1113="S",$J1113,0)</f>
        <v>0</v>
      </c>
      <c r="Q1113" s="109">
        <f t="shared" ref="Q1113:Q1116" si="1660">SUM(M1113:P1113)</f>
        <v>1832.625</v>
      </c>
      <c r="R1113" s="121">
        <v>53</v>
      </c>
      <c r="T1113" s="188"/>
    </row>
    <row r="1114" spans="1:20" x14ac:dyDescent="0.25">
      <c r="A1114" s="100"/>
      <c r="B1114" s="3">
        <v>2</v>
      </c>
      <c r="C1114" s="5" t="s">
        <v>44</v>
      </c>
      <c r="D1114" s="3" t="s">
        <v>48</v>
      </c>
      <c r="E1114" s="100" t="str">
        <f>IFERROR(VLOOKUP(C1114,Resources!B:D,3,FALSE)," ")</f>
        <v>P</v>
      </c>
      <c r="F1114" s="8">
        <v>3</v>
      </c>
      <c r="G1114" s="8">
        <f>G1113</f>
        <v>40</v>
      </c>
      <c r="H1114" s="8">
        <f>H1112</f>
        <v>543</v>
      </c>
      <c r="I1114" s="109">
        <f>IFERROR(VLOOKUP(C1114,Resources!B:G,6,FALSE)," ")</f>
        <v>145</v>
      </c>
      <c r="J1114" s="109">
        <f t="shared" si="1653"/>
        <v>5905.125</v>
      </c>
      <c r="K1114" s="8">
        <f t="shared" si="1654"/>
        <v>40.724999999999994</v>
      </c>
      <c r="L1114" s="8">
        <f t="shared" si="1655"/>
        <v>13.574999999999999</v>
      </c>
      <c r="M1114" s="109">
        <f t="shared" si="1656"/>
        <v>0</v>
      </c>
      <c r="N1114" s="109">
        <f t="shared" si="1657"/>
        <v>0</v>
      </c>
      <c r="O1114" s="109">
        <f t="shared" si="1658"/>
        <v>5905.125</v>
      </c>
      <c r="P1114" s="109">
        <f t="shared" si="1659"/>
        <v>0</v>
      </c>
      <c r="Q1114" s="109">
        <f t="shared" si="1660"/>
        <v>5905.125</v>
      </c>
      <c r="R1114" s="121">
        <v>53</v>
      </c>
      <c r="T1114" s="188"/>
    </row>
    <row r="1115" spans="1:20" x14ac:dyDescent="0.25">
      <c r="A1115" s="100"/>
      <c r="B1115" s="3">
        <v>3</v>
      </c>
      <c r="C1115" s="5" t="s">
        <v>64</v>
      </c>
      <c r="D1115" s="3" t="s">
        <v>48</v>
      </c>
      <c r="E1115" s="100" t="str">
        <f>IFERROR(VLOOKUP(C1115,Resources!B:D,3,FALSE)," ")</f>
        <v>P</v>
      </c>
      <c r="F1115" s="8">
        <v>1</v>
      </c>
      <c r="G1115" s="8">
        <f>G1113</f>
        <v>40</v>
      </c>
      <c r="H1115" s="8">
        <f>H1112</f>
        <v>543</v>
      </c>
      <c r="I1115" s="109">
        <f>IFERROR(VLOOKUP(C1115,Resources!B:G,6,FALSE)," ")</f>
        <v>100</v>
      </c>
      <c r="J1115" s="109">
        <f t="shared" si="1653"/>
        <v>1357.5</v>
      </c>
      <c r="K1115" s="8">
        <f t="shared" si="1654"/>
        <v>13.574999999999999</v>
      </c>
      <c r="L1115" s="8">
        <f t="shared" si="1655"/>
        <v>13.574999999999999</v>
      </c>
      <c r="M1115" s="109">
        <f t="shared" si="1656"/>
        <v>0</v>
      </c>
      <c r="N1115" s="109">
        <f t="shared" si="1657"/>
        <v>0</v>
      </c>
      <c r="O1115" s="109">
        <f t="shared" si="1658"/>
        <v>1357.5</v>
      </c>
      <c r="P1115" s="109">
        <f t="shared" si="1659"/>
        <v>0</v>
      </c>
      <c r="Q1115" s="109">
        <f t="shared" si="1660"/>
        <v>1357.5</v>
      </c>
      <c r="R1115" s="121">
        <v>53</v>
      </c>
      <c r="T1115" s="188"/>
    </row>
    <row r="1116" spans="1:20" x14ac:dyDescent="0.25">
      <c r="A1116" s="100"/>
      <c r="B1116" s="3">
        <v>4</v>
      </c>
      <c r="C1116" s="5" t="s">
        <v>8</v>
      </c>
      <c r="D1116" s="3" t="s">
        <v>48</v>
      </c>
      <c r="E1116" s="100" t="str">
        <f>IFERROR(VLOOKUP(C1116,Resources!B:D,3,FALSE)," ")</f>
        <v>L</v>
      </c>
      <c r="F1116" s="8">
        <v>1</v>
      </c>
      <c r="G1116" s="8">
        <f>G1113</f>
        <v>40</v>
      </c>
      <c r="H1116" s="8">
        <f>H1112</f>
        <v>543</v>
      </c>
      <c r="I1116" s="109">
        <f>IFERROR(VLOOKUP(C1116,Resources!B:G,6,FALSE)," ")</f>
        <v>42</v>
      </c>
      <c r="J1116" s="109">
        <f t="shared" si="1653"/>
        <v>570.15</v>
      </c>
      <c r="K1116" s="8">
        <f t="shared" si="1654"/>
        <v>13.574999999999999</v>
      </c>
      <c r="L1116" s="8">
        <f t="shared" si="1655"/>
        <v>13.574999999999999</v>
      </c>
      <c r="M1116" s="109">
        <f t="shared" si="1656"/>
        <v>570.15</v>
      </c>
      <c r="N1116" s="109">
        <f t="shared" si="1657"/>
        <v>0</v>
      </c>
      <c r="O1116" s="109">
        <f t="shared" si="1658"/>
        <v>0</v>
      </c>
      <c r="P1116" s="109">
        <f t="shared" si="1659"/>
        <v>0</v>
      </c>
      <c r="Q1116" s="109">
        <f t="shared" si="1660"/>
        <v>570.15</v>
      </c>
      <c r="R1116" s="121">
        <v>53</v>
      </c>
      <c r="T1116" s="188"/>
    </row>
    <row r="1117" spans="1:20" x14ac:dyDescent="0.25">
      <c r="A1117" s="101"/>
      <c r="B1117" s="4">
        <v>5</v>
      </c>
      <c r="C1117" s="6" t="s">
        <v>65</v>
      </c>
      <c r="D1117" s="4"/>
      <c r="E1117" s="101" t="str">
        <f>IFERROR(VLOOKUP(C1117,Resources!B:D,3,FALSE)," ")</f>
        <v xml:space="preserve"> </v>
      </c>
      <c r="F1117" s="9"/>
      <c r="G1117" s="9"/>
      <c r="H1117" s="9"/>
      <c r="I1117" s="38" t="str">
        <f>IFERROR(VLOOKUP(C1117,Resources!B:G,6,FALSE)," ")</f>
        <v xml:space="preserve"> </v>
      </c>
      <c r="J1117" s="38"/>
      <c r="K1117" s="9"/>
      <c r="L1117" s="9"/>
      <c r="M1117" s="38"/>
      <c r="N1117" s="38"/>
      <c r="O1117" s="38"/>
      <c r="P1117" s="38"/>
      <c r="Q1117" s="38"/>
      <c r="R1117" s="122"/>
      <c r="T1117" s="188"/>
    </row>
    <row r="1118" spans="1:20" x14ac:dyDescent="0.25">
      <c r="A1118" s="100">
        <v>151.19999999999999</v>
      </c>
      <c r="B1118" s="3">
        <v>6</v>
      </c>
      <c r="C1118" s="5" t="s">
        <v>39</v>
      </c>
      <c r="D1118" s="3" t="s">
        <v>48</v>
      </c>
      <c r="E1118" s="100" t="str">
        <f>IFERROR(VLOOKUP(C1118,Resources!B:D,3,FALSE)," ")</f>
        <v>P</v>
      </c>
      <c r="F1118" s="8">
        <v>1</v>
      </c>
      <c r="G1118" s="103">
        <f>VLOOKUP($A1118,'Model Inputs'!$A:$D,4,FALSE)</f>
        <v>150</v>
      </c>
      <c r="H1118" s="8">
        <f>H1112/0.45</f>
        <v>1206.6666666666667</v>
      </c>
      <c r="I1118" s="109">
        <f>IFERROR(VLOOKUP(C1118,Resources!B:G,6,FALSE)," ")</f>
        <v>145</v>
      </c>
      <c r="J1118" s="109">
        <f t="shared" ref="J1118:J1121" si="1661">(H1118/(G1118/F1118))*I1118</f>
        <v>1166.4444444444443</v>
      </c>
      <c r="K1118" s="8">
        <f t="shared" ref="K1118:K1121" si="1662">L1118*F1118</f>
        <v>8.0444444444444443</v>
      </c>
      <c r="L1118" s="8">
        <f t="shared" ref="L1118:L1121" si="1663">IF(E1118="M"," ",H1118/G1118)</f>
        <v>8.0444444444444443</v>
      </c>
      <c r="M1118" s="109">
        <f t="shared" ref="M1118:M1121" si="1664">IF($E1118="L",$J1118,0)</f>
        <v>0</v>
      </c>
      <c r="N1118" s="109">
        <f t="shared" ref="N1118:N1121" si="1665">IF($E1118="M",$J1118,0)</f>
        <v>0</v>
      </c>
      <c r="O1118" s="109">
        <f t="shared" ref="O1118:O1121" si="1666">IF($E1118="P",$J1118,0)</f>
        <v>1166.4444444444443</v>
      </c>
      <c r="P1118" s="109">
        <f t="shared" ref="P1118:P1121" si="1667">IF($E1118="S",$J1118,0)</f>
        <v>0</v>
      </c>
      <c r="Q1118" s="109">
        <f t="shared" ref="Q1118:Q1121" si="1668">SUM(M1118:P1118)</f>
        <v>1166.4444444444443</v>
      </c>
      <c r="R1118" s="121">
        <v>61</v>
      </c>
      <c r="T1118" s="188"/>
    </row>
    <row r="1119" spans="1:20" x14ac:dyDescent="0.25">
      <c r="A1119" s="100"/>
      <c r="B1119" s="3">
        <v>7</v>
      </c>
      <c r="C1119" s="5" t="s">
        <v>64</v>
      </c>
      <c r="D1119" s="3" t="s">
        <v>48</v>
      </c>
      <c r="E1119" s="100" t="str">
        <f>IFERROR(VLOOKUP(C1119,Resources!B:D,3,FALSE)," ")</f>
        <v>P</v>
      </c>
      <c r="F1119" s="8">
        <v>1</v>
      </c>
      <c r="G1119" s="8">
        <v>150</v>
      </c>
      <c r="H1119" s="8">
        <f>H1118</f>
        <v>1206.6666666666667</v>
      </c>
      <c r="I1119" s="109">
        <f>IFERROR(VLOOKUP(C1119,Resources!B:G,6,FALSE)," ")</f>
        <v>100</v>
      </c>
      <c r="J1119" s="109">
        <f t="shared" si="1661"/>
        <v>804.44444444444446</v>
      </c>
      <c r="K1119" s="8">
        <f t="shared" si="1662"/>
        <v>8.0444444444444443</v>
      </c>
      <c r="L1119" s="8">
        <f t="shared" si="1663"/>
        <v>8.0444444444444443</v>
      </c>
      <c r="M1119" s="109">
        <f t="shared" si="1664"/>
        <v>0</v>
      </c>
      <c r="N1119" s="109">
        <f t="shared" si="1665"/>
        <v>0</v>
      </c>
      <c r="O1119" s="109">
        <f t="shared" si="1666"/>
        <v>804.44444444444446</v>
      </c>
      <c r="P1119" s="109">
        <f t="shared" si="1667"/>
        <v>0</v>
      </c>
      <c r="Q1119" s="109">
        <f t="shared" si="1668"/>
        <v>804.44444444444446</v>
      </c>
      <c r="R1119" s="121">
        <v>61</v>
      </c>
      <c r="T1119" s="188"/>
    </row>
    <row r="1120" spans="1:20" x14ac:dyDescent="0.25">
      <c r="A1120" s="100"/>
      <c r="B1120" s="3">
        <v>8</v>
      </c>
      <c r="C1120" s="5" t="s">
        <v>69</v>
      </c>
      <c r="D1120" s="3" t="s">
        <v>48</v>
      </c>
      <c r="E1120" s="100" t="str">
        <f>IFERROR(VLOOKUP(C1120,Resources!B:D,3,FALSE)," ")</f>
        <v>P</v>
      </c>
      <c r="F1120" s="8">
        <v>1</v>
      </c>
      <c r="G1120" s="8">
        <v>150</v>
      </c>
      <c r="H1120" s="8">
        <f>H1118</f>
        <v>1206.6666666666667</v>
      </c>
      <c r="I1120" s="109">
        <f>IFERROR(VLOOKUP(C1120,Resources!B:G,6,FALSE)," ")</f>
        <v>55</v>
      </c>
      <c r="J1120" s="109">
        <f t="shared" si="1661"/>
        <v>442.44444444444446</v>
      </c>
      <c r="K1120" s="8">
        <f t="shared" si="1662"/>
        <v>8.0444444444444443</v>
      </c>
      <c r="L1120" s="8">
        <f t="shared" si="1663"/>
        <v>8.0444444444444443</v>
      </c>
      <c r="M1120" s="109">
        <f t="shared" si="1664"/>
        <v>0</v>
      </c>
      <c r="N1120" s="109">
        <f t="shared" si="1665"/>
        <v>0</v>
      </c>
      <c r="O1120" s="109">
        <f t="shared" si="1666"/>
        <v>442.44444444444446</v>
      </c>
      <c r="P1120" s="109">
        <f t="shared" si="1667"/>
        <v>0</v>
      </c>
      <c r="Q1120" s="109">
        <f t="shared" si="1668"/>
        <v>442.44444444444446</v>
      </c>
      <c r="R1120" s="121">
        <v>61</v>
      </c>
      <c r="T1120" s="188"/>
    </row>
    <row r="1121" spans="1:20" x14ac:dyDescent="0.25">
      <c r="A1121" s="100"/>
      <c r="B1121" s="3">
        <v>9</v>
      </c>
      <c r="C1121" s="5" t="s">
        <v>8</v>
      </c>
      <c r="D1121" s="3" t="s">
        <v>48</v>
      </c>
      <c r="E1121" s="100" t="str">
        <f>IFERROR(VLOOKUP(C1121,Resources!B:D,3,FALSE)," ")</f>
        <v>L</v>
      </c>
      <c r="F1121" s="8">
        <v>3</v>
      </c>
      <c r="G1121" s="8">
        <v>150</v>
      </c>
      <c r="H1121" s="8">
        <f>H1118</f>
        <v>1206.6666666666667</v>
      </c>
      <c r="I1121" s="109">
        <f>IFERROR(VLOOKUP(C1121,Resources!B:G,6,FALSE)," ")</f>
        <v>42</v>
      </c>
      <c r="J1121" s="109">
        <f t="shared" si="1661"/>
        <v>1013.6000000000001</v>
      </c>
      <c r="K1121" s="8">
        <f t="shared" si="1662"/>
        <v>24.133333333333333</v>
      </c>
      <c r="L1121" s="8">
        <f t="shared" si="1663"/>
        <v>8.0444444444444443</v>
      </c>
      <c r="M1121" s="109">
        <f t="shared" si="1664"/>
        <v>1013.6000000000001</v>
      </c>
      <c r="N1121" s="109">
        <f t="shared" si="1665"/>
        <v>0</v>
      </c>
      <c r="O1121" s="109">
        <f t="shared" si="1666"/>
        <v>0</v>
      </c>
      <c r="P1121" s="109">
        <f t="shared" si="1667"/>
        <v>0</v>
      </c>
      <c r="Q1121" s="109">
        <f t="shared" si="1668"/>
        <v>1013.6000000000001</v>
      </c>
      <c r="R1121" s="121">
        <v>61</v>
      </c>
      <c r="T1121" s="188"/>
    </row>
    <row r="1122" spans="1:20" x14ac:dyDescent="0.25">
      <c r="A1122" s="101"/>
      <c r="B1122" s="4"/>
      <c r="C1122" s="6"/>
      <c r="D1122" s="4"/>
      <c r="E1122" s="101" t="str">
        <f>IFERROR(VLOOKUP(C1122,Resources!B:D,3,FALSE)," ")</f>
        <v xml:space="preserve"> </v>
      </c>
      <c r="F1122" s="9"/>
      <c r="G1122" s="9"/>
      <c r="H1122" s="9"/>
      <c r="I1122" s="38" t="str">
        <f>IFERROR(VLOOKUP(C1122,Resources!B:G,6,FALSE)," ")</f>
        <v xml:space="preserve"> </v>
      </c>
      <c r="J1122" s="38"/>
      <c r="K1122" s="9"/>
      <c r="L1122" s="9"/>
      <c r="M1122" s="38"/>
      <c r="N1122" s="38"/>
      <c r="O1122" s="38"/>
      <c r="P1122" s="38"/>
      <c r="Q1122" s="38"/>
      <c r="R1122" s="122"/>
      <c r="T1122" s="188"/>
    </row>
    <row r="1123" spans="1:20" ht="30" x14ac:dyDescent="0.25">
      <c r="A1123" s="114">
        <v>152</v>
      </c>
      <c r="B1123" s="1" t="s">
        <v>539</v>
      </c>
      <c r="C1123" s="1" t="s">
        <v>540</v>
      </c>
      <c r="D1123" s="2" t="s">
        <v>62</v>
      </c>
      <c r="E1123" s="99" t="str">
        <f>IFERROR(VLOOKUP(C1123,Resources!B:D,3,FALSE)," ")</f>
        <v xml:space="preserve"> </v>
      </c>
      <c r="F1123" s="7"/>
      <c r="G1123" s="7"/>
      <c r="H1123" s="103">
        <f>VLOOKUP($A1123,'Model Inputs'!$A:$D,4,FALSE)</f>
        <v>20</v>
      </c>
      <c r="I1123" s="108" t="str">
        <f>IFERROR(VLOOKUP(C1123,Resources!B:G,6,FALSE)," ")</f>
        <v xml:space="preserve"> </v>
      </c>
      <c r="J1123" s="108">
        <f>SUBTOTAL(9,J1124:J1132)</f>
        <v>1310.6666666666667</v>
      </c>
      <c r="K1123" s="7"/>
      <c r="L1123" s="7">
        <f>ROUNDUP((MAX(L1124:L1127)+MAX(L1129:L1132))/Workhrs,0)</f>
        <v>1</v>
      </c>
      <c r="M1123" s="108">
        <f t="shared" ref="M1123:Q1123" si="1669">SUBTOTAL(9,M1124:M1132)</f>
        <v>224</v>
      </c>
      <c r="N1123" s="108">
        <f t="shared" si="1669"/>
        <v>0</v>
      </c>
      <c r="O1123" s="108">
        <f t="shared" si="1669"/>
        <v>1086.6666666666667</v>
      </c>
      <c r="P1123" s="108">
        <f t="shared" si="1669"/>
        <v>0</v>
      </c>
      <c r="Q1123" s="108">
        <f t="shared" si="1669"/>
        <v>1310.6666666666667</v>
      </c>
      <c r="R1123" s="120"/>
      <c r="T1123" s="188"/>
    </row>
    <row r="1124" spans="1:20" x14ac:dyDescent="0.25">
      <c r="A1124" s="100">
        <v>152.1</v>
      </c>
      <c r="B1124" s="3">
        <v>1</v>
      </c>
      <c r="C1124" s="5" t="s">
        <v>63</v>
      </c>
      <c r="D1124" s="3" t="s">
        <v>48</v>
      </c>
      <c r="E1124" s="100" t="str">
        <f>IFERROR(VLOOKUP(C1124,Resources!B:D,3,FALSE)," ")</f>
        <v>P</v>
      </c>
      <c r="F1124" s="8">
        <v>1</v>
      </c>
      <c r="G1124" s="103">
        <f>VLOOKUP($A1124,'Model Inputs'!$A:$D,4,FALSE)</f>
        <v>15</v>
      </c>
      <c r="H1124" s="8">
        <f>H1123</f>
        <v>20</v>
      </c>
      <c r="I1124" s="109">
        <f>IFERROR(VLOOKUP(C1124,Resources!B:G,6,FALSE)," ")</f>
        <v>135</v>
      </c>
      <c r="J1124" s="109">
        <f t="shared" ref="J1124:J1127" si="1670">(H1124/(G1124/F1124))*I1124</f>
        <v>180</v>
      </c>
      <c r="K1124" s="8">
        <f t="shared" ref="K1124:K1127" si="1671">L1124*F1124</f>
        <v>1.3333333333333333</v>
      </c>
      <c r="L1124" s="8">
        <f t="shared" ref="L1124:L1127" si="1672">IF(E1124="M"," ",H1124/G1124)</f>
        <v>1.3333333333333333</v>
      </c>
      <c r="M1124" s="109">
        <f t="shared" ref="M1124:M1127" si="1673">IF($E1124="L",$J1124,0)</f>
        <v>0</v>
      </c>
      <c r="N1124" s="109">
        <f t="shared" ref="N1124:N1127" si="1674">IF($E1124="M",$J1124,0)</f>
        <v>0</v>
      </c>
      <c r="O1124" s="109">
        <f t="shared" ref="O1124:O1127" si="1675">IF($E1124="P",$J1124,0)</f>
        <v>180</v>
      </c>
      <c r="P1124" s="109">
        <f t="shared" ref="P1124:P1127" si="1676">IF($E1124="S",$J1124,0)</f>
        <v>0</v>
      </c>
      <c r="Q1124" s="109">
        <f t="shared" ref="Q1124:Q1127" si="1677">SUM(M1124:P1124)</f>
        <v>180</v>
      </c>
      <c r="R1124" s="121">
        <v>57</v>
      </c>
      <c r="T1124" s="188"/>
    </row>
    <row r="1125" spans="1:20" x14ac:dyDescent="0.25">
      <c r="A1125" s="100"/>
      <c r="B1125" s="3">
        <v>2</v>
      </c>
      <c r="C1125" s="5" t="s">
        <v>44</v>
      </c>
      <c r="D1125" s="3" t="s">
        <v>48</v>
      </c>
      <c r="E1125" s="100" t="str">
        <f>IFERROR(VLOOKUP(C1125,Resources!B:D,3,FALSE)," ")</f>
        <v>P</v>
      </c>
      <c r="F1125" s="8">
        <v>2</v>
      </c>
      <c r="G1125" s="8">
        <f>G1124</f>
        <v>15</v>
      </c>
      <c r="H1125" s="8">
        <f>H1123</f>
        <v>20</v>
      </c>
      <c r="I1125" s="109">
        <f>IFERROR(VLOOKUP(C1125,Resources!B:G,6,FALSE)," ")</f>
        <v>145</v>
      </c>
      <c r="J1125" s="109">
        <f t="shared" si="1670"/>
        <v>386.66666666666663</v>
      </c>
      <c r="K1125" s="8">
        <f t="shared" si="1671"/>
        <v>2.6666666666666665</v>
      </c>
      <c r="L1125" s="8">
        <f t="shared" si="1672"/>
        <v>1.3333333333333333</v>
      </c>
      <c r="M1125" s="109">
        <f t="shared" si="1673"/>
        <v>0</v>
      </c>
      <c r="N1125" s="109">
        <f t="shared" si="1674"/>
        <v>0</v>
      </c>
      <c r="O1125" s="109">
        <f t="shared" si="1675"/>
        <v>386.66666666666663</v>
      </c>
      <c r="P1125" s="109">
        <f t="shared" si="1676"/>
        <v>0</v>
      </c>
      <c r="Q1125" s="109">
        <f t="shared" si="1677"/>
        <v>386.66666666666663</v>
      </c>
      <c r="R1125" s="121">
        <v>57</v>
      </c>
      <c r="T1125" s="188"/>
    </row>
    <row r="1126" spans="1:20" x14ac:dyDescent="0.25">
      <c r="A1126" s="100"/>
      <c r="B1126" s="3">
        <v>3</v>
      </c>
      <c r="C1126" s="5" t="s">
        <v>64</v>
      </c>
      <c r="D1126" s="3" t="s">
        <v>48</v>
      </c>
      <c r="E1126" s="100" t="str">
        <f>IFERROR(VLOOKUP(C1126,Resources!B:D,3,FALSE)," ")</f>
        <v>P</v>
      </c>
      <c r="F1126" s="8">
        <v>1</v>
      </c>
      <c r="G1126" s="8">
        <f>G1124</f>
        <v>15</v>
      </c>
      <c r="H1126" s="8">
        <f>H1123</f>
        <v>20</v>
      </c>
      <c r="I1126" s="109">
        <f>IFERROR(VLOOKUP(C1126,Resources!B:G,6,FALSE)," ")</f>
        <v>100</v>
      </c>
      <c r="J1126" s="109">
        <f t="shared" si="1670"/>
        <v>133.33333333333331</v>
      </c>
      <c r="K1126" s="8">
        <f t="shared" si="1671"/>
        <v>1.3333333333333333</v>
      </c>
      <c r="L1126" s="8">
        <f t="shared" si="1672"/>
        <v>1.3333333333333333</v>
      </c>
      <c r="M1126" s="109">
        <f t="shared" si="1673"/>
        <v>0</v>
      </c>
      <c r="N1126" s="109">
        <f t="shared" si="1674"/>
        <v>0</v>
      </c>
      <c r="O1126" s="109">
        <f t="shared" si="1675"/>
        <v>133.33333333333331</v>
      </c>
      <c r="P1126" s="109">
        <f t="shared" si="1676"/>
        <v>0</v>
      </c>
      <c r="Q1126" s="109">
        <f t="shared" si="1677"/>
        <v>133.33333333333331</v>
      </c>
      <c r="R1126" s="121">
        <v>57</v>
      </c>
      <c r="T1126" s="188"/>
    </row>
    <row r="1127" spans="1:20" x14ac:dyDescent="0.25">
      <c r="A1127" s="100"/>
      <c r="B1127" s="3">
        <v>4</v>
      </c>
      <c r="C1127" s="5" t="s">
        <v>8</v>
      </c>
      <c r="D1127" s="3" t="s">
        <v>48</v>
      </c>
      <c r="E1127" s="100" t="str">
        <f>IFERROR(VLOOKUP(C1127,Resources!B:D,3,FALSE)," ")</f>
        <v>L</v>
      </c>
      <c r="F1127" s="8">
        <v>1</v>
      </c>
      <c r="G1127" s="8">
        <f>G1124</f>
        <v>15</v>
      </c>
      <c r="H1127" s="8">
        <f>H1123</f>
        <v>20</v>
      </c>
      <c r="I1127" s="109">
        <f>IFERROR(VLOOKUP(C1127,Resources!B:G,6,FALSE)," ")</f>
        <v>42</v>
      </c>
      <c r="J1127" s="109">
        <f t="shared" si="1670"/>
        <v>56</v>
      </c>
      <c r="K1127" s="8">
        <f t="shared" si="1671"/>
        <v>1.3333333333333333</v>
      </c>
      <c r="L1127" s="8">
        <f t="shared" si="1672"/>
        <v>1.3333333333333333</v>
      </c>
      <c r="M1127" s="109">
        <f t="shared" si="1673"/>
        <v>56</v>
      </c>
      <c r="N1127" s="109">
        <f t="shared" si="1674"/>
        <v>0</v>
      </c>
      <c r="O1127" s="109">
        <f t="shared" si="1675"/>
        <v>0</v>
      </c>
      <c r="P1127" s="109">
        <f t="shared" si="1676"/>
        <v>0</v>
      </c>
      <c r="Q1127" s="109">
        <f t="shared" si="1677"/>
        <v>56</v>
      </c>
      <c r="R1127" s="121">
        <v>57</v>
      </c>
      <c r="T1127" s="188"/>
    </row>
    <row r="1128" spans="1:20" x14ac:dyDescent="0.25">
      <c r="A1128" s="101"/>
      <c r="B1128" s="4">
        <v>5</v>
      </c>
      <c r="C1128" s="6" t="s">
        <v>68</v>
      </c>
      <c r="D1128" s="4"/>
      <c r="E1128" s="101" t="str">
        <f>IFERROR(VLOOKUP(C1128,Resources!B:D,3,FALSE)," ")</f>
        <v xml:space="preserve"> </v>
      </c>
      <c r="F1128" s="9"/>
      <c r="G1128" s="9"/>
      <c r="H1128" s="9"/>
      <c r="I1128" s="38" t="str">
        <f>IFERROR(VLOOKUP(C1128,Resources!B:G,6,FALSE)," ")</f>
        <v xml:space="preserve"> </v>
      </c>
      <c r="J1128" s="38"/>
      <c r="K1128" s="9"/>
      <c r="L1128" s="9"/>
      <c r="M1128" s="38"/>
      <c r="N1128" s="38"/>
      <c r="O1128" s="38"/>
      <c r="P1128" s="38"/>
      <c r="Q1128" s="38"/>
      <c r="R1128" s="122"/>
      <c r="T1128" s="188"/>
    </row>
    <row r="1129" spans="1:20" x14ac:dyDescent="0.25">
      <c r="A1129" s="100">
        <v>152.19999999999999</v>
      </c>
      <c r="B1129" s="3">
        <v>6</v>
      </c>
      <c r="C1129" s="5" t="s">
        <v>63</v>
      </c>
      <c r="D1129" s="3" t="s">
        <v>48</v>
      </c>
      <c r="E1129" s="100" t="str">
        <f>IFERROR(VLOOKUP(C1129,Resources!B:D,3,FALSE)," ")</f>
        <v>P</v>
      </c>
      <c r="F1129" s="8">
        <v>1</v>
      </c>
      <c r="G1129" s="103">
        <f>VLOOKUP($A1129,'Model Inputs'!$A:$D,4,FALSE)</f>
        <v>15</v>
      </c>
      <c r="H1129" s="8">
        <f>H1123</f>
        <v>20</v>
      </c>
      <c r="I1129" s="109">
        <f>IFERROR(VLOOKUP(C1129,Resources!B:G,6,FALSE)," ")</f>
        <v>135</v>
      </c>
      <c r="J1129" s="109">
        <f t="shared" ref="J1129:J1132" si="1678">(H1129/(G1129/F1129))*I1129</f>
        <v>180</v>
      </c>
      <c r="K1129" s="8">
        <f t="shared" ref="K1129:K1132" si="1679">L1129*F1129</f>
        <v>1.3333333333333333</v>
      </c>
      <c r="L1129" s="8">
        <f t="shared" ref="L1129:L1132" si="1680">IF(E1129="M"," ",H1129/G1129)</f>
        <v>1.3333333333333333</v>
      </c>
      <c r="M1129" s="109">
        <f t="shared" ref="M1129:M1132" si="1681">IF($E1129="L",$J1129,0)</f>
        <v>0</v>
      </c>
      <c r="N1129" s="109">
        <f t="shared" ref="N1129:N1132" si="1682">IF($E1129="M",$J1129,0)</f>
        <v>0</v>
      </c>
      <c r="O1129" s="109">
        <f t="shared" ref="O1129:O1132" si="1683">IF($E1129="P",$J1129,0)</f>
        <v>180</v>
      </c>
      <c r="P1129" s="109">
        <f t="shared" ref="P1129:P1132" si="1684">IF($E1129="S",$J1129,0)</f>
        <v>0</v>
      </c>
      <c r="Q1129" s="109">
        <f t="shared" ref="Q1129:Q1132" si="1685">SUM(M1129:P1129)</f>
        <v>180</v>
      </c>
      <c r="R1129" s="121">
        <v>57</v>
      </c>
      <c r="T1129" s="188"/>
    </row>
    <row r="1130" spans="1:20" x14ac:dyDescent="0.25">
      <c r="A1130" s="100"/>
      <c r="B1130" s="3">
        <v>7</v>
      </c>
      <c r="C1130" s="5" t="s">
        <v>69</v>
      </c>
      <c r="D1130" s="3" t="s">
        <v>48</v>
      </c>
      <c r="E1130" s="100" t="str">
        <f>IFERROR(VLOOKUP(C1130,Resources!B:D,3,FALSE)," ")</f>
        <v>P</v>
      </c>
      <c r="F1130" s="8">
        <v>1</v>
      </c>
      <c r="G1130" s="8">
        <f>G1129</f>
        <v>15</v>
      </c>
      <c r="H1130" s="8">
        <f>H1123</f>
        <v>20</v>
      </c>
      <c r="I1130" s="109">
        <f>IFERROR(VLOOKUP(C1130,Resources!B:G,6,FALSE)," ")</f>
        <v>55</v>
      </c>
      <c r="J1130" s="109">
        <f t="shared" si="1678"/>
        <v>73.333333333333329</v>
      </c>
      <c r="K1130" s="8">
        <f t="shared" si="1679"/>
        <v>1.3333333333333333</v>
      </c>
      <c r="L1130" s="8">
        <f t="shared" si="1680"/>
        <v>1.3333333333333333</v>
      </c>
      <c r="M1130" s="109">
        <f t="shared" si="1681"/>
        <v>0</v>
      </c>
      <c r="N1130" s="109">
        <f t="shared" si="1682"/>
        <v>0</v>
      </c>
      <c r="O1130" s="109">
        <f t="shared" si="1683"/>
        <v>73.333333333333329</v>
      </c>
      <c r="P1130" s="109">
        <f t="shared" si="1684"/>
        <v>0</v>
      </c>
      <c r="Q1130" s="109">
        <f t="shared" si="1685"/>
        <v>73.333333333333329</v>
      </c>
      <c r="R1130" s="121">
        <v>57</v>
      </c>
      <c r="T1130" s="188"/>
    </row>
    <row r="1131" spans="1:20" x14ac:dyDescent="0.25">
      <c r="A1131" s="100"/>
      <c r="B1131" s="3">
        <v>8</v>
      </c>
      <c r="C1131" s="5" t="s">
        <v>64</v>
      </c>
      <c r="D1131" s="3" t="s">
        <v>48</v>
      </c>
      <c r="E1131" s="100" t="str">
        <f>IFERROR(VLOOKUP(C1131,Resources!B:D,3,FALSE)," ")</f>
        <v>P</v>
      </c>
      <c r="F1131" s="8">
        <v>1</v>
      </c>
      <c r="G1131" s="8">
        <f>G1129</f>
        <v>15</v>
      </c>
      <c r="H1131" s="8">
        <f>H1123</f>
        <v>20</v>
      </c>
      <c r="I1131" s="109">
        <f>IFERROR(VLOOKUP(C1131,Resources!B:G,6,FALSE)," ")</f>
        <v>100</v>
      </c>
      <c r="J1131" s="109">
        <f t="shared" si="1678"/>
        <v>133.33333333333331</v>
      </c>
      <c r="K1131" s="8">
        <f t="shared" si="1679"/>
        <v>1.3333333333333333</v>
      </c>
      <c r="L1131" s="8">
        <f t="shared" si="1680"/>
        <v>1.3333333333333333</v>
      </c>
      <c r="M1131" s="109">
        <f t="shared" si="1681"/>
        <v>0</v>
      </c>
      <c r="N1131" s="109">
        <f t="shared" si="1682"/>
        <v>0</v>
      </c>
      <c r="O1131" s="109">
        <f t="shared" si="1683"/>
        <v>133.33333333333331</v>
      </c>
      <c r="P1131" s="109">
        <f t="shared" si="1684"/>
        <v>0</v>
      </c>
      <c r="Q1131" s="109">
        <f t="shared" si="1685"/>
        <v>133.33333333333331</v>
      </c>
      <c r="R1131" s="121">
        <v>57</v>
      </c>
      <c r="T1131" s="188"/>
    </row>
    <row r="1132" spans="1:20" x14ac:dyDescent="0.25">
      <c r="A1132" s="100"/>
      <c r="B1132" s="3">
        <v>9</v>
      </c>
      <c r="C1132" s="5" t="s">
        <v>8</v>
      </c>
      <c r="D1132" s="3" t="s">
        <v>48</v>
      </c>
      <c r="E1132" s="100" t="str">
        <f>IFERROR(VLOOKUP(C1132,Resources!B:D,3,FALSE)," ")</f>
        <v>L</v>
      </c>
      <c r="F1132" s="8">
        <v>3</v>
      </c>
      <c r="G1132" s="8">
        <f>G1129</f>
        <v>15</v>
      </c>
      <c r="H1132" s="8">
        <f>H1123</f>
        <v>20</v>
      </c>
      <c r="I1132" s="109">
        <f>IFERROR(VLOOKUP(C1132,Resources!B:G,6,FALSE)," ")</f>
        <v>42</v>
      </c>
      <c r="J1132" s="109">
        <f t="shared" si="1678"/>
        <v>168</v>
      </c>
      <c r="K1132" s="8">
        <f t="shared" si="1679"/>
        <v>4</v>
      </c>
      <c r="L1132" s="8">
        <f t="shared" si="1680"/>
        <v>1.3333333333333333</v>
      </c>
      <c r="M1132" s="109">
        <f t="shared" si="1681"/>
        <v>168</v>
      </c>
      <c r="N1132" s="109">
        <f t="shared" si="1682"/>
        <v>0</v>
      </c>
      <c r="O1132" s="109">
        <f t="shared" si="1683"/>
        <v>0</v>
      </c>
      <c r="P1132" s="109">
        <f t="shared" si="1684"/>
        <v>0</v>
      </c>
      <c r="Q1132" s="109">
        <f t="shared" si="1685"/>
        <v>168</v>
      </c>
      <c r="R1132" s="121">
        <v>57</v>
      </c>
      <c r="T1132" s="188"/>
    </row>
    <row r="1133" spans="1:20" x14ac:dyDescent="0.25">
      <c r="A1133" s="101"/>
      <c r="B1133" s="4"/>
      <c r="C1133" s="6"/>
      <c r="D1133" s="4"/>
      <c r="E1133" s="101" t="str">
        <f>IFERROR(VLOOKUP(C1133,Resources!B:D,3,FALSE)," ")</f>
        <v xml:space="preserve"> </v>
      </c>
      <c r="F1133" s="9"/>
      <c r="G1133" s="9"/>
      <c r="H1133" s="9"/>
      <c r="I1133" s="38" t="str">
        <f>IFERROR(VLOOKUP(C1133,Resources!B:G,6,FALSE)," ")</f>
        <v xml:space="preserve"> </v>
      </c>
      <c r="J1133" s="38"/>
      <c r="K1133" s="9"/>
      <c r="L1133" s="9"/>
      <c r="M1133" s="38"/>
      <c r="N1133" s="38"/>
      <c r="O1133" s="38"/>
      <c r="P1133" s="38"/>
      <c r="Q1133" s="38"/>
      <c r="R1133" s="122"/>
      <c r="T1133" s="188"/>
    </row>
    <row r="1134" spans="1:20" ht="30" x14ac:dyDescent="0.25">
      <c r="A1134" s="114"/>
      <c r="B1134" s="1" t="s">
        <v>541</v>
      </c>
      <c r="C1134" s="1" t="s">
        <v>71</v>
      </c>
      <c r="D1134" s="2"/>
      <c r="E1134" s="99" t="str">
        <f>IFERROR(VLOOKUP(C1134,Resources!B:D,3,FALSE)," ")</f>
        <v xml:space="preserve"> </v>
      </c>
      <c r="F1134" s="7"/>
      <c r="G1134" s="7"/>
      <c r="H1134" s="7"/>
      <c r="I1134" s="108" t="str">
        <f>IFERROR(VLOOKUP(C1134,Resources!B:G,6,FALSE)," ")</f>
        <v xml:space="preserve"> </v>
      </c>
      <c r="J1134" s="108"/>
      <c r="K1134" s="7"/>
      <c r="L1134" s="7"/>
      <c r="M1134" s="108"/>
      <c r="N1134" s="108"/>
      <c r="O1134" s="108"/>
      <c r="P1134" s="108"/>
      <c r="Q1134" s="108"/>
      <c r="R1134" s="120"/>
      <c r="T1134" s="188"/>
    </row>
    <row r="1135" spans="1:20" ht="30" x14ac:dyDescent="0.25">
      <c r="A1135" s="114"/>
      <c r="B1135" s="1" t="s">
        <v>542</v>
      </c>
      <c r="C1135" s="1" t="s">
        <v>170</v>
      </c>
      <c r="D1135" s="2"/>
      <c r="E1135" s="99" t="str">
        <f>IFERROR(VLOOKUP(C1135,Resources!B:D,3,FALSE)," ")</f>
        <v xml:space="preserve"> </v>
      </c>
      <c r="F1135" s="7"/>
      <c r="G1135" s="7"/>
      <c r="H1135" s="7"/>
      <c r="I1135" s="108" t="str">
        <f>IFERROR(VLOOKUP(C1135,Resources!B:G,6,FALSE)," ")</f>
        <v xml:space="preserve"> </v>
      </c>
      <c r="J1135" s="108"/>
      <c r="K1135" s="7"/>
      <c r="L1135" s="7"/>
      <c r="M1135" s="108"/>
      <c r="N1135" s="108"/>
      <c r="O1135" s="108"/>
      <c r="P1135" s="108"/>
      <c r="Q1135" s="108"/>
      <c r="R1135" s="120"/>
      <c r="T1135" s="188"/>
    </row>
    <row r="1136" spans="1:20" ht="30" x14ac:dyDescent="0.25">
      <c r="A1136" s="114">
        <v>153</v>
      </c>
      <c r="B1136" s="1" t="s">
        <v>543</v>
      </c>
      <c r="C1136" s="1" t="s">
        <v>172</v>
      </c>
      <c r="D1136" s="2" t="s">
        <v>20</v>
      </c>
      <c r="E1136" s="99" t="str">
        <f>IFERROR(VLOOKUP(C1136,Resources!B:D,3,FALSE)," ")</f>
        <v xml:space="preserve"> </v>
      </c>
      <c r="F1136" s="7"/>
      <c r="G1136" s="7"/>
      <c r="H1136" s="103">
        <f>VLOOKUP($A1136,'Model Inputs'!$A:$D,4,FALSE)</f>
        <v>1</v>
      </c>
      <c r="I1136" s="108" t="str">
        <f>IFERROR(VLOOKUP(C1136,Resources!B:G,6,FALSE)," ")</f>
        <v xml:space="preserve"> </v>
      </c>
      <c r="J1136" s="108">
        <f>SUBTOTAL(9,J1137:J1140)</f>
        <v>5452.4979524979526</v>
      </c>
      <c r="K1136" s="7"/>
      <c r="L1136" s="7">
        <f>ROUNDUP(MAX(L1137:L1140)/Workhrs,0)</f>
        <v>2</v>
      </c>
      <c r="M1136" s="108">
        <f t="shared" ref="M1136:Q1136" si="1686">SUBTOTAL(9,M1137:M1140)</f>
        <v>756.75675675675677</v>
      </c>
      <c r="N1136" s="108">
        <f t="shared" si="1686"/>
        <v>0</v>
      </c>
      <c r="O1136" s="108">
        <f t="shared" si="1686"/>
        <v>4695.741195741196</v>
      </c>
      <c r="P1136" s="108">
        <f t="shared" si="1686"/>
        <v>0</v>
      </c>
      <c r="Q1136" s="108">
        <f t="shared" si="1686"/>
        <v>5452.4979524979526</v>
      </c>
      <c r="R1136" s="120"/>
      <c r="T1136" s="188"/>
    </row>
    <row r="1137" spans="1:20" x14ac:dyDescent="0.25">
      <c r="A1137" s="100">
        <v>153.1</v>
      </c>
      <c r="B1137" s="3">
        <v>1</v>
      </c>
      <c r="C1137" s="5" t="s">
        <v>63</v>
      </c>
      <c r="D1137" s="3" t="s">
        <v>48</v>
      </c>
      <c r="E1137" s="100" t="str">
        <f>IFERROR(VLOOKUP(C1137,Resources!B:D,3,FALSE)," ")</f>
        <v>P</v>
      </c>
      <c r="F1137" s="8">
        <v>1</v>
      </c>
      <c r="G1137" s="103">
        <f>VLOOKUP($A1137,'Model Inputs'!$A:$D,4,FALSE)</f>
        <v>0.11</v>
      </c>
      <c r="H1137" s="8">
        <f>H1136</f>
        <v>1</v>
      </c>
      <c r="I1137" s="109">
        <f>IFERROR(VLOOKUP(C1137,Resources!B:G,6,FALSE)," ")</f>
        <v>135</v>
      </c>
      <c r="J1137" s="109">
        <f t="shared" ref="J1137:J1140" si="1687">(H1137/(G1137/F1137))*I1137</f>
        <v>1227.2727272727275</v>
      </c>
      <c r="K1137" s="8">
        <f t="shared" ref="K1137:K1140" si="1688">L1137*F1137</f>
        <v>9.0909090909090917</v>
      </c>
      <c r="L1137" s="8">
        <f t="shared" ref="L1137:L1140" si="1689">IF(E1137="M"," ",H1137/G1137)</f>
        <v>9.0909090909090917</v>
      </c>
      <c r="M1137" s="109">
        <f t="shared" ref="M1137:M1140" si="1690">IF($E1137="L",$J1137,0)</f>
        <v>0</v>
      </c>
      <c r="N1137" s="109">
        <f t="shared" ref="N1137:N1140" si="1691">IF($E1137="M",$J1137,0)</f>
        <v>0</v>
      </c>
      <c r="O1137" s="109">
        <f t="shared" ref="O1137:O1140" si="1692">IF($E1137="P",$J1137,0)</f>
        <v>1227.2727272727275</v>
      </c>
      <c r="P1137" s="109">
        <f t="shared" ref="P1137:P1140" si="1693">IF($E1137="S",$J1137,0)</f>
        <v>0</v>
      </c>
      <c r="Q1137" s="109">
        <f t="shared" ref="Q1137:Q1140" si="1694">SUM(M1137:P1137)</f>
        <v>1227.2727272727275</v>
      </c>
      <c r="R1137" s="121">
        <v>41</v>
      </c>
      <c r="T1137" s="188"/>
    </row>
    <row r="1138" spans="1:20" x14ac:dyDescent="0.25">
      <c r="A1138" s="100">
        <v>153.19999999999999</v>
      </c>
      <c r="B1138" s="3">
        <v>2</v>
      </c>
      <c r="C1138" s="5" t="s">
        <v>173</v>
      </c>
      <c r="D1138" s="3" t="s">
        <v>48</v>
      </c>
      <c r="E1138" s="100" t="str">
        <f>IFERROR(VLOOKUP(C1138,Resources!B:D,3,FALSE)," ")</f>
        <v>P</v>
      </c>
      <c r="F1138" s="103">
        <f>VLOOKUP($A1138,'Model Inputs'!$A:$D,4,FALSE)</f>
        <v>3</v>
      </c>
      <c r="G1138" s="8">
        <v>0.111</v>
      </c>
      <c r="H1138" s="8">
        <f>H1136</f>
        <v>1</v>
      </c>
      <c r="I1138" s="109">
        <f>IFERROR(VLOOKUP(C1138,Resources!B:G,6,FALSE)," ")</f>
        <v>95</v>
      </c>
      <c r="J1138" s="109">
        <f t="shared" si="1687"/>
        <v>2567.5675675675675</v>
      </c>
      <c r="K1138" s="8">
        <f t="shared" si="1688"/>
        <v>27.027027027027028</v>
      </c>
      <c r="L1138" s="8">
        <f t="shared" si="1689"/>
        <v>9.0090090090090094</v>
      </c>
      <c r="M1138" s="109">
        <f t="shared" si="1690"/>
        <v>0</v>
      </c>
      <c r="N1138" s="109">
        <f t="shared" si="1691"/>
        <v>0</v>
      </c>
      <c r="O1138" s="109">
        <f t="shared" si="1692"/>
        <v>2567.5675675675675</v>
      </c>
      <c r="P1138" s="109">
        <f t="shared" si="1693"/>
        <v>0</v>
      </c>
      <c r="Q1138" s="109">
        <f t="shared" si="1694"/>
        <v>2567.5675675675675</v>
      </c>
      <c r="R1138" s="121">
        <v>41</v>
      </c>
      <c r="T1138" s="188"/>
    </row>
    <row r="1139" spans="1:20" x14ac:dyDescent="0.25">
      <c r="A1139" s="100"/>
      <c r="B1139" s="3">
        <v>3</v>
      </c>
      <c r="C1139" s="5" t="s">
        <v>64</v>
      </c>
      <c r="D1139" s="3" t="s">
        <v>48</v>
      </c>
      <c r="E1139" s="100" t="str">
        <f>IFERROR(VLOOKUP(C1139,Resources!B:D,3,FALSE)," ")</f>
        <v>P</v>
      </c>
      <c r="F1139" s="8">
        <v>1</v>
      </c>
      <c r="G1139" s="8">
        <v>0.111</v>
      </c>
      <c r="H1139" s="8">
        <f>H1136</f>
        <v>1</v>
      </c>
      <c r="I1139" s="109">
        <f>IFERROR(VLOOKUP(C1139,Resources!B:G,6,FALSE)," ")</f>
        <v>100</v>
      </c>
      <c r="J1139" s="109">
        <f t="shared" si="1687"/>
        <v>900.90090090090098</v>
      </c>
      <c r="K1139" s="8">
        <f t="shared" si="1688"/>
        <v>9.0090090090090094</v>
      </c>
      <c r="L1139" s="8">
        <f t="shared" si="1689"/>
        <v>9.0090090090090094</v>
      </c>
      <c r="M1139" s="109">
        <f t="shared" si="1690"/>
        <v>0</v>
      </c>
      <c r="N1139" s="109">
        <f t="shared" si="1691"/>
        <v>0</v>
      </c>
      <c r="O1139" s="109">
        <f t="shared" si="1692"/>
        <v>900.90090090090098</v>
      </c>
      <c r="P1139" s="109">
        <f t="shared" si="1693"/>
        <v>0</v>
      </c>
      <c r="Q1139" s="109">
        <f t="shared" si="1694"/>
        <v>900.90090090090098</v>
      </c>
      <c r="R1139" s="121">
        <v>41</v>
      </c>
      <c r="T1139" s="188"/>
    </row>
    <row r="1140" spans="1:20" x14ac:dyDescent="0.25">
      <c r="A1140" s="100"/>
      <c r="B1140" s="3">
        <v>4</v>
      </c>
      <c r="C1140" s="5" t="s">
        <v>8</v>
      </c>
      <c r="D1140" s="3" t="s">
        <v>48</v>
      </c>
      <c r="E1140" s="100" t="str">
        <f>IFERROR(VLOOKUP(C1140,Resources!B:D,3,FALSE)," ")</f>
        <v>L</v>
      </c>
      <c r="F1140" s="8">
        <v>2</v>
      </c>
      <c r="G1140" s="8">
        <v>0.111</v>
      </c>
      <c r="H1140" s="8">
        <f>H1136</f>
        <v>1</v>
      </c>
      <c r="I1140" s="109">
        <f>IFERROR(VLOOKUP(C1140,Resources!B:G,6,FALSE)," ")</f>
        <v>42</v>
      </c>
      <c r="J1140" s="109">
        <f t="shared" si="1687"/>
        <v>756.75675675675677</v>
      </c>
      <c r="K1140" s="8">
        <f t="shared" si="1688"/>
        <v>18.018018018018019</v>
      </c>
      <c r="L1140" s="8">
        <f t="shared" si="1689"/>
        <v>9.0090090090090094</v>
      </c>
      <c r="M1140" s="109">
        <f t="shared" si="1690"/>
        <v>756.75675675675677</v>
      </c>
      <c r="N1140" s="109">
        <f t="shared" si="1691"/>
        <v>0</v>
      </c>
      <c r="O1140" s="109">
        <f t="shared" si="1692"/>
        <v>0</v>
      </c>
      <c r="P1140" s="109">
        <f t="shared" si="1693"/>
        <v>0</v>
      </c>
      <c r="Q1140" s="109">
        <f t="shared" si="1694"/>
        <v>756.75675675675677</v>
      </c>
      <c r="R1140" s="121">
        <v>41</v>
      </c>
      <c r="T1140" s="188"/>
    </row>
    <row r="1141" spans="1:20" x14ac:dyDescent="0.25">
      <c r="A1141" s="101"/>
      <c r="B1141" s="4"/>
      <c r="C1141" s="6"/>
      <c r="D1141" s="4"/>
      <c r="E1141" s="101" t="str">
        <f>IFERROR(VLOOKUP(C1141,Resources!B:D,3,FALSE)," ")</f>
        <v xml:space="preserve"> </v>
      </c>
      <c r="F1141" s="9"/>
      <c r="G1141" s="9"/>
      <c r="H1141" s="9"/>
      <c r="I1141" s="38" t="str">
        <f>IFERROR(VLOOKUP(C1141,Resources!B:G,6,FALSE)," ")</f>
        <v xml:space="preserve"> </v>
      </c>
      <c r="J1141" s="38"/>
      <c r="K1141" s="9"/>
      <c r="L1141" s="9"/>
      <c r="M1141" s="38"/>
      <c r="N1141" s="38"/>
      <c r="O1141" s="38"/>
      <c r="P1141" s="38"/>
      <c r="Q1141" s="38"/>
      <c r="R1141" s="122"/>
      <c r="T1141" s="188"/>
    </row>
    <row r="1142" spans="1:20" ht="30" x14ac:dyDescent="0.25">
      <c r="A1142" s="114"/>
      <c r="B1142" s="1" t="s">
        <v>544</v>
      </c>
      <c r="C1142" s="1" t="s">
        <v>73</v>
      </c>
      <c r="D1142" s="2"/>
      <c r="E1142" s="99" t="str">
        <f>IFERROR(VLOOKUP(C1142,Resources!B:D,3,FALSE)," ")</f>
        <v xml:space="preserve"> </v>
      </c>
      <c r="F1142" s="7"/>
      <c r="G1142" s="7"/>
      <c r="H1142" s="7"/>
      <c r="I1142" s="108" t="str">
        <f>IFERROR(VLOOKUP(C1142,Resources!B:G,6,FALSE)," ")</f>
        <v xml:space="preserve"> </v>
      </c>
      <c r="J1142" s="108"/>
      <c r="K1142" s="7"/>
      <c r="L1142" s="7"/>
      <c r="M1142" s="108"/>
      <c r="N1142" s="108"/>
      <c r="O1142" s="108"/>
      <c r="P1142" s="108"/>
      <c r="Q1142" s="108"/>
      <c r="R1142" s="120"/>
      <c r="T1142" s="188"/>
    </row>
    <row r="1143" spans="1:20" ht="30" x14ac:dyDescent="0.25">
      <c r="A1143" s="114"/>
      <c r="B1143" s="1" t="s">
        <v>545</v>
      </c>
      <c r="C1143" s="1" t="s">
        <v>546</v>
      </c>
      <c r="D1143" s="2"/>
      <c r="E1143" s="99" t="str">
        <f>IFERROR(VLOOKUP(C1143,Resources!B:D,3,FALSE)," ")</f>
        <v xml:space="preserve"> </v>
      </c>
      <c r="F1143" s="7"/>
      <c r="G1143" s="7"/>
      <c r="H1143" s="7"/>
      <c r="I1143" s="108" t="str">
        <f>IFERROR(VLOOKUP(C1143,Resources!B:G,6,FALSE)," ")</f>
        <v xml:space="preserve"> </v>
      </c>
      <c r="J1143" s="108"/>
      <c r="K1143" s="7"/>
      <c r="L1143" s="7"/>
      <c r="M1143" s="108"/>
      <c r="N1143" s="108"/>
      <c r="O1143" s="108"/>
      <c r="P1143" s="108"/>
      <c r="Q1143" s="108"/>
      <c r="R1143" s="120"/>
      <c r="T1143" s="188"/>
    </row>
    <row r="1144" spans="1:20" ht="30" x14ac:dyDescent="0.25">
      <c r="A1144" s="114">
        <v>154</v>
      </c>
      <c r="B1144" s="1" t="s">
        <v>547</v>
      </c>
      <c r="C1144" s="1" t="s">
        <v>548</v>
      </c>
      <c r="D1144" s="2" t="s">
        <v>20</v>
      </c>
      <c r="E1144" s="99" t="str">
        <f>IFERROR(VLOOKUP(C1144,Resources!B:D,3,FALSE)," ")</f>
        <v xml:space="preserve"> </v>
      </c>
      <c r="F1144" s="7"/>
      <c r="G1144" s="7"/>
      <c r="H1144" s="103">
        <f>VLOOKUP($A1144,'Model Inputs'!$A:$D,4,FALSE)</f>
        <v>1</v>
      </c>
      <c r="I1144" s="108" t="str">
        <f>IFERROR(VLOOKUP(C1144,Resources!B:G,6,FALSE)," ")</f>
        <v xml:space="preserve"> </v>
      </c>
      <c r="J1144" s="108">
        <f>SUBTOTAL(9,J1146:J1148)</f>
        <v>8295</v>
      </c>
      <c r="K1144" s="7"/>
      <c r="L1144" s="7">
        <f>ROUNDUP(L1148/Workhrs,0)</f>
        <v>5</v>
      </c>
      <c r="M1144" s="108">
        <f t="shared" ref="M1144:Q1144" si="1695">SUBTOTAL(9,M1146:M1148)</f>
        <v>0</v>
      </c>
      <c r="N1144" s="108">
        <f t="shared" si="1695"/>
        <v>4725</v>
      </c>
      <c r="O1144" s="108">
        <f t="shared" si="1695"/>
        <v>0</v>
      </c>
      <c r="P1144" s="108">
        <f t="shared" si="1695"/>
        <v>3570</v>
      </c>
      <c r="Q1144" s="108">
        <f t="shared" si="1695"/>
        <v>8295</v>
      </c>
      <c r="R1144" s="120"/>
      <c r="T1144" s="188"/>
    </row>
    <row r="1145" spans="1:20" x14ac:dyDescent="0.25">
      <c r="A1145" s="100"/>
      <c r="B1145" s="3">
        <v>1</v>
      </c>
      <c r="C1145" s="5" t="s">
        <v>2385</v>
      </c>
      <c r="D1145" s="3"/>
      <c r="E1145" s="100" t="str">
        <f>IFERROR(VLOOKUP(C1145,Resources!B:D,3,FALSE)," ")</f>
        <v xml:space="preserve"> </v>
      </c>
      <c r="F1145" s="8"/>
      <c r="G1145" s="8"/>
      <c r="H1145" s="8">
        <f>ROUNDUP(H1144*21,0)</f>
        <v>21</v>
      </c>
      <c r="I1145" s="109" t="str">
        <f>IFERROR(VLOOKUP(C1145,Resources!B:G,6,FALSE)," ")</f>
        <v xml:space="preserve"> </v>
      </c>
      <c r="J1145" s="109"/>
      <c r="K1145" s="8"/>
      <c r="L1145" s="8"/>
      <c r="M1145" s="109"/>
      <c r="N1145" s="109"/>
      <c r="O1145" s="109"/>
      <c r="P1145" s="109"/>
      <c r="Q1145" s="109"/>
      <c r="R1145" s="121"/>
      <c r="T1145" s="188"/>
    </row>
    <row r="1146" spans="1:20" x14ac:dyDescent="0.25">
      <c r="A1146" s="100"/>
      <c r="B1146" s="3">
        <v>2</v>
      </c>
      <c r="C1146" s="5" t="s">
        <v>266</v>
      </c>
      <c r="D1146" s="3" t="s">
        <v>89</v>
      </c>
      <c r="E1146" s="100" t="str">
        <f>IFERROR(VLOOKUP(C1146,Resources!B:D,3,FALSE)," ")</f>
        <v>M</v>
      </c>
      <c r="F1146" s="8">
        <v>1</v>
      </c>
      <c r="G1146" s="8">
        <v>1</v>
      </c>
      <c r="H1146" s="8">
        <f>H1145*6</f>
        <v>126</v>
      </c>
      <c r="I1146" s="109">
        <f>IFERROR(VLOOKUP(C1146,Resources!B:G,6,FALSE)," ")</f>
        <v>25</v>
      </c>
      <c r="J1146" s="109">
        <f t="shared" ref="J1146:J1148" si="1696">(H1146/(G1146/F1146))*I1146</f>
        <v>3150</v>
      </c>
      <c r="K1146" s="8"/>
      <c r="L1146" s="8" t="str">
        <f t="shared" ref="L1146:L1148" si="1697">IF(E1146="M"," ",H1146/G1146)</f>
        <v xml:space="preserve"> </v>
      </c>
      <c r="M1146" s="109">
        <f t="shared" ref="M1146:M1148" si="1698">IF($E1146="L",$J1146,0)</f>
        <v>0</v>
      </c>
      <c r="N1146" s="109">
        <f t="shared" ref="N1146:N1148" si="1699">IF($E1146="M",$J1146,0)</f>
        <v>3150</v>
      </c>
      <c r="O1146" s="109">
        <f t="shared" ref="O1146:O1148" si="1700">IF($E1146="P",$J1146,0)</f>
        <v>0</v>
      </c>
      <c r="P1146" s="109">
        <f t="shared" ref="P1146:P1148" si="1701">IF($E1146="S",$J1146,0)</f>
        <v>0</v>
      </c>
      <c r="Q1146" s="109">
        <f t="shared" ref="Q1146:Q1148" si="1702">SUM(M1146:P1146)</f>
        <v>3150</v>
      </c>
      <c r="R1146" s="121" t="s">
        <v>2346</v>
      </c>
      <c r="T1146" s="188"/>
    </row>
    <row r="1147" spans="1:20" x14ac:dyDescent="0.25">
      <c r="A1147" s="100"/>
      <c r="B1147" s="3">
        <v>3</v>
      </c>
      <c r="C1147" s="5" t="s">
        <v>267</v>
      </c>
      <c r="D1147" s="3" t="s">
        <v>29</v>
      </c>
      <c r="E1147" s="100" t="str">
        <f>IFERROR(VLOOKUP(C1147,Resources!B:D,3,FALSE)," ")</f>
        <v>M</v>
      </c>
      <c r="F1147" s="8">
        <v>1</v>
      </c>
      <c r="G1147" s="8">
        <v>1</v>
      </c>
      <c r="H1147" s="8">
        <f>H1145</f>
        <v>21</v>
      </c>
      <c r="I1147" s="109">
        <f>IFERROR(VLOOKUP(C1147,Resources!B:G,6,FALSE)," ")</f>
        <v>75</v>
      </c>
      <c r="J1147" s="109">
        <f t="shared" si="1696"/>
        <v>1575</v>
      </c>
      <c r="K1147" s="8"/>
      <c r="L1147" s="8" t="str">
        <f t="shared" si="1697"/>
        <v xml:space="preserve"> </v>
      </c>
      <c r="M1147" s="109">
        <f t="shared" si="1698"/>
        <v>0</v>
      </c>
      <c r="N1147" s="109">
        <f t="shared" si="1699"/>
        <v>1575</v>
      </c>
      <c r="O1147" s="109">
        <f t="shared" si="1700"/>
        <v>0</v>
      </c>
      <c r="P1147" s="109">
        <f t="shared" si="1701"/>
        <v>0</v>
      </c>
      <c r="Q1147" s="109">
        <f t="shared" si="1702"/>
        <v>1575</v>
      </c>
      <c r="R1147" s="121" t="s">
        <v>2346</v>
      </c>
      <c r="T1147" s="188"/>
    </row>
    <row r="1148" spans="1:20" x14ac:dyDescent="0.25">
      <c r="A1148" s="100">
        <v>154.1</v>
      </c>
      <c r="B1148" s="3">
        <v>4</v>
      </c>
      <c r="C1148" s="5" t="s">
        <v>268</v>
      </c>
      <c r="D1148" s="3" t="s">
        <v>48</v>
      </c>
      <c r="E1148" s="100" t="str">
        <f>IFERROR(VLOOKUP(C1148,Resources!B:D,3,FALSE)," ")</f>
        <v>S</v>
      </c>
      <c r="F1148" s="8">
        <v>1</v>
      </c>
      <c r="G1148" s="103">
        <f>VLOOKUP($A1148,'Model Inputs'!$A:$D,4,FALSE)</f>
        <v>0.5</v>
      </c>
      <c r="H1148" s="8">
        <f>H1145</f>
        <v>21</v>
      </c>
      <c r="I1148" s="109">
        <f>IFERROR(VLOOKUP(C1148,Resources!B:G,6,FALSE)," ")</f>
        <v>85</v>
      </c>
      <c r="J1148" s="109">
        <f t="shared" si="1696"/>
        <v>3570</v>
      </c>
      <c r="K1148" s="8">
        <f t="shared" ref="K1148" si="1703">L1148*F1148</f>
        <v>42</v>
      </c>
      <c r="L1148" s="8">
        <f t="shared" si="1697"/>
        <v>42</v>
      </c>
      <c r="M1148" s="109">
        <f t="shared" si="1698"/>
        <v>0</v>
      </c>
      <c r="N1148" s="109">
        <f t="shared" si="1699"/>
        <v>0</v>
      </c>
      <c r="O1148" s="109">
        <f t="shared" si="1700"/>
        <v>0</v>
      </c>
      <c r="P1148" s="109">
        <f t="shared" si="1701"/>
        <v>3570</v>
      </c>
      <c r="Q1148" s="109">
        <f t="shared" si="1702"/>
        <v>3570</v>
      </c>
      <c r="R1148" s="121">
        <v>81</v>
      </c>
      <c r="T1148" s="188"/>
    </row>
    <row r="1149" spans="1:20" x14ac:dyDescent="0.25">
      <c r="A1149" s="101"/>
      <c r="B1149" s="4"/>
      <c r="C1149" s="6"/>
      <c r="D1149" s="4"/>
      <c r="E1149" s="101" t="str">
        <f>IFERROR(VLOOKUP(C1149,Resources!B:D,3,FALSE)," ")</f>
        <v xml:space="preserve"> </v>
      </c>
      <c r="F1149" s="9"/>
      <c r="G1149" s="9"/>
      <c r="H1149" s="9"/>
      <c r="I1149" s="38" t="str">
        <f>IFERROR(VLOOKUP(C1149,Resources!B:G,6,FALSE)," ")</f>
        <v xml:space="preserve"> </v>
      </c>
      <c r="J1149" s="38"/>
      <c r="K1149" s="9"/>
      <c r="L1149" s="9"/>
      <c r="M1149" s="38"/>
      <c r="N1149" s="38"/>
      <c r="O1149" s="38"/>
      <c r="P1149" s="38"/>
      <c r="Q1149" s="38"/>
      <c r="R1149" s="122"/>
      <c r="T1149" s="188"/>
    </row>
    <row r="1150" spans="1:20" ht="30" x14ac:dyDescent="0.25">
      <c r="A1150" s="114"/>
      <c r="B1150" s="1" t="s">
        <v>549</v>
      </c>
      <c r="C1150" s="1" t="s">
        <v>77</v>
      </c>
      <c r="D1150" s="2"/>
      <c r="E1150" s="99" t="str">
        <f>IFERROR(VLOOKUP(C1150,Resources!B:D,3,FALSE)," ")</f>
        <v xml:space="preserve"> </v>
      </c>
      <c r="F1150" s="7"/>
      <c r="G1150" s="7"/>
      <c r="H1150" s="7"/>
      <c r="I1150" s="108" t="str">
        <f>IFERROR(VLOOKUP(C1150,Resources!B:G,6,FALSE)," ")</f>
        <v xml:space="preserve"> </v>
      </c>
      <c r="J1150" s="108"/>
      <c r="K1150" s="7"/>
      <c r="L1150" s="7"/>
      <c r="M1150" s="108"/>
      <c r="N1150" s="108"/>
      <c r="O1150" s="108"/>
      <c r="P1150" s="108"/>
      <c r="Q1150" s="108"/>
      <c r="R1150" s="120"/>
      <c r="T1150" s="188"/>
    </row>
    <row r="1151" spans="1:20" ht="30" x14ac:dyDescent="0.25">
      <c r="A1151" s="114">
        <v>155</v>
      </c>
      <c r="B1151" s="1" t="s">
        <v>550</v>
      </c>
      <c r="C1151" s="1" t="s">
        <v>79</v>
      </c>
      <c r="D1151" s="2" t="s">
        <v>62</v>
      </c>
      <c r="E1151" s="99" t="str">
        <f>IFERROR(VLOOKUP(C1151,Resources!B:D,3,FALSE)," ")</f>
        <v xml:space="preserve"> </v>
      </c>
      <c r="F1151" s="7"/>
      <c r="G1151" s="7"/>
      <c r="H1151" s="103">
        <f>VLOOKUP($A1151,'Model Inputs'!$A:$D,4,FALSE)</f>
        <v>3</v>
      </c>
      <c r="I1151" s="108" t="str">
        <f>IFERROR(VLOOKUP(C1151,Resources!B:G,6,FALSE)," ")</f>
        <v xml:space="preserve"> </v>
      </c>
      <c r="J1151" s="108">
        <f>SUBTOTAL(9,J1154:J1158)</f>
        <v>1953.1333333333334</v>
      </c>
      <c r="K1151" s="7"/>
      <c r="L1151" s="7">
        <f>ROUNDUP(L1158/50,0)+1</f>
        <v>2</v>
      </c>
      <c r="M1151" s="108">
        <f t="shared" ref="M1151:Q1151" si="1704">SUBTOTAL(9,M1154:M1158)</f>
        <v>0</v>
      </c>
      <c r="N1151" s="108">
        <f t="shared" si="1704"/>
        <v>978.13333333333344</v>
      </c>
      <c r="O1151" s="108">
        <f t="shared" si="1704"/>
        <v>0</v>
      </c>
      <c r="P1151" s="108">
        <f t="shared" si="1704"/>
        <v>975</v>
      </c>
      <c r="Q1151" s="108">
        <f t="shared" si="1704"/>
        <v>1953.1333333333334</v>
      </c>
      <c r="R1151" s="120"/>
      <c r="T1151" s="188"/>
    </row>
    <row r="1152" spans="1:20" x14ac:dyDescent="0.25">
      <c r="A1152" s="101"/>
      <c r="B1152" s="4">
        <v>1</v>
      </c>
      <c r="C1152" s="6" t="s">
        <v>80</v>
      </c>
      <c r="D1152" s="4"/>
      <c r="E1152" s="101" t="str">
        <f>IFERROR(VLOOKUP(C1152,Resources!B:D,3,FALSE)," ")</f>
        <v xml:space="preserve"> </v>
      </c>
      <c r="F1152" s="9"/>
      <c r="G1152" s="9"/>
      <c r="H1152" s="9"/>
      <c r="I1152" s="38" t="str">
        <f>IFERROR(VLOOKUP(C1152,Resources!B:G,6,FALSE)," ")</f>
        <v xml:space="preserve"> </v>
      </c>
      <c r="J1152" s="38"/>
      <c r="K1152" s="9"/>
      <c r="L1152" s="9"/>
      <c r="M1152" s="38"/>
      <c r="N1152" s="38"/>
      <c r="O1152" s="38"/>
      <c r="P1152" s="38"/>
      <c r="Q1152" s="38"/>
      <c r="R1152" s="122"/>
      <c r="T1152" s="188"/>
    </row>
    <row r="1153" spans="1:20" x14ac:dyDescent="0.25">
      <c r="A1153" s="100"/>
      <c r="B1153" s="3">
        <v>2</v>
      </c>
      <c r="C1153" s="5" t="s">
        <v>2386</v>
      </c>
      <c r="D1153" s="3"/>
      <c r="E1153" s="100" t="str">
        <f>IFERROR(VLOOKUP(C1153,Resources!B:D,3,FALSE)," ")</f>
        <v xml:space="preserve"> </v>
      </c>
      <c r="F1153" s="8"/>
      <c r="G1153" s="8"/>
      <c r="H1153" s="8">
        <f>H1151/0.2</f>
        <v>15</v>
      </c>
      <c r="I1153" s="109" t="str">
        <f>IFERROR(VLOOKUP(C1153,Resources!B:G,6,FALSE)," ")</f>
        <v xml:space="preserve"> </v>
      </c>
      <c r="J1153" s="109"/>
      <c r="K1153" s="8"/>
      <c r="L1153" s="8"/>
      <c r="M1153" s="109"/>
      <c r="N1153" s="109"/>
      <c r="O1153" s="109"/>
      <c r="P1153" s="109"/>
      <c r="Q1153" s="109"/>
      <c r="R1153" s="121"/>
      <c r="T1153" s="188"/>
    </row>
    <row r="1154" spans="1:20" x14ac:dyDescent="0.25">
      <c r="A1154" s="100"/>
      <c r="B1154" s="3">
        <v>3</v>
      </c>
      <c r="C1154" s="5" t="s">
        <v>81</v>
      </c>
      <c r="D1154" s="3" t="s">
        <v>82</v>
      </c>
      <c r="E1154" s="100" t="str">
        <f>IFERROR(VLOOKUP(C1154,Resources!B:D,3,FALSE)," ")</f>
        <v>M</v>
      </c>
      <c r="F1154" s="8">
        <v>1</v>
      </c>
      <c r="G1154" s="8">
        <v>1</v>
      </c>
      <c r="H1154" s="8">
        <f>H1153*0.1</f>
        <v>1.5</v>
      </c>
      <c r="I1154" s="109">
        <f>IFERROR(VLOOKUP(C1154,Resources!B:G,6,FALSE)," ")</f>
        <v>24</v>
      </c>
      <c r="J1154" s="109">
        <f t="shared" ref="J1154:J1158" si="1705">(H1154/(G1154/F1154))*I1154</f>
        <v>36</v>
      </c>
      <c r="K1154" s="8"/>
      <c r="L1154" s="8" t="str">
        <f t="shared" ref="L1154:L1158" si="1706">IF(E1154="M"," ",H1154/G1154)</f>
        <v xml:space="preserve"> </v>
      </c>
      <c r="M1154" s="109">
        <f t="shared" ref="M1154:M1158" si="1707">IF($E1154="L",$J1154,0)</f>
        <v>0</v>
      </c>
      <c r="N1154" s="109">
        <f t="shared" ref="N1154:N1158" si="1708">IF($E1154="M",$J1154,0)</f>
        <v>36</v>
      </c>
      <c r="O1154" s="109">
        <f t="shared" ref="O1154:O1158" si="1709">IF($E1154="P",$J1154,0)</f>
        <v>0</v>
      </c>
      <c r="P1154" s="109">
        <f t="shared" ref="P1154:P1158" si="1710">IF($E1154="S",$J1154,0)</f>
        <v>0</v>
      </c>
      <c r="Q1154" s="109">
        <f t="shared" ref="Q1154:Q1158" si="1711">SUM(M1154:P1154)</f>
        <v>36</v>
      </c>
      <c r="R1154" s="121" t="s">
        <v>2341</v>
      </c>
      <c r="T1154" s="188"/>
    </row>
    <row r="1155" spans="1:20" x14ac:dyDescent="0.25">
      <c r="A1155" s="100"/>
      <c r="B1155" s="3">
        <v>4</v>
      </c>
      <c r="C1155" s="5" t="s">
        <v>2168</v>
      </c>
      <c r="D1155" s="3" t="s">
        <v>83</v>
      </c>
      <c r="E1155" s="100" t="str">
        <f>IFERROR(VLOOKUP(C1155,Resources!B:D,3,FALSE)," ")</f>
        <v>M</v>
      </c>
      <c r="F1155" s="8">
        <v>1</v>
      </c>
      <c r="G1155" s="8">
        <v>1</v>
      </c>
      <c r="H1155" s="8">
        <f>H1153*1.2</f>
        <v>18</v>
      </c>
      <c r="I1155" s="109">
        <f>IFERROR(VLOOKUP(C1155,Resources!B:G,6,FALSE)," ")</f>
        <v>18</v>
      </c>
      <c r="J1155" s="109">
        <f t="shared" si="1705"/>
        <v>324</v>
      </c>
      <c r="K1155" s="8"/>
      <c r="L1155" s="8" t="str">
        <f t="shared" si="1706"/>
        <v xml:space="preserve"> </v>
      </c>
      <c r="M1155" s="109">
        <f t="shared" si="1707"/>
        <v>0</v>
      </c>
      <c r="N1155" s="109">
        <f t="shared" si="1708"/>
        <v>324</v>
      </c>
      <c r="O1155" s="109">
        <f t="shared" si="1709"/>
        <v>0</v>
      </c>
      <c r="P1155" s="109">
        <f t="shared" si="1710"/>
        <v>0</v>
      </c>
      <c r="Q1155" s="109">
        <f t="shared" si="1711"/>
        <v>324</v>
      </c>
      <c r="R1155" s="121" t="s">
        <v>2343</v>
      </c>
      <c r="T1155" s="188"/>
    </row>
    <row r="1156" spans="1:20" x14ac:dyDescent="0.25">
      <c r="A1156" s="100"/>
      <c r="B1156" s="3">
        <v>5</v>
      </c>
      <c r="C1156" s="5" t="s">
        <v>84</v>
      </c>
      <c r="D1156" s="3" t="s">
        <v>29</v>
      </c>
      <c r="E1156" s="100" t="str">
        <f>IFERROR(VLOOKUP(C1156,Resources!B:D,3,FALSE)," ")</f>
        <v>M</v>
      </c>
      <c r="F1156" s="8">
        <v>1</v>
      </c>
      <c r="G1156" s="8">
        <v>1</v>
      </c>
      <c r="H1156" s="8">
        <f>H1153/0.9</f>
        <v>16.666666666666668</v>
      </c>
      <c r="I1156" s="109">
        <f>IFERROR(VLOOKUP(C1156,Resources!B:G,6,FALSE)," ")</f>
        <v>0.8</v>
      </c>
      <c r="J1156" s="109">
        <f t="shared" si="1705"/>
        <v>13.333333333333336</v>
      </c>
      <c r="K1156" s="8"/>
      <c r="L1156" s="8" t="str">
        <f t="shared" si="1706"/>
        <v xml:space="preserve"> </v>
      </c>
      <c r="M1156" s="109">
        <f t="shared" si="1707"/>
        <v>0</v>
      </c>
      <c r="N1156" s="109">
        <f t="shared" si="1708"/>
        <v>13.333333333333336</v>
      </c>
      <c r="O1156" s="109">
        <f t="shared" si="1709"/>
        <v>0</v>
      </c>
      <c r="P1156" s="109">
        <f t="shared" si="1710"/>
        <v>0</v>
      </c>
      <c r="Q1156" s="109">
        <f t="shared" si="1711"/>
        <v>13.333333333333336</v>
      </c>
      <c r="R1156" s="121" t="s">
        <v>2343</v>
      </c>
      <c r="T1156" s="188"/>
    </row>
    <row r="1157" spans="1:20" x14ac:dyDescent="0.25">
      <c r="A1157" s="100"/>
      <c r="B1157" s="3">
        <v>6</v>
      </c>
      <c r="C1157" s="5" t="s">
        <v>85</v>
      </c>
      <c r="D1157" s="3" t="s">
        <v>86</v>
      </c>
      <c r="E1157" s="100" t="str">
        <f>IFERROR(VLOOKUP(C1157,Resources!B:D,3,FALSE)," ")</f>
        <v>M</v>
      </c>
      <c r="F1157" s="8">
        <v>1</v>
      </c>
      <c r="G1157" s="8">
        <v>1</v>
      </c>
      <c r="H1157" s="8">
        <f>H1151*1.05</f>
        <v>3.1500000000000004</v>
      </c>
      <c r="I1157" s="109">
        <f>IFERROR(VLOOKUP(C1157,Resources!B:G,6,FALSE)," ")</f>
        <v>192</v>
      </c>
      <c r="J1157" s="109">
        <f t="shared" si="1705"/>
        <v>604.80000000000007</v>
      </c>
      <c r="K1157" s="8"/>
      <c r="L1157" s="8" t="str">
        <f t="shared" si="1706"/>
        <v xml:space="preserve"> </v>
      </c>
      <c r="M1157" s="109">
        <f t="shared" si="1707"/>
        <v>0</v>
      </c>
      <c r="N1157" s="109">
        <f t="shared" si="1708"/>
        <v>604.80000000000007</v>
      </c>
      <c r="O1157" s="109">
        <f t="shared" si="1709"/>
        <v>0</v>
      </c>
      <c r="P1157" s="109">
        <f t="shared" si="1710"/>
        <v>0</v>
      </c>
      <c r="Q1157" s="109">
        <f t="shared" si="1711"/>
        <v>604.80000000000007</v>
      </c>
      <c r="R1157" s="121" t="s">
        <v>2335</v>
      </c>
      <c r="T1157" s="188"/>
    </row>
    <row r="1158" spans="1:20" x14ac:dyDescent="0.25">
      <c r="A1158" s="100"/>
      <c r="B1158" s="3">
        <v>7</v>
      </c>
      <c r="C1158" s="5" t="s">
        <v>2259</v>
      </c>
      <c r="D1158" s="3" t="s">
        <v>83</v>
      </c>
      <c r="E1158" s="100" t="str">
        <f>IFERROR(VLOOKUP(C1158,Resources!B:D,3,FALSE)," ")</f>
        <v>S</v>
      </c>
      <c r="F1158" s="8">
        <v>1</v>
      </c>
      <c r="G1158" s="8">
        <v>1</v>
      </c>
      <c r="H1158" s="8">
        <f>H1153</f>
        <v>15</v>
      </c>
      <c r="I1158" s="109">
        <f>IFERROR(VLOOKUP(C1158,Resources!B:G,6,FALSE)," ")</f>
        <v>65</v>
      </c>
      <c r="J1158" s="109">
        <f t="shared" si="1705"/>
        <v>975</v>
      </c>
      <c r="K1158" s="8">
        <f t="shared" ref="K1158" si="1712">L1158*F1158</f>
        <v>15</v>
      </c>
      <c r="L1158" s="8">
        <f t="shared" si="1706"/>
        <v>15</v>
      </c>
      <c r="M1158" s="109">
        <f t="shared" si="1707"/>
        <v>0</v>
      </c>
      <c r="N1158" s="109">
        <f t="shared" si="1708"/>
        <v>0</v>
      </c>
      <c r="O1158" s="109">
        <f t="shared" si="1709"/>
        <v>0</v>
      </c>
      <c r="P1158" s="109">
        <f t="shared" si="1710"/>
        <v>975</v>
      </c>
      <c r="Q1158" s="109">
        <f t="shared" si="1711"/>
        <v>975</v>
      </c>
      <c r="R1158" s="121">
        <v>72</v>
      </c>
      <c r="T1158" s="188"/>
    </row>
    <row r="1159" spans="1:20" x14ac:dyDescent="0.25">
      <c r="A1159" s="101"/>
      <c r="B1159" s="4"/>
      <c r="C1159" s="6"/>
      <c r="D1159" s="4"/>
      <c r="E1159" s="101" t="str">
        <f>IFERROR(VLOOKUP(C1159,Resources!B:D,3,FALSE)," ")</f>
        <v xml:space="preserve"> </v>
      </c>
      <c r="F1159" s="9"/>
      <c r="G1159" s="9"/>
      <c r="H1159" s="9"/>
      <c r="I1159" s="38" t="str">
        <f>IFERROR(VLOOKUP(C1159,Resources!B:G,6,FALSE)," ")</f>
        <v xml:space="preserve"> </v>
      </c>
      <c r="J1159" s="38"/>
      <c r="K1159" s="9"/>
      <c r="L1159" s="9"/>
      <c r="M1159" s="38"/>
      <c r="N1159" s="38"/>
      <c r="O1159" s="38"/>
      <c r="P1159" s="38"/>
      <c r="Q1159" s="38"/>
      <c r="R1159" s="122"/>
      <c r="T1159" s="188"/>
    </row>
    <row r="1160" spans="1:20" ht="30" x14ac:dyDescent="0.25">
      <c r="A1160" s="114">
        <v>156</v>
      </c>
      <c r="B1160" s="1" t="s">
        <v>551</v>
      </c>
      <c r="C1160" s="1" t="s">
        <v>552</v>
      </c>
      <c r="D1160" s="2" t="s">
        <v>89</v>
      </c>
      <c r="E1160" s="99" t="str">
        <f>IFERROR(VLOOKUP(C1160,Resources!B:D,3,FALSE)," ")</f>
        <v xml:space="preserve"> </v>
      </c>
      <c r="F1160" s="7"/>
      <c r="G1160" s="7"/>
      <c r="H1160" s="103">
        <f>VLOOKUP($A1160,'Model Inputs'!$A:$D,4,FALSE)</f>
        <v>12.4</v>
      </c>
      <c r="I1160" s="108" t="str">
        <f>IFERROR(VLOOKUP(C1160,Resources!B:G,6,FALSE)," ")</f>
        <v xml:space="preserve"> </v>
      </c>
      <c r="J1160" s="108">
        <f>SUBTOTAL(9,J1163:J1170)</f>
        <v>8442.851999999999</v>
      </c>
      <c r="K1160" s="7"/>
      <c r="L1160" s="7">
        <f>ROUNDUP((MAX(L1164:L1165)+MAX(L1167:L1170))/Workhrs,0)</f>
        <v>2</v>
      </c>
      <c r="M1160" s="108">
        <f t="shared" ref="M1160:Q1160" si="1713">SUBTOTAL(9,M1163:M1170)</f>
        <v>1323</v>
      </c>
      <c r="N1160" s="108">
        <f t="shared" si="1713"/>
        <v>5384.8519999999999</v>
      </c>
      <c r="O1160" s="108">
        <f t="shared" si="1713"/>
        <v>1735</v>
      </c>
      <c r="P1160" s="108">
        <f t="shared" si="1713"/>
        <v>0</v>
      </c>
      <c r="Q1160" s="108">
        <f t="shared" si="1713"/>
        <v>8442.851999999999</v>
      </c>
      <c r="R1160" s="120"/>
      <c r="T1160" s="188"/>
    </row>
    <row r="1161" spans="1:20" x14ac:dyDescent="0.25">
      <c r="A1161" s="100"/>
      <c r="B1161" s="3">
        <v>1</v>
      </c>
      <c r="C1161" s="5" t="s">
        <v>2387</v>
      </c>
      <c r="D1161" s="3"/>
      <c r="E1161" s="100" t="str">
        <f>IFERROR(VLOOKUP(C1161,Resources!B:D,3,FALSE)," ")</f>
        <v xml:space="preserve"> </v>
      </c>
      <c r="F1161" s="8"/>
      <c r="G1161" s="8"/>
      <c r="H1161" s="8">
        <f>ROUNDUP(H1160/1.2,0)</f>
        <v>11</v>
      </c>
      <c r="I1161" s="109" t="str">
        <f>IFERROR(VLOOKUP(C1161,Resources!B:G,6,FALSE)," ")</f>
        <v xml:space="preserve"> </v>
      </c>
      <c r="J1161" s="109"/>
      <c r="K1161" s="8"/>
      <c r="L1161" s="8"/>
      <c r="M1161" s="109"/>
      <c r="N1161" s="109"/>
      <c r="O1161" s="109"/>
      <c r="P1161" s="109"/>
      <c r="Q1161" s="109"/>
      <c r="R1161" s="121"/>
      <c r="T1161" s="188"/>
    </row>
    <row r="1162" spans="1:20" x14ac:dyDescent="0.25">
      <c r="A1162" s="100"/>
      <c r="B1162" s="3">
        <v>2</v>
      </c>
      <c r="C1162" s="5" t="s">
        <v>2378</v>
      </c>
      <c r="D1162" s="3"/>
      <c r="E1162" s="100" t="str">
        <f>IFERROR(VLOOKUP(C1162,Resources!B:D,3,FALSE)," ")</f>
        <v xml:space="preserve"> </v>
      </c>
      <c r="F1162" s="8"/>
      <c r="G1162" s="8"/>
      <c r="H1162" s="8">
        <f>H1161*15/11</f>
        <v>15</v>
      </c>
      <c r="I1162" s="109" t="str">
        <f>IFERROR(VLOOKUP(C1162,Resources!B:G,6,FALSE)," ")</f>
        <v xml:space="preserve"> </v>
      </c>
      <c r="J1162" s="109"/>
      <c r="K1162" s="8"/>
      <c r="L1162" s="8"/>
      <c r="M1162" s="109"/>
      <c r="N1162" s="109"/>
      <c r="O1162" s="109"/>
      <c r="P1162" s="109"/>
      <c r="Q1162" s="109"/>
      <c r="R1162" s="121"/>
      <c r="T1162" s="188"/>
    </row>
    <row r="1163" spans="1:20" x14ac:dyDescent="0.25">
      <c r="A1163" s="100"/>
      <c r="B1163" s="3">
        <v>3</v>
      </c>
      <c r="C1163" s="5" t="s">
        <v>2158</v>
      </c>
      <c r="D1163" s="3" t="s">
        <v>89</v>
      </c>
      <c r="E1163" s="100" t="str">
        <f>IFERROR(VLOOKUP(C1163,Resources!B:D,3,FALSE)," ")</f>
        <v>M</v>
      </c>
      <c r="F1163" s="8">
        <v>1</v>
      </c>
      <c r="G1163" s="8">
        <v>1</v>
      </c>
      <c r="H1163" s="8">
        <f>H1161*1.2</f>
        <v>13.2</v>
      </c>
      <c r="I1163" s="109">
        <f>IFERROR(VLOOKUP(C1163,Resources!B:G,6,FALSE)," ")</f>
        <v>393.36</v>
      </c>
      <c r="J1163" s="109">
        <f t="shared" ref="J1163:J1170" si="1714">(H1163/(G1163/F1163))*I1163</f>
        <v>5192.3519999999999</v>
      </c>
      <c r="K1163" s="8"/>
      <c r="L1163" s="8" t="str">
        <f t="shared" ref="L1163:L1170" si="1715">IF(E1163="M"," ",H1163/G1163)</f>
        <v xml:space="preserve"> </v>
      </c>
      <c r="M1163" s="109">
        <f t="shared" ref="M1163:M1170" si="1716">IF($E1163="L",$J1163,0)</f>
        <v>0</v>
      </c>
      <c r="N1163" s="109">
        <f t="shared" ref="N1163:N1170" si="1717">IF($E1163="M",$J1163,0)</f>
        <v>5192.3519999999999</v>
      </c>
      <c r="O1163" s="109">
        <f t="shared" ref="O1163:O1170" si="1718">IF($E1163="P",$J1163,0)</f>
        <v>0</v>
      </c>
      <c r="P1163" s="109">
        <f t="shared" ref="P1163:P1170" si="1719">IF($E1163="S",$J1163,0)</f>
        <v>0</v>
      </c>
      <c r="Q1163" s="109">
        <f t="shared" ref="Q1163:Q1170" si="1720">SUM(M1163:P1163)</f>
        <v>5192.3519999999999</v>
      </c>
      <c r="R1163" s="121" t="s">
        <v>2344</v>
      </c>
      <c r="T1163" s="188"/>
    </row>
    <row r="1164" spans="1:20" x14ac:dyDescent="0.25">
      <c r="A1164" s="100">
        <v>156.1</v>
      </c>
      <c r="B1164" s="3">
        <v>4</v>
      </c>
      <c r="C1164" s="5" t="s">
        <v>63</v>
      </c>
      <c r="D1164" s="3" t="s">
        <v>48</v>
      </c>
      <c r="E1164" s="100" t="str">
        <f>IFERROR(VLOOKUP(C1164,Resources!B:D,3,FALSE)," ")</f>
        <v>P</v>
      </c>
      <c r="F1164" s="8">
        <v>1</v>
      </c>
      <c r="G1164" s="103">
        <f>VLOOKUP($A1164,'Model Inputs'!$A:$D,4,FALSE)</f>
        <v>2</v>
      </c>
      <c r="H1164" s="8">
        <f>H1161</f>
        <v>11</v>
      </c>
      <c r="I1164" s="109">
        <f>IFERROR(VLOOKUP(C1164,Resources!B:G,6,FALSE)," ")</f>
        <v>135</v>
      </c>
      <c r="J1164" s="109">
        <f t="shared" si="1714"/>
        <v>742.5</v>
      </c>
      <c r="K1164" s="8">
        <f t="shared" ref="K1164:K1165" si="1721">L1164*F1164</f>
        <v>5.5</v>
      </c>
      <c r="L1164" s="8">
        <f t="shared" si="1715"/>
        <v>5.5</v>
      </c>
      <c r="M1164" s="109">
        <f t="shared" si="1716"/>
        <v>0</v>
      </c>
      <c r="N1164" s="109">
        <f t="shared" si="1717"/>
        <v>0</v>
      </c>
      <c r="O1164" s="109">
        <f t="shared" si="1718"/>
        <v>742.5</v>
      </c>
      <c r="P1164" s="109">
        <f t="shared" si="1719"/>
        <v>0</v>
      </c>
      <c r="Q1164" s="109">
        <f t="shared" si="1720"/>
        <v>742.5</v>
      </c>
      <c r="R1164" s="121">
        <v>181</v>
      </c>
      <c r="T1164" s="188"/>
    </row>
    <row r="1165" spans="1:20" x14ac:dyDescent="0.25">
      <c r="A1165" s="100">
        <v>156.19999999999999</v>
      </c>
      <c r="B1165" s="3">
        <v>5</v>
      </c>
      <c r="C1165" s="5" t="s">
        <v>8</v>
      </c>
      <c r="D1165" s="3" t="s">
        <v>48</v>
      </c>
      <c r="E1165" s="100" t="str">
        <f>IFERROR(VLOOKUP(C1165,Resources!B:D,3,FALSE)," ")</f>
        <v>L</v>
      </c>
      <c r="F1165" s="103">
        <f>VLOOKUP($A1165,'Model Inputs'!$A:$D,4,FALSE)</f>
        <v>3</v>
      </c>
      <c r="G1165" s="8">
        <f>G1164</f>
        <v>2</v>
      </c>
      <c r="H1165" s="8">
        <f>H1161</f>
        <v>11</v>
      </c>
      <c r="I1165" s="109">
        <f>IFERROR(VLOOKUP(C1165,Resources!B:G,6,FALSE)," ")</f>
        <v>42</v>
      </c>
      <c r="J1165" s="109">
        <f t="shared" si="1714"/>
        <v>693</v>
      </c>
      <c r="K1165" s="8">
        <f t="shared" si="1721"/>
        <v>16.5</v>
      </c>
      <c r="L1165" s="8">
        <f t="shared" si="1715"/>
        <v>5.5</v>
      </c>
      <c r="M1165" s="109">
        <f t="shared" si="1716"/>
        <v>693</v>
      </c>
      <c r="N1165" s="109">
        <f t="shared" si="1717"/>
        <v>0</v>
      </c>
      <c r="O1165" s="109">
        <f t="shared" si="1718"/>
        <v>0</v>
      </c>
      <c r="P1165" s="109">
        <f t="shared" si="1719"/>
        <v>0</v>
      </c>
      <c r="Q1165" s="109">
        <f t="shared" si="1720"/>
        <v>693</v>
      </c>
      <c r="R1165" s="121">
        <v>181</v>
      </c>
      <c r="T1165" s="188"/>
    </row>
    <row r="1166" spans="1:20" x14ac:dyDescent="0.25">
      <c r="A1166" s="100"/>
      <c r="B1166" s="3">
        <v>6</v>
      </c>
      <c r="C1166" s="5" t="s">
        <v>91</v>
      </c>
      <c r="D1166" s="3" t="s">
        <v>89</v>
      </c>
      <c r="E1166" s="100" t="str">
        <f>IFERROR(VLOOKUP(C1166,Resources!B:D,3,FALSE)," ")</f>
        <v>M</v>
      </c>
      <c r="F1166" s="8">
        <v>1</v>
      </c>
      <c r="G1166" s="8">
        <v>1</v>
      </c>
      <c r="H1166" s="8">
        <f>H1161*3.5</f>
        <v>38.5</v>
      </c>
      <c r="I1166" s="109">
        <f>IFERROR(VLOOKUP(C1166,Resources!B:G,6,FALSE)," ")</f>
        <v>5</v>
      </c>
      <c r="J1166" s="109">
        <f t="shared" si="1714"/>
        <v>192.5</v>
      </c>
      <c r="K1166" s="8"/>
      <c r="L1166" s="8" t="str">
        <f t="shared" si="1715"/>
        <v xml:space="preserve"> </v>
      </c>
      <c r="M1166" s="109">
        <f t="shared" si="1716"/>
        <v>0</v>
      </c>
      <c r="N1166" s="109">
        <f t="shared" si="1717"/>
        <v>192.5</v>
      </c>
      <c r="O1166" s="109">
        <f t="shared" si="1718"/>
        <v>0</v>
      </c>
      <c r="P1166" s="109">
        <f t="shared" si="1719"/>
        <v>0</v>
      </c>
      <c r="Q1166" s="109">
        <f t="shared" si="1720"/>
        <v>192.5</v>
      </c>
      <c r="R1166" s="121">
        <v>181</v>
      </c>
      <c r="T1166" s="188"/>
    </row>
    <row r="1167" spans="1:20" x14ac:dyDescent="0.25">
      <c r="A1167" s="100">
        <v>156.30000000000001</v>
      </c>
      <c r="B1167" s="3">
        <v>7</v>
      </c>
      <c r="C1167" s="5" t="s">
        <v>45</v>
      </c>
      <c r="D1167" s="3" t="s">
        <v>48</v>
      </c>
      <c r="E1167" s="100" t="str">
        <f>IFERROR(VLOOKUP(C1167,Resources!B:D,3,FALSE)," ")</f>
        <v>P</v>
      </c>
      <c r="F1167" s="8">
        <v>1</v>
      </c>
      <c r="G1167" s="103">
        <f>VLOOKUP($A1167,'Model Inputs'!$A:$D,4,FALSE)</f>
        <v>3</v>
      </c>
      <c r="H1167" s="8">
        <f>H1162</f>
        <v>15</v>
      </c>
      <c r="I1167" s="109">
        <f>IFERROR(VLOOKUP(C1167,Resources!B:G,6,FALSE)," ")</f>
        <v>95</v>
      </c>
      <c r="J1167" s="109">
        <f t="shared" si="1714"/>
        <v>475</v>
      </c>
      <c r="K1167" s="8">
        <f t="shared" ref="K1167:K1170" si="1722">L1167*F1167</f>
        <v>5</v>
      </c>
      <c r="L1167" s="8">
        <f t="shared" si="1715"/>
        <v>5</v>
      </c>
      <c r="M1167" s="109">
        <f t="shared" si="1716"/>
        <v>0</v>
      </c>
      <c r="N1167" s="109">
        <f t="shared" si="1717"/>
        <v>0</v>
      </c>
      <c r="O1167" s="109">
        <f t="shared" si="1718"/>
        <v>475</v>
      </c>
      <c r="P1167" s="109">
        <f t="shared" si="1719"/>
        <v>0</v>
      </c>
      <c r="Q1167" s="109">
        <f t="shared" si="1720"/>
        <v>475</v>
      </c>
      <c r="R1167" s="121">
        <v>181</v>
      </c>
      <c r="T1167" s="188"/>
    </row>
    <row r="1168" spans="1:20" x14ac:dyDescent="0.25">
      <c r="A1168" s="100">
        <v>156.4</v>
      </c>
      <c r="B1168" s="3">
        <v>8</v>
      </c>
      <c r="C1168" s="5" t="s">
        <v>8</v>
      </c>
      <c r="D1168" s="3" t="s">
        <v>48</v>
      </c>
      <c r="E1168" s="100" t="str">
        <f>IFERROR(VLOOKUP(C1168,Resources!B:D,3,FALSE)," ")</f>
        <v>L</v>
      </c>
      <c r="F1168" s="103">
        <f>VLOOKUP($A1168,'Model Inputs'!$A:$D,4,FALSE)</f>
        <v>3</v>
      </c>
      <c r="G1168" s="8">
        <f>G1167</f>
        <v>3</v>
      </c>
      <c r="H1168" s="8">
        <f>H1162</f>
        <v>15</v>
      </c>
      <c r="I1168" s="109">
        <f>IFERROR(VLOOKUP(C1168,Resources!B:G,6,FALSE)," ")</f>
        <v>42</v>
      </c>
      <c r="J1168" s="109">
        <f t="shared" si="1714"/>
        <v>630</v>
      </c>
      <c r="K1168" s="8">
        <f t="shared" si="1722"/>
        <v>15</v>
      </c>
      <c r="L1168" s="8">
        <f t="shared" si="1715"/>
        <v>5</v>
      </c>
      <c r="M1168" s="109">
        <f t="shared" si="1716"/>
        <v>630</v>
      </c>
      <c r="N1168" s="109">
        <f t="shared" si="1717"/>
        <v>0</v>
      </c>
      <c r="O1168" s="109">
        <f t="shared" si="1718"/>
        <v>0</v>
      </c>
      <c r="P1168" s="109">
        <f t="shared" si="1719"/>
        <v>0</v>
      </c>
      <c r="Q1168" s="109">
        <f t="shared" si="1720"/>
        <v>630</v>
      </c>
      <c r="R1168" s="121">
        <v>181</v>
      </c>
      <c r="T1168" s="188"/>
    </row>
    <row r="1169" spans="1:20" x14ac:dyDescent="0.25">
      <c r="A1169" s="100"/>
      <c r="B1169" s="3">
        <v>9</v>
      </c>
      <c r="C1169" s="5" t="s">
        <v>92</v>
      </c>
      <c r="D1169" s="3" t="s">
        <v>48</v>
      </c>
      <c r="E1169" s="100" t="str">
        <f>IFERROR(VLOOKUP(C1169,Resources!B:D,3,FALSE)," ")</f>
        <v>P</v>
      </c>
      <c r="F1169" s="8">
        <v>1</v>
      </c>
      <c r="G1169" s="8">
        <f>G1167</f>
        <v>3</v>
      </c>
      <c r="H1169" s="8">
        <f>H1162</f>
        <v>15</v>
      </c>
      <c r="I1169" s="109">
        <f>IFERROR(VLOOKUP(C1169,Resources!B:G,6,FALSE)," ")</f>
        <v>3.5</v>
      </c>
      <c r="J1169" s="109">
        <f t="shared" si="1714"/>
        <v>17.5</v>
      </c>
      <c r="K1169" s="8">
        <f t="shared" si="1722"/>
        <v>5</v>
      </c>
      <c r="L1169" s="8">
        <f t="shared" si="1715"/>
        <v>5</v>
      </c>
      <c r="M1169" s="109">
        <f t="shared" si="1716"/>
        <v>0</v>
      </c>
      <c r="N1169" s="109">
        <f t="shared" si="1717"/>
        <v>0</v>
      </c>
      <c r="O1169" s="109">
        <f t="shared" si="1718"/>
        <v>17.5</v>
      </c>
      <c r="P1169" s="109">
        <f t="shared" si="1719"/>
        <v>0</v>
      </c>
      <c r="Q1169" s="109">
        <f t="shared" si="1720"/>
        <v>17.5</v>
      </c>
      <c r="R1169" s="121">
        <v>181</v>
      </c>
      <c r="T1169" s="188"/>
    </row>
    <row r="1170" spans="1:20" x14ac:dyDescent="0.25">
      <c r="A1170" s="100"/>
      <c r="B1170" s="3">
        <v>10</v>
      </c>
      <c r="C1170" s="5" t="s">
        <v>64</v>
      </c>
      <c r="D1170" s="3" t="s">
        <v>48</v>
      </c>
      <c r="E1170" s="100" t="str">
        <f>IFERROR(VLOOKUP(C1170,Resources!B:D,3,FALSE)," ")</f>
        <v>P</v>
      </c>
      <c r="F1170" s="8">
        <v>1</v>
      </c>
      <c r="G1170" s="8">
        <f>G1167</f>
        <v>3</v>
      </c>
      <c r="H1170" s="8">
        <f>H1162</f>
        <v>15</v>
      </c>
      <c r="I1170" s="109">
        <f>IFERROR(VLOOKUP(C1170,Resources!B:G,6,FALSE)," ")</f>
        <v>100</v>
      </c>
      <c r="J1170" s="109">
        <f t="shared" si="1714"/>
        <v>500</v>
      </c>
      <c r="K1170" s="8">
        <f t="shared" si="1722"/>
        <v>5</v>
      </c>
      <c r="L1170" s="8">
        <f t="shared" si="1715"/>
        <v>5</v>
      </c>
      <c r="M1170" s="109">
        <f t="shared" si="1716"/>
        <v>0</v>
      </c>
      <c r="N1170" s="109">
        <f t="shared" si="1717"/>
        <v>0</v>
      </c>
      <c r="O1170" s="109">
        <f t="shared" si="1718"/>
        <v>500</v>
      </c>
      <c r="P1170" s="109">
        <f t="shared" si="1719"/>
        <v>0</v>
      </c>
      <c r="Q1170" s="109">
        <f t="shared" si="1720"/>
        <v>500</v>
      </c>
      <c r="R1170" s="121">
        <v>181</v>
      </c>
      <c r="T1170" s="188"/>
    </row>
    <row r="1171" spans="1:20" x14ac:dyDescent="0.25">
      <c r="A1171" s="101"/>
      <c r="B1171" s="4"/>
      <c r="C1171" s="6"/>
      <c r="D1171" s="4"/>
      <c r="E1171" s="101" t="str">
        <f>IFERROR(VLOOKUP(C1171,Resources!B:D,3,FALSE)," ")</f>
        <v xml:space="preserve"> </v>
      </c>
      <c r="F1171" s="9"/>
      <c r="G1171" s="9"/>
      <c r="H1171" s="9"/>
      <c r="I1171" s="38" t="str">
        <f>IFERROR(VLOOKUP(C1171,Resources!B:G,6,FALSE)," ")</f>
        <v xml:space="preserve"> </v>
      </c>
      <c r="J1171" s="38"/>
      <c r="K1171" s="9"/>
      <c r="L1171" s="9"/>
      <c r="M1171" s="38"/>
      <c r="N1171" s="38"/>
      <c r="O1171" s="38"/>
      <c r="P1171" s="38"/>
      <c r="Q1171" s="38"/>
      <c r="R1171" s="122"/>
      <c r="T1171" s="188"/>
    </row>
    <row r="1172" spans="1:20" ht="30" x14ac:dyDescent="0.25">
      <c r="A1172" s="114"/>
      <c r="B1172" s="1" t="s">
        <v>554</v>
      </c>
      <c r="C1172" s="1" t="s">
        <v>94</v>
      </c>
      <c r="D1172" s="2"/>
      <c r="E1172" s="99" t="str">
        <f>IFERROR(VLOOKUP(C1172,Resources!B:D,3,FALSE)," ")</f>
        <v xml:space="preserve"> </v>
      </c>
      <c r="F1172" s="7"/>
      <c r="G1172" s="7"/>
      <c r="H1172" s="7"/>
      <c r="I1172" s="108" t="str">
        <f>IFERROR(VLOOKUP(C1172,Resources!B:G,6,FALSE)," ")</f>
        <v xml:space="preserve"> </v>
      </c>
      <c r="J1172" s="108"/>
      <c r="K1172" s="7"/>
      <c r="L1172" s="7"/>
      <c r="M1172" s="108"/>
      <c r="N1172" s="108"/>
      <c r="O1172" s="108"/>
      <c r="P1172" s="108"/>
      <c r="Q1172" s="108"/>
      <c r="R1172" s="120"/>
      <c r="T1172" s="188"/>
    </row>
    <row r="1173" spans="1:20" ht="30" x14ac:dyDescent="0.25">
      <c r="A1173" s="114"/>
      <c r="B1173" s="1" t="s">
        <v>555</v>
      </c>
      <c r="C1173" s="1" t="s">
        <v>467</v>
      </c>
      <c r="D1173" s="2"/>
      <c r="E1173" s="99" t="str">
        <f>IFERROR(VLOOKUP(C1173,Resources!B:D,3,FALSE)," ")</f>
        <v xml:space="preserve"> </v>
      </c>
      <c r="F1173" s="7"/>
      <c r="G1173" s="7"/>
      <c r="H1173" s="7"/>
      <c r="I1173" s="108" t="str">
        <f>IFERROR(VLOOKUP(C1173,Resources!B:G,6,FALSE)," ")</f>
        <v xml:space="preserve"> </v>
      </c>
      <c r="J1173" s="108"/>
      <c r="K1173" s="7"/>
      <c r="L1173" s="7"/>
      <c r="M1173" s="108"/>
      <c r="N1173" s="108"/>
      <c r="O1173" s="108"/>
      <c r="P1173" s="108"/>
      <c r="Q1173" s="108"/>
      <c r="R1173" s="120"/>
      <c r="T1173" s="188"/>
    </row>
    <row r="1174" spans="1:20" ht="30" x14ac:dyDescent="0.25">
      <c r="A1174" s="114">
        <v>157</v>
      </c>
      <c r="B1174" s="1" t="s">
        <v>556</v>
      </c>
      <c r="C1174" s="1" t="s">
        <v>382</v>
      </c>
      <c r="D1174" s="2" t="s">
        <v>29</v>
      </c>
      <c r="E1174" s="99" t="str">
        <f>IFERROR(VLOOKUP(C1174,Resources!B:D,3,FALSE)," ")</f>
        <v xml:space="preserve"> </v>
      </c>
      <c r="F1174" s="7"/>
      <c r="G1174" s="7"/>
      <c r="H1174" s="103">
        <f>VLOOKUP($A1174,'Model Inputs'!$A:$D,4,FALSE)</f>
        <v>4</v>
      </c>
      <c r="I1174" s="108" t="str">
        <f>IFERROR(VLOOKUP(C1174,Resources!B:G,6,FALSE)," ")</f>
        <v xml:space="preserve"> </v>
      </c>
      <c r="J1174" s="108">
        <f>SUBTOTAL(9,J1175:J1177)</f>
        <v>14020</v>
      </c>
      <c r="K1174" s="7"/>
      <c r="L1174" s="7">
        <f>ROUNDUP(L1175*2,0)</f>
        <v>4</v>
      </c>
      <c r="M1174" s="108">
        <f t="shared" ref="M1174:Q1174" si="1723">SUBTOTAL(9,M1175:M1177)</f>
        <v>1360</v>
      </c>
      <c r="N1174" s="108">
        <f t="shared" si="1723"/>
        <v>5160</v>
      </c>
      <c r="O1174" s="108">
        <f t="shared" si="1723"/>
        <v>0</v>
      </c>
      <c r="P1174" s="108">
        <f t="shared" si="1723"/>
        <v>7500</v>
      </c>
      <c r="Q1174" s="108">
        <f t="shared" si="1723"/>
        <v>14020</v>
      </c>
      <c r="R1174" s="120"/>
      <c r="T1174" s="188"/>
    </row>
    <row r="1175" spans="1:20" x14ac:dyDescent="0.25">
      <c r="A1175" s="100"/>
      <c r="B1175" s="3">
        <v>1</v>
      </c>
      <c r="C1175" s="5" t="s">
        <v>183</v>
      </c>
      <c r="D1175" s="3" t="s">
        <v>29</v>
      </c>
      <c r="E1175" s="100" t="str">
        <f>IFERROR(VLOOKUP(C1175,Resources!B:D,3,FALSE)," ")</f>
        <v>S</v>
      </c>
      <c r="F1175" s="8">
        <v>1</v>
      </c>
      <c r="G1175" s="8">
        <v>2</v>
      </c>
      <c r="H1175" s="8">
        <f>H1174</f>
        <v>4</v>
      </c>
      <c r="I1175" s="109">
        <f>IFERROR(VLOOKUP(C1175,Resources!B:G,6,FALSE)," ")</f>
        <v>3750</v>
      </c>
      <c r="J1175" s="109">
        <f t="shared" ref="J1175:J1177" si="1724">(H1175/(G1175/F1175))*I1175</f>
        <v>7500</v>
      </c>
      <c r="K1175" s="8">
        <f t="shared" ref="K1175:K1177" si="1725">L1175*F1175</f>
        <v>2</v>
      </c>
      <c r="L1175" s="8">
        <f t="shared" ref="L1175:L1177" si="1726">IF(E1175="M"," ",H1175/G1175)</f>
        <v>2</v>
      </c>
      <c r="M1175" s="109">
        <f t="shared" ref="M1175:M1177" si="1727">IF($E1175="L",$J1175,0)</f>
        <v>0</v>
      </c>
      <c r="N1175" s="109">
        <f t="shared" ref="N1175:N1177" si="1728">IF($E1175="M",$J1175,0)</f>
        <v>0</v>
      </c>
      <c r="O1175" s="109">
        <f t="shared" ref="O1175:O1177" si="1729">IF($E1175="P",$J1175,0)</f>
        <v>0</v>
      </c>
      <c r="P1175" s="109">
        <f t="shared" ref="P1175:P1177" si="1730">IF($E1175="S",$J1175,0)</f>
        <v>7500</v>
      </c>
      <c r="Q1175" s="109">
        <f t="shared" ref="Q1175:Q1177" si="1731">SUM(M1175:P1175)</f>
        <v>7500</v>
      </c>
      <c r="R1175" s="121">
        <v>85</v>
      </c>
      <c r="T1175" s="188"/>
    </row>
    <row r="1176" spans="1:20" x14ac:dyDescent="0.25">
      <c r="A1176" s="100"/>
      <c r="B1176" s="3">
        <v>2</v>
      </c>
      <c r="C1176" s="5" t="s">
        <v>383</v>
      </c>
      <c r="D1176" s="3" t="s">
        <v>29</v>
      </c>
      <c r="E1176" s="100" t="str">
        <f>IFERROR(VLOOKUP(C1176,Resources!B:D,3,FALSE)," ")</f>
        <v>M</v>
      </c>
      <c r="F1176" s="8">
        <v>1</v>
      </c>
      <c r="G1176" s="8">
        <v>1</v>
      </c>
      <c r="H1176" s="8">
        <f>H1174</f>
        <v>4</v>
      </c>
      <c r="I1176" s="109">
        <f>IFERROR(VLOOKUP(C1176,Resources!B:G,6,FALSE)," ")</f>
        <v>1290</v>
      </c>
      <c r="J1176" s="109">
        <f t="shared" si="1724"/>
        <v>5160</v>
      </c>
      <c r="K1176" s="8"/>
      <c r="L1176" s="8" t="str">
        <f t="shared" si="1726"/>
        <v xml:space="preserve"> </v>
      </c>
      <c r="M1176" s="109">
        <f t="shared" si="1727"/>
        <v>0</v>
      </c>
      <c r="N1176" s="109">
        <f t="shared" si="1728"/>
        <v>5160</v>
      </c>
      <c r="O1176" s="109">
        <f t="shared" si="1729"/>
        <v>0</v>
      </c>
      <c r="P1176" s="109">
        <f t="shared" si="1730"/>
        <v>0</v>
      </c>
      <c r="Q1176" s="109">
        <f t="shared" si="1731"/>
        <v>5160</v>
      </c>
      <c r="R1176" s="121" t="s">
        <v>2347</v>
      </c>
      <c r="T1176" s="188"/>
    </row>
    <row r="1177" spans="1:20" x14ac:dyDescent="0.25">
      <c r="A1177" s="100"/>
      <c r="B1177" s="3">
        <v>3</v>
      </c>
      <c r="C1177" s="5" t="s">
        <v>384</v>
      </c>
      <c r="D1177" s="3" t="s">
        <v>48</v>
      </c>
      <c r="E1177" s="100" t="str">
        <f>IFERROR(VLOOKUP(C1177,Resources!B:D,3,FALSE)," ")</f>
        <v>L</v>
      </c>
      <c r="F1177" s="8">
        <v>1</v>
      </c>
      <c r="G1177" s="8">
        <v>1</v>
      </c>
      <c r="H1177" s="8">
        <f>H1174*4</f>
        <v>16</v>
      </c>
      <c r="I1177" s="109">
        <f>IFERROR(VLOOKUP(C1177,Resources!B:G,6,FALSE)," ")</f>
        <v>85</v>
      </c>
      <c r="J1177" s="109">
        <f t="shared" si="1724"/>
        <v>1360</v>
      </c>
      <c r="K1177" s="8">
        <f t="shared" si="1725"/>
        <v>16</v>
      </c>
      <c r="L1177" s="8">
        <f t="shared" si="1726"/>
        <v>16</v>
      </c>
      <c r="M1177" s="109">
        <f t="shared" si="1727"/>
        <v>1360</v>
      </c>
      <c r="N1177" s="109">
        <f t="shared" si="1728"/>
        <v>0</v>
      </c>
      <c r="O1177" s="109">
        <f t="shared" si="1729"/>
        <v>0</v>
      </c>
      <c r="P1177" s="109">
        <f t="shared" si="1730"/>
        <v>0</v>
      </c>
      <c r="Q1177" s="109">
        <f t="shared" si="1731"/>
        <v>1360</v>
      </c>
      <c r="R1177" s="121">
        <v>85</v>
      </c>
      <c r="T1177" s="188"/>
    </row>
    <row r="1178" spans="1:20" x14ac:dyDescent="0.25">
      <c r="A1178" s="101"/>
      <c r="B1178" s="4"/>
      <c r="C1178" s="6"/>
      <c r="D1178" s="4"/>
      <c r="E1178" s="101" t="str">
        <f>IFERROR(VLOOKUP(C1178,Resources!B:D,3,FALSE)," ")</f>
        <v xml:space="preserve"> </v>
      </c>
      <c r="F1178" s="9"/>
      <c r="G1178" s="9"/>
      <c r="H1178" s="9"/>
      <c r="I1178" s="38" t="str">
        <f>IFERROR(VLOOKUP(C1178,Resources!B:G,6,FALSE)," ")</f>
        <v xml:space="preserve"> </v>
      </c>
      <c r="J1178" s="38"/>
      <c r="K1178" s="9"/>
      <c r="L1178" s="9"/>
      <c r="M1178" s="38"/>
      <c r="N1178" s="38"/>
      <c r="O1178" s="38"/>
      <c r="P1178" s="38"/>
      <c r="Q1178" s="38"/>
      <c r="R1178" s="122"/>
      <c r="T1178" s="188"/>
    </row>
    <row r="1179" spans="1:20" ht="30" x14ac:dyDescent="0.25">
      <c r="A1179" s="114"/>
      <c r="B1179" s="1" t="s">
        <v>557</v>
      </c>
      <c r="C1179" s="1" t="s">
        <v>98</v>
      </c>
      <c r="D1179" s="2"/>
      <c r="E1179" s="99" t="str">
        <f>IFERROR(VLOOKUP(C1179,Resources!B:D,3,FALSE)," ")</f>
        <v xml:space="preserve"> </v>
      </c>
      <c r="F1179" s="7"/>
      <c r="G1179" s="7"/>
      <c r="H1179" s="7"/>
      <c r="I1179" s="108" t="str">
        <f>IFERROR(VLOOKUP(C1179,Resources!B:G,6,FALSE)," ")</f>
        <v xml:space="preserve"> </v>
      </c>
      <c r="J1179" s="108"/>
      <c r="K1179" s="7"/>
      <c r="L1179" s="7"/>
      <c r="M1179" s="108"/>
      <c r="N1179" s="108"/>
      <c r="O1179" s="108"/>
      <c r="P1179" s="108"/>
      <c r="Q1179" s="108"/>
      <c r="R1179" s="120"/>
      <c r="T1179" s="188"/>
    </row>
    <row r="1180" spans="1:20" ht="30" x14ac:dyDescent="0.25">
      <c r="A1180" s="114"/>
      <c r="B1180" s="1" t="s">
        <v>558</v>
      </c>
      <c r="C1180" s="1" t="s">
        <v>474</v>
      </c>
      <c r="D1180" s="2"/>
      <c r="E1180" s="99" t="str">
        <f>IFERROR(VLOOKUP(C1180,Resources!B:D,3,FALSE)," ")</f>
        <v xml:space="preserve"> </v>
      </c>
      <c r="F1180" s="7"/>
      <c r="G1180" s="7"/>
      <c r="H1180" s="7"/>
      <c r="I1180" s="108" t="str">
        <f>IFERROR(VLOOKUP(C1180,Resources!B:G,6,FALSE)," ")</f>
        <v xml:space="preserve"> </v>
      </c>
      <c r="J1180" s="108"/>
      <c r="K1180" s="7"/>
      <c r="L1180" s="7"/>
      <c r="M1180" s="108"/>
      <c r="N1180" s="108"/>
      <c r="O1180" s="108"/>
      <c r="P1180" s="108"/>
      <c r="Q1180" s="108"/>
      <c r="R1180" s="120"/>
      <c r="T1180" s="188"/>
    </row>
    <row r="1181" spans="1:20" ht="30" x14ac:dyDescent="0.25">
      <c r="A1181" s="114">
        <v>158</v>
      </c>
      <c r="B1181" s="1" t="s">
        <v>559</v>
      </c>
      <c r="C1181" s="1" t="s">
        <v>195</v>
      </c>
      <c r="D1181" s="2" t="s">
        <v>89</v>
      </c>
      <c r="E1181" s="99" t="str">
        <f>IFERROR(VLOOKUP(C1181,Resources!B:D,3,FALSE)," ")</f>
        <v xml:space="preserve"> </v>
      </c>
      <c r="F1181" s="7"/>
      <c r="G1181" s="7"/>
      <c r="H1181" s="103">
        <f>VLOOKUP($A1181,'Model Inputs'!$A:$D,4,FALSE)</f>
        <v>475</v>
      </c>
      <c r="I1181" s="108" t="str">
        <f>IFERROR(VLOOKUP(C1181,Resources!B:G,6,FALSE)," ")</f>
        <v xml:space="preserve"> </v>
      </c>
      <c r="J1181" s="108">
        <f>SUBTOTAL(9,J1183:J1186)</f>
        <v>25252.436046511626</v>
      </c>
      <c r="K1181" s="7"/>
      <c r="L1181" s="7">
        <f>ROUNDUP(L1186,0)</f>
        <v>3</v>
      </c>
      <c r="M1181" s="108">
        <f t="shared" ref="M1181:Q1181" si="1732">SUBTOTAL(9,M1183:M1186)</f>
        <v>0</v>
      </c>
      <c r="N1181" s="108">
        <f t="shared" si="1732"/>
        <v>11002.436046511628</v>
      </c>
      <c r="O1181" s="108">
        <f t="shared" si="1732"/>
        <v>0</v>
      </c>
      <c r="P1181" s="108">
        <f t="shared" si="1732"/>
        <v>14250</v>
      </c>
      <c r="Q1181" s="108">
        <f t="shared" si="1732"/>
        <v>25252.436046511626</v>
      </c>
      <c r="R1181" s="120"/>
      <c r="T1181" s="188"/>
    </row>
    <row r="1182" spans="1:20" ht="30" x14ac:dyDescent="0.25">
      <c r="A1182" s="101"/>
      <c r="B1182" s="4">
        <v>1</v>
      </c>
      <c r="C1182" s="6" t="s">
        <v>2388</v>
      </c>
      <c r="D1182" s="4"/>
      <c r="E1182" s="101" t="str">
        <f>IFERROR(VLOOKUP(C1182,Resources!B:D,3,FALSE)," ")</f>
        <v xml:space="preserve"> </v>
      </c>
      <c r="F1182" s="9"/>
      <c r="G1182" s="9"/>
      <c r="H1182" s="9"/>
      <c r="I1182" s="38" t="str">
        <f>IFERROR(VLOOKUP(C1182,Resources!B:G,6,FALSE)," ")</f>
        <v xml:space="preserve"> </v>
      </c>
      <c r="J1182" s="38"/>
      <c r="K1182" s="9"/>
      <c r="L1182" s="9"/>
      <c r="M1182" s="38"/>
      <c r="N1182" s="38"/>
      <c r="O1182" s="38"/>
      <c r="P1182" s="38"/>
      <c r="Q1182" s="38"/>
      <c r="R1182" s="122"/>
      <c r="T1182" s="188"/>
    </row>
    <row r="1183" spans="1:20" x14ac:dyDescent="0.25">
      <c r="A1183" s="100"/>
      <c r="B1183" s="3">
        <v>2</v>
      </c>
      <c r="C1183" s="5" t="s">
        <v>197</v>
      </c>
      <c r="D1183" s="3" t="s">
        <v>86</v>
      </c>
      <c r="E1183" s="100" t="str">
        <f>IFERROR(VLOOKUP(C1183,Resources!B:D,3,FALSE)," ")</f>
        <v>M</v>
      </c>
      <c r="F1183" s="8">
        <v>1</v>
      </c>
      <c r="G1183" s="8">
        <v>1</v>
      </c>
      <c r="H1183" s="8">
        <f>H1181/8.6</f>
        <v>55.232558139534888</v>
      </c>
      <c r="I1183" s="109">
        <f>IFERROR(VLOOKUP(C1183,Resources!B:G,6,FALSE)," ")</f>
        <v>190</v>
      </c>
      <c r="J1183" s="109">
        <f t="shared" ref="J1183:J1186" si="1733">(H1183/(G1183/F1183))*I1183</f>
        <v>10494.186046511628</v>
      </c>
      <c r="K1183" s="8"/>
      <c r="L1183" s="8" t="str">
        <f t="shared" ref="L1183:L1185" si="1734">IF(E1183="M"," ",H1183/G1183)</f>
        <v xml:space="preserve"> </v>
      </c>
      <c r="M1183" s="109">
        <f t="shared" ref="M1183:M1186" si="1735">IF($E1183="L",$J1183,0)</f>
        <v>0</v>
      </c>
      <c r="N1183" s="109">
        <f t="shared" ref="N1183:N1186" si="1736">IF($E1183="M",$J1183,0)</f>
        <v>10494.186046511628</v>
      </c>
      <c r="O1183" s="109">
        <f t="shared" ref="O1183:O1186" si="1737">IF($E1183="P",$J1183,0)</f>
        <v>0</v>
      </c>
      <c r="P1183" s="109">
        <f t="shared" ref="P1183:P1186" si="1738">IF($E1183="S",$J1183,0)</f>
        <v>0</v>
      </c>
      <c r="Q1183" s="109">
        <f t="shared" ref="Q1183:Q1186" si="1739">SUM(M1183:P1183)</f>
        <v>10494.186046511628</v>
      </c>
      <c r="R1183" s="121" t="s">
        <v>2337</v>
      </c>
      <c r="T1183" s="188"/>
    </row>
    <row r="1184" spans="1:20" x14ac:dyDescent="0.25">
      <c r="A1184" s="100"/>
      <c r="B1184" s="3">
        <v>3</v>
      </c>
      <c r="C1184" s="5" t="s">
        <v>81</v>
      </c>
      <c r="D1184" s="3" t="s">
        <v>82</v>
      </c>
      <c r="E1184" s="100" t="str">
        <f>IFERROR(VLOOKUP(C1184,Resources!B:D,3,FALSE)," ")</f>
        <v>M</v>
      </c>
      <c r="F1184" s="8">
        <v>1</v>
      </c>
      <c r="G1184" s="8">
        <v>1</v>
      </c>
      <c r="H1184" s="8">
        <f>H1181/75</f>
        <v>6.333333333333333</v>
      </c>
      <c r="I1184" s="109">
        <f>IFERROR(VLOOKUP(C1184,Resources!B:G,6,FALSE)," ")</f>
        <v>24</v>
      </c>
      <c r="J1184" s="109">
        <f t="shared" si="1733"/>
        <v>152</v>
      </c>
      <c r="K1184" s="8"/>
      <c r="L1184" s="8" t="str">
        <f t="shared" si="1734"/>
        <v xml:space="preserve"> </v>
      </c>
      <c r="M1184" s="109">
        <f t="shared" si="1735"/>
        <v>0</v>
      </c>
      <c r="N1184" s="109">
        <f t="shared" si="1736"/>
        <v>152</v>
      </c>
      <c r="O1184" s="109">
        <f t="shared" si="1737"/>
        <v>0</v>
      </c>
      <c r="P1184" s="109">
        <f t="shared" si="1738"/>
        <v>0</v>
      </c>
      <c r="Q1184" s="109">
        <f t="shared" si="1739"/>
        <v>152</v>
      </c>
      <c r="R1184" s="121" t="s">
        <v>2341</v>
      </c>
      <c r="T1184" s="188"/>
    </row>
    <row r="1185" spans="1:20" x14ac:dyDescent="0.25">
      <c r="A1185" s="100"/>
      <c r="B1185" s="3">
        <v>4</v>
      </c>
      <c r="C1185" s="5" t="s">
        <v>109</v>
      </c>
      <c r="D1185" s="3" t="s">
        <v>82</v>
      </c>
      <c r="E1185" s="100" t="str">
        <f>IFERROR(VLOOKUP(C1185,Resources!B:D,3,FALSE)," ")</f>
        <v>M</v>
      </c>
      <c r="F1185" s="8">
        <v>1</v>
      </c>
      <c r="G1185" s="8">
        <v>1</v>
      </c>
      <c r="H1185" s="8">
        <f>H1184/8</f>
        <v>0.79166666666666663</v>
      </c>
      <c r="I1185" s="109">
        <f>IFERROR(VLOOKUP(C1185,Resources!B:G,6,FALSE)," ")</f>
        <v>450</v>
      </c>
      <c r="J1185" s="109">
        <f t="shared" si="1733"/>
        <v>356.25</v>
      </c>
      <c r="K1185" s="8"/>
      <c r="L1185" s="8" t="str">
        <f t="shared" si="1734"/>
        <v xml:space="preserve"> </v>
      </c>
      <c r="M1185" s="109">
        <f t="shared" si="1735"/>
        <v>0</v>
      </c>
      <c r="N1185" s="109">
        <f t="shared" si="1736"/>
        <v>356.25</v>
      </c>
      <c r="O1185" s="109">
        <f t="shared" si="1737"/>
        <v>0</v>
      </c>
      <c r="P1185" s="109">
        <f t="shared" si="1738"/>
        <v>0</v>
      </c>
      <c r="Q1185" s="109">
        <f t="shared" si="1739"/>
        <v>356.25</v>
      </c>
      <c r="R1185" s="121" t="s">
        <v>2338</v>
      </c>
      <c r="T1185" s="188"/>
    </row>
    <row r="1186" spans="1:20" x14ac:dyDescent="0.25">
      <c r="A1186" s="100"/>
      <c r="B1186" s="3">
        <v>5</v>
      </c>
      <c r="C1186" s="5" t="s">
        <v>198</v>
      </c>
      <c r="D1186" s="3" t="s">
        <v>89</v>
      </c>
      <c r="E1186" s="100" t="str">
        <f>IFERROR(VLOOKUP(C1186,Resources!B:D,3,FALSE)," ")</f>
        <v>S</v>
      </c>
      <c r="F1186" s="8">
        <v>1</v>
      </c>
      <c r="G1186" s="8">
        <v>1</v>
      </c>
      <c r="H1186" s="8">
        <f>H1181</f>
        <v>475</v>
      </c>
      <c r="I1186" s="109">
        <f>IFERROR(VLOOKUP(C1186,Resources!B:G,6,FALSE)," ")</f>
        <v>30</v>
      </c>
      <c r="J1186" s="109">
        <f t="shared" si="1733"/>
        <v>14250</v>
      </c>
      <c r="K1186" s="8">
        <f t="shared" ref="K1186" si="1740">L1186*F1186</f>
        <v>2.375</v>
      </c>
      <c r="L1186" s="8">
        <f>H1181/200</f>
        <v>2.375</v>
      </c>
      <c r="M1186" s="109">
        <f t="shared" si="1735"/>
        <v>0</v>
      </c>
      <c r="N1186" s="109">
        <f t="shared" si="1736"/>
        <v>0</v>
      </c>
      <c r="O1186" s="109">
        <f t="shared" si="1737"/>
        <v>0</v>
      </c>
      <c r="P1186" s="109">
        <f t="shared" si="1738"/>
        <v>14250</v>
      </c>
      <c r="Q1186" s="109">
        <f t="shared" si="1739"/>
        <v>14250</v>
      </c>
      <c r="R1186" s="121">
        <v>71</v>
      </c>
      <c r="T1186" s="188"/>
    </row>
    <row r="1187" spans="1:20" x14ac:dyDescent="0.25">
      <c r="A1187" s="101"/>
      <c r="B1187" s="4"/>
      <c r="C1187" s="6"/>
      <c r="D1187" s="4"/>
      <c r="E1187" s="101" t="str">
        <f>IFERROR(VLOOKUP(C1187,Resources!B:D,3,FALSE)," ")</f>
        <v xml:space="preserve"> </v>
      </c>
      <c r="F1187" s="9"/>
      <c r="G1187" s="9"/>
      <c r="H1187" s="9"/>
      <c r="I1187" s="38" t="str">
        <f>IFERROR(VLOOKUP(C1187,Resources!B:G,6,FALSE)," ")</f>
        <v xml:space="preserve"> </v>
      </c>
      <c r="J1187" s="38"/>
      <c r="K1187" s="9"/>
      <c r="L1187" s="9"/>
      <c r="M1187" s="38"/>
      <c r="N1187" s="38"/>
      <c r="O1187" s="38"/>
      <c r="P1187" s="38"/>
      <c r="Q1187" s="38"/>
      <c r="R1187" s="122"/>
      <c r="T1187" s="188"/>
    </row>
    <row r="1188" spans="1:20" ht="30" x14ac:dyDescent="0.25">
      <c r="A1188" s="114"/>
      <c r="B1188" s="1" t="s">
        <v>560</v>
      </c>
      <c r="C1188" s="1" t="s">
        <v>204</v>
      </c>
      <c r="D1188" s="2"/>
      <c r="E1188" s="99" t="str">
        <f>IFERROR(VLOOKUP(C1188,Resources!B:D,3,FALSE)," ")</f>
        <v xml:space="preserve"> </v>
      </c>
      <c r="F1188" s="7"/>
      <c r="G1188" s="7"/>
      <c r="H1188" s="7"/>
      <c r="I1188" s="108" t="str">
        <f>IFERROR(VLOOKUP(C1188,Resources!B:G,6,FALSE)," ")</f>
        <v xml:space="preserve"> </v>
      </c>
      <c r="J1188" s="108"/>
      <c r="K1188" s="7"/>
      <c r="L1188" s="7"/>
      <c r="M1188" s="108"/>
      <c r="N1188" s="108"/>
      <c r="O1188" s="108"/>
      <c r="P1188" s="108"/>
      <c r="Q1188" s="108"/>
      <c r="R1188" s="120"/>
      <c r="T1188" s="188"/>
    </row>
    <row r="1189" spans="1:20" ht="30" x14ac:dyDescent="0.25">
      <c r="A1189" s="114"/>
      <c r="B1189" s="1" t="s">
        <v>561</v>
      </c>
      <c r="C1189" s="1" t="s">
        <v>391</v>
      </c>
      <c r="D1189" s="2"/>
      <c r="E1189" s="99" t="str">
        <f>IFERROR(VLOOKUP(C1189,Resources!B:D,3,FALSE)," ")</f>
        <v xml:space="preserve"> </v>
      </c>
      <c r="F1189" s="7"/>
      <c r="G1189" s="7"/>
      <c r="H1189" s="7"/>
      <c r="I1189" s="108" t="str">
        <f>IFERROR(VLOOKUP(C1189,Resources!B:G,6,FALSE)," ")</f>
        <v xml:space="preserve"> </v>
      </c>
      <c r="J1189" s="108"/>
      <c r="K1189" s="7"/>
      <c r="L1189" s="7"/>
      <c r="M1189" s="108"/>
      <c r="N1189" s="108"/>
      <c r="O1189" s="108"/>
      <c r="P1189" s="108"/>
      <c r="Q1189" s="108"/>
      <c r="R1189" s="120"/>
      <c r="T1189" s="188"/>
    </row>
    <row r="1190" spans="1:20" ht="45" x14ac:dyDescent="0.25">
      <c r="A1190" s="114">
        <v>159</v>
      </c>
      <c r="B1190" s="1" t="s">
        <v>562</v>
      </c>
      <c r="C1190" s="1" t="s">
        <v>563</v>
      </c>
      <c r="D1190" s="2" t="s">
        <v>89</v>
      </c>
      <c r="E1190" s="99" t="str">
        <f>IFERROR(VLOOKUP(C1190,Resources!B:D,3,FALSE)," ")</f>
        <v xml:space="preserve"> </v>
      </c>
      <c r="F1190" s="7"/>
      <c r="G1190" s="7"/>
      <c r="H1190" s="103">
        <f>VLOOKUP($A1190,'Model Inputs'!$A:$D,4,FALSE)</f>
        <v>475</v>
      </c>
      <c r="I1190" s="108" t="str">
        <f>IFERROR(VLOOKUP(C1190,Resources!B:G,6,FALSE)," ")</f>
        <v xml:space="preserve"> </v>
      </c>
      <c r="J1190" s="108">
        <f>SUBTOTAL(9,J1192:J1198)</f>
        <v>19609.06201620162</v>
      </c>
      <c r="K1190" s="7"/>
      <c r="L1190" s="7">
        <f>ROUNDUP((MAX(L1195:L1198)+L1193)/Workhrs,0)</f>
        <v>6</v>
      </c>
      <c r="M1190" s="108">
        <f t="shared" ref="M1190:Q1190" si="1741">SUBTOTAL(9,M1192:M1198)</f>
        <v>5387.0387038703875</v>
      </c>
      <c r="N1190" s="108">
        <f t="shared" si="1741"/>
        <v>2880.4</v>
      </c>
      <c r="O1190" s="108">
        <f t="shared" si="1741"/>
        <v>9983.123312331234</v>
      </c>
      <c r="P1190" s="108">
        <f t="shared" si="1741"/>
        <v>1358.5</v>
      </c>
      <c r="Q1190" s="108">
        <f t="shared" si="1741"/>
        <v>19609.06201620162</v>
      </c>
      <c r="R1190" s="120"/>
      <c r="T1190" s="188"/>
    </row>
    <row r="1191" spans="1:20" ht="45" x14ac:dyDescent="0.25">
      <c r="A1191" s="101"/>
      <c r="B1191" s="4">
        <v>1</v>
      </c>
      <c r="C1191" s="6" t="s">
        <v>209</v>
      </c>
      <c r="D1191" s="4"/>
      <c r="E1191" s="101" t="str">
        <f>IFERROR(VLOOKUP(C1191,Resources!B:D,3,FALSE)," ")</f>
        <v xml:space="preserve"> </v>
      </c>
      <c r="F1191" s="9"/>
      <c r="G1191" s="9"/>
      <c r="H1191" s="9"/>
      <c r="I1191" s="38" t="str">
        <f>IFERROR(VLOOKUP(C1191,Resources!B:G,6,FALSE)," ")</f>
        <v xml:space="preserve"> </v>
      </c>
      <c r="J1191" s="38"/>
      <c r="K1191" s="9"/>
      <c r="L1191" s="9"/>
      <c r="M1191" s="38"/>
      <c r="N1191" s="38"/>
      <c r="O1191" s="38"/>
      <c r="P1191" s="38"/>
      <c r="Q1191" s="38"/>
      <c r="R1191" s="122"/>
      <c r="T1191" s="188"/>
    </row>
    <row r="1192" spans="1:20" x14ac:dyDescent="0.25">
      <c r="A1192" s="100"/>
      <c r="B1192" s="3">
        <v>2</v>
      </c>
      <c r="C1192" s="5" t="s">
        <v>210</v>
      </c>
      <c r="D1192" s="3" t="s">
        <v>89</v>
      </c>
      <c r="E1192" s="100" t="str">
        <f>IFERROR(VLOOKUP(C1192,Resources!B:D,3,FALSE)," ")</f>
        <v>M</v>
      </c>
      <c r="F1192" s="8">
        <v>1</v>
      </c>
      <c r="G1192" s="8">
        <v>1</v>
      </c>
      <c r="H1192" s="8">
        <f>H1190</f>
        <v>475</v>
      </c>
      <c r="I1192" s="109">
        <f>IFERROR(VLOOKUP(C1192,Resources!B:G,6,FALSE)," ")</f>
        <v>2.5</v>
      </c>
      <c r="J1192" s="109">
        <f t="shared" ref="J1192:J1198" si="1742">(H1192/(G1192/F1192))*I1192</f>
        <v>1187.5</v>
      </c>
      <c r="K1192" s="8"/>
      <c r="L1192" s="8" t="str">
        <f t="shared" ref="L1192:L1198" si="1743">IF(E1192="M"," ",H1192/G1192)</f>
        <v xml:space="preserve"> </v>
      </c>
      <c r="M1192" s="109">
        <f t="shared" ref="M1192:M1198" si="1744">IF($E1192="L",$J1192,0)</f>
        <v>0</v>
      </c>
      <c r="N1192" s="109">
        <f t="shared" ref="N1192:N1198" si="1745">IF($E1192="M",$J1192,0)</f>
        <v>1187.5</v>
      </c>
      <c r="O1192" s="109">
        <f t="shared" ref="O1192:O1198" si="1746">IF($E1192="P",$J1192,0)</f>
        <v>0</v>
      </c>
      <c r="P1192" s="109">
        <f t="shared" ref="P1192:P1198" si="1747">IF($E1192="S",$J1192,0)</f>
        <v>0</v>
      </c>
      <c r="Q1192" s="109">
        <f t="shared" ref="Q1192:Q1198" si="1748">SUM(M1192:P1192)</f>
        <v>1187.5</v>
      </c>
      <c r="R1192" s="121">
        <v>87</v>
      </c>
      <c r="T1192" s="188"/>
    </row>
    <row r="1193" spans="1:20" x14ac:dyDescent="0.25">
      <c r="A1193" s="100"/>
      <c r="B1193" s="3">
        <v>3</v>
      </c>
      <c r="C1193" s="5" t="s">
        <v>211</v>
      </c>
      <c r="D1193" s="3" t="s">
        <v>29</v>
      </c>
      <c r="E1193" s="100" t="str">
        <f>IFERROR(VLOOKUP(C1193,Resources!B:D,3,FALSE)," ")</f>
        <v>S</v>
      </c>
      <c r="F1193" s="8">
        <v>1</v>
      </c>
      <c r="G1193" s="8">
        <v>1</v>
      </c>
      <c r="H1193" s="8">
        <f>H1190/50</f>
        <v>9.5</v>
      </c>
      <c r="I1193" s="109">
        <f>IFERROR(VLOOKUP(C1193,Resources!B:G,6,FALSE)," ")</f>
        <v>143</v>
      </c>
      <c r="J1193" s="109">
        <f t="shared" si="1742"/>
        <v>1358.5</v>
      </c>
      <c r="K1193" s="8">
        <f t="shared" ref="K1193:K1198" si="1749">L1193*F1193</f>
        <v>9.5</v>
      </c>
      <c r="L1193" s="8">
        <f t="shared" si="1743"/>
        <v>9.5</v>
      </c>
      <c r="M1193" s="109">
        <f t="shared" si="1744"/>
        <v>0</v>
      </c>
      <c r="N1193" s="109">
        <f t="shared" si="1745"/>
        <v>0</v>
      </c>
      <c r="O1193" s="109">
        <f t="shared" si="1746"/>
        <v>0</v>
      </c>
      <c r="P1193" s="109">
        <f t="shared" si="1747"/>
        <v>1358.5</v>
      </c>
      <c r="Q1193" s="109">
        <f t="shared" si="1748"/>
        <v>1358.5</v>
      </c>
      <c r="R1193" s="121">
        <v>87</v>
      </c>
      <c r="T1193" s="188"/>
    </row>
    <row r="1194" spans="1:20" x14ac:dyDescent="0.25">
      <c r="A1194" s="100"/>
      <c r="B1194" s="3">
        <v>4</v>
      </c>
      <c r="C1194" s="5" t="s">
        <v>81</v>
      </c>
      <c r="D1194" s="3" t="s">
        <v>82</v>
      </c>
      <c r="E1194" s="100" t="str">
        <f>IFERROR(VLOOKUP(C1194,Resources!B:D,3,FALSE)," ")</f>
        <v>M</v>
      </c>
      <c r="F1194" s="8">
        <v>1</v>
      </c>
      <c r="G1194" s="8">
        <v>1</v>
      </c>
      <c r="H1194" s="8">
        <f>H1190*0.3*0.3*1.5*1.1</f>
        <v>70.537500000000009</v>
      </c>
      <c r="I1194" s="109">
        <f>IFERROR(VLOOKUP(C1194,Resources!B:G,6,FALSE)," ")</f>
        <v>24</v>
      </c>
      <c r="J1194" s="109">
        <f t="shared" si="1742"/>
        <v>1692.9</v>
      </c>
      <c r="K1194" s="8"/>
      <c r="L1194" s="8" t="str">
        <f t="shared" si="1743"/>
        <v xml:space="preserve"> </v>
      </c>
      <c r="M1194" s="109">
        <f t="shared" si="1744"/>
        <v>0</v>
      </c>
      <c r="N1194" s="109">
        <f t="shared" si="1745"/>
        <v>1692.9</v>
      </c>
      <c r="O1194" s="109">
        <f t="shared" si="1746"/>
        <v>0</v>
      </c>
      <c r="P1194" s="109">
        <f t="shared" si="1747"/>
        <v>0</v>
      </c>
      <c r="Q1194" s="109">
        <f t="shared" si="1748"/>
        <v>1692.9</v>
      </c>
      <c r="R1194" s="121" t="s">
        <v>2341</v>
      </c>
      <c r="T1194" s="188"/>
    </row>
    <row r="1195" spans="1:20" x14ac:dyDescent="0.25">
      <c r="A1195" s="100">
        <v>159.1</v>
      </c>
      <c r="B1195" s="3">
        <v>5</v>
      </c>
      <c r="C1195" s="5" t="s">
        <v>63</v>
      </c>
      <c r="D1195" s="3" t="s">
        <v>48</v>
      </c>
      <c r="E1195" s="100" t="str">
        <f>IFERROR(VLOOKUP(C1195,Resources!B:D,3,FALSE)," ")</f>
        <v>P</v>
      </c>
      <c r="F1195" s="8">
        <v>1</v>
      </c>
      <c r="G1195" s="103">
        <f>VLOOKUP($A1195,'Model Inputs'!$A:$D,4,FALSE)</f>
        <v>11.11</v>
      </c>
      <c r="H1195" s="8">
        <f>H1190</f>
        <v>475</v>
      </c>
      <c r="I1195" s="109">
        <f>IFERROR(VLOOKUP(C1195,Resources!B:G,6,FALSE)," ")</f>
        <v>135</v>
      </c>
      <c r="J1195" s="109">
        <f t="shared" si="1742"/>
        <v>5771.8271827182725</v>
      </c>
      <c r="K1195" s="8">
        <f t="shared" si="1749"/>
        <v>42.754275427542758</v>
      </c>
      <c r="L1195" s="8">
        <f t="shared" si="1743"/>
        <v>42.754275427542758</v>
      </c>
      <c r="M1195" s="109">
        <f t="shared" si="1744"/>
        <v>0</v>
      </c>
      <c r="N1195" s="109">
        <f t="shared" si="1745"/>
        <v>0</v>
      </c>
      <c r="O1195" s="109">
        <f t="shared" si="1746"/>
        <v>5771.8271827182725</v>
      </c>
      <c r="P1195" s="109">
        <f t="shared" si="1747"/>
        <v>0</v>
      </c>
      <c r="Q1195" s="109">
        <f t="shared" si="1748"/>
        <v>5771.8271827182725</v>
      </c>
      <c r="R1195" s="121">
        <v>87</v>
      </c>
      <c r="T1195" s="188"/>
    </row>
    <row r="1196" spans="1:20" x14ac:dyDescent="0.25">
      <c r="A1196" s="100"/>
      <c r="B1196" s="3">
        <v>6</v>
      </c>
      <c r="C1196" s="5" t="s">
        <v>8</v>
      </c>
      <c r="D1196" s="3" t="s">
        <v>48</v>
      </c>
      <c r="E1196" s="100" t="str">
        <f>IFERROR(VLOOKUP(C1196,Resources!B:D,3,FALSE)," ")</f>
        <v>L</v>
      </c>
      <c r="F1196" s="8">
        <v>3</v>
      </c>
      <c r="G1196" s="8">
        <f>G1195</f>
        <v>11.11</v>
      </c>
      <c r="H1196" s="8">
        <f>H1190</f>
        <v>475</v>
      </c>
      <c r="I1196" s="109">
        <f>IFERROR(VLOOKUP(C1196,Resources!B:G,6,FALSE)," ")</f>
        <v>42</v>
      </c>
      <c r="J1196" s="109">
        <f t="shared" si="1742"/>
        <v>5387.0387038703875</v>
      </c>
      <c r="K1196" s="8">
        <f t="shared" si="1749"/>
        <v>128.26282628262828</v>
      </c>
      <c r="L1196" s="8">
        <f t="shared" si="1743"/>
        <v>42.754275427542758</v>
      </c>
      <c r="M1196" s="109">
        <f t="shared" si="1744"/>
        <v>5387.0387038703875</v>
      </c>
      <c r="N1196" s="109">
        <f t="shared" si="1745"/>
        <v>0</v>
      </c>
      <c r="O1196" s="109">
        <f t="shared" si="1746"/>
        <v>0</v>
      </c>
      <c r="P1196" s="109">
        <f t="shared" si="1747"/>
        <v>0</v>
      </c>
      <c r="Q1196" s="109">
        <f t="shared" si="1748"/>
        <v>5387.0387038703875</v>
      </c>
      <c r="R1196" s="121">
        <v>87</v>
      </c>
      <c r="T1196" s="188"/>
    </row>
    <row r="1197" spans="1:20" x14ac:dyDescent="0.25">
      <c r="A1197" s="100"/>
      <c r="B1197" s="3">
        <v>7</v>
      </c>
      <c r="C1197" s="5" t="s">
        <v>45</v>
      </c>
      <c r="D1197" s="3" t="s">
        <v>48</v>
      </c>
      <c r="E1197" s="100" t="str">
        <f>IFERROR(VLOOKUP(C1197,Resources!B:D,3,FALSE)," ")</f>
        <v>P</v>
      </c>
      <c r="F1197" s="8">
        <v>1</v>
      </c>
      <c r="G1197" s="8">
        <f>G1195</f>
        <v>11.11</v>
      </c>
      <c r="H1197" s="8">
        <f>H1190</f>
        <v>475</v>
      </c>
      <c r="I1197" s="109">
        <f>IFERROR(VLOOKUP(C1197,Resources!B:G,6,FALSE)," ")</f>
        <v>95</v>
      </c>
      <c r="J1197" s="109">
        <f t="shared" si="1742"/>
        <v>4061.6561656165622</v>
      </c>
      <c r="K1197" s="8">
        <f t="shared" si="1749"/>
        <v>42.754275427542758</v>
      </c>
      <c r="L1197" s="8">
        <f t="shared" si="1743"/>
        <v>42.754275427542758</v>
      </c>
      <c r="M1197" s="109">
        <f t="shared" si="1744"/>
        <v>0</v>
      </c>
      <c r="N1197" s="109">
        <f t="shared" si="1745"/>
        <v>0</v>
      </c>
      <c r="O1197" s="109">
        <f t="shared" si="1746"/>
        <v>4061.6561656165622</v>
      </c>
      <c r="P1197" s="109">
        <f t="shared" si="1747"/>
        <v>0</v>
      </c>
      <c r="Q1197" s="109">
        <f t="shared" si="1748"/>
        <v>4061.6561656165622</v>
      </c>
      <c r="R1197" s="121">
        <v>87</v>
      </c>
      <c r="T1197" s="188"/>
    </row>
    <row r="1198" spans="1:20" x14ac:dyDescent="0.25">
      <c r="A1198" s="100"/>
      <c r="B1198" s="3">
        <v>8</v>
      </c>
      <c r="C1198" s="5" t="s">
        <v>92</v>
      </c>
      <c r="D1198" s="3" t="s">
        <v>48</v>
      </c>
      <c r="E1198" s="100" t="str">
        <f>IFERROR(VLOOKUP(C1198,Resources!B:D,3,FALSE)," ")</f>
        <v>P</v>
      </c>
      <c r="F1198" s="8">
        <v>1</v>
      </c>
      <c r="G1198" s="8">
        <f>G1195</f>
        <v>11.11</v>
      </c>
      <c r="H1198" s="8">
        <f>H1190</f>
        <v>475</v>
      </c>
      <c r="I1198" s="109">
        <f>IFERROR(VLOOKUP(C1198,Resources!B:G,6,FALSE)," ")</f>
        <v>3.5</v>
      </c>
      <c r="J1198" s="109">
        <f t="shared" si="1742"/>
        <v>149.63996399639964</v>
      </c>
      <c r="K1198" s="8">
        <f t="shared" si="1749"/>
        <v>42.754275427542758</v>
      </c>
      <c r="L1198" s="8">
        <f t="shared" si="1743"/>
        <v>42.754275427542758</v>
      </c>
      <c r="M1198" s="109">
        <f t="shared" si="1744"/>
        <v>0</v>
      </c>
      <c r="N1198" s="109">
        <f t="shared" si="1745"/>
        <v>0</v>
      </c>
      <c r="O1198" s="109">
        <f t="shared" si="1746"/>
        <v>149.63996399639964</v>
      </c>
      <c r="P1198" s="109">
        <f t="shared" si="1747"/>
        <v>0</v>
      </c>
      <c r="Q1198" s="109">
        <f t="shared" si="1748"/>
        <v>149.63996399639964</v>
      </c>
      <c r="R1198" s="121">
        <v>87</v>
      </c>
      <c r="T1198" s="188"/>
    </row>
    <row r="1199" spans="1:20" x14ac:dyDescent="0.25">
      <c r="A1199" s="101"/>
      <c r="B1199" s="4"/>
      <c r="C1199" s="6"/>
      <c r="D1199" s="4"/>
      <c r="E1199" s="101" t="str">
        <f>IFERROR(VLOOKUP(C1199,Resources!B:D,3,FALSE)," ")</f>
        <v xml:space="preserve"> </v>
      </c>
      <c r="F1199" s="9"/>
      <c r="G1199" s="9"/>
      <c r="H1199" s="9"/>
      <c r="I1199" s="38" t="str">
        <f>IFERROR(VLOOKUP(C1199,Resources!B:G,6,FALSE)," ")</f>
        <v xml:space="preserve"> </v>
      </c>
      <c r="J1199" s="38"/>
      <c r="K1199" s="9"/>
      <c r="L1199" s="9"/>
      <c r="M1199" s="38"/>
      <c r="N1199" s="38"/>
      <c r="O1199" s="38"/>
      <c r="P1199" s="38"/>
      <c r="Q1199" s="38"/>
      <c r="R1199" s="122"/>
      <c r="T1199" s="188"/>
    </row>
    <row r="1200" spans="1:20" ht="30" x14ac:dyDescent="0.25">
      <c r="A1200" s="114"/>
      <c r="B1200" s="1" t="s">
        <v>564</v>
      </c>
      <c r="C1200" s="1" t="s">
        <v>102</v>
      </c>
      <c r="D1200" s="2"/>
      <c r="E1200" s="99" t="str">
        <f>IFERROR(VLOOKUP(C1200,Resources!B:D,3,FALSE)," ")</f>
        <v xml:space="preserve"> </v>
      </c>
      <c r="F1200" s="7"/>
      <c r="G1200" s="7"/>
      <c r="H1200" s="7"/>
      <c r="I1200" s="108" t="str">
        <f>IFERROR(VLOOKUP(C1200,Resources!B:G,6,FALSE)," ")</f>
        <v xml:space="preserve"> </v>
      </c>
      <c r="J1200" s="108"/>
      <c r="K1200" s="7"/>
      <c r="L1200" s="7"/>
      <c r="M1200" s="108"/>
      <c r="N1200" s="108"/>
      <c r="O1200" s="108"/>
      <c r="P1200" s="108"/>
      <c r="Q1200" s="108"/>
      <c r="R1200" s="120"/>
      <c r="T1200" s="188"/>
    </row>
    <row r="1201" spans="1:20" ht="30" x14ac:dyDescent="0.25">
      <c r="A1201" s="114"/>
      <c r="B1201" s="1" t="s">
        <v>565</v>
      </c>
      <c r="C1201" s="1" t="s">
        <v>111</v>
      </c>
      <c r="D1201" s="2"/>
      <c r="E1201" s="99" t="str">
        <f>IFERROR(VLOOKUP(C1201,Resources!B:D,3,FALSE)," ")</f>
        <v xml:space="preserve"> </v>
      </c>
      <c r="F1201" s="7"/>
      <c r="G1201" s="7"/>
      <c r="H1201" s="7"/>
      <c r="I1201" s="108" t="str">
        <f>IFERROR(VLOOKUP(C1201,Resources!B:G,6,FALSE)," ")</f>
        <v xml:space="preserve"> </v>
      </c>
      <c r="J1201" s="108"/>
      <c r="K1201" s="7"/>
      <c r="L1201" s="7"/>
      <c r="M1201" s="108"/>
      <c r="N1201" s="108"/>
      <c r="O1201" s="108"/>
      <c r="P1201" s="108"/>
      <c r="Q1201" s="108"/>
      <c r="R1201" s="120"/>
      <c r="T1201" s="188"/>
    </row>
    <row r="1202" spans="1:20" ht="30" x14ac:dyDescent="0.25">
      <c r="A1202" s="114">
        <v>160</v>
      </c>
      <c r="B1202" s="1" t="s">
        <v>566</v>
      </c>
      <c r="C1202" s="1" t="s">
        <v>567</v>
      </c>
      <c r="D1202" s="2" t="s">
        <v>62</v>
      </c>
      <c r="E1202" s="99" t="str">
        <f>IFERROR(VLOOKUP(C1202,Resources!B:D,3,FALSE)," ")</f>
        <v xml:space="preserve"> </v>
      </c>
      <c r="F1202" s="7"/>
      <c r="G1202" s="7"/>
      <c r="H1202" s="103">
        <f>VLOOKUP($A1202,'Model Inputs'!$A:$D,4,FALSE)</f>
        <v>304</v>
      </c>
      <c r="I1202" s="108" t="str">
        <f>IFERROR(VLOOKUP(C1202,Resources!B:G,6,FALSE)," ")</f>
        <v xml:space="preserve"> </v>
      </c>
      <c r="J1202" s="108">
        <f>SUBTOTAL(9,J1204:J1210)</f>
        <v>22392.330161695168</v>
      </c>
      <c r="K1202" s="7"/>
      <c r="L1202" s="7">
        <f>ROUNDUP(MAX((L1204+4),L1206:L1210)/Workhrs,0)</f>
        <v>3</v>
      </c>
      <c r="M1202" s="108">
        <f t="shared" ref="M1202:Q1202" si="1750">SUBTOTAL(9,M1204:M1210)</f>
        <v>3309.200863930886</v>
      </c>
      <c r="N1202" s="108">
        <f t="shared" si="1750"/>
        <v>0</v>
      </c>
      <c r="O1202" s="108">
        <f t="shared" si="1750"/>
        <v>19083.129297764284</v>
      </c>
      <c r="P1202" s="108">
        <f t="shared" si="1750"/>
        <v>0</v>
      </c>
      <c r="Q1202" s="108">
        <f t="shared" si="1750"/>
        <v>22392.330161695168</v>
      </c>
      <c r="R1202" s="120"/>
      <c r="T1202" s="188"/>
    </row>
    <row r="1203" spans="1:20" x14ac:dyDescent="0.25">
      <c r="A1203" s="100">
        <v>160.1</v>
      </c>
      <c r="B1203" s="3">
        <v>1</v>
      </c>
      <c r="C1203" s="5" t="s">
        <v>2389</v>
      </c>
      <c r="D1203" s="3"/>
      <c r="E1203" s="100" t="str">
        <f>IFERROR(VLOOKUP(C1203,Resources!B:D,3,FALSE)," ")</f>
        <v xml:space="preserve"> </v>
      </c>
      <c r="F1203" s="103">
        <f>VLOOKUP($A1203,'Model Inputs'!$A:$D,4,FALSE)</f>
        <v>2.4</v>
      </c>
      <c r="G1203" s="8"/>
      <c r="H1203" s="8">
        <f>H1202*F1203</f>
        <v>729.6</v>
      </c>
      <c r="I1203" s="109" t="str">
        <f>IFERROR(VLOOKUP(C1203,Resources!B:G,6,FALSE)," ")</f>
        <v xml:space="preserve"> </v>
      </c>
      <c r="J1203" s="109"/>
      <c r="K1203" s="8"/>
      <c r="L1203" s="8"/>
      <c r="M1203" s="109"/>
      <c r="N1203" s="109"/>
      <c r="O1203" s="109"/>
      <c r="P1203" s="109"/>
      <c r="Q1203" s="109"/>
      <c r="R1203" s="121"/>
      <c r="T1203" s="188"/>
    </row>
    <row r="1204" spans="1:20" x14ac:dyDescent="0.25">
      <c r="A1204" s="100">
        <v>160.19999999999999</v>
      </c>
      <c r="B1204" s="3">
        <v>2</v>
      </c>
      <c r="C1204" s="5" t="s">
        <v>44</v>
      </c>
      <c r="D1204" s="3" t="s">
        <v>48</v>
      </c>
      <c r="E1204" s="100" t="str">
        <f>IFERROR(VLOOKUP(C1204,Resources!B:D,3,FALSE)," ")</f>
        <v>P</v>
      </c>
      <c r="F1204" s="103">
        <f>VLOOKUP($A1204,'Model Inputs'!$A:$D,4,FALSE)</f>
        <v>3</v>
      </c>
      <c r="G1204" s="8">
        <v>37</v>
      </c>
      <c r="H1204" s="8">
        <f>H1203</f>
        <v>729.6</v>
      </c>
      <c r="I1204" s="109">
        <f>IFERROR(VLOOKUP(C1204,Resources!B:G,6,FALSE)," ")</f>
        <v>145</v>
      </c>
      <c r="J1204" s="109">
        <f t="shared" ref="J1204" si="1751">(H1204/(G1204/F1204))*I1204</f>
        <v>8577.72972972973</v>
      </c>
      <c r="K1204" s="8">
        <f t="shared" ref="K1204" si="1752">L1204*F1204</f>
        <v>59.156756756756764</v>
      </c>
      <c r="L1204" s="8">
        <f t="shared" ref="L1204" si="1753">IF(E1204="M"," ",H1204/G1204)</f>
        <v>19.71891891891892</v>
      </c>
      <c r="M1204" s="109">
        <f t="shared" ref="M1204" si="1754">IF($E1204="L",$J1204,0)</f>
        <v>0</v>
      </c>
      <c r="N1204" s="109">
        <f t="shared" ref="N1204" si="1755">IF($E1204="M",$J1204,0)</f>
        <v>0</v>
      </c>
      <c r="O1204" s="109">
        <f t="shared" ref="O1204" si="1756">IF($E1204="P",$J1204,0)</f>
        <v>8577.72972972973</v>
      </c>
      <c r="P1204" s="109">
        <f t="shared" ref="P1204" si="1757">IF($E1204="S",$J1204,0)</f>
        <v>0</v>
      </c>
      <c r="Q1204" s="109">
        <f t="shared" ref="Q1204" si="1758">SUM(M1204:P1204)</f>
        <v>8577.72972972973</v>
      </c>
      <c r="R1204" s="121">
        <v>62</v>
      </c>
      <c r="T1204" s="188"/>
    </row>
    <row r="1205" spans="1:20" x14ac:dyDescent="0.25">
      <c r="A1205" s="101"/>
      <c r="B1205" s="4">
        <v>3</v>
      </c>
      <c r="C1205" s="6" t="s">
        <v>114</v>
      </c>
      <c r="D1205" s="4"/>
      <c r="E1205" s="101" t="str">
        <f>IFERROR(VLOOKUP(C1205,Resources!B:D,3,FALSE)," ")</f>
        <v xml:space="preserve"> </v>
      </c>
      <c r="F1205" s="9"/>
      <c r="G1205" s="9"/>
      <c r="H1205" s="9"/>
      <c r="I1205" s="38" t="str">
        <f>IFERROR(VLOOKUP(C1205,Resources!B:G,6,FALSE)," ")</f>
        <v xml:space="preserve"> </v>
      </c>
      <c r="J1205" s="38"/>
      <c r="K1205" s="9"/>
      <c r="L1205" s="9"/>
      <c r="M1205" s="38"/>
      <c r="N1205" s="38"/>
      <c r="O1205" s="38"/>
      <c r="P1205" s="38"/>
      <c r="Q1205" s="38"/>
      <c r="R1205" s="122"/>
      <c r="T1205" s="188"/>
    </row>
    <row r="1206" spans="1:20" x14ac:dyDescent="0.25">
      <c r="A1206" s="100">
        <v>160.30000000000001</v>
      </c>
      <c r="B1206" s="3">
        <v>4</v>
      </c>
      <c r="C1206" s="5" t="s">
        <v>39</v>
      </c>
      <c r="D1206" s="3" t="s">
        <v>48</v>
      </c>
      <c r="E1206" s="100" t="str">
        <f>IFERROR(VLOOKUP(C1206,Resources!B:D,3,FALSE)," ")</f>
        <v>P</v>
      </c>
      <c r="F1206" s="8">
        <v>1</v>
      </c>
      <c r="G1206" s="103">
        <f>VLOOKUP($A1206,'Model Inputs'!$A:$D,4,FALSE)</f>
        <v>27.78</v>
      </c>
      <c r="H1206" s="8">
        <f>H1203</f>
        <v>729.6</v>
      </c>
      <c r="I1206" s="109">
        <f>IFERROR(VLOOKUP(C1206,Resources!B:G,6,FALSE)," ")</f>
        <v>145</v>
      </c>
      <c r="J1206" s="109">
        <f t="shared" ref="J1206:J1210" si="1759">(H1206/(G1206/F1206))*I1206</f>
        <v>3808.2073434125268</v>
      </c>
      <c r="K1206" s="8">
        <f t="shared" ref="K1206:K1210" si="1760">L1206*F1206</f>
        <v>26.263498920086391</v>
      </c>
      <c r="L1206" s="8">
        <f t="shared" ref="L1206:L1210" si="1761">IF(E1206="M"," ",H1206/G1206)</f>
        <v>26.263498920086391</v>
      </c>
      <c r="M1206" s="109">
        <f t="shared" ref="M1206:M1210" si="1762">IF($E1206="L",$J1206,0)</f>
        <v>0</v>
      </c>
      <c r="N1206" s="109">
        <f t="shared" ref="N1206:N1210" si="1763">IF($E1206="M",$J1206,0)</f>
        <v>0</v>
      </c>
      <c r="O1206" s="109">
        <f t="shared" ref="O1206:O1210" si="1764">IF($E1206="P",$J1206,0)</f>
        <v>3808.2073434125268</v>
      </c>
      <c r="P1206" s="109">
        <f t="shared" ref="P1206:P1210" si="1765">IF($E1206="S",$J1206,0)</f>
        <v>0</v>
      </c>
      <c r="Q1206" s="109">
        <f t="shared" ref="Q1206:Q1210" si="1766">SUM(M1206:P1206)</f>
        <v>3808.2073434125268</v>
      </c>
      <c r="R1206" s="121">
        <v>62</v>
      </c>
      <c r="T1206" s="188"/>
    </row>
    <row r="1207" spans="1:20" x14ac:dyDescent="0.25">
      <c r="A1207" s="100"/>
      <c r="B1207" s="3">
        <v>5</v>
      </c>
      <c r="C1207" s="5" t="s">
        <v>64</v>
      </c>
      <c r="D1207" s="3" t="s">
        <v>48</v>
      </c>
      <c r="E1207" s="100" t="str">
        <f>IFERROR(VLOOKUP(C1207,Resources!B:D,3,FALSE)," ")</f>
        <v>P</v>
      </c>
      <c r="F1207" s="8">
        <v>1</v>
      </c>
      <c r="G1207" s="8">
        <f>G1206</f>
        <v>27.78</v>
      </c>
      <c r="H1207" s="8">
        <f>H1203</f>
        <v>729.6</v>
      </c>
      <c r="I1207" s="109">
        <f>IFERROR(VLOOKUP(C1207,Resources!B:G,6,FALSE)," ")</f>
        <v>100</v>
      </c>
      <c r="J1207" s="109">
        <f t="shared" si="1759"/>
        <v>2626.349892008639</v>
      </c>
      <c r="K1207" s="8">
        <f t="shared" si="1760"/>
        <v>26.263498920086391</v>
      </c>
      <c r="L1207" s="8">
        <f t="shared" si="1761"/>
        <v>26.263498920086391</v>
      </c>
      <c r="M1207" s="109">
        <f t="shared" si="1762"/>
        <v>0</v>
      </c>
      <c r="N1207" s="109">
        <f t="shared" si="1763"/>
        <v>0</v>
      </c>
      <c r="O1207" s="109">
        <f t="shared" si="1764"/>
        <v>2626.349892008639</v>
      </c>
      <c r="P1207" s="109">
        <f t="shared" si="1765"/>
        <v>0</v>
      </c>
      <c r="Q1207" s="109">
        <f t="shared" si="1766"/>
        <v>2626.349892008639</v>
      </c>
      <c r="R1207" s="121">
        <v>62</v>
      </c>
      <c r="T1207" s="188"/>
    </row>
    <row r="1208" spans="1:20" x14ac:dyDescent="0.25">
      <c r="A1208" s="100"/>
      <c r="B1208" s="3">
        <v>6</v>
      </c>
      <c r="C1208" s="5" t="s">
        <v>69</v>
      </c>
      <c r="D1208" s="3" t="s">
        <v>48</v>
      </c>
      <c r="E1208" s="100" t="str">
        <f>IFERROR(VLOOKUP(C1208,Resources!B:D,3,FALSE)," ")</f>
        <v>P</v>
      </c>
      <c r="F1208" s="8">
        <v>1</v>
      </c>
      <c r="G1208" s="8">
        <f>G1206</f>
        <v>27.78</v>
      </c>
      <c r="H1208" s="8">
        <f>H1203</f>
        <v>729.6</v>
      </c>
      <c r="I1208" s="109">
        <f>IFERROR(VLOOKUP(C1208,Resources!B:G,6,FALSE)," ")</f>
        <v>55</v>
      </c>
      <c r="J1208" s="109">
        <f t="shared" si="1759"/>
        <v>1444.4924406047514</v>
      </c>
      <c r="K1208" s="8">
        <f t="shared" si="1760"/>
        <v>26.263498920086391</v>
      </c>
      <c r="L1208" s="8">
        <f t="shared" si="1761"/>
        <v>26.263498920086391</v>
      </c>
      <c r="M1208" s="109">
        <f t="shared" si="1762"/>
        <v>0</v>
      </c>
      <c r="N1208" s="109">
        <f t="shared" si="1763"/>
        <v>0</v>
      </c>
      <c r="O1208" s="109">
        <f t="shared" si="1764"/>
        <v>1444.4924406047514</v>
      </c>
      <c r="P1208" s="109">
        <f t="shared" si="1765"/>
        <v>0</v>
      </c>
      <c r="Q1208" s="109">
        <f t="shared" si="1766"/>
        <v>1444.4924406047514</v>
      </c>
      <c r="R1208" s="121">
        <v>62</v>
      </c>
      <c r="T1208" s="188"/>
    </row>
    <row r="1209" spans="1:20" x14ac:dyDescent="0.25">
      <c r="A1209" s="100"/>
      <c r="B1209" s="3">
        <v>7</v>
      </c>
      <c r="C1209" s="5" t="s">
        <v>8</v>
      </c>
      <c r="D1209" s="3" t="s">
        <v>48</v>
      </c>
      <c r="E1209" s="100" t="str">
        <f>IFERROR(VLOOKUP(C1209,Resources!B:D,3,FALSE)," ")</f>
        <v>L</v>
      </c>
      <c r="F1209" s="8">
        <v>3</v>
      </c>
      <c r="G1209" s="8">
        <f>G1206</f>
        <v>27.78</v>
      </c>
      <c r="H1209" s="8">
        <f>H1203</f>
        <v>729.6</v>
      </c>
      <c r="I1209" s="109">
        <f>IFERROR(VLOOKUP(C1209,Resources!B:G,6,FALSE)," ")</f>
        <v>42</v>
      </c>
      <c r="J1209" s="109">
        <f t="shared" si="1759"/>
        <v>3309.200863930886</v>
      </c>
      <c r="K1209" s="8">
        <f t="shared" si="1760"/>
        <v>78.790496760259174</v>
      </c>
      <c r="L1209" s="8">
        <f t="shared" si="1761"/>
        <v>26.263498920086391</v>
      </c>
      <c r="M1209" s="109">
        <f t="shared" si="1762"/>
        <v>3309.200863930886</v>
      </c>
      <c r="N1209" s="109">
        <f t="shared" si="1763"/>
        <v>0</v>
      </c>
      <c r="O1209" s="109">
        <f t="shared" si="1764"/>
        <v>0</v>
      </c>
      <c r="P1209" s="109">
        <f t="shared" si="1765"/>
        <v>0</v>
      </c>
      <c r="Q1209" s="109">
        <f t="shared" si="1766"/>
        <v>3309.200863930886</v>
      </c>
      <c r="R1209" s="121">
        <v>62</v>
      </c>
      <c r="T1209" s="188"/>
    </row>
    <row r="1210" spans="1:20" x14ac:dyDescent="0.25">
      <c r="A1210" s="100"/>
      <c r="B1210" s="3">
        <v>8</v>
      </c>
      <c r="C1210" s="5" t="s">
        <v>115</v>
      </c>
      <c r="D1210" s="3" t="s">
        <v>48</v>
      </c>
      <c r="E1210" s="100" t="str">
        <f>IFERROR(VLOOKUP(C1210,Resources!B:D,3,FALSE)," ")</f>
        <v>P</v>
      </c>
      <c r="F1210" s="8">
        <v>1</v>
      </c>
      <c r="G1210" s="8">
        <f>G1206</f>
        <v>27.78</v>
      </c>
      <c r="H1210" s="8">
        <f>H1203</f>
        <v>729.6</v>
      </c>
      <c r="I1210" s="109">
        <f>IFERROR(VLOOKUP(C1210,Resources!B:G,6,FALSE)," ")</f>
        <v>100</v>
      </c>
      <c r="J1210" s="109">
        <f t="shared" si="1759"/>
        <v>2626.349892008639</v>
      </c>
      <c r="K1210" s="8">
        <f t="shared" si="1760"/>
        <v>26.263498920086391</v>
      </c>
      <c r="L1210" s="8">
        <f t="shared" si="1761"/>
        <v>26.263498920086391</v>
      </c>
      <c r="M1210" s="109">
        <f t="shared" si="1762"/>
        <v>0</v>
      </c>
      <c r="N1210" s="109">
        <f t="shared" si="1763"/>
        <v>0</v>
      </c>
      <c r="O1210" s="109">
        <f t="shared" si="1764"/>
        <v>2626.349892008639</v>
      </c>
      <c r="P1210" s="109">
        <f t="shared" si="1765"/>
        <v>0</v>
      </c>
      <c r="Q1210" s="109">
        <f t="shared" si="1766"/>
        <v>2626.349892008639</v>
      </c>
      <c r="R1210" s="121">
        <v>62</v>
      </c>
      <c r="T1210" s="188"/>
    </row>
    <row r="1211" spans="1:20" x14ac:dyDescent="0.25">
      <c r="A1211" s="101"/>
      <c r="B1211" s="4"/>
      <c r="C1211" s="6"/>
      <c r="D1211" s="4"/>
      <c r="E1211" s="101" t="str">
        <f>IFERROR(VLOOKUP(C1211,Resources!B:D,3,FALSE)," ")</f>
        <v xml:space="preserve"> </v>
      </c>
      <c r="F1211" s="9"/>
      <c r="G1211" s="9"/>
      <c r="H1211" s="9"/>
      <c r="I1211" s="38" t="str">
        <f>IFERROR(VLOOKUP(C1211,Resources!B:G,6,FALSE)," ")</f>
        <v xml:space="preserve"> </v>
      </c>
      <c r="J1211" s="38"/>
      <c r="K1211" s="9"/>
      <c r="L1211" s="9"/>
      <c r="M1211" s="38"/>
      <c r="N1211" s="38"/>
      <c r="O1211" s="38"/>
      <c r="P1211" s="38"/>
      <c r="Q1211" s="38"/>
      <c r="R1211" s="122"/>
      <c r="T1211" s="188"/>
    </row>
    <row r="1212" spans="1:20" ht="30" x14ac:dyDescent="0.25">
      <c r="A1212" s="114">
        <v>161</v>
      </c>
      <c r="B1212" s="1" t="s">
        <v>568</v>
      </c>
      <c r="C1212" s="1" t="s">
        <v>569</v>
      </c>
      <c r="D1212" s="2" t="s">
        <v>62</v>
      </c>
      <c r="E1212" s="99" t="str">
        <f>IFERROR(VLOOKUP(C1212,Resources!B:D,3,FALSE)," ")</f>
        <v xml:space="preserve"> </v>
      </c>
      <c r="F1212" s="7"/>
      <c r="G1212" s="7"/>
      <c r="H1212" s="103">
        <f>VLOOKUP($A1212,'Model Inputs'!$A:$D,4,FALSE)</f>
        <v>181</v>
      </c>
      <c r="I1212" s="108" t="str">
        <f>IFERROR(VLOOKUP(C1212,Resources!B:G,6,FALSE)," ")</f>
        <v xml:space="preserve"> </v>
      </c>
      <c r="J1212" s="108">
        <f>SUBTOTAL(9,J1214:J1225)</f>
        <v>17201.65330168181</v>
      </c>
      <c r="K1212" s="7"/>
      <c r="L1212" s="7">
        <f>ROUNDUP((MAX((L1214+4),L1216:L1220)+MAX(L1222:L1225))/Workhrs,0)</f>
        <v>4</v>
      </c>
      <c r="M1212" s="108">
        <f t="shared" ref="M1212:Q1212" si="1767">SUBTOTAL(9,M1214:M1225)</f>
        <v>2983.8807775377973</v>
      </c>
      <c r="N1212" s="108">
        <f t="shared" si="1767"/>
        <v>0</v>
      </c>
      <c r="O1212" s="108">
        <f t="shared" si="1767"/>
        <v>14217.772524144011</v>
      </c>
      <c r="P1212" s="108">
        <f t="shared" si="1767"/>
        <v>0</v>
      </c>
      <c r="Q1212" s="108">
        <f t="shared" si="1767"/>
        <v>17201.65330168181</v>
      </c>
      <c r="R1212" s="120"/>
      <c r="T1212" s="188"/>
    </row>
    <row r="1213" spans="1:20" x14ac:dyDescent="0.25">
      <c r="A1213" s="100">
        <v>161.1</v>
      </c>
      <c r="B1213" s="3">
        <v>1</v>
      </c>
      <c r="C1213" s="5" t="s">
        <v>2389</v>
      </c>
      <c r="D1213" s="3"/>
      <c r="E1213" s="100" t="str">
        <f>IFERROR(VLOOKUP(C1213,Resources!B:D,3,FALSE)," ")</f>
        <v xml:space="preserve"> </v>
      </c>
      <c r="F1213" s="103">
        <f>VLOOKUP($A1213,'Model Inputs'!$A:$D,4,FALSE)</f>
        <v>2.4</v>
      </c>
      <c r="G1213" s="8"/>
      <c r="H1213" s="8">
        <f>H1212*F1213</f>
        <v>434.4</v>
      </c>
      <c r="I1213" s="109" t="str">
        <f>IFERROR(VLOOKUP(C1213,Resources!B:G,6,FALSE)," ")</f>
        <v xml:space="preserve"> </v>
      </c>
      <c r="J1213" s="109"/>
      <c r="K1213" s="8"/>
      <c r="L1213" s="8"/>
      <c r="M1213" s="109"/>
      <c r="N1213" s="109"/>
      <c r="O1213" s="109"/>
      <c r="P1213" s="109"/>
      <c r="Q1213" s="109"/>
      <c r="R1213" s="121"/>
      <c r="T1213" s="188"/>
    </row>
    <row r="1214" spans="1:20" x14ac:dyDescent="0.25">
      <c r="A1214" s="100">
        <v>161.19999999999999</v>
      </c>
      <c r="B1214" s="3">
        <v>2</v>
      </c>
      <c r="C1214" s="5" t="s">
        <v>44</v>
      </c>
      <c r="D1214" s="3" t="s">
        <v>48</v>
      </c>
      <c r="E1214" s="100" t="str">
        <f>IFERROR(VLOOKUP(C1214,Resources!B:D,3,FALSE)," ")</f>
        <v>P</v>
      </c>
      <c r="F1214" s="103">
        <f>VLOOKUP($A1214,'Model Inputs'!$A:$D,4,FALSE)</f>
        <v>3</v>
      </c>
      <c r="G1214" s="8">
        <v>37</v>
      </c>
      <c r="H1214" s="8">
        <f>H1213</f>
        <v>434.4</v>
      </c>
      <c r="I1214" s="109">
        <f>IFERROR(VLOOKUP(C1214,Resources!B:G,6,FALSE)," ")</f>
        <v>145</v>
      </c>
      <c r="J1214" s="109">
        <f t="shared" ref="J1214" si="1768">(H1214/(G1214/F1214))*I1214</f>
        <v>5107.1351351351341</v>
      </c>
      <c r="K1214" s="8">
        <f t="shared" ref="K1214" si="1769">L1214*F1214</f>
        <v>35.221621621621622</v>
      </c>
      <c r="L1214" s="8">
        <f t="shared" ref="L1214" si="1770">IF(E1214="M"," ",H1214/G1214)</f>
        <v>11.74054054054054</v>
      </c>
      <c r="M1214" s="109">
        <f t="shared" ref="M1214" si="1771">IF($E1214="L",$J1214,0)</f>
        <v>0</v>
      </c>
      <c r="N1214" s="109">
        <f t="shared" ref="N1214" si="1772">IF($E1214="M",$J1214,0)</f>
        <v>0</v>
      </c>
      <c r="O1214" s="109">
        <f t="shared" ref="O1214" si="1773">IF($E1214="P",$J1214,0)</f>
        <v>5107.1351351351341</v>
      </c>
      <c r="P1214" s="109">
        <f t="shared" ref="P1214" si="1774">IF($E1214="S",$J1214,0)</f>
        <v>0</v>
      </c>
      <c r="Q1214" s="109">
        <f t="shared" ref="Q1214" si="1775">SUM(M1214:P1214)</f>
        <v>5107.1351351351341</v>
      </c>
      <c r="R1214" s="121">
        <v>62</v>
      </c>
      <c r="T1214" s="188"/>
    </row>
    <row r="1215" spans="1:20" x14ac:dyDescent="0.25">
      <c r="A1215" s="101"/>
      <c r="B1215" s="4">
        <v>3</v>
      </c>
      <c r="C1215" s="6" t="s">
        <v>114</v>
      </c>
      <c r="D1215" s="4"/>
      <c r="E1215" s="101" t="str">
        <f>IFERROR(VLOOKUP(C1215,Resources!B:D,3,FALSE)," ")</f>
        <v xml:space="preserve"> </v>
      </c>
      <c r="F1215" s="9"/>
      <c r="G1215" s="9"/>
      <c r="H1215" s="9"/>
      <c r="I1215" s="38" t="str">
        <f>IFERROR(VLOOKUP(C1215,Resources!B:G,6,FALSE)," ")</f>
        <v xml:space="preserve"> </v>
      </c>
      <c r="J1215" s="38"/>
      <c r="K1215" s="9"/>
      <c r="L1215" s="9"/>
      <c r="M1215" s="38"/>
      <c r="N1215" s="38"/>
      <c r="O1215" s="38"/>
      <c r="P1215" s="38"/>
      <c r="Q1215" s="38"/>
      <c r="R1215" s="122"/>
      <c r="T1215" s="188"/>
    </row>
    <row r="1216" spans="1:20" x14ac:dyDescent="0.25">
      <c r="A1216" s="100">
        <v>161.30000000000001</v>
      </c>
      <c r="B1216" s="3">
        <v>4</v>
      </c>
      <c r="C1216" s="5" t="s">
        <v>39</v>
      </c>
      <c r="D1216" s="3" t="s">
        <v>48</v>
      </c>
      <c r="E1216" s="100" t="str">
        <f>IFERROR(VLOOKUP(C1216,Resources!B:D,3,FALSE)," ")</f>
        <v>P</v>
      </c>
      <c r="F1216" s="8">
        <v>1</v>
      </c>
      <c r="G1216" s="103">
        <f>VLOOKUP($A1216,'Model Inputs'!$A:$D,4,FALSE)</f>
        <v>27.78</v>
      </c>
      <c r="H1216" s="8">
        <f>H1213</f>
        <v>434.4</v>
      </c>
      <c r="I1216" s="109">
        <f>IFERROR(VLOOKUP(C1216,Resources!B:G,6,FALSE)," ")</f>
        <v>145</v>
      </c>
      <c r="J1216" s="109">
        <f t="shared" ref="J1216:J1220" si="1776">(H1216/(G1216/F1216))*I1216</f>
        <v>2267.3866090712741</v>
      </c>
      <c r="K1216" s="8">
        <f t="shared" ref="K1216:K1220" si="1777">L1216*F1216</f>
        <v>15.637149028077753</v>
      </c>
      <c r="L1216" s="8">
        <f t="shared" ref="L1216:L1220" si="1778">IF(E1216="M"," ",H1216/G1216)</f>
        <v>15.637149028077753</v>
      </c>
      <c r="M1216" s="109">
        <f t="shared" ref="M1216:M1220" si="1779">IF($E1216="L",$J1216,0)</f>
        <v>0</v>
      </c>
      <c r="N1216" s="109">
        <f t="shared" ref="N1216:N1220" si="1780">IF($E1216="M",$J1216,0)</f>
        <v>0</v>
      </c>
      <c r="O1216" s="109">
        <f t="shared" ref="O1216:O1220" si="1781">IF($E1216="P",$J1216,0)</f>
        <v>2267.3866090712741</v>
      </c>
      <c r="P1216" s="109">
        <f t="shared" ref="P1216:P1220" si="1782">IF($E1216="S",$J1216,0)</f>
        <v>0</v>
      </c>
      <c r="Q1216" s="109">
        <f t="shared" ref="Q1216:Q1220" si="1783">SUM(M1216:P1216)</f>
        <v>2267.3866090712741</v>
      </c>
      <c r="R1216" s="121">
        <v>62</v>
      </c>
      <c r="T1216" s="188"/>
    </row>
    <row r="1217" spans="1:20" x14ac:dyDescent="0.25">
      <c r="A1217" s="100"/>
      <c r="B1217" s="3">
        <v>5</v>
      </c>
      <c r="C1217" s="5" t="s">
        <v>64</v>
      </c>
      <c r="D1217" s="3" t="s">
        <v>48</v>
      </c>
      <c r="E1217" s="100" t="str">
        <f>IFERROR(VLOOKUP(C1217,Resources!B:D,3,FALSE)," ")</f>
        <v>P</v>
      </c>
      <c r="F1217" s="8">
        <v>1</v>
      </c>
      <c r="G1217" s="8">
        <f>G1216</f>
        <v>27.78</v>
      </c>
      <c r="H1217" s="8">
        <f>H1213</f>
        <v>434.4</v>
      </c>
      <c r="I1217" s="109">
        <f>IFERROR(VLOOKUP(C1217,Resources!B:G,6,FALSE)," ")</f>
        <v>100</v>
      </c>
      <c r="J1217" s="109">
        <f t="shared" si="1776"/>
        <v>1563.7149028077752</v>
      </c>
      <c r="K1217" s="8">
        <f t="shared" si="1777"/>
        <v>15.637149028077753</v>
      </c>
      <c r="L1217" s="8">
        <f t="shared" si="1778"/>
        <v>15.637149028077753</v>
      </c>
      <c r="M1217" s="109">
        <f t="shared" si="1779"/>
        <v>0</v>
      </c>
      <c r="N1217" s="109">
        <f t="shared" si="1780"/>
        <v>0</v>
      </c>
      <c r="O1217" s="109">
        <f t="shared" si="1781"/>
        <v>1563.7149028077752</v>
      </c>
      <c r="P1217" s="109">
        <f t="shared" si="1782"/>
        <v>0</v>
      </c>
      <c r="Q1217" s="109">
        <f t="shared" si="1783"/>
        <v>1563.7149028077752</v>
      </c>
      <c r="R1217" s="121">
        <v>62</v>
      </c>
      <c r="T1217" s="188"/>
    </row>
    <row r="1218" spans="1:20" x14ac:dyDescent="0.25">
      <c r="A1218" s="100"/>
      <c r="B1218" s="3">
        <v>6</v>
      </c>
      <c r="C1218" s="5" t="s">
        <v>69</v>
      </c>
      <c r="D1218" s="3" t="s">
        <v>48</v>
      </c>
      <c r="E1218" s="100" t="str">
        <f>IFERROR(VLOOKUP(C1218,Resources!B:D,3,FALSE)," ")</f>
        <v>P</v>
      </c>
      <c r="F1218" s="8">
        <v>1</v>
      </c>
      <c r="G1218" s="8">
        <f>G1216</f>
        <v>27.78</v>
      </c>
      <c r="H1218" s="8">
        <f>H1213</f>
        <v>434.4</v>
      </c>
      <c r="I1218" s="109">
        <f>IFERROR(VLOOKUP(C1218,Resources!B:G,6,FALSE)," ")</f>
        <v>55</v>
      </c>
      <c r="J1218" s="109">
        <f t="shared" si="1776"/>
        <v>860.04319654427638</v>
      </c>
      <c r="K1218" s="8">
        <f t="shared" si="1777"/>
        <v>15.637149028077753</v>
      </c>
      <c r="L1218" s="8">
        <f t="shared" si="1778"/>
        <v>15.637149028077753</v>
      </c>
      <c r="M1218" s="109">
        <f t="shared" si="1779"/>
        <v>0</v>
      </c>
      <c r="N1218" s="109">
        <f t="shared" si="1780"/>
        <v>0</v>
      </c>
      <c r="O1218" s="109">
        <f t="shared" si="1781"/>
        <v>860.04319654427638</v>
      </c>
      <c r="P1218" s="109">
        <f t="shared" si="1782"/>
        <v>0</v>
      </c>
      <c r="Q1218" s="109">
        <f t="shared" si="1783"/>
        <v>860.04319654427638</v>
      </c>
      <c r="R1218" s="121">
        <v>62</v>
      </c>
      <c r="T1218" s="188"/>
    </row>
    <row r="1219" spans="1:20" x14ac:dyDescent="0.25">
      <c r="A1219" s="100"/>
      <c r="B1219" s="3">
        <v>7</v>
      </c>
      <c r="C1219" s="5" t="s">
        <v>8</v>
      </c>
      <c r="D1219" s="3" t="s">
        <v>48</v>
      </c>
      <c r="E1219" s="100" t="str">
        <f>IFERROR(VLOOKUP(C1219,Resources!B:D,3,FALSE)," ")</f>
        <v>L</v>
      </c>
      <c r="F1219" s="8">
        <v>3</v>
      </c>
      <c r="G1219" s="8">
        <f>G1216</f>
        <v>27.78</v>
      </c>
      <c r="H1219" s="8">
        <f>H1213</f>
        <v>434.4</v>
      </c>
      <c r="I1219" s="109">
        <f>IFERROR(VLOOKUP(C1219,Resources!B:G,6,FALSE)," ")</f>
        <v>42</v>
      </c>
      <c r="J1219" s="109">
        <f t="shared" si="1776"/>
        <v>1970.2807775377969</v>
      </c>
      <c r="K1219" s="8">
        <f t="shared" si="1777"/>
        <v>46.911447084233259</v>
      </c>
      <c r="L1219" s="8">
        <f t="shared" si="1778"/>
        <v>15.637149028077753</v>
      </c>
      <c r="M1219" s="109">
        <f t="shared" si="1779"/>
        <v>1970.2807775377969</v>
      </c>
      <c r="N1219" s="109">
        <f t="shared" si="1780"/>
        <v>0</v>
      </c>
      <c r="O1219" s="109">
        <f t="shared" si="1781"/>
        <v>0</v>
      </c>
      <c r="P1219" s="109">
        <f t="shared" si="1782"/>
        <v>0</v>
      </c>
      <c r="Q1219" s="109">
        <f t="shared" si="1783"/>
        <v>1970.2807775377969</v>
      </c>
      <c r="R1219" s="121">
        <v>62</v>
      </c>
      <c r="T1219" s="188"/>
    </row>
    <row r="1220" spans="1:20" x14ac:dyDescent="0.25">
      <c r="A1220" s="100"/>
      <c r="B1220" s="3">
        <v>8</v>
      </c>
      <c r="C1220" s="5" t="s">
        <v>115</v>
      </c>
      <c r="D1220" s="3" t="s">
        <v>48</v>
      </c>
      <c r="E1220" s="100" t="str">
        <f>IFERROR(VLOOKUP(C1220,Resources!B:D,3,FALSE)," ")</f>
        <v>P</v>
      </c>
      <c r="F1220" s="8">
        <v>1</v>
      </c>
      <c r="G1220" s="8">
        <f>G1216</f>
        <v>27.78</v>
      </c>
      <c r="H1220" s="8">
        <f>H1213</f>
        <v>434.4</v>
      </c>
      <c r="I1220" s="109">
        <f>IFERROR(VLOOKUP(C1220,Resources!B:G,6,FALSE)," ")</f>
        <v>100</v>
      </c>
      <c r="J1220" s="109">
        <f t="shared" si="1776"/>
        <v>1563.7149028077752</v>
      </c>
      <c r="K1220" s="8">
        <f t="shared" si="1777"/>
        <v>15.637149028077753</v>
      </c>
      <c r="L1220" s="8">
        <f t="shared" si="1778"/>
        <v>15.637149028077753</v>
      </c>
      <c r="M1220" s="109">
        <f t="shared" si="1779"/>
        <v>0</v>
      </c>
      <c r="N1220" s="109">
        <f t="shared" si="1780"/>
        <v>0</v>
      </c>
      <c r="O1220" s="109">
        <f t="shared" si="1781"/>
        <v>1563.7149028077752</v>
      </c>
      <c r="P1220" s="109">
        <f t="shared" si="1782"/>
        <v>0</v>
      </c>
      <c r="Q1220" s="109">
        <f t="shared" si="1783"/>
        <v>1563.7149028077752</v>
      </c>
      <c r="R1220" s="121">
        <v>62</v>
      </c>
      <c r="T1220" s="188"/>
    </row>
    <row r="1221" spans="1:20" x14ac:dyDescent="0.25">
      <c r="A1221" s="101"/>
      <c r="B1221" s="4">
        <v>9</v>
      </c>
      <c r="C1221" s="6" t="s">
        <v>116</v>
      </c>
      <c r="D1221" s="4"/>
      <c r="E1221" s="101" t="str">
        <f>IFERROR(VLOOKUP(C1221,Resources!B:D,3,FALSE)," ")</f>
        <v xml:space="preserve"> </v>
      </c>
      <c r="F1221" s="9"/>
      <c r="G1221" s="9"/>
      <c r="H1221" s="9"/>
      <c r="I1221" s="38" t="str">
        <f>IFERROR(VLOOKUP(C1221,Resources!B:G,6,FALSE)," ")</f>
        <v xml:space="preserve"> </v>
      </c>
      <c r="J1221" s="38"/>
      <c r="K1221" s="9"/>
      <c r="L1221" s="9"/>
      <c r="M1221" s="38"/>
      <c r="N1221" s="38"/>
      <c r="O1221" s="38"/>
      <c r="P1221" s="38"/>
      <c r="Q1221" s="38"/>
      <c r="R1221" s="122"/>
      <c r="T1221" s="188"/>
    </row>
    <row r="1222" spans="1:20" x14ac:dyDescent="0.25">
      <c r="A1222" s="100">
        <v>161.4</v>
      </c>
      <c r="B1222" s="3">
        <v>10</v>
      </c>
      <c r="C1222" s="5" t="s">
        <v>39</v>
      </c>
      <c r="D1222" s="3" t="s">
        <v>48</v>
      </c>
      <c r="E1222" s="100" t="str">
        <f>IFERROR(VLOOKUP(C1222,Resources!B:D,3,FALSE)," ")</f>
        <v>P</v>
      </c>
      <c r="F1222" s="8">
        <v>1</v>
      </c>
      <c r="G1222" s="103">
        <f>VLOOKUP($A1222,'Model Inputs'!$A:$D,4,FALSE)</f>
        <v>150</v>
      </c>
      <c r="H1222" s="8">
        <f>H1213/0.36</f>
        <v>1206.6666666666667</v>
      </c>
      <c r="I1222" s="109">
        <f>IFERROR(VLOOKUP(C1222,Resources!B:G,6,FALSE)," ")</f>
        <v>145</v>
      </c>
      <c r="J1222" s="109">
        <f t="shared" ref="J1222:J1225" si="1784">(H1222/(G1222/F1222))*I1222</f>
        <v>1166.4444444444443</v>
      </c>
      <c r="K1222" s="8">
        <f t="shared" ref="K1222:K1225" si="1785">L1222*F1222</f>
        <v>8.0444444444444443</v>
      </c>
      <c r="L1222" s="8">
        <f t="shared" ref="L1222:L1225" si="1786">IF(E1222="M"," ",H1222/G1222)</f>
        <v>8.0444444444444443</v>
      </c>
      <c r="M1222" s="109">
        <f t="shared" ref="M1222:M1225" si="1787">IF($E1222="L",$J1222,0)</f>
        <v>0</v>
      </c>
      <c r="N1222" s="109">
        <f t="shared" ref="N1222:N1225" si="1788">IF($E1222="M",$J1222,0)</f>
        <v>0</v>
      </c>
      <c r="O1222" s="109">
        <f t="shared" ref="O1222:O1225" si="1789">IF($E1222="P",$J1222,0)</f>
        <v>1166.4444444444443</v>
      </c>
      <c r="P1222" s="109">
        <f t="shared" ref="P1222:P1225" si="1790">IF($E1222="S",$J1222,0)</f>
        <v>0</v>
      </c>
      <c r="Q1222" s="109">
        <f t="shared" ref="Q1222:Q1225" si="1791">SUM(M1222:P1222)</f>
        <v>1166.4444444444443</v>
      </c>
      <c r="R1222" s="121">
        <v>63</v>
      </c>
      <c r="T1222" s="188"/>
    </row>
    <row r="1223" spans="1:20" x14ac:dyDescent="0.25">
      <c r="A1223" s="100"/>
      <c r="B1223" s="3">
        <v>11</v>
      </c>
      <c r="C1223" s="5" t="s">
        <v>64</v>
      </c>
      <c r="D1223" s="3" t="s">
        <v>48</v>
      </c>
      <c r="E1223" s="100" t="str">
        <f>IFERROR(VLOOKUP(C1223,Resources!B:D,3,FALSE)," ")</f>
        <v>P</v>
      </c>
      <c r="F1223" s="8">
        <v>1</v>
      </c>
      <c r="G1223" s="8">
        <f>G1222</f>
        <v>150</v>
      </c>
      <c r="H1223" s="8">
        <f>H1222</f>
        <v>1206.6666666666667</v>
      </c>
      <c r="I1223" s="109">
        <f>IFERROR(VLOOKUP(C1223,Resources!B:G,6,FALSE)," ")</f>
        <v>100</v>
      </c>
      <c r="J1223" s="109">
        <f t="shared" si="1784"/>
        <v>804.44444444444446</v>
      </c>
      <c r="K1223" s="8">
        <f t="shared" si="1785"/>
        <v>8.0444444444444443</v>
      </c>
      <c r="L1223" s="8">
        <f t="shared" si="1786"/>
        <v>8.0444444444444443</v>
      </c>
      <c r="M1223" s="109">
        <f t="shared" si="1787"/>
        <v>0</v>
      </c>
      <c r="N1223" s="109">
        <f t="shared" si="1788"/>
        <v>0</v>
      </c>
      <c r="O1223" s="109">
        <f t="shared" si="1789"/>
        <v>804.44444444444446</v>
      </c>
      <c r="P1223" s="109">
        <f t="shared" si="1790"/>
        <v>0</v>
      </c>
      <c r="Q1223" s="109">
        <f t="shared" si="1791"/>
        <v>804.44444444444446</v>
      </c>
      <c r="R1223" s="121">
        <v>63</v>
      </c>
      <c r="T1223" s="188"/>
    </row>
    <row r="1224" spans="1:20" x14ac:dyDescent="0.25">
      <c r="A1224" s="100"/>
      <c r="B1224" s="3">
        <v>12</v>
      </c>
      <c r="C1224" s="5" t="s">
        <v>43</v>
      </c>
      <c r="D1224" s="3" t="s">
        <v>48</v>
      </c>
      <c r="E1224" s="100" t="str">
        <f>IFERROR(VLOOKUP(C1224,Resources!B:D,3,FALSE)," ")</f>
        <v>P</v>
      </c>
      <c r="F1224" s="8">
        <v>1</v>
      </c>
      <c r="G1224" s="8">
        <f>G1222/2</f>
        <v>75</v>
      </c>
      <c r="H1224" s="8">
        <f>H1222</f>
        <v>1206.6666666666667</v>
      </c>
      <c r="I1224" s="109">
        <f>IFERROR(VLOOKUP(C1224,Resources!B:G,6,FALSE)," ")</f>
        <v>55</v>
      </c>
      <c r="J1224" s="109">
        <f t="shared" si="1784"/>
        <v>884.88888888888891</v>
      </c>
      <c r="K1224" s="8">
        <f t="shared" si="1785"/>
        <v>16.088888888888889</v>
      </c>
      <c r="L1224" s="8">
        <f t="shared" si="1786"/>
        <v>16.088888888888889</v>
      </c>
      <c r="M1224" s="109">
        <f t="shared" si="1787"/>
        <v>0</v>
      </c>
      <c r="N1224" s="109">
        <f t="shared" si="1788"/>
        <v>0</v>
      </c>
      <c r="O1224" s="109">
        <f t="shared" si="1789"/>
        <v>884.88888888888891</v>
      </c>
      <c r="P1224" s="109">
        <f t="shared" si="1790"/>
        <v>0</v>
      </c>
      <c r="Q1224" s="109">
        <f t="shared" si="1791"/>
        <v>884.88888888888891</v>
      </c>
      <c r="R1224" s="121">
        <v>63</v>
      </c>
      <c r="T1224" s="188"/>
    </row>
    <row r="1225" spans="1:20" x14ac:dyDescent="0.25">
      <c r="A1225" s="100"/>
      <c r="B1225" s="3">
        <v>13</v>
      </c>
      <c r="C1225" s="5" t="s">
        <v>8</v>
      </c>
      <c r="D1225" s="3" t="s">
        <v>48</v>
      </c>
      <c r="E1225" s="100" t="str">
        <f>IFERROR(VLOOKUP(C1225,Resources!B:D,3,FALSE)," ")</f>
        <v>L</v>
      </c>
      <c r="F1225" s="8">
        <v>3</v>
      </c>
      <c r="G1225" s="8">
        <f>G1222</f>
        <v>150</v>
      </c>
      <c r="H1225" s="8">
        <f>H1222</f>
        <v>1206.6666666666667</v>
      </c>
      <c r="I1225" s="109">
        <f>IFERROR(VLOOKUP(C1225,Resources!B:G,6,FALSE)," ")</f>
        <v>42</v>
      </c>
      <c r="J1225" s="109">
        <f t="shared" si="1784"/>
        <v>1013.6000000000001</v>
      </c>
      <c r="K1225" s="8">
        <f t="shared" si="1785"/>
        <v>24.133333333333333</v>
      </c>
      <c r="L1225" s="8">
        <f t="shared" si="1786"/>
        <v>8.0444444444444443</v>
      </c>
      <c r="M1225" s="109">
        <f t="shared" si="1787"/>
        <v>1013.6000000000001</v>
      </c>
      <c r="N1225" s="109">
        <f t="shared" si="1788"/>
        <v>0</v>
      </c>
      <c r="O1225" s="109">
        <f t="shared" si="1789"/>
        <v>0</v>
      </c>
      <c r="P1225" s="109">
        <f t="shared" si="1790"/>
        <v>0</v>
      </c>
      <c r="Q1225" s="109">
        <f t="shared" si="1791"/>
        <v>1013.6000000000001</v>
      </c>
      <c r="R1225" s="121">
        <v>63</v>
      </c>
      <c r="T1225" s="188"/>
    </row>
    <row r="1226" spans="1:20" x14ac:dyDescent="0.25">
      <c r="A1226" s="101"/>
      <c r="B1226" s="4"/>
      <c r="C1226" s="6"/>
      <c r="D1226" s="4"/>
      <c r="E1226" s="101" t="str">
        <f>IFERROR(VLOOKUP(C1226,Resources!B:D,3,FALSE)," ")</f>
        <v xml:space="preserve"> </v>
      </c>
      <c r="F1226" s="9"/>
      <c r="G1226" s="9"/>
      <c r="H1226" s="9"/>
      <c r="I1226" s="38" t="str">
        <f>IFERROR(VLOOKUP(C1226,Resources!B:G,6,FALSE)," ")</f>
        <v xml:space="preserve"> </v>
      </c>
      <c r="J1226" s="38"/>
      <c r="K1226" s="9"/>
      <c r="L1226" s="9"/>
      <c r="M1226" s="38"/>
      <c r="N1226" s="38"/>
      <c r="O1226" s="38"/>
      <c r="P1226" s="38"/>
      <c r="Q1226" s="38"/>
      <c r="R1226" s="122"/>
      <c r="T1226" s="188"/>
    </row>
    <row r="1227" spans="1:20" ht="30" x14ac:dyDescent="0.25">
      <c r="A1227" s="114">
        <v>162</v>
      </c>
      <c r="B1227" s="1" t="s">
        <v>570</v>
      </c>
      <c r="C1227" s="1" t="s">
        <v>221</v>
      </c>
      <c r="D1227" s="2" t="s">
        <v>107</v>
      </c>
      <c r="E1227" s="99" t="str">
        <f>IFERROR(VLOOKUP(C1227,Resources!B:D,3,FALSE)," ")</f>
        <v xml:space="preserve"> </v>
      </c>
      <c r="F1227" s="7"/>
      <c r="G1227" s="7"/>
      <c r="H1227" s="103">
        <f>VLOOKUP($A1227,'Model Inputs'!$A:$D,4,FALSE)</f>
        <v>1595</v>
      </c>
      <c r="I1227" s="108" t="str">
        <f>IFERROR(VLOOKUP(C1227,Resources!B:G,6,FALSE)," ")</f>
        <v xml:space="preserve"> </v>
      </c>
      <c r="J1227" s="108">
        <f>SUBTOTAL(9,J1228:J1230)</f>
        <v>9505.3885087719318</v>
      </c>
      <c r="K1227" s="7"/>
      <c r="L1227" s="7">
        <f>ROUNDUP(MAX(L1229:L1230)/Workhrs,0)</f>
        <v>1</v>
      </c>
      <c r="M1227" s="108">
        <f t="shared" ref="M1227:Q1227" si="1792">SUBTOTAL(9,M1228:M1230)</f>
        <v>387.8368421052632</v>
      </c>
      <c r="N1227" s="108">
        <f t="shared" si="1792"/>
        <v>8825.135000000002</v>
      </c>
      <c r="O1227" s="108">
        <f t="shared" si="1792"/>
        <v>292.41666666666669</v>
      </c>
      <c r="P1227" s="108">
        <f t="shared" si="1792"/>
        <v>0</v>
      </c>
      <c r="Q1227" s="108">
        <f t="shared" si="1792"/>
        <v>9505.3885087719318</v>
      </c>
      <c r="R1227" s="120"/>
      <c r="T1227" s="188"/>
    </row>
    <row r="1228" spans="1:20" x14ac:dyDescent="0.25">
      <c r="A1228" s="100"/>
      <c r="B1228" s="3">
        <v>1</v>
      </c>
      <c r="C1228" s="5" t="s">
        <v>2180</v>
      </c>
      <c r="D1228" s="3" t="s">
        <v>83</v>
      </c>
      <c r="E1228" s="100" t="str">
        <f>IFERROR(VLOOKUP(C1228,Resources!B:D,3,FALSE)," ")</f>
        <v>M</v>
      </c>
      <c r="F1228" s="8">
        <v>1</v>
      </c>
      <c r="G1228" s="8">
        <v>1</v>
      </c>
      <c r="H1228" s="8">
        <f>H1227*1.1</f>
        <v>1754.5000000000002</v>
      </c>
      <c r="I1228" s="109">
        <f>IFERROR(VLOOKUP(C1228,Resources!B:G,6,FALSE)," ")</f>
        <v>5.03</v>
      </c>
      <c r="J1228" s="109">
        <f t="shared" ref="J1228:J1230" si="1793">(H1228/(G1228/F1228))*I1228</f>
        <v>8825.135000000002</v>
      </c>
      <c r="K1228" s="8"/>
      <c r="L1228" s="8" t="str">
        <f t="shared" ref="L1228:L1230" si="1794">IF(E1228="M"," ",H1228/G1228)</f>
        <v xml:space="preserve"> </v>
      </c>
      <c r="M1228" s="109">
        <f t="shared" ref="M1228:M1230" si="1795">IF($E1228="L",$J1228,0)</f>
        <v>0</v>
      </c>
      <c r="N1228" s="109">
        <f t="shared" ref="N1228:N1230" si="1796">IF($E1228="M",$J1228,0)</f>
        <v>8825.135000000002</v>
      </c>
      <c r="O1228" s="109">
        <f t="shared" ref="O1228:O1230" si="1797">IF($E1228="P",$J1228,0)</f>
        <v>0</v>
      </c>
      <c r="P1228" s="109">
        <f t="shared" ref="P1228:P1230" si="1798">IF($E1228="S",$J1228,0)</f>
        <v>0</v>
      </c>
      <c r="Q1228" s="109">
        <f t="shared" ref="Q1228:Q1230" si="1799">SUM(M1228:P1228)</f>
        <v>8825.135000000002</v>
      </c>
      <c r="R1228" s="121">
        <v>222</v>
      </c>
      <c r="T1228" s="188"/>
    </row>
    <row r="1229" spans="1:20" x14ac:dyDescent="0.25">
      <c r="A1229" s="100">
        <v>162.1</v>
      </c>
      <c r="B1229" s="3">
        <v>2</v>
      </c>
      <c r="C1229" s="5" t="s">
        <v>8</v>
      </c>
      <c r="D1229" s="3" t="s">
        <v>48</v>
      </c>
      <c r="E1229" s="100" t="str">
        <f>IFERROR(VLOOKUP(C1229,Resources!B:D,3,FALSE)," ")</f>
        <v>L</v>
      </c>
      <c r="F1229" s="8">
        <v>3</v>
      </c>
      <c r="G1229" s="103">
        <f>VLOOKUP($A1229,'Model Inputs'!$A:$D,4,FALSE)</f>
        <v>570</v>
      </c>
      <c r="H1229" s="8">
        <f>H1228</f>
        <v>1754.5000000000002</v>
      </c>
      <c r="I1229" s="109">
        <f>IFERROR(VLOOKUP(C1229,Resources!B:G,6,FALSE)," ")</f>
        <v>42</v>
      </c>
      <c r="J1229" s="109">
        <f t="shared" si="1793"/>
        <v>387.8368421052632</v>
      </c>
      <c r="K1229" s="8">
        <f t="shared" ref="K1229:K1230" si="1800">L1229*F1229</f>
        <v>9.2342105263157901</v>
      </c>
      <c r="L1229" s="8">
        <f t="shared" si="1794"/>
        <v>3.0780701754385968</v>
      </c>
      <c r="M1229" s="109">
        <f t="shared" si="1795"/>
        <v>387.8368421052632</v>
      </c>
      <c r="N1229" s="109">
        <f t="shared" si="1796"/>
        <v>0</v>
      </c>
      <c r="O1229" s="109">
        <f t="shared" si="1797"/>
        <v>0</v>
      </c>
      <c r="P1229" s="109">
        <f t="shared" si="1798"/>
        <v>0</v>
      </c>
      <c r="Q1229" s="109">
        <f t="shared" si="1799"/>
        <v>387.8368421052632</v>
      </c>
      <c r="R1229" s="121">
        <v>222</v>
      </c>
      <c r="T1229" s="188"/>
    </row>
    <row r="1230" spans="1:20" x14ac:dyDescent="0.25">
      <c r="A1230" s="100"/>
      <c r="B1230" s="3">
        <v>3</v>
      </c>
      <c r="C1230" s="5" t="s">
        <v>45</v>
      </c>
      <c r="D1230" s="3" t="s">
        <v>48</v>
      </c>
      <c r="E1230" s="100" t="str">
        <f>IFERROR(VLOOKUP(C1230,Resources!B:D,3,FALSE)," ")</f>
        <v>P</v>
      </c>
      <c r="F1230" s="8">
        <v>1</v>
      </c>
      <c r="G1230" s="8">
        <f>G1229</f>
        <v>570</v>
      </c>
      <c r="H1230" s="8">
        <f>H1228</f>
        <v>1754.5000000000002</v>
      </c>
      <c r="I1230" s="109">
        <f>IFERROR(VLOOKUP(C1230,Resources!B:G,6,FALSE)," ")</f>
        <v>95</v>
      </c>
      <c r="J1230" s="109">
        <f t="shared" si="1793"/>
        <v>292.41666666666669</v>
      </c>
      <c r="K1230" s="8">
        <f t="shared" si="1800"/>
        <v>3.0780701754385968</v>
      </c>
      <c r="L1230" s="8">
        <f t="shared" si="1794"/>
        <v>3.0780701754385968</v>
      </c>
      <c r="M1230" s="109">
        <f t="shared" si="1795"/>
        <v>0</v>
      </c>
      <c r="N1230" s="109">
        <f t="shared" si="1796"/>
        <v>0</v>
      </c>
      <c r="O1230" s="109">
        <f t="shared" si="1797"/>
        <v>292.41666666666669</v>
      </c>
      <c r="P1230" s="109">
        <f t="shared" si="1798"/>
        <v>0</v>
      </c>
      <c r="Q1230" s="109">
        <f t="shared" si="1799"/>
        <v>292.41666666666669</v>
      </c>
      <c r="R1230" s="121">
        <v>222</v>
      </c>
      <c r="T1230" s="188"/>
    </row>
    <row r="1231" spans="1:20" x14ac:dyDescent="0.25">
      <c r="A1231" s="101"/>
      <c r="B1231" s="4"/>
      <c r="C1231" s="6"/>
      <c r="D1231" s="4"/>
      <c r="E1231" s="101" t="str">
        <f>IFERROR(VLOOKUP(C1231,Resources!B:D,3,FALSE)," ")</f>
        <v xml:space="preserve"> </v>
      </c>
      <c r="F1231" s="9"/>
      <c r="G1231" s="9"/>
      <c r="H1231" s="9"/>
      <c r="I1231" s="38" t="str">
        <f>IFERROR(VLOOKUP(C1231,Resources!B:G,6,FALSE)," ")</f>
        <v xml:space="preserve"> </v>
      </c>
      <c r="J1231" s="38"/>
      <c r="K1231" s="9"/>
      <c r="L1231" s="9"/>
      <c r="M1231" s="38"/>
      <c r="N1231" s="38"/>
      <c r="O1231" s="38"/>
      <c r="P1231" s="38"/>
      <c r="Q1231" s="38"/>
      <c r="R1231" s="122"/>
      <c r="T1231" s="188"/>
    </row>
    <row r="1232" spans="1:20" ht="30" x14ac:dyDescent="0.25">
      <c r="A1232" s="114">
        <v>163</v>
      </c>
      <c r="B1232" s="1" t="s">
        <v>571</v>
      </c>
      <c r="C1232" s="1" t="s">
        <v>223</v>
      </c>
      <c r="D1232" s="2" t="s">
        <v>107</v>
      </c>
      <c r="E1232" s="99" t="str">
        <f>IFERROR(VLOOKUP(C1232,Resources!B:D,3,FALSE)," ")</f>
        <v xml:space="preserve"> </v>
      </c>
      <c r="F1232" s="7"/>
      <c r="G1232" s="7"/>
      <c r="H1232" s="103">
        <f>VLOOKUP($A1232,'Model Inputs'!$A:$D,4,FALSE)</f>
        <v>1595</v>
      </c>
      <c r="I1232" s="108" t="str">
        <f>IFERROR(VLOOKUP(C1232,Resources!B:G,6,FALSE)," ")</f>
        <v xml:space="preserve"> </v>
      </c>
      <c r="J1232" s="108">
        <f>SUBTOTAL(9,J1233:J1235)</f>
        <v>2522.4785087719301</v>
      </c>
      <c r="K1232" s="7"/>
      <c r="L1232" s="7">
        <f>ROUNDUP(MAX(L1234:L1235)/Workhrs,0)</f>
        <v>1</v>
      </c>
      <c r="M1232" s="108">
        <f t="shared" ref="M1232" si="1801">SUBTOTAL(9,M1233:M1235)</f>
        <v>387.8368421052632</v>
      </c>
      <c r="N1232" s="108">
        <f t="shared" ref="N1232" si="1802">SUBTOTAL(9,N1233:N1235)</f>
        <v>1842.2250000000004</v>
      </c>
      <c r="O1232" s="108">
        <f t="shared" ref="O1232" si="1803">SUBTOTAL(9,O1233:O1235)</f>
        <v>292.41666666666669</v>
      </c>
      <c r="P1232" s="108">
        <f t="shared" ref="P1232" si="1804">SUBTOTAL(9,P1233:P1235)</f>
        <v>0</v>
      </c>
      <c r="Q1232" s="108">
        <f t="shared" ref="Q1232" si="1805">SUBTOTAL(9,Q1233:Q1235)</f>
        <v>2522.4785087719301</v>
      </c>
      <c r="R1232" s="120"/>
      <c r="T1232" s="188"/>
    </row>
    <row r="1233" spans="1:20" x14ac:dyDescent="0.25">
      <c r="A1233" s="100"/>
      <c r="B1233" s="3">
        <v>1</v>
      </c>
      <c r="C1233" s="5" t="s">
        <v>2088</v>
      </c>
      <c r="D1233" s="3" t="s">
        <v>83</v>
      </c>
      <c r="E1233" s="100" t="str">
        <f>IFERROR(VLOOKUP(C1233,Resources!B:D,3,FALSE)," ")</f>
        <v>M</v>
      </c>
      <c r="F1233" s="8">
        <v>1</v>
      </c>
      <c r="G1233" s="8">
        <v>1</v>
      </c>
      <c r="H1233" s="8">
        <f>H1232*1.1</f>
        <v>1754.5000000000002</v>
      </c>
      <c r="I1233" s="109">
        <f>IFERROR(VLOOKUP(C1233,Resources!B:G,6,FALSE)," ")</f>
        <v>1.05</v>
      </c>
      <c r="J1233" s="109">
        <f t="shared" ref="J1233:J1235" si="1806">(H1233/(G1233/F1233))*I1233</f>
        <v>1842.2250000000004</v>
      </c>
      <c r="K1233" s="8"/>
      <c r="L1233" s="8" t="str">
        <f t="shared" ref="L1233:L1235" si="1807">IF(E1233="M"," ",H1233/G1233)</f>
        <v xml:space="preserve"> </v>
      </c>
      <c r="M1233" s="109">
        <f t="shared" ref="M1233:M1235" si="1808">IF($E1233="L",$J1233,0)</f>
        <v>0</v>
      </c>
      <c r="N1233" s="109">
        <f t="shared" ref="N1233:N1235" si="1809">IF($E1233="M",$J1233,0)</f>
        <v>1842.2250000000004</v>
      </c>
      <c r="O1233" s="109">
        <f t="shared" ref="O1233:O1235" si="1810">IF($E1233="P",$J1233,0)</f>
        <v>0</v>
      </c>
      <c r="P1233" s="109">
        <f t="shared" ref="P1233:P1235" si="1811">IF($E1233="S",$J1233,0)</f>
        <v>0</v>
      </c>
      <c r="Q1233" s="109">
        <f t="shared" ref="Q1233:Q1235" si="1812">SUM(M1233:P1233)</f>
        <v>1842.2250000000004</v>
      </c>
      <c r="R1233" s="121">
        <v>222</v>
      </c>
      <c r="T1233" s="188"/>
    </row>
    <row r="1234" spans="1:20" x14ac:dyDescent="0.25">
      <c r="A1234" s="100">
        <v>163.1</v>
      </c>
      <c r="B1234" s="3">
        <v>2</v>
      </c>
      <c r="C1234" s="5" t="s">
        <v>8</v>
      </c>
      <c r="D1234" s="3" t="s">
        <v>48</v>
      </c>
      <c r="E1234" s="100" t="str">
        <f>IFERROR(VLOOKUP(C1234,Resources!B:D,3,FALSE)," ")</f>
        <v>L</v>
      </c>
      <c r="F1234" s="8">
        <v>3</v>
      </c>
      <c r="G1234" s="103">
        <f>VLOOKUP($A1234,'Model Inputs'!$A:$D,4,FALSE)</f>
        <v>570</v>
      </c>
      <c r="H1234" s="8">
        <f>H1233</f>
        <v>1754.5000000000002</v>
      </c>
      <c r="I1234" s="109">
        <f>IFERROR(VLOOKUP(C1234,Resources!B:G,6,FALSE)," ")</f>
        <v>42</v>
      </c>
      <c r="J1234" s="109">
        <f t="shared" si="1806"/>
        <v>387.8368421052632</v>
      </c>
      <c r="K1234" s="8">
        <f t="shared" ref="K1234:K1235" si="1813">L1234*F1234</f>
        <v>9.2342105263157901</v>
      </c>
      <c r="L1234" s="8">
        <f t="shared" si="1807"/>
        <v>3.0780701754385968</v>
      </c>
      <c r="M1234" s="109">
        <f t="shared" si="1808"/>
        <v>387.8368421052632</v>
      </c>
      <c r="N1234" s="109">
        <f t="shared" si="1809"/>
        <v>0</v>
      </c>
      <c r="O1234" s="109">
        <f t="shared" si="1810"/>
        <v>0</v>
      </c>
      <c r="P1234" s="109">
        <f t="shared" si="1811"/>
        <v>0</v>
      </c>
      <c r="Q1234" s="109">
        <f t="shared" si="1812"/>
        <v>387.8368421052632</v>
      </c>
      <c r="R1234" s="121">
        <v>222</v>
      </c>
      <c r="T1234" s="188"/>
    </row>
    <row r="1235" spans="1:20" x14ac:dyDescent="0.25">
      <c r="A1235" s="100"/>
      <c r="B1235" s="3">
        <v>3</v>
      </c>
      <c r="C1235" s="5" t="s">
        <v>45</v>
      </c>
      <c r="D1235" s="3" t="s">
        <v>48</v>
      </c>
      <c r="E1235" s="100" t="str">
        <f>IFERROR(VLOOKUP(C1235,Resources!B:D,3,FALSE)," ")</f>
        <v>P</v>
      </c>
      <c r="F1235" s="8">
        <v>1</v>
      </c>
      <c r="G1235" s="8">
        <f>G1234</f>
        <v>570</v>
      </c>
      <c r="H1235" s="8">
        <f>H1233</f>
        <v>1754.5000000000002</v>
      </c>
      <c r="I1235" s="109">
        <f>IFERROR(VLOOKUP(C1235,Resources!B:G,6,FALSE)," ")</f>
        <v>95</v>
      </c>
      <c r="J1235" s="109">
        <f t="shared" si="1806"/>
        <v>292.41666666666669</v>
      </c>
      <c r="K1235" s="8">
        <f t="shared" si="1813"/>
        <v>3.0780701754385968</v>
      </c>
      <c r="L1235" s="8">
        <f t="shared" si="1807"/>
        <v>3.0780701754385968</v>
      </c>
      <c r="M1235" s="109">
        <f t="shared" si="1808"/>
        <v>0</v>
      </c>
      <c r="N1235" s="109">
        <f t="shared" si="1809"/>
        <v>0</v>
      </c>
      <c r="O1235" s="109">
        <f t="shared" si="1810"/>
        <v>292.41666666666669</v>
      </c>
      <c r="P1235" s="109">
        <f t="shared" si="1811"/>
        <v>0</v>
      </c>
      <c r="Q1235" s="109">
        <f t="shared" si="1812"/>
        <v>292.41666666666669</v>
      </c>
      <c r="R1235" s="121">
        <v>222</v>
      </c>
      <c r="T1235" s="188"/>
    </row>
    <row r="1236" spans="1:20" x14ac:dyDescent="0.25">
      <c r="A1236" s="101"/>
      <c r="B1236" s="4"/>
      <c r="C1236" s="6"/>
      <c r="D1236" s="4"/>
      <c r="E1236" s="101" t="str">
        <f>IFERROR(VLOOKUP(C1236,Resources!B:D,3,FALSE)," ")</f>
        <v xml:space="preserve"> </v>
      </c>
      <c r="F1236" s="9"/>
      <c r="G1236" s="9"/>
      <c r="H1236" s="9"/>
      <c r="I1236" s="38" t="str">
        <f>IFERROR(VLOOKUP(C1236,Resources!B:G,6,FALSE)," ")</f>
        <v xml:space="preserve"> </v>
      </c>
      <c r="J1236" s="38"/>
      <c r="K1236" s="9"/>
      <c r="L1236" s="9"/>
      <c r="M1236" s="38"/>
      <c r="N1236" s="38"/>
      <c r="O1236" s="38"/>
      <c r="P1236" s="38"/>
      <c r="Q1236" s="38"/>
      <c r="R1236" s="122"/>
      <c r="T1236" s="188"/>
    </row>
    <row r="1237" spans="1:20" ht="30" x14ac:dyDescent="0.25">
      <c r="A1237" s="114"/>
      <c r="B1237" s="1" t="s">
        <v>572</v>
      </c>
      <c r="C1237" s="1" t="s">
        <v>120</v>
      </c>
      <c r="D1237" s="2"/>
      <c r="E1237" s="99" t="str">
        <f>IFERROR(VLOOKUP(C1237,Resources!B:D,3,FALSE)," ")</f>
        <v xml:space="preserve"> </v>
      </c>
      <c r="F1237" s="7"/>
      <c r="G1237" s="7"/>
      <c r="H1237" s="7"/>
      <c r="I1237" s="108" t="str">
        <f>IFERROR(VLOOKUP(C1237,Resources!B:G,6,FALSE)," ")</f>
        <v xml:space="preserve"> </v>
      </c>
      <c r="J1237" s="108"/>
      <c r="K1237" s="7"/>
      <c r="L1237" s="7"/>
      <c r="M1237" s="108"/>
      <c r="N1237" s="108"/>
      <c r="O1237" s="108"/>
      <c r="P1237" s="108"/>
      <c r="Q1237" s="108"/>
      <c r="R1237" s="120"/>
      <c r="T1237" s="188"/>
    </row>
    <row r="1238" spans="1:20" ht="45" x14ac:dyDescent="0.25">
      <c r="A1238" s="114"/>
      <c r="B1238" s="1" t="s">
        <v>573</v>
      </c>
      <c r="C1238" s="1" t="s">
        <v>122</v>
      </c>
      <c r="D1238" s="2"/>
      <c r="E1238" s="99" t="str">
        <f>IFERROR(VLOOKUP(C1238,Resources!B:D,3,FALSE)," ")</f>
        <v xml:space="preserve"> </v>
      </c>
      <c r="F1238" s="7"/>
      <c r="G1238" s="7"/>
      <c r="H1238" s="7"/>
      <c r="I1238" s="108" t="str">
        <f>IFERROR(VLOOKUP(C1238,Resources!B:G,6,FALSE)," ")</f>
        <v xml:space="preserve"> </v>
      </c>
      <c r="J1238" s="108"/>
      <c r="K1238" s="7"/>
      <c r="L1238" s="7"/>
      <c r="M1238" s="108"/>
      <c r="N1238" s="108"/>
      <c r="O1238" s="108"/>
      <c r="P1238" s="108"/>
      <c r="Q1238" s="108"/>
      <c r="R1238" s="120"/>
      <c r="T1238" s="188"/>
    </row>
    <row r="1239" spans="1:20" ht="30" x14ac:dyDescent="0.25">
      <c r="A1239" s="114">
        <v>164</v>
      </c>
      <c r="B1239" s="1" t="s">
        <v>574</v>
      </c>
      <c r="C1239" s="1" t="s">
        <v>124</v>
      </c>
      <c r="D1239" s="2" t="s">
        <v>107</v>
      </c>
      <c r="E1239" s="99" t="str">
        <f>IFERROR(VLOOKUP(C1239,Resources!B:D,3,FALSE)," ")</f>
        <v xml:space="preserve"> </v>
      </c>
      <c r="F1239" s="7"/>
      <c r="G1239" s="7"/>
      <c r="H1239" s="103">
        <f>VLOOKUP($A1239,'Model Inputs'!$A:$D,4,FALSE)</f>
        <v>1206</v>
      </c>
      <c r="I1239" s="108" t="str">
        <f>IFERROR(VLOOKUP(C1239,Resources!B:G,6,FALSE)," ")</f>
        <v xml:space="preserve"> </v>
      </c>
      <c r="J1239" s="108">
        <f>SUBTOTAL(9,J1240)</f>
        <v>14537.124</v>
      </c>
      <c r="K1239" s="7"/>
      <c r="L1239" s="7">
        <f>ROUNDUP(L1240,0)</f>
        <v>1</v>
      </c>
      <c r="M1239" s="108">
        <f t="shared" ref="M1239:Q1239" si="1814">SUBTOTAL(9,M1240)</f>
        <v>0</v>
      </c>
      <c r="N1239" s="108">
        <f t="shared" si="1814"/>
        <v>0</v>
      </c>
      <c r="O1239" s="108">
        <f t="shared" si="1814"/>
        <v>0</v>
      </c>
      <c r="P1239" s="108">
        <f t="shared" si="1814"/>
        <v>14537.124</v>
      </c>
      <c r="Q1239" s="108">
        <f t="shared" si="1814"/>
        <v>14537.124</v>
      </c>
      <c r="R1239" s="120"/>
      <c r="T1239" s="188"/>
    </row>
    <row r="1240" spans="1:20" x14ac:dyDescent="0.25">
      <c r="A1240" s="100"/>
      <c r="B1240" s="3">
        <v>1</v>
      </c>
      <c r="C1240" s="5" t="s">
        <v>2267</v>
      </c>
      <c r="D1240" s="3" t="s">
        <v>83</v>
      </c>
      <c r="E1240" s="100" t="str">
        <f>IFERROR(VLOOKUP(C1240,Resources!B:D,3,FALSE)," ")</f>
        <v>S</v>
      </c>
      <c r="F1240" s="8">
        <v>1</v>
      </c>
      <c r="G1240" s="8">
        <v>1</v>
      </c>
      <c r="H1240" s="8">
        <f>H1239*1.05</f>
        <v>1266.3</v>
      </c>
      <c r="I1240" s="109">
        <f>IFERROR(VLOOKUP(C1240,Resources!B:G,6,FALSE)," ")</f>
        <v>11.48</v>
      </c>
      <c r="J1240" s="109">
        <f t="shared" ref="J1240" si="1815">(H1240/(G1240/F1240))*I1240</f>
        <v>14537.124</v>
      </c>
      <c r="K1240" s="8"/>
      <c r="L1240" s="8">
        <f>H1239/2000</f>
        <v>0.60299999999999998</v>
      </c>
      <c r="M1240" s="109">
        <f t="shared" ref="M1240" si="1816">IF($E1240="L",$J1240,0)</f>
        <v>0</v>
      </c>
      <c r="N1240" s="109">
        <f t="shared" ref="N1240" si="1817">IF($E1240="M",$J1240,0)</f>
        <v>0</v>
      </c>
      <c r="O1240" s="109">
        <f t="shared" ref="O1240" si="1818">IF($E1240="P",$J1240,0)</f>
        <v>0</v>
      </c>
      <c r="P1240" s="109">
        <f t="shared" ref="P1240" si="1819">IF($E1240="S",$J1240,0)</f>
        <v>14537.124</v>
      </c>
      <c r="Q1240" s="109">
        <f t="shared" ref="Q1240" si="1820">SUM(M1240:P1240)</f>
        <v>14537.124</v>
      </c>
      <c r="R1240" s="121">
        <v>64</v>
      </c>
      <c r="T1240" s="188"/>
    </row>
    <row r="1241" spans="1:20" x14ac:dyDescent="0.25">
      <c r="A1241" s="101"/>
      <c r="B1241" s="4"/>
      <c r="C1241" s="6"/>
      <c r="D1241" s="4"/>
      <c r="E1241" s="101" t="str">
        <f>IFERROR(VLOOKUP(C1241,Resources!B:D,3,FALSE)," ")</f>
        <v xml:space="preserve"> </v>
      </c>
      <c r="F1241" s="9"/>
      <c r="G1241" s="9"/>
      <c r="H1241" s="9"/>
      <c r="I1241" s="38" t="str">
        <f>IFERROR(VLOOKUP(C1241,Resources!B:G,6,FALSE)," ")</f>
        <v xml:space="preserve"> </v>
      </c>
      <c r="J1241" s="38"/>
      <c r="K1241" s="9"/>
      <c r="L1241" s="9"/>
      <c r="M1241" s="38"/>
      <c r="N1241" s="38"/>
      <c r="O1241" s="38"/>
      <c r="P1241" s="38"/>
      <c r="Q1241" s="38"/>
      <c r="R1241" s="122"/>
      <c r="T1241" s="188"/>
    </row>
    <row r="1242" spans="1:20" ht="30" x14ac:dyDescent="0.25">
      <c r="A1242" s="114"/>
      <c r="B1242" s="1" t="s">
        <v>575</v>
      </c>
      <c r="C1242" s="1" t="s">
        <v>403</v>
      </c>
      <c r="D1242" s="2"/>
      <c r="E1242" s="99" t="str">
        <f>IFERROR(VLOOKUP(C1242,Resources!B:D,3,FALSE)," ")</f>
        <v xml:space="preserve"> </v>
      </c>
      <c r="F1242" s="7"/>
      <c r="G1242" s="7"/>
      <c r="H1242" s="7"/>
      <c r="I1242" s="108" t="str">
        <f>IFERROR(VLOOKUP(C1242,Resources!B:G,6,FALSE)," ")</f>
        <v xml:space="preserve"> </v>
      </c>
      <c r="J1242" s="108"/>
      <c r="K1242" s="7"/>
      <c r="L1242" s="7"/>
      <c r="M1242" s="108"/>
      <c r="N1242" s="108"/>
      <c r="O1242" s="108"/>
      <c r="P1242" s="108"/>
      <c r="Q1242" s="108"/>
      <c r="R1242" s="120"/>
      <c r="T1242" s="188"/>
    </row>
    <row r="1243" spans="1:20" ht="30" x14ac:dyDescent="0.25">
      <c r="A1243" s="114"/>
      <c r="B1243" s="1" t="s">
        <v>576</v>
      </c>
      <c r="C1243" s="1" t="s">
        <v>226</v>
      </c>
      <c r="D1243" s="2"/>
      <c r="E1243" s="99" t="str">
        <f>IFERROR(VLOOKUP(C1243,Resources!B:D,3,FALSE)," ")</f>
        <v xml:space="preserve"> </v>
      </c>
      <c r="F1243" s="7"/>
      <c r="G1243" s="7"/>
      <c r="H1243" s="7"/>
      <c r="I1243" s="108" t="str">
        <f>IFERROR(VLOOKUP(C1243,Resources!B:G,6,FALSE)," ")</f>
        <v xml:space="preserve"> </v>
      </c>
      <c r="J1243" s="108"/>
      <c r="K1243" s="7"/>
      <c r="L1243" s="7"/>
      <c r="M1243" s="108"/>
      <c r="N1243" s="108"/>
      <c r="O1243" s="108"/>
      <c r="P1243" s="108"/>
      <c r="Q1243" s="108"/>
      <c r="R1243" s="120"/>
      <c r="T1243" s="188"/>
    </row>
    <row r="1244" spans="1:20" ht="30" x14ac:dyDescent="0.25">
      <c r="A1244" s="114">
        <v>165</v>
      </c>
      <c r="B1244" s="1" t="s">
        <v>577</v>
      </c>
      <c r="C1244" s="1" t="s">
        <v>578</v>
      </c>
      <c r="D1244" s="2" t="s">
        <v>82</v>
      </c>
      <c r="E1244" s="99" t="str">
        <f>IFERROR(VLOOKUP(C1244,Resources!B:D,3,FALSE)," ")</f>
        <v xml:space="preserve"> </v>
      </c>
      <c r="F1244" s="7"/>
      <c r="G1244" s="7"/>
      <c r="H1244" s="103">
        <f>VLOOKUP($A1244,'Model Inputs'!$A:$D,4,FALSE)</f>
        <v>87</v>
      </c>
      <c r="I1244" s="108" t="str">
        <f>IFERROR(VLOOKUP(C1244,Resources!B:G,6,FALSE)," ")</f>
        <v xml:space="preserve"> </v>
      </c>
      <c r="J1244" s="108">
        <f>SUBTOTAL(9,J1245)</f>
        <v>30256.947000000004</v>
      </c>
      <c r="K1244" s="7"/>
      <c r="L1244" s="7">
        <f>ROUNDUP(L1245,0)</f>
        <v>1</v>
      </c>
      <c r="M1244" s="108">
        <f t="shared" ref="M1244" si="1821">SUBTOTAL(9,M1245)</f>
        <v>0</v>
      </c>
      <c r="N1244" s="108">
        <f t="shared" ref="N1244" si="1822">SUBTOTAL(9,N1245)</f>
        <v>0</v>
      </c>
      <c r="O1244" s="108">
        <f t="shared" ref="O1244" si="1823">SUBTOTAL(9,O1245)</f>
        <v>0</v>
      </c>
      <c r="P1244" s="108">
        <f t="shared" ref="P1244" si="1824">SUBTOTAL(9,P1245)</f>
        <v>30256.947000000004</v>
      </c>
      <c r="Q1244" s="108">
        <f t="shared" ref="Q1244" si="1825">SUBTOTAL(9,Q1245)</f>
        <v>30256.947000000004</v>
      </c>
      <c r="R1244" s="120"/>
      <c r="T1244" s="188"/>
    </row>
    <row r="1245" spans="1:20" x14ac:dyDescent="0.25">
      <c r="A1245" s="100"/>
      <c r="B1245" s="3">
        <v>1</v>
      </c>
      <c r="C1245" s="5" t="s">
        <v>2239</v>
      </c>
      <c r="D1245" s="3" t="s">
        <v>82</v>
      </c>
      <c r="E1245" s="100" t="str">
        <f>IFERROR(VLOOKUP(C1245,Resources!B:D,3,FALSE)," ")</f>
        <v>S</v>
      </c>
      <c r="F1245" s="8">
        <v>1</v>
      </c>
      <c r="G1245" s="8">
        <v>1</v>
      </c>
      <c r="H1245" s="8">
        <f>H1244*1.05</f>
        <v>91.350000000000009</v>
      </c>
      <c r="I1245" s="109">
        <f>IFERROR(VLOOKUP(C1245,Resources!B:G,6,FALSE)," ")</f>
        <v>331.22</v>
      </c>
      <c r="J1245" s="109">
        <f t="shared" ref="J1245" si="1826">(H1245/(G1245/F1245))*I1245</f>
        <v>30256.947000000004</v>
      </c>
      <c r="K1245" s="8"/>
      <c r="L1245" s="8">
        <f>H1244/200</f>
        <v>0.435</v>
      </c>
      <c r="M1245" s="109">
        <f t="shared" ref="M1245" si="1827">IF($E1245="L",$J1245,0)</f>
        <v>0</v>
      </c>
      <c r="N1245" s="109">
        <f t="shared" ref="N1245" si="1828">IF($E1245="M",$J1245,0)</f>
        <v>0</v>
      </c>
      <c r="O1245" s="109">
        <f t="shared" ref="O1245" si="1829">IF($E1245="P",$J1245,0)</f>
        <v>0</v>
      </c>
      <c r="P1245" s="109">
        <f t="shared" ref="P1245" si="1830">IF($E1245="S",$J1245,0)</f>
        <v>30256.947000000004</v>
      </c>
      <c r="Q1245" s="109">
        <f t="shared" ref="Q1245" si="1831">SUM(M1245:P1245)</f>
        <v>30256.947000000004</v>
      </c>
      <c r="R1245" s="121">
        <v>65</v>
      </c>
      <c r="T1245" s="188"/>
    </row>
    <row r="1246" spans="1:20" x14ac:dyDescent="0.25">
      <c r="A1246" s="101"/>
      <c r="B1246" s="4"/>
      <c r="C1246" s="6"/>
      <c r="D1246" s="4"/>
      <c r="E1246" s="101" t="str">
        <f>IFERROR(VLOOKUP(C1246,Resources!B:D,3,FALSE)," ")</f>
        <v xml:space="preserve"> </v>
      </c>
      <c r="F1246" s="9"/>
      <c r="G1246" s="9"/>
      <c r="H1246" s="9"/>
      <c r="I1246" s="38" t="str">
        <f>IFERROR(VLOOKUP(C1246,Resources!B:G,6,FALSE)," ")</f>
        <v xml:space="preserve"> </v>
      </c>
      <c r="J1246" s="38"/>
      <c r="K1246" s="9"/>
      <c r="L1246" s="9"/>
      <c r="M1246" s="38"/>
      <c r="N1246" s="38"/>
      <c r="O1246" s="38"/>
      <c r="P1246" s="38"/>
      <c r="Q1246" s="38"/>
      <c r="R1246" s="122"/>
      <c r="T1246" s="188"/>
    </row>
    <row r="1247" spans="1:20" ht="30" x14ac:dyDescent="0.25">
      <c r="A1247" s="114"/>
      <c r="B1247" s="1" t="s">
        <v>579</v>
      </c>
      <c r="C1247" s="1" t="s">
        <v>129</v>
      </c>
      <c r="D1247" s="2"/>
      <c r="E1247" s="99" t="str">
        <f>IFERROR(VLOOKUP(C1247,Resources!B:D,3,FALSE)," ")</f>
        <v xml:space="preserve"> </v>
      </c>
      <c r="F1247" s="7"/>
      <c r="G1247" s="7"/>
      <c r="H1247" s="7"/>
      <c r="I1247" s="108" t="str">
        <f>IFERROR(VLOOKUP(C1247,Resources!B:G,6,FALSE)," ")</f>
        <v xml:space="preserve"> </v>
      </c>
      <c r="J1247" s="108"/>
      <c r="K1247" s="7"/>
      <c r="L1247" s="7"/>
      <c r="M1247" s="108"/>
      <c r="N1247" s="108"/>
      <c r="O1247" s="108"/>
      <c r="P1247" s="108"/>
      <c r="Q1247" s="108"/>
      <c r="R1247" s="120"/>
      <c r="T1247" s="188"/>
    </row>
    <row r="1248" spans="1:20" ht="30" x14ac:dyDescent="0.25">
      <c r="A1248" s="114"/>
      <c r="B1248" s="1" t="s">
        <v>580</v>
      </c>
      <c r="C1248" s="1" t="s">
        <v>286</v>
      </c>
      <c r="D1248" s="2"/>
      <c r="E1248" s="99" t="str">
        <f>IFERROR(VLOOKUP(C1248,Resources!B:D,3,FALSE)," ")</f>
        <v xml:space="preserve"> </v>
      </c>
      <c r="F1248" s="7"/>
      <c r="G1248" s="7"/>
      <c r="H1248" s="7"/>
      <c r="I1248" s="108" t="str">
        <f>IFERROR(VLOOKUP(C1248,Resources!B:G,6,FALSE)," ")</f>
        <v xml:space="preserve"> </v>
      </c>
      <c r="J1248" s="108"/>
      <c r="K1248" s="7"/>
      <c r="L1248" s="7"/>
      <c r="M1248" s="108"/>
      <c r="N1248" s="108"/>
      <c r="O1248" s="108"/>
      <c r="P1248" s="108"/>
      <c r="Q1248" s="108"/>
      <c r="R1248" s="120"/>
      <c r="T1248" s="188"/>
    </row>
    <row r="1249" spans="1:20" ht="30" x14ac:dyDescent="0.25">
      <c r="A1249" s="114">
        <v>166</v>
      </c>
      <c r="B1249" s="1" t="s">
        <v>581</v>
      </c>
      <c r="C1249" s="1" t="s">
        <v>288</v>
      </c>
      <c r="D1249" s="2" t="s">
        <v>89</v>
      </c>
      <c r="E1249" s="99" t="str">
        <f>IFERROR(VLOOKUP(C1249,Resources!B:D,3,FALSE)," ")</f>
        <v xml:space="preserve"> </v>
      </c>
      <c r="F1249" s="7"/>
      <c r="G1249" s="7"/>
      <c r="H1249" s="103">
        <f>VLOOKUP($A1249,'Model Inputs'!$A:$D,4,FALSE)</f>
        <v>475</v>
      </c>
      <c r="I1249" s="108" t="str">
        <f>IFERROR(VLOOKUP(C1249,Resources!B:G,6,FALSE)," ")</f>
        <v xml:space="preserve"> </v>
      </c>
      <c r="J1249" s="108">
        <f>SUBTOTAL(9,J1250)</f>
        <v>4000</v>
      </c>
      <c r="K1249" s="7"/>
      <c r="L1249" s="7">
        <f>ROUNDUP(L1250,0)</f>
        <v>1</v>
      </c>
      <c r="M1249" s="108">
        <f t="shared" ref="M1249" si="1832">SUBTOTAL(9,M1250)</f>
        <v>0</v>
      </c>
      <c r="N1249" s="108">
        <f t="shared" ref="N1249" si="1833">SUBTOTAL(9,N1250)</f>
        <v>0</v>
      </c>
      <c r="O1249" s="108">
        <f t="shared" ref="O1249" si="1834">SUBTOTAL(9,O1250)</f>
        <v>0</v>
      </c>
      <c r="P1249" s="108">
        <f t="shared" ref="P1249" si="1835">SUBTOTAL(9,P1250)</f>
        <v>4000</v>
      </c>
      <c r="Q1249" s="108">
        <f t="shared" ref="Q1249" si="1836">SUBTOTAL(9,Q1250)</f>
        <v>4000</v>
      </c>
      <c r="R1249" s="120"/>
      <c r="T1249" s="188"/>
    </row>
    <row r="1250" spans="1:20" x14ac:dyDescent="0.25">
      <c r="A1250" s="100"/>
      <c r="B1250" s="3">
        <v>1</v>
      </c>
      <c r="C1250" s="5" t="s">
        <v>289</v>
      </c>
      <c r="D1250" s="3" t="s">
        <v>83</v>
      </c>
      <c r="E1250" s="100" t="str">
        <f>IFERROR(VLOOKUP(C1250,Resources!B:D,3,FALSE)," ")</f>
        <v>S</v>
      </c>
      <c r="F1250" s="8">
        <v>1</v>
      </c>
      <c r="G1250" s="8">
        <v>1</v>
      </c>
      <c r="H1250" s="8">
        <f>H1249*4000/475</f>
        <v>4000</v>
      </c>
      <c r="I1250" s="109">
        <f>IFERROR(VLOOKUP(C1250,Resources!B:G,6,FALSE)," ")</f>
        <v>1</v>
      </c>
      <c r="J1250" s="109">
        <f t="shared" ref="J1250" si="1837">(H1250/(G1250/F1250))*I1250</f>
        <v>4000</v>
      </c>
      <c r="K1250" s="8"/>
      <c r="L1250" s="8">
        <f>H1249/2000</f>
        <v>0.23749999999999999</v>
      </c>
      <c r="M1250" s="109">
        <f t="shared" ref="M1250" si="1838">IF($E1250="L",$J1250,0)</f>
        <v>0</v>
      </c>
      <c r="N1250" s="109">
        <f t="shared" ref="N1250" si="1839">IF($E1250="M",$J1250,0)</f>
        <v>0</v>
      </c>
      <c r="O1250" s="109">
        <f t="shared" ref="O1250" si="1840">IF($E1250="P",$J1250,0)</f>
        <v>0</v>
      </c>
      <c r="P1250" s="109">
        <f t="shared" ref="P1250" si="1841">IF($E1250="S",$J1250,0)</f>
        <v>4000</v>
      </c>
      <c r="Q1250" s="109">
        <f t="shared" ref="Q1250" si="1842">SUM(M1250:P1250)</f>
        <v>4000</v>
      </c>
      <c r="R1250" s="121">
        <v>66</v>
      </c>
      <c r="T1250" s="188"/>
    </row>
    <row r="1251" spans="1:20" x14ac:dyDescent="0.25">
      <c r="A1251" s="101"/>
      <c r="B1251" s="4"/>
      <c r="C1251" s="6"/>
      <c r="D1251" s="4"/>
      <c r="E1251" s="101" t="str">
        <f>IFERROR(VLOOKUP(C1251,Resources!B:D,3,FALSE)," ")</f>
        <v xml:space="preserve"> </v>
      </c>
      <c r="F1251" s="9"/>
      <c r="G1251" s="9"/>
      <c r="H1251" s="9"/>
      <c r="I1251" s="38" t="str">
        <f>IFERROR(VLOOKUP(C1251,Resources!B:G,6,FALSE)," ")</f>
        <v xml:space="preserve"> </v>
      </c>
      <c r="J1251" s="38"/>
      <c r="K1251" s="9"/>
      <c r="L1251" s="9"/>
      <c r="M1251" s="38"/>
      <c r="N1251" s="38"/>
      <c r="O1251" s="38"/>
      <c r="P1251" s="38"/>
      <c r="Q1251" s="38"/>
      <c r="R1251" s="122"/>
      <c r="T1251" s="188"/>
    </row>
    <row r="1252" spans="1:20" ht="30" x14ac:dyDescent="0.25">
      <c r="A1252" s="114"/>
      <c r="B1252" s="1" t="s">
        <v>582</v>
      </c>
      <c r="C1252" s="1" t="s">
        <v>497</v>
      </c>
      <c r="D1252" s="2"/>
      <c r="E1252" s="99" t="str">
        <f>IFERROR(VLOOKUP(C1252,Resources!B:D,3,FALSE)," ")</f>
        <v xml:space="preserve"> </v>
      </c>
      <c r="F1252" s="7"/>
      <c r="G1252" s="7"/>
      <c r="H1252" s="7"/>
      <c r="I1252" s="108" t="str">
        <f>IFERROR(VLOOKUP(C1252,Resources!B:G,6,FALSE)," ")</f>
        <v xml:space="preserve"> </v>
      </c>
      <c r="J1252" s="108"/>
      <c r="K1252" s="7"/>
      <c r="L1252" s="7"/>
      <c r="M1252" s="108"/>
      <c r="N1252" s="108"/>
      <c r="O1252" s="108"/>
      <c r="P1252" s="108"/>
      <c r="Q1252" s="108"/>
      <c r="R1252" s="120"/>
      <c r="T1252" s="188"/>
    </row>
    <row r="1253" spans="1:20" ht="30" x14ac:dyDescent="0.25">
      <c r="A1253" s="114">
        <v>167</v>
      </c>
      <c r="B1253" s="1" t="s">
        <v>583</v>
      </c>
      <c r="C1253" s="1" t="s">
        <v>410</v>
      </c>
      <c r="D1253" s="2" t="s">
        <v>33</v>
      </c>
      <c r="E1253" s="99" t="str">
        <f>IFERROR(VLOOKUP(C1253,Resources!B:D,3,FALSE)," ")</f>
        <v xml:space="preserve"> </v>
      </c>
      <c r="F1253" s="7"/>
      <c r="G1253" s="7"/>
      <c r="H1253" s="103">
        <f>VLOOKUP($A1253,'Model Inputs'!$A:$D,4,FALSE)</f>
        <v>1</v>
      </c>
      <c r="I1253" s="108" t="str">
        <f>IFERROR(VLOOKUP(C1253,Resources!B:G,6,FALSE)," ")</f>
        <v xml:space="preserve"> </v>
      </c>
      <c r="J1253" s="108">
        <f>SUBTOTAL(9,J1254:J1255)</f>
        <v>2832</v>
      </c>
      <c r="K1253" s="7"/>
      <c r="L1253" s="7">
        <f>ROUNDUP(L1254/Workhrs,0)</f>
        <v>2</v>
      </c>
      <c r="M1253" s="108">
        <f t="shared" ref="M1253:Q1253" si="1843">SUBTOTAL(9,M1254:M1255)</f>
        <v>0</v>
      </c>
      <c r="N1253" s="108">
        <f t="shared" si="1843"/>
        <v>2832</v>
      </c>
      <c r="O1253" s="108">
        <f t="shared" si="1843"/>
        <v>0</v>
      </c>
      <c r="P1253" s="108">
        <f t="shared" si="1843"/>
        <v>0</v>
      </c>
      <c r="Q1253" s="108">
        <f t="shared" si="1843"/>
        <v>2832</v>
      </c>
      <c r="R1253" s="120"/>
      <c r="T1253" s="188"/>
    </row>
    <row r="1254" spans="1:20" x14ac:dyDescent="0.25">
      <c r="A1254" s="100"/>
      <c r="B1254" s="3">
        <v>1</v>
      </c>
      <c r="C1254" s="5" t="s">
        <v>411</v>
      </c>
      <c r="D1254" s="3" t="s">
        <v>29</v>
      </c>
      <c r="E1254" s="100" t="str">
        <f>IFERROR(VLOOKUP(C1254,Resources!B:D,3,FALSE)," ")</f>
        <v>M</v>
      </c>
      <c r="F1254" s="8">
        <v>1</v>
      </c>
      <c r="G1254" s="8">
        <v>1</v>
      </c>
      <c r="H1254" s="8">
        <f>ROUNDUP(H1253*12,0)</f>
        <v>12</v>
      </c>
      <c r="I1254" s="109">
        <f>IFERROR(VLOOKUP(C1254,Resources!B:G,6,FALSE)," ")</f>
        <v>140</v>
      </c>
      <c r="J1254" s="109">
        <f t="shared" ref="J1254:J1255" si="1844">(H1254/(G1254/F1254))*I1254</f>
        <v>1680</v>
      </c>
      <c r="K1254" s="8"/>
      <c r="L1254" s="8">
        <f>H1254*1.5</f>
        <v>18</v>
      </c>
      <c r="M1254" s="109">
        <f t="shared" ref="M1254:M1255" si="1845">IF($E1254="L",$J1254,0)</f>
        <v>0</v>
      </c>
      <c r="N1254" s="109">
        <f t="shared" ref="N1254:N1255" si="1846">IF($E1254="M",$J1254,0)</f>
        <v>1680</v>
      </c>
      <c r="O1254" s="109">
        <f t="shared" ref="O1254:O1255" si="1847">IF($E1254="P",$J1254,0)</f>
        <v>0</v>
      </c>
      <c r="P1254" s="109">
        <f t="shared" ref="P1254:P1255" si="1848">IF($E1254="S",$J1254,0)</f>
        <v>0</v>
      </c>
      <c r="Q1254" s="109">
        <f t="shared" ref="Q1254:Q1255" si="1849">SUM(M1254:P1254)</f>
        <v>1680</v>
      </c>
      <c r="R1254" s="121" t="s">
        <v>2342</v>
      </c>
      <c r="T1254" s="188"/>
    </row>
    <row r="1255" spans="1:20" x14ac:dyDescent="0.25">
      <c r="A1255" s="100"/>
      <c r="B1255" s="3">
        <v>2</v>
      </c>
      <c r="C1255" s="5" t="s">
        <v>85</v>
      </c>
      <c r="D1255" s="3" t="s">
        <v>86</v>
      </c>
      <c r="E1255" s="100" t="str">
        <f>IFERROR(VLOOKUP(C1255,Resources!B:D,3,FALSE)," ")</f>
        <v>M</v>
      </c>
      <c r="F1255" s="8">
        <v>1</v>
      </c>
      <c r="G1255" s="8">
        <v>1</v>
      </c>
      <c r="H1255" s="8">
        <f>H1254/2</f>
        <v>6</v>
      </c>
      <c r="I1255" s="109">
        <f>IFERROR(VLOOKUP(C1255,Resources!B:G,6,FALSE)," ")</f>
        <v>192</v>
      </c>
      <c r="J1255" s="109">
        <f t="shared" si="1844"/>
        <v>1152</v>
      </c>
      <c r="K1255" s="8"/>
      <c r="L1255" s="8"/>
      <c r="M1255" s="109">
        <f t="shared" si="1845"/>
        <v>0</v>
      </c>
      <c r="N1255" s="109">
        <f t="shared" si="1846"/>
        <v>1152</v>
      </c>
      <c r="O1255" s="109">
        <f t="shared" si="1847"/>
        <v>0</v>
      </c>
      <c r="P1255" s="109">
        <f t="shared" si="1848"/>
        <v>0</v>
      </c>
      <c r="Q1255" s="109">
        <f t="shared" si="1849"/>
        <v>1152</v>
      </c>
      <c r="R1255" s="121" t="s">
        <v>2335</v>
      </c>
      <c r="T1255" s="188"/>
    </row>
    <row r="1256" spans="1:20" x14ac:dyDescent="0.25">
      <c r="A1256" s="101"/>
      <c r="B1256" s="4"/>
      <c r="C1256" s="6"/>
      <c r="D1256" s="4"/>
      <c r="E1256" s="101" t="str">
        <f>IFERROR(VLOOKUP(C1256,Resources!B:D,3,FALSE)," ")</f>
        <v xml:space="preserve"> </v>
      </c>
      <c r="F1256" s="9"/>
      <c r="G1256" s="9"/>
      <c r="H1256" s="9"/>
      <c r="I1256" s="38" t="str">
        <f>IFERROR(VLOOKUP(C1256,Resources!B:G,6,FALSE)," ")</f>
        <v xml:space="preserve"> </v>
      </c>
      <c r="J1256" s="38"/>
      <c r="K1256" s="9"/>
      <c r="L1256" s="9"/>
      <c r="M1256" s="38"/>
      <c r="N1256" s="38"/>
      <c r="O1256" s="38"/>
      <c r="P1256" s="38"/>
      <c r="Q1256" s="38"/>
      <c r="R1256" s="122"/>
      <c r="T1256" s="188"/>
    </row>
    <row r="1257" spans="1:20" ht="30" x14ac:dyDescent="0.25">
      <c r="A1257" s="114"/>
      <c r="B1257" s="1" t="s">
        <v>584</v>
      </c>
      <c r="C1257" s="1" t="s">
        <v>136</v>
      </c>
      <c r="D1257" s="2"/>
      <c r="E1257" s="99" t="str">
        <f>IFERROR(VLOOKUP(C1257,Resources!B:D,3,FALSE)," ")</f>
        <v xml:space="preserve"> </v>
      </c>
      <c r="F1257" s="7"/>
      <c r="G1257" s="7"/>
      <c r="H1257" s="7"/>
      <c r="I1257" s="108" t="str">
        <f>IFERROR(VLOOKUP(C1257,Resources!B:G,6,FALSE)," ")</f>
        <v xml:space="preserve"> </v>
      </c>
      <c r="J1257" s="108"/>
      <c r="K1257" s="7"/>
      <c r="L1257" s="7"/>
      <c r="M1257" s="108"/>
      <c r="N1257" s="108"/>
      <c r="O1257" s="108"/>
      <c r="P1257" s="108"/>
      <c r="Q1257" s="108"/>
      <c r="R1257" s="120"/>
      <c r="T1257" s="188"/>
    </row>
    <row r="1258" spans="1:20" ht="30" x14ac:dyDescent="0.25">
      <c r="A1258" s="114"/>
      <c r="B1258" s="1" t="s">
        <v>585</v>
      </c>
      <c r="C1258" s="1" t="s">
        <v>231</v>
      </c>
      <c r="D1258" s="2"/>
      <c r="E1258" s="99" t="str">
        <f>IFERROR(VLOOKUP(C1258,Resources!B:D,3,FALSE)," ")</f>
        <v xml:space="preserve"> </v>
      </c>
      <c r="F1258" s="7"/>
      <c r="G1258" s="7"/>
      <c r="H1258" s="7"/>
      <c r="I1258" s="108" t="str">
        <f>IFERROR(VLOOKUP(C1258,Resources!B:G,6,FALSE)," ")</f>
        <v xml:space="preserve"> </v>
      </c>
      <c r="J1258" s="108"/>
      <c r="K1258" s="7"/>
      <c r="L1258" s="7"/>
      <c r="M1258" s="108"/>
      <c r="N1258" s="108"/>
      <c r="O1258" s="108"/>
      <c r="P1258" s="108"/>
      <c r="Q1258" s="108"/>
      <c r="R1258" s="120"/>
      <c r="T1258" s="188"/>
    </row>
    <row r="1259" spans="1:20" ht="30" x14ac:dyDescent="0.25">
      <c r="A1259" s="114"/>
      <c r="B1259" s="1" t="s">
        <v>586</v>
      </c>
      <c r="C1259" s="1" t="s">
        <v>415</v>
      </c>
      <c r="D1259" s="2"/>
      <c r="E1259" s="99" t="str">
        <f>IFERROR(VLOOKUP(C1259,Resources!B:D,3,FALSE)," ")</f>
        <v xml:space="preserve"> </v>
      </c>
      <c r="F1259" s="7"/>
      <c r="G1259" s="7"/>
      <c r="H1259" s="7"/>
      <c r="I1259" s="108" t="str">
        <f>IFERROR(VLOOKUP(C1259,Resources!B:G,6,FALSE)," ")</f>
        <v xml:space="preserve"> </v>
      </c>
      <c r="J1259" s="108"/>
      <c r="K1259" s="7"/>
      <c r="L1259" s="7"/>
      <c r="M1259" s="108"/>
      <c r="N1259" s="108"/>
      <c r="O1259" s="108"/>
      <c r="P1259" s="108"/>
      <c r="Q1259" s="108"/>
      <c r="R1259" s="120"/>
      <c r="T1259" s="188"/>
    </row>
    <row r="1260" spans="1:20" ht="30" x14ac:dyDescent="0.25">
      <c r="A1260" s="114">
        <v>168</v>
      </c>
      <c r="B1260" s="1" t="s">
        <v>587</v>
      </c>
      <c r="C1260" s="1" t="s">
        <v>295</v>
      </c>
      <c r="D1260" s="2" t="s">
        <v>29</v>
      </c>
      <c r="E1260" s="99" t="str">
        <f>IFERROR(VLOOKUP(C1260,Resources!B:D,3,FALSE)," ")</f>
        <v xml:space="preserve"> </v>
      </c>
      <c r="F1260" s="7"/>
      <c r="G1260" s="7"/>
      <c r="H1260" s="103">
        <f>VLOOKUP($A1260,'Model Inputs'!$A:$D,4,FALSE)</f>
        <v>21</v>
      </c>
      <c r="I1260" s="108" t="str">
        <f>IFERROR(VLOOKUP(C1260,Resources!B:G,6,FALSE)," ")</f>
        <v xml:space="preserve"> </v>
      </c>
      <c r="J1260" s="108">
        <f>SUBTOTAL(9,J1262:J1272)</f>
        <v>9765.52</v>
      </c>
      <c r="K1260" s="7"/>
      <c r="L1260" s="7">
        <f>ROUNDUP(L1272,0)+2</f>
        <v>9</v>
      </c>
      <c r="M1260" s="108">
        <f t="shared" ref="M1260:Q1260" si="1850">SUBTOTAL(9,M1262:M1272)</f>
        <v>25.200000000000003</v>
      </c>
      <c r="N1260" s="108">
        <f t="shared" si="1850"/>
        <v>5570.32</v>
      </c>
      <c r="O1260" s="108">
        <f t="shared" si="1850"/>
        <v>138.00000000000003</v>
      </c>
      <c r="P1260" s="108">
        <f t="shared" si="1850"/>
        <v>4032</v>
      </c>
      <c r="Q1260" s="108">
        <f t="shared" si="1850"/>
        <v>9765.52</v>
      </c>
      <c r="R1260" s="120"/>
      <c r="T1260" s="188"/>
    </row>
    <row r="1261" spans="1:20" x14ac:dyDescent="0.25">
      <c r="A1261" s="101"/>
      <c r="B1261" s="4">
        <v>1</v>
      </c>
      <c r="C1261" s="6" t="s">
        <v>187</v>
      </c>
      <c r="D1261" s="4"/>
      <c r="E1261" s="101" t="str">
        <f>IFERROR(VLOOKUP(C1261,Resources!B:D,3,FALSE)," ")</f>
        <v xml:space="preserve"> </v>
      </c>
      <c r="F1261" s="9"/>
      <c r="G1261" s="9"/>
      <c r="H1261" s="9"/>
      <c r="I1261" s="38" t="str">
        <f>IFERROR(VLOOKUP(C1261,Resources!B:G,6,FALSE)," ")</f>
        <v xml:space="preserve"> </v>
      </c>
      <c r="J1261" s="38"/>
      <c r="K1261" s="9"/>
      <c r="L1261" s="9"/>
      <c r="M1261" s="38"/>
      <c r="N1261" s="38"/>
      <c r="O1261" s="38"/>
      <c r="P1261" s="38"/>
      <c r="Q1261" s="38"/>
      <c r="R1261" s="122"/>
      <c r="T1261" s="188"/>
    </row>
    <row r="1262" spans="1:20" x14ac:dyDescent="0.25">
      <c r="A1262" s="100"/>
      <c r="B1262" s="3">
        <v>2</v>
      </c>
      <c r="C1262" s="5" t="s">
        <v>85</v>
      </c>
      <c r="D1262" s="3" t="s">
        <v>86</v>
      </c>
      <c r="E1262" s="100" t="str">
        <f>IFERROR(VLOOKUP(C1262,Resources!B:D,3,FALSE)," ")</f>
        <v>M</v>
      </c>
      <c r="F1262" s="8">
        <v>1</v>
      </c>
      <c r="G1262" s="8">
        <v>1</v>
      </c>
      <c r="H1262" s="8">
        <f>H1260*6*0.125*1.1</f>
        <v>17.325000000000003</v>
      </c>
      <c r="I1262" s="109">
        <f>IFERROR(VLOOKUP(C1262,Resources!B:G,6,FALSE)," ")</f>
        <v>192</v>
      </c>
      <c r="J1262" s="109">
        <f t="shared" ref="J1262:J1265" si="1851">(H1262/(G1262/F1262))*I1262</f>
        <v>3326.4000000000005</v>
      </c>
      <c r="K1262" s="8"/>
      <c r="L1262" s="8" t="str">
        <f t="shared" ref="L1262:L1265" si="1852">IF(E1262="M"," ",H1262/G1262)</f>
        <v xml:space="preserve"> </v>
      </c>
      <c r="M1262" s="109">
        <f t="shared" ref="M1262:M1265" si="1853">IF($E1262="L",$J1262,0)</f>
        <v>0</v>
      </c>
      <c r="N1262" s="109">
        <f t="shared" ref="N1262:N1265" si="1854">IF($E1262="M",$J1262,0)</f>
        <v>3326.4000000000005</v>
      </c>
      <c r="O1262" s="109">
        <f t="shared" ref="O1262:O1265" si="1855">IF($E1262="P",$J1262,0)</f>
        <v>0</v>
      </c>
      <c r="P1262" s="109">
        <f t="shared" ref="P1262:P1265" si="1856">IF($E1262="S",$J1262,0)</f>
        <v>0</v>
      </c>
      <c r="Q1262" s="109">
        <f t="shared" ref="Q1262:Q1265" si="1857">SUM(M1262:P1262)</f>
        <v>3326.4000000000005</v>
      </c>
      <c r="R1262" s="121" t="s">
        <v>2335</v>
      </c>
      <c r="T1262" s="188"/>
    </row>
    <row r="1263" spans="1:20" x14ac:dyDescent="0.25">
      <c r="A1263" s="100"/>
      <c r="B1263" s="3">
        <v>3</v>
      </c>
      <c r="C1263" s="5" t="s">
        <v>81</v>
      </c>
      <c r="D1263" s="3" t="s">
        <v>82</v>
      </c>
      <c r="E1263" s="100" t="str">
        <f>IFERROR(VLOOKUP(C1263,Resources!B:D,3,FALSE)," ")</f>
        <v>M</v>
      </c>
      <c r="F1263" s="8">
        <v>1</v>
      </c>
      <c r="G1263" s="8">
        <v>1</v>
      </c>
      <c r="H1263" s="8">
        <f>H1260*6*1.5*0.1</f>
        <v>18.900000000000002</v>
      </c>
      <c r="I1263" s="109">
        <f>IFERROR(VLOOKUP(C1263,Resources!B:G,6,FALSE)," ")</f>
        <v>24</v>
      </c>
      <c r="J1263" s="109">
        <f t="shared" si="1851"/>
        <v>453.6</v>
      </c>
      <c r="K1263" s="8"/>
      <c r="L1263" s="8" t="str">
        <f t="shared" si="1852"/>
        <v xml:space="preserve"> </v>
      </c>
      <c r="M1263" s="109">
        <f t="shared" si="1853"/>
        <v>0</v>
      </c>
      <c r="N1263" s="109">
        <f t="shared" si="1854"/>
        <v>453.6</v>
      </c>
      <c r="O1263" s="109">
        <f t="shared" si="1855"/>
        <v>0</v>
      </c>
      <c r="P1263" s="109">
        <f t="shared" si="1856"/>
        <v>0</v>
      </c>
      <c r="Q1263" s="109">
        <f t="shared" si="1857"/>
        <v>453.6</v>
      </c>
      <c r="R1263" s="121" t="s">
        <v>2341</v>
      </c>
      <c r="T1263" s="188"/>
    </row>
    <row r="1264" spans="1:20" x14ac:dyDescent="0.25">
      <c r="A1264" s="100"/>
      <c r="B1264" s="3">
        <v>4</v>
      </c>
      <c r="C1264" s="5" t="s">
        <v>189</v>
      </c>
      <c r="D1264" s="3" t="s">
        <v>83</v>
      </c>
      <c r="E1264" s="100" t="str">
        <f>IFERROR(VLOOKUP(C1264,Resources!B:D,3,FALSE)," ")</f>
        <v>M</v>
      </c>
      <c r="F1264" s="8">
        <v>1</v>
      </c>
      <c r="G1264" s="8">
        <v>1</v>
      </c>
      <c r="H1264" s="8">
        <f>H1260*6*1.2</f>
        <v>151.19999999999999</v>
      </c>
      <c r="I1264" s="109">
        <f>IFERROR(VLOOKUP(C1264,Resources!B:G,6,FALSE)," ")</f>
        <v>9.1</v>
      </c>
      <c r="J1264" s="109">
        <f t="shared" si="1851"/>
        <v>1375.9199999999998</v>
      </c>
      <c r="K1264" s="8"/>
      <c r="L1264" s="8" t="str">
        <f t="shared" si="1852"/>
        <v xml:space="preserve"> </v>
      </c>
      <c r="M1264" s="109">
        <f t="shared" si="1853"/>
        <v>0</v>
      </c>
      <c r="N1264" s="109">
        <f t="shared" si="1854"/>
        <v>1375.9199999999998</v>
      </c>
      <c r="O1264" s="109">
        <f t="shared" si="1855"/>
        <v>0</v>
      </c>
      <c r="P1264" s="109">
        <f t="shared" si="1856"/>
        <v>0</v>
      </c>
      <c r="Q1264" s="109">
        <f t="shared" si="1857"/>
        <v>1375.9199999999998</v>
      </c>
      <c r="R1264" s="121" t="s">
        <v>2343</v>
      </c>
      <c r="T1264" s="188"/>
    </row>
    <row r="1265" spans="1:20" x14ac:dyDescent="0.25">
      <c r="A1265" s="100"/>
      <c r="B1265" s="3">
        <v>5</v>
      </c>
      <c r="C1265" s="5" t="s">
        <v>190</v>
      </c>
      <c r="D1265" s="3" t="s">
        <v>89</v>
      </c>
      <c r="E1265" s="100" t="str">
        <f>IFERROR(VLOOKUP(C1265,Resources!B:D,3,FALSE)," ")</f>
        <v>M</v>
      </c>
      <c r="F1265" s="8">
        <v>1</v>
      </c>
      <c r="G1265" s="8">
        <v>1</v>
      </c>
      <c r="H1265" s="8">
        <f>H1260*1.2*6/1.5</f>
        <v>100.8</v>
      </c>
      <c r="I1265" s="109">
        <f>IFERROR(VLOOKUP(C1265,Resources!B:G,6,FALSE)," ")</f>
        <v>3</v>
      </c>
      <c r="J1265" s="109">
        <f t="shared" si="1851"/>
        <v>302.39999999999998</v>
      </c>
      <c r="K1265" s="8"/>
      <c r="L1265" s="8" t="str">
        <f t="shared" si="1852"/>
        <v xml:space="preserve"> </v>
      </c>
      <c r="M1265" s="109">
        <f t="shared" si="1853"/>
        <v>0</v>
      </c>
      <c r="N1265" s="109">
        <f t="shared" si="1854"/>
        <v>302.39999999999998</v>
      </c>
      <c r="O1265" s="109">
        <f t="shared" si="1855"/>
        <v>0</v>
      </c>
      <c r="P1265" s="109">
        <f t="shared" si="1856"/>
        <v>0</v>
      </c>
      <c r="Q1265" s="109">
        <f t="shared" si="1857"/>
        <v>302.39999999999998</v>
      </c>
      <c r="R1265" s="121" t="s">
        <v>2343</v>
      </c>
      <c r="T1265" s="188"/>
    </row>
    <row r="1266" spans="1:20" x14ac:dyDescent="0.25">
      <c r="A1266" s="101"/>
      <c r="B1266" s="4">
        <v>6</v>
      </c>
      <c r="C1266" s="6" t="s">
        <v>191</v>
      </c>
      <c r="D1266" s="4"/>
      <c r="E1266" s="101" t="str">
        <f>IFERROR(VLOOKUP(C1266,Resources!B:D,3,FALSE)," ")</f>
        <v xml:space="preserve"> </v>
      </c>
      <c r="F1266" s="9"/>
      <c r="G1266" s="9"/>
      <c r="H1266" s="9"/>
      <c r="I1266" s="38" t="str">
        <f>IFERROR(VLOOKUP(C1266,Resources!B:G,6,FALSE)," ")</f>
        <v xml:space="preserve"> </v>
      </c>
      <c r="J1266" s="38"/>
      <c r="K1266" s="9"/>
      <c r="L1266" s="9"/>
      <c r="M1266" s="38"/>
      <c r="N1266" s="38"/>
      <c r="O1266" s="38"/>
      <c r="P1266" s="38"/>
      <c r="Q1266" s="38"/>
      <c r="R1266" s="122"/>
      <c r="T1266" s="188"/>
    </row>
    <row r="1267" spans="1:20" x14ac:dyDescent="0.25">
      <c r="A1267" s="100">
        <v>168.1</v>
      </c>
      <c r="B1267" s="3">
        <v>7</v>
      </c>
      <c r="C1267" s="5" t="s">
        <v>63</v>
      </c>
      <c r="D1267" s="3" t="s">
        <v>48</v>
      </c>
      <c r="E1267" s="100" t="str">
        <f>IFERROR(VLOOKUP(C1267,Resources!B:D,3,FALSE)," ")</f>
        <v>P</v>
      </c>
      <c r="F1267" s="8">
        <v>1</v>
      </c>
      <c r="G1267" s="103">
        <f>VLOOKUP($A1267,'Model Inputs'!$A:$D,4,FALSE)</f>
        <v>21</v>
      </c>
      <c r="H1267" s="8">
        <f>H1260*6*0.1</f>
        <v>12.600000000000001</v>
      </c>
      <c r="I1267" s="109">
        <f>IFERROR(VLOOKUP(C1267,Resources!B:G,6,FALSE)," ")</f>
        <v>135</v>
      </c>
      <c r="J1267" s="109">
        <f t="shared" ref="J1267:J1269" si="1858">(H1267/(G1267/F1267))*I1267</f>
        <v>81.000000000000014</v>
      </c>
      <c r="K1267" s="8">
        <f t="shared" ref="K1267:K1269" si="1859">L1267*F1267</f>
        <v>0.60000000000000009</v>
      </c>
      <c r="L1267" s="8">
        <f t="shared" ref="L1267:L1269" si="1860">IF(E1267="M"," ",H1267/G1267)</f>
        <v>0.60000000000000009</v>
      </c>
      <c r="M1267" s="109">
        <f t="shared" ref="M1267:M1269" si="1861">IF($E1267="L",$J1267,0)</f>
        <v>0</v>
      </c>
      <c r="N1267" s="109">
        <f t="shared" ref="N1267:N1269" si="1862">IF($E1267="M",$J1267,0)</f>
        <v>0</v>
      </c>
      <c r="O1267" s="109">
        <f t="shared" ref="O1267:O1269" si="1863">IF($E1267="P",$J1267,0)</f>
        <v>81.000000000000014</v>
      </c>
      <c r="P1267" s="109">
        <f t="shared" ref="P1267:P1269" si="1864">IF($E1267="S",$J1267,0)</f>
        <v>0</v>
      </c>
      <c r="Q1267" s="109">
        <f t="shared" ref="Q1267:Q1269" si="1865">SUM(M1267:P1267)</f>
        <v>81.000000000000014</v>
      </c>
      <c r="R1267" s="121">
        <v>71</v>
      </c>
      <c r="T1267" s="188"/>
    </row>
    <row r="1268" spans="1:20" x14ac:dyDescent="0.25">
      <c r="A1268" s="100"/>
      <c r="B1268" s="3">
        <v>8</v>
      </c>
      <c r="C1268" s="5" t="s">
        <v>173</v>
      </c>
      <c r="D1268" s="3" t="s">
        <v>48</v>
      </c>
      <c r="E1268" s="100" t="str">
        <f>IFERROR(VLOOKUP(C1268,Resources!B:D,3,FALSE)," ")</f>
        <v>P</v>
      </c>
      <c r="F1268" s="8">
        <v>1</v>
      </c>
      <c r="G1268" s="8">
        <f>G1267</f>
        <v>21</v>
      </c>
      <c r="H1268" s="8">
        <f>H1267</f>
        <v>12.600000000000001</v>
      </c>
      <c r="I1268" s="109">
        <f>IFERROR(VLOOKUP(C1268,Resources!B:G,6,FALSE)," ")</f>
        <v>95</v>
      </c>
      <c r="J1268" s="109">
        <f t="shared" si="1858"/>
        <v>57.000000000000007</v>
      </c>
      <c r="K1268" s="8">
        <f t="shared" si="1859"/>
        <v>0.60000000000000009</v>
      </c>
      <c r="L1268" s="8">
        <f t="shared" si="1860"/>
        <v>0.60000000000000009</v>
      </c>
      <c r="M1268" s="109">
        <f t="shared" si="1861"/>
        <v>0</v>
      </c>
      <c r="N1268" s="109">
        <f t="shared" si="1862"/>
        <v>0</v>
      </c>
      <c r="O1268" s="109">
        <f t="shared" si="1863"/>
        <v>57.000000000000007</v>
      </c>
      <c r="P1268" s="109">
        <f t="shared" si="1864"/>
        <v>0</v>
      </c>
      <c r="Q1268" s="109">
        <f t="shared" si="1865"/>
        <v>57.000000000000007</v>
      </c>
      <c r="R1268" s="121">
        <v>71</v>
      </c>
      <c r="T1268" s="188"/>
    </row>
    <row r="1269" spans="1:20" x14ac:dyDescent="0.25">
      <c r="A1269" s="100"/>
      <c r="B1269" s="3">
        <v>9</v>
      </c>
      <c r="C1269" s="5" t="s">
        <v>8</v>
      </c>
      <c r="D1269" s="3" t="s">
        <v>48</v>
      </c>
      <c r="E1269" s="100" t="str">
        <f>IFERROR(VLOOKUP(C1269,Resources!B:D,3,FALSE)," ")</f>
        <v>L</v>
      </c>
      <c r="F1269" s="8">
        <v>1</v>
      </c>
      <c r="G1269" s="8">
        <f>G1267</f>
        <v>21</v>
      </c>
      <c r="H1269" s="8">
        <f>H1267</f>
        <v>12.600000000000001</v>
      </c>
      <c r="I1269" s="109">
        <f>IFERROR(VLOOKUP(C1269,Resources!B:G,6,FALSE)," ")</f>
        <v>42</v>
      </c>
      <c r="J1269" s="109">
        <f t="shared" si="1858"/>
        <v>25.200000000000003</v>
      </c>
      <c r="K1269" s="8">
        <f t="shared" si="1859"/>
        <v>0.60000000000000009</v>
      </c>
      <c r="L1269" s="8">
        <f t="shared" si="1860"/>
        <v>0.60000000000000009</v>
      </c>
      <c r="M1269" s="109">
        <f t="shared" si="1861"/>
        <v>25.200000000000003</v>
      </c>
      <c r="N1269" s="109">
        <f t="shared" si="1862"/>
        <v>0</v>
      </c>
      <c r="O1269" s="109">
        <f t="shared" si="1863"/>
        <v>0</v>
      </c>
      <c r="P1269" s="109">
        <f t="shared" si="1864"/>
        <v>0</v>
      </c>
      <c r="Q1269" s="109">
        <f t="shared" si="1865"/>
        <v>25.200000000000003</v>
      </c>
      <c r="R1269" s="121">
        <v>71</v>
      </c>
      <c r="T1269" s="188"/>
    </row>
    <row r="1270" spans="1:20" x14ac:dyDescent="0.25">
      <c r="A1270" s="101"/>
      <c r="B1270" s="4">
        <v>10</v>
      </c>
      <c r="C1270" s="6" t="s">
        <v>192</v>
      </c>
      <c r="D1270" s="4"/>
      <c r="E1270" s="101" t="str">
        <f>IFERROR(VLOOKUP(C1270,Resources!B:D,3,FALSE)," ")</f>
        <v xml:space="preserve"> </v>
      </c>
      <c r="F1270" s="9"/>
      <c r="G1270" s="9"/>
      <c r="H1270" s="9"/>
      <c r="I1270" s="38" t="str">
        <f>IFERROR(VLOOKUP(C1270,Resources!B:G,6,FALSE)," ")</f>
        <v xml:space="preserve"> </v>
      </c>
      <c r="J1270" s="38"/>
      <c r="K1270" s="9"/>
      <c r="L1270" s="9"/>
      <c r="M1270" s="38"/>
      <c r="N1270" s="38"/>
      <c r="O1270" s="38"/>
      <c r="P1270" s="38"/>
      <c r="Q1270" s="38"/>
      <c r="R1270" s="122"/>
      <c r="T1270" s="188"/>
    </row>
    <row r="1271" spans="1:20" x14ac:dyDescent="0.25">
      <c r="A1271" s="100"/>
      <c r="B1271" s="3">
        <v>11</v>
      </c>
      <c r="C1271" s="5" t="s">
        <v>84</v>
      </c>
      <c r="D1271" s="3" t="s">
        <v>29</v>
      </c>
      <c r="E1271" s="100" t="str">
        <f>IFERROR(VLOOKUP(C1271,Resources!B:D,3,FALSE)," ")</f>
        <v>M</v>
      </c>
      <c r="F1271" s="8">
        <v>1</v>
      </c>
      <c r="G1271" s="8">
        <v>1</v>
      </c>
      <c r="H1271" s="8">
        <f>H1260*6/0.9</f>
        <v>140</v>
      </c>
      <c r="I1271" s="109">
        <f>IFERROR(VLOOKUP(C1271,Resources!B:G,6,FALSE)," ")</f>
        <v>0.8</v>
      </c>
      <c r="J1271" s="109">
        <f t="shared" ref="J1271:J1272" si="1866">(H1271/(G1271/F1271))*I1271</f>
        <v>112</v>
      </c>
      <c r="K1271" s="8"/>
      <c r="L1271" s="8" t="str">
        <f t="shared" ref="L1271" si="1867">IF(E1271="M"," ",H1271/G1271)</f>
        <v xml:space="preserve"> </v>
      </c>
      <c r="M1271" s="109">
        <f t="shared" ref="M1271:M1272" si="1868">IF($E1271="L",$J1271,0)</f>
        <v>0</v>
      </c>
      <c r="N1271" s="109">
        <f t="shared" ref="N1271:N1272" si="1869">IF($E1271="M",$J1271,0)</f>
        <v>112</v>
      </c>
      <c r="O1271" s="109">
        <f t="shared" ref="O1271:O1272" si="1870">IF($E1271="P",$J1271,0)</f>
        <v>0</v>
      </c>
      <c r="P1271" s="109">
        <f t="shared" ref="P1271:P1272" si="1871">IF($E1271="S",$J1271,0)</f>
        <v>0</v>
      </c>
      <c r="Q1271" s="109">
        <f t="shared" ref="Q1271:Q1272" si="1872">SUM(M1271:P1271)</f>
        <v>112</v>
      </c>
      <c r="R1271" s="121" t="s">
        <v>2343</v>
      </c>
      <c r="T1271" s="188"/>
    </row>
    <row r="1272" spans="1:20" x14ac:dyDescent="0.25">
      <c r="A1272" s="100"/>
      <c r="B1272" s="3">
        <v>12</v>
      </c>
      <c r="C1272" s="5" t="s">
        <v>193</v>
      </c>
      <c r="D1272" s="3" t="s">
        <v>83</v>
      </c>
      <c r="E1272" s="100" t="str">
        <f>IFERROR(VLOOKUP(C1272,Resources!B:D,3,FALSE)," ")</f>
        <v>S</v>
      </c>
      <c r="F1272" s="8">
        <v>1</v>
      </c>
      <c r="G1272" s="8">
        <v>1</v>
      </c>
      <c r="H1272" s="8">
        <f>H1260*6</f>
        <v>126</v>
      </c>
      <c r="I1272" s="109">
        <f>IFERROR(VLOOKUP(C1272,Resources!B:G,6,FALSE)," ")</f>
        <v>32</v>
      </c>
      <c r="J1272" s="109">
        <f t="shared" si="1866"/>
        <v>4032</v>
      </c>
      <c r="K1272" s="8"/>
      <c r="L1272" s="8">
        <f>H1260/3</f>
        <v>7</v>
      </c>
      <c r="M1272" s="109">
        <f t="shared" si="1868"/>
        <v>0</v>
      </c>
      <c r="N1272" s="109">
        <f t="shared" si="1869"/>
        <v>0</v>
      </c>
      <c r="O1272" s="109">
        <f t="shared" si="1870"/>
        <v>0</v>
      </c>
      <c r="P1272" s="109">
        <f t="shared" si="1871"/>
        <v>4032</v>
      </c>
      <c r="Q1272" s="109">
        <f t="shared" si="1872"/>
        <v>4032</v>
      </c>
      <c r="R1272" s="121">
        <v>71</v>
      </c>
      <c r="T1272" s="188"/>
    </row>
    <row r="1273" spans="1:20" x14ac:dyDescent="0.25">
      <c r="A1273" s="101"/>
      <c r="B1273" s="4"/>
      <c r="C1273" s="6"/>
      <c r="D1273" s="4"/>
      <c r="E1273" s="101" t="str">
        <f>IFERROR(VLOOKUP(C1273,Resources!B:D,3,FALSE)," ")</f>
        <v xml:space="preserve"> </v>
      </c>
      <c r="F1273" s="9"/>
      <c r="G1273" s="9"/>
      <c r="H1273" s="9"/>
      <c r="I1273" s="38" t="str">
        <f>IFERROR(VLOOKUP(C1273,Resources!B:G,6,FALSE)," ")</f>
        <v xml:space="preserve"> </v>
      </c>
      <c r="J1273" s="38"/>
      <c r="K1273" s="9"/>
      <c r="L1273" s="9"/>
      <c r="M1273" s="38"/>
      <c r="N1273" s="38"/>
      <c r="O1273" s="38"/>
      <c r="P1273" s="38"/>
      <c r="Q1273" s="38"/>
      <c r="R1273" s="122"/>
      <c r="T1273" s="188"/>
    </row>
    <row r="1274" spans="1:20" ht="30" x14ac:dyDescent="0.25">
      <c r="A1274" s="114"/>
      <c r="B1274" s="1" t="s">
        <v>588</v>
      </c>
      <c r="C1274" s="1" t="s">
        <v>138</v>
      </c>
      <c r="D1274" s="2"/>
      <c r="E1274" s="99" t="str">
        <f>IFERROR(VLOOKUP(C1274,Resources!B:D,3,FALSE)," ")</f>
        <v xml:space="preserve"> </v>
      </c>
      <c r="F1274" s="7"/>
      <c r="G1274" s="7"/>
      <c r="H1274" s="7"/>
      <c r="I1274" s="108" t="str">
        <f>IFERROR(VLOOKUP(C1274,Resources!B:G,6,FALSE)," ")</f>
        <v xml:space="preserve"> </v>
      </c>
      <c r="J1274" s="108"/>
      <c r="K1274" s="7"/>
      <c r="L1274" s="7"/>
      <c r="M1274" s="108"/>
      <c r="N1274" s="108"/>
      <c r="O1274" s="108"/>
      <c r="P1274" s="108"/>
      <c r="Q1274" s="108"/>
      <c r="R1274" s="120"/>
      <c r="T1274" s="188"/>
    </row>
    <row r="1275" spans="1:20" ht="30" x14ac:dyDescent="0.25">
      <c r="A1275" s="114"/>
      <c r="B1275" s="1" t="s">
        <v>589</v>
      </c>
      <c r="C1275" s="1" t="s">
        <v>140</v>
      </c>
      <c r="D1275" s="2"/>
      <c r="E1275" s="99" t="str">
        <f>IFERROR(VLOOKUP(C1275,Resources!B:D,3,FALSE)," ")</f>
        <v xml:space="preserve"> </v>
      </c>
      <c r="F1275" s="7"/>
      <c r="G1275" s="7"/>
      <c r="H1275" s="7"/>
      <c r="I1275" s="108" t="str">
        <f>IFERROR(VLOOKUP(C1275,Resources!B:G,6,FALSE)," ")</f>
        <v xml:space="preserve"> </v>
      </c>
      <c r="J1275" s="108"/>
      <c r="K1275" s="7"/>
      <c r="L1275" s="7"/>
      <c r="M1275" s="108"/>
      <c r="N1275" s="108"/>
      <c r="O1275" s="108"/>
      <c r="P1275" s="108"/>
      <c r="Q1275" s="108"/>
      <c r="R1275" s="120"/>
      <c r="T1275" s="188"/>
    </row>
    <row r="1276" spans="1:20" ht="30" x14ac:dyDescent="0.25">
      <c r="A1276" s="114">
        <v>169</v>
      </c>
      <c r="B1276" s="1" t="s">
        <v>590</v>
      </c>
      <c r="C1276" s="1" t="s">
        <v>142</v>
      </c>
      <c r="D1276" s="2" t="s">
        <v>107</v>
      </c>
      <c r="E1276" s="99" t="str">
        <f>IFERROR(VLOOKUP(C1276,Resources!B:D,3,FALSE)," ")</f>
        <v xml:space="preserve"> </v>
      </c>
      <c r="F1276" s="7"/>
      <c r="G1276" s="7"/>
      <c r="H1276" s="103">
        <f>VLOOKUP($A1276,'Model Inputs'!$A:$D,4,FALSE)</f>
        <v>500</v>
      </c>
      <c r="I1276" s="108" t="str">
        <f>IFERROR(VLOOKUP(C1276,Resources!B:G,6,FALSE)," ")</f>
        <v xml:space="preserve"> </v>
      </c>
      <c r="J1276" s="108">
        <f>SUBTOTAL(9,J1277)</f>
        <v>1347.5</v>
      </c>
      <c r="K1276" s="7"/>
      <c r="L1276" s="7">
        <f>ROUNDUP(L1277,0)</f>
        <v>1</v>
      </c>
      <c r="M1276" s="108">
        <f t="shared" ref="M1276:Q1276" si="1873">SUBTOTAL(9,M1277)</f>
        <v>0</v>
      </c>
      <c r="N1276" s="108">
        <f t="shared" si="1873"/>
        <v>0</v>
      </c>
      <c r="O1276" s="108">
        <f t="shared" si="1873"/>
        <v>0</v>
      </c>
      <c r="P1276" s="108">
        <f t="shared" si="1873"/>
        <v>1347.5</v>
      </c>
      <c r="Q1276" s="108">
        <f t="shared" si="1873"/>
        <v>1347.5</v>
      </c>
      <c r="R1276" s="120"/>
      <c r="T1276" s="188"/>
    </row>
    <row r="1277" spans="1:20" x14ac:dyDescent="0.25">
      <c r="A1277" s="100"/>
      <c r="B1277" s="3">
        <v>1</v>
      </c>
      <c r="C1277" s="5" t="s">
        <v>143</v>
      </c>
      <c r="D1277" s="3" t="s">
        <v>83</v>
      </c>
      <c r="E1277" s="100" t="str">
        <f>IFERROR(VLOOKUP(C1277,Resources!B:D,3,FALSE)," ")</f>
        <v>S</v>
      </c>
      <c r="F1277" s="8">
        <v>1</v>
      </c>
      <c r="G1277" s="8">
        <v>1</v>
      </c>
      <c r="H1277" s="8">
        <f>H1276*1.1</f>
        <v>550</v>
      </c>
      <c r="I1277" s="109">
        <f>IFERROR(VLOOKUP(C1277,Resources!B:G,6,FALSE)," ")</f>
        <v>2.4500000000000002</v>
      </c>
      <c r="J1277" s="109">
        <f t="shared" ref="J1277" si="1874">(H1277/(G1277/F1277))*I1277</f>
        <v>1347.5</v>
      </c>
      <c r="K1277" s="8"/>
      <c r="L1277" s="8">
        <f>H1277/10000</f>
        <v>5.5E-2</v>
      </c>
      <c r="M1277" s="109">
        <f t="shared" ref="M1277" si="1875">IF($E1277="L",$J1277,0)</f>
        <v>0</v>
      </c>
      <c r="N1277" s="109">
        <f t="shared" ref="N1277" si="1876">IF($E1277="M",$J1277,0)</f>
        <v>0</v>
      </c>
      <c r="O1277" s="109">
        <f t="shared" ref="O1277" si="1877">IF($E1277="P",$J1277,0)</f>
        <v>0</v>
      </c>
      <c r="P1277" s="109">
        <f t="shared" ref="P1277" si="1878">IF($E1277="S",$J1277,0)</f>
        <v>1347.5</v>
      </c>
      <c r="Q1277" s="109">
        <f t="shared" ref="Q1277" si="1879">SUM(M1277:P1277)</f>
        <v>1347.5</v>
      </c>
      <c r="R1277" s="121">
        <v>121</v>
      </c>
      <c r="T1277" s="188"/>
    </row>
    <row r="1278" spans="1:20" x14ac:dyDescent="0.25">
      <c r="A1278" s="101"/>
      <c r="B1278" s="4"/>
      <c r="C1278" s="6"/>
      <c r="D1278" s="4"/>
      <c r="E1278" s="101" t="str">
        <f>IFERROR(VLOOKUP(C1278,Resources!B:D,3,FALSE)," ")</f>
        <v xml:space="preserve"> </v>
      </c>
      <c r="F1278" s="9"/>
      <c r="G1278" s="9"/>
      <c r="H1278" s="9"/>
      <c r="I1278" s="38" t="str">
        <f>IFERROR(VLOOKUP(C1278,Resources!B:G,6,FALSE)," ")</f>
        <v xml:space="preserve"> </v>
      </c>
      <c r="J1278" s="38"/>
      <c r="K1278" s="9"/>
      <c r="L1278" s="9"/>
      <c r="M1278" s="38"/>
      <c r="N1278" s="38"/>
      <c r="O1278" s="38"/>
      <c r="P1278" s="38"/>
      <c r="Q1278" s="38"/>
      <c r="R1278" s="122"/>
      <c r="T1278" s="188"/>
    </row>
    <row r="1279" spans="1:20" ht="30" x14ac:dyDescent="0.25">
      <c r="A1279" s="114">
        <v>170</v>
      </c>
      <c r="B1279" s="1" t="s">
        <v>591</v>
      </c>
      <c r="C1279" s="1" t="s">
        <v>241</v>
      </c>
      <c r="D1279" s="2" t="s">
        <v>107</v>
      </c>
      <c r="E1279" s="99" t="str">
        <f>IFERROR(VLOOKUP(C1279,Resources!B:D,3,FALSE)," ")</f>
        <v xml:space="preserve"> </v>
      </c>
      <c r="F1279" s="7"/>
      <c r="G1279" s="7"/>
      <c r="H1279" s="103">
        <f>VLOOKUP($A1279,'Model Inputs'!$A:$D,4,FALSE)</f>
        <v>250</v>
      </c>
      <c r="I1279" s="108" t="str">
        <f>IFERROR(VLOOKUP(C1279,Resources!B:G,6,FALSE)," ")</f>
        <v xml:space="preserve"> </v>
      </c>
      <c r="J1279" s="108">
        <f>SUBTOTAL(9,J1280)</f>
        <v>2231.25</v>
      </c>
      <c r="K1279" s="7"/>
      <c r="L1279" s="7">
        <f>ROUNDUP(L1280,0)</f>
        <v>1</v>
      </c>
      <c r="M1279" s="108">
        <f t="shared" ref="M1279" si="1880">SUBTOTAL(9,M1280)</f>
        <v>0</v>
      </c>
      <c r="N1279" s="108">
        <f t="shared" ref="N1279" si="1881">SUBTOTAL(9,N1280)</f>
        <v>0</v>
      </c>
      <c r="O1279" s="108">
        <f t="shared" ref="O1279" si="1882">SUBTOTAL(9,O1280)</f>
        <v>0</v>
      </c>
      <c r="P1279" s="108">
        <f t="shared" ref="P1279" si="1883">SUBTOTAL(9,P1280)</f>
        <v>2231.25</v>
      </c>
      <c r="Q1279" s="108">
        <f t="shared" ref="Q1279" si="1884">SUBTOTAL(9,Q1280)</f>
        <v>2231.25</v>
      </c>
      <c r="R1279" s="120"/>
      <c r="T1279" s="188"/>
    </row>
    <row r="1280" spans="1:20" x14ac:dyDescent="0.25">
      <c r="A1280" s="100"/>
      <c r="B1280" s="3">
        <v>1</v>
      </c>
      <c r="C1280" s="5" t="s">
        <v>242</v>
      </c>
      <c r="D1280" s="3" t="s">
        <v>83</v>
      </c>
      <c r="E1280" s="100" t="str">
        <f>IFERROR(VLOOKUP(C1280,Resources!B:D,3,FALSE)," ")</f>
        <v>S</v>
      </c>
      <c r="F1280" s="8">
        <v>1</v>
      </c>
      <c r="G1280" s="8">
        <v>1</v>
      </c>
      <c r="H1280" s="8">
        <f>H1279*1.05</f>
        <v>262.5</v>
      </c>
      <c r="I1280" s="109">
        <f>IFERROR(VLOOKUP(C1280,Resources!B:G,6,FALSE)," ")</f>
        <v>8.5</v>
      </c>
      <c r="J1280" s="109">
        <f t="shared" ref="J1280" si="1885">(H1280/(G1280/F1280))*I1280</f>
        <v>2231.25</v>
      </c>
      <c r="K1280" s="8"/>
      <c r="L1280" s="8">
        <f>H1280/500</f>
        <v>0.52500000000000002</v>
      </c>
      <c r="M1280" s="109">
        <f t="shared" ref="M1280" si="1886">IF($E1280="L",$J1280,0)</f>
        <v>0</v>
      </c>
      <c r="N1280" s="109">
        <f t="shared" ref="N1280" si="1887">IF($E1280="M",$J1280,0)</f>
        <v>0</v>
      </c>
      <c r="O1280" s="109">
        <f t="shared" ref="O1280" si="1888">IF($E1280="P",$J1280,0)</f>
        <v>0</v>
      </c>
      <c r="P1280" s="109">
        <f t="shared" ref="P1280" si="1889">IF($E1280="S",$J1280,0)</f>
        <v>2231.25</v>
      </c>
      <c r="Q1280" s="109">
        <f t="shared" ref="Q1280" si="1890">SUM(M1280:P1280)</f>
        <v>2231.25</v>
      </c>
      <c r="R1280" s="121">
        <v>121</v>
      </c>
      <c r="T1280" s="188"/>
    </row>
    <row r="1281" spans="1:20" x14ac:dyDescent="0.25">
      <c r="A1281" s="101"/>
      <c r="B1281" s="4"/>
      <c r="C1281" s="6"/>
      <c r="D1281" s="4"/>
      <c r="E1281" s="101" t="str">
        <f>IFERROR(VLOOKUP(C1281,Resources!B:D,3,FALSE)," ")</f>
        <v xml:space="preserve"> </v>
      </c>
      <c r="F1281" s="9"/>
      <c r="G1281" s="9"/>
      <c r="H1281" s="9"/>
      <c r="I1281" s="38" t="str">
        <f>IFERROR(VLOOKUP(C1281,Resources!B:G,6,FALSE)," ")</f>
        <v xml:space="preserve"> </v>
      </c>
      <c r="J1281" s="38"/>
      <c r="K1281" s="9"/>
      <c r="L1281" s="9"/>
      <c r="M1281" s="38"/>
      <c r="N1281" s="38"/>
      <c r="O1281" s="38"/>
      <c r="P1281" s="38"/>
      <c r="Q1281" s="38"/>
      <c r="R1281" s="122"/>
      <c r="T1281" s="188"/>
    </row>
    <row r="1282" spans="1:20" ht="30" x14ac:dyDescent="0.25">
      <c r="A1282" s="114"/>
      <c r="B1282" s="1" t="s">
        <v>592</v>
      </c>
      <c r="C1282" s="1" t="s">
        <v>593</v>
      </c>
      <c r="D1282" s="2"/>
      <c r="E1282" s="99" t="str">
        <f>IFERROR(VLOOKUP(C1282,Resources!B:D,3,FALSE)," ")</f>
        <v xml:space="preserve"> </v>
      </c>
      <c r="F1282" s="7"/>
      <c r="G1282" s="7"/>
      <c r="H1282" s="7"/>
      <c r="I1282" s="108" t="str">
        <f>IFERROR(VLOOKUP(C1282,Resources!B:G,6,FALSE)," ")</f>
        <v xml:space="preserve"> </v>
      </c>
      <c r="J1282" s="108"/>
      <c r="K1282" s="7"/>
      <c r="L1282" s="7"/>
      <c r="M1282" s="108"/>
      <c r="N1282" s="108"/>
      <c r="O1282" s="108"/>
      <c r="P1282" s="108"/>
      <c r="Q1282" s="108"/>
      <c r="R1282" s="120"/>
      <c r="T1282" s="188"/>
    </row>
    <row r="1283" spans="1:20" ht="30" x14ac:dyDescent="0.25">
      <c r="A1283" s="114">
        <v>171</v>
      </c>
      <c r="B1283" s="1" t="s">
        <v>594</v>
      </c>
      <c r="C1283" s="1" t="s">
        <v>595</v>
      </c>
      <c r="D1283" s="2" t="s">
        <v>29</v>
      </c>
      <c r="E1283" s="99" t="str">
        <f>IFERROR(VLOOKUP(C1283,Resources!B:D,3,FALSE)," ")</f>
        <v xml:space="preserve"> </v>
      </c>
      <c r="F1283" s="7"/>
      <c r="G1283" s="7"/>
      <c r="H1283" s="103">
        <f>VLOOKUP($A1283,'Model Inputs'!$A:$D,4,FALSE)</f>
        <v>4</v>
      </c>
      <c r="I1283" s="108" t="str">
        <f>IFERROR(VLOOKUP(C1283,Resources!B:G,6,FALSE)," ")</f>
        <v xml:space="preserve"> </v>
      </c>
      <c r="J1283" s="108">
        <f>SUBTOTAL(9,J1284)</f>
        <v>3000</v>
      </c>
      <c r="K1283" s="7"/>
      <c r="L1283" s="7">
        <f>ROUNDUP(L1284,0)</f>
        <v>1</v>
      </c>
      <c r="M1283" s="108">
        <f t="shared" ref="M1283" si="1891">SUBTOTAL(9,M1284)</f>
        <v>0</v>
      </c>
      <c r="N1283" s="108">
        <f t="shared" ref="N1283" si="1892">SUBTOTAL(9,N1284)</f>
        <v>0</v>
      </c>
      <c r="O1283" s="108">
        <f t="shared" ref="O1283" si="1893">SUBTOTAL(9,O1284)</f>
        <v>0</v>
      </c>
      <c r="P1283" s="108">
        <f t="shared" ref="P1283" si="1894">SUBTOTAL(9,P1284)</f>
        <v>3000</v>
      </c>
      <c r="Q1283" s="108">
        <f t="shared" ref="Q1283" si="1895">SUBTOTAL(9,Q1284)</f>
        <v>3000</v>
      </c>
      <c r="R1283" s="120"/>
      <c r="T1283" s="188"/>
    </row>
    <row r="1284" spans="1:20" x14ac:dyDescent="0.25">
      <c r="A1284" s="100"/>
      <c r="B1284" s="3">
        <v>1</v>
      </c>
      <c r="C1284" s="5" t="s">
        <v>2256</v>
      </c>
      <c r="D1284" s="3" t="s">
        <v>29</v>
      </c>
      <c r="E1284" s="100" t="str">
        <f>IFERROR(VLOOKUP(C1284,Resources!B:D,3,FALSE)," ")</f>
        <v>S</v>
      </c>
      <c r="F1284" s="8">
        <v>1</v>
      </c>
      <c r="G1284" s="8">
        <v>1</v>
      </c>
      <c r="H1284" s="8">
        <f>H1283</f>
        <v>4</v>
      </c>
      <c r="I1284" s="109">
        <f>IFERROR(VLOOKUP(C1284,Resources!B:G,6,FALSE)," ")</f>
        <v>750</v>
      </c>
      <c r="J1284" s="109">
        <f t="shared" ref="J1284" si="1896">(H1284/(G1284/F1284))*I1284</f>
        <v>3000</v>
      </c>
      <c r="K1284" s="8"/>
      <c r="L1284" s="8">
        <f>H1284/100</f>
        <v>0.04</v>
      </c>
      <c r="M1284" s="109">
        <f t="shared" ref="M1284" si="1897">IF($E1284="L",$J1284,0)</f>
        <v>0</v>
      </c>
      <c r="N1284" s="109">
        <f t="shared" ref="N1284" si="1898">IF($E1284="M",$J1284,0)</f>
        <v>0</v>
      </c>
      <c r="O1284" s="109">
        <f t="shared" ref="O1284" si="1899">IF($E1284="P",$J1284,0)</f>
        <v>0</v>
      </c>
      <c r="P1284" s="109">
        <f t="shared" ref="P1284" si="1900">IF($E1284="S",$J1284,0)</f>
        <v>3000</v>
      </c>
      <c r="Q1284" s="109">
        <f t="shared" ref="Q1284" si="1901">SUM(M1284:P1284)</f>
        <v>3000</v>
      </c>
      <c r="R1284" s="121">
        <v>121</v>
      </c>
      <c r="T1284" s="188"/>
    </row>
    <row r="1285" spans="1:20" x14ac:dyDescent="0.25">
      <c r="A1285" s="101"/>
      <c r="B1285" s="4"/>
      <c r="C1285" s="6"/>
      <c r="D1285" s="4"/>
      <c r="E1285" s="101" t="str">
        <f>IFERROR(VLOOKUP(C1285,Resources!B:D,3,FALSE)," ")</f>
        <v xml:space="preserve"> </v>
      </c>
      <c r="F1285" s="9"/>
      <c r="G1285" s="9"/>
      <c r="H1285" s="9"/>
      <c r="I1285" s="38" t="str">
        <f>IFERROR(VLOOKUP(C1285,Resources!B:G,6,FALSE)," ")</f>
        <v xml:space="preserve"> </v>
      </c>
      <c r="J1285" s="38"/>
      <c r="K1285" s="9"/>
      <c r="L1285" s="9"/>
      <c r="M1285" s="38"/>
      <c r="N1285" s="38"/>
      <c r="O1285" s="38"/>
      <c r="P1285" s="38"/>
      <c r="Q1285" s="38"/>
      <c r="R1285" s="122"/>
      <c r="T1285" s="188"/>
    </row>
    <row r="1286" spans="1:20" ht="30" x14ac:dyDescent="0.25">
      <c r="A1286" s="114">
        <v>172</v>
      </c>
      <c r="B1286" s="1" t="s">
        <v>596</v>
      </c>
      <c r="C1286" s="1" t="s">
        <v>244</v>
      </c>
      <c r="D1286" s="2" t="s">
        <v>62</v>
      </c>
      <c r="E1286" s="99" t="str">
        <f>IFERROR(VLOOKUP(C1286,Resources!B:D,3,FALSE)," ")</f>
        <v xml:space="preserve"> </v>
      </c>
      <c r="F1286" s="7"/>
      <c r="G1286" s="7"/>
      <c r="H1286" s="103">
        <f>VLOOKUP($A1286,'Model Inputs'!$A:$D,4,FALSE)</f>
        <v>50</v>
      </c>
      <c r="I1286" s="108" t="str">
        <f>IFERROR(VLOOKUP(C1286,Resources!B:G,6,FALSE)," ")</f>
        <v xml:space="preserve"> </v>
      </c>
      <c r="J1286" s="108">
        <f>SUBTOTAL(9,J1287:J1289)</f>
        <v>2645</v>
      </c>
      <c r="K1286" s="7"/>
      <c r="L1286" s="7">
        <f>ROUNDUP(MAX(L1288:L1289)/Workhrs,0)</f>
        <v>1</v>
      </c>
      <c r="M1286" s="108">
        <f t="shared" ref="M1286:Q1286" si="1902">SUBTOTAL(9,M1287:M1289)</f>
        <v>420</v>
      </c>
      <c r="N1286" s="108">
        <f t="shared" si="1902"/>
        <v>1750</v>
      </c>
      <c r="O1286" s="108">
        <f t="shared" si="1902"/>
        <v>475</v>
      </c>
      <c r="P1286" s="108">
        <f t="shared" si="1902"/>
        <v>0</v>
      </c>
      <c r="Q1286" s="108">
        <f t="shared" si="1902"/>
        <v>2645</v>
      </c>
      <c r="R1286" s="120"/>
      <c r="T1286" s="188"/>
    </row>
    <row r="1287" spans="1:20" x14ac:dyDescent="0.25">
      <c r="A1287" s="100"/>
      <c r="B1287" s="3">
        <v>1</v>
      </c>
      <c r="C1287" s="5" t="s">
        <v>2185</v>
      </c>
      <c r="D1287" s="3" t="s">
        <v>86</v>
      </c>
      <c r="E1287" s="100" t="str">
        <f>IFERROR(VLOOKUP(C1287,Resources!B:D,3,FALSE)," ")</f>
        <v>M</v>
      </c>
      <c r="F1287" s="8">
        <v>1</v>
      </c>
      <c r="G1287" s="8">
        <v>1</v>
      </c>
      <c r="H1287" s="8">
        <f>H1286</f>
        <v>50</v>
      </c>
      <c r="I1287" s="109">
        <f>IFERROR(VLOOKUP(C1287,Resources!B:G,6,FALSE)," ")</f>
        <v>35</v>
      </c>
      <c r="J1287" s="109">
        <f t="shared" ref="J1287:J1289" si="1903">(H1287/(G1287/F1287))*I1287</f>
        <v>1750</v>
      </c>
      <c r="K1287" s="8"/>
      <c r="L1287" s="8" t="str">
        <f t="shared" ref="L1287:L1289" si="1904">IF(E1287="M"," ",H1287/G1287)</f>
        <v xml:space="preserve"> </v>
      </c>
      <c r="M1287" s="109">
        <f t="shared" ref="M1287:M1289" si="1905">IF($E1287="L",$J1287,0)</f>
        <v>0</v>
      </c>
      <c r="N1287" s="109">
        <f t="shared" ref="N1287:N1289" si="1906">IF($E1287="M",$J1287,0)</f>
        <v>1750</v>
      </c>
      <c r="O1287" s="109">
        <f t="shared" ref="O1287:O1289" si="1907">IF($E1287="P",$J1287,0)</f>
        <v>0</v>
      </c>
      <c r="P1287" s="109">
        <f t="shared" ref="P1287:P1289" si="1908">IF($E1287="S",$J1287,0)</f>
        <v>0</v>
      </c>
      <c r="Q1287" s="109">
        <f t="shared" ref="Q1287:Q1289" si="1909">SUM(M1287:P1287)</f>
        <v>1750</v>
      </c>
      <c r="R1287" s="121">
        <v>33</v>
      </c>
      <c r="T1287" s="188"/>
    </row>
    <row r="1288" spans="1:20" x14ac:dyDescent="0.25">
      <c r="A1288" s="100">
        <v>172.1</v>
      </c>
      <c r="B1288" s="3">
        <v>2</v>
      </c>
      <c r="C1288" s="5" t="s">
        <v>45</v>
      </c>
      <c r="D1288" s="3" t="s">
        <v>48</v>
      </c>
      <c r="E1288" s="100" t="str">
        <f>IFERROR(VLOOKUP(C1288,Resources!B:D,3,FALSE)," ")</f>
        <v>P</v>
      </c>
      <c r="F1288" s="8">
        <v>1</v>
      </c>
      <c r="G1288" s="103">
        <f>VLOOKUP($A1288,'Model Inputs'!$A:$D,4,FALSE)</f>
        <v>10</v>
      </c>
      <c r="H1288" s="8">
        <f>H1286</f>
        <v>50</v>
      </c>
      <c r="I1288" s="109">
        <f>IFERROR(VLOOKUP(C1288,Resources!B:G,6,FALSE)," ")</f>
        <v>95</v>
      </c>
      <c r="J1288" s="109">
        <f t="shared" si="1903"/>
        <v>475</v>
      </c>
      <c r="K1288" s="8">
        <f t="shared" ref="K1288:K1289" si="1910">L1288*F1288</f>
        <v>5</v>
      </c>
      <c r="L1288" s="8">
        <f t="shared" si="1904"/>
        <v>5</v>
      </c>
      <c r="M1288" s="109">
        <f t="shared" si="1905"/>
        <v>0</v>
      </c>
      <c r="N1288" s="109">
        <f t="shared" si="1906"/>
        <v>0</v>
      </c>
      <c r="O1288" s="109">
        <f t="shared" si="1907"/>
        <v>475</v>
      </c>
      <c r="P1288" s="109">
        <f t="shared" si="1908"/>
        <v>0</v>
      </c>
      <c r="Q1288" s="109">
        <f t="shared" si="1909"/>
        <v>475</v>
      </c>
      <c r="R1288" s="121">
        <v>33</v>
      </c>
      <c r="T1288" s="188"/>
    </row>
    <row r="1289" spans="1:20" x14ac:dyDescent="0.25">
      <c r="A1289" s="100"/>
      <c r="B1289" s="3">
        <v>3</v>
      </c>
      <c r="C1289" s="5" t="s">
        <v>8</v>
      </c>
      <c r="D1289" s="3" t="s">
        <v>48</v>
      </c>
      <c r="E1289" s="100" t="str">
        <f>IFERROR(VLOOKUP(C1289,Resources!B:D,3,FALSE)," ")</f>
        <v>L</v>
      </c>
      <c r="F1289" s="8">
        <v>2</v>
      </c>
      <c r="G1289" s="8">
        <f>G1288</f>
        <v>10</v>
      </c>
      <c r="H1289" s="8">
        <f>H1286</f>
        <v>50</v>
      </c>
      <c r="I1289" s="109">
        <f>IFERROR(VLOOKUP(C1289,Resources!B:G,6,FALSE)," ")</f>
        <v>42</v>
      </c>
      <c r="J1289" s="109">
        <f t="shared" si="1903"/>
        <v>420</v>
      </c>
      <c r="K1289" s="8">
        <f t="shared" si="1910"/>
        <v>10</v>
      </c>
      <c r="L1289" s="8">
        <f t="shared" si="1904"/>
        <v>5</v>
      </c>
      <c r="M1289" s="109">
        <f t="shared" si="1905"/>
        <v>420</v>
      </c>
      <c r="N1289" s="109">
        <f t="shared" si="1906"/>
        <v>0</v>
      </c>
      <c r="O1289" s="109">
        <f t="shared" si="1907"/>
        <v>0</v>
      </c>
      <c r="P1289" s="109">
        <f t="shared" si="1908"/>
        <v>0</v>
      </c>
      <c r="Q1289" s="109">
        <f t="shared" si="1909"/>
        <v>420</v>
      </c>
      <c r="R1289" s="121">
        <v>33</v>
      </c>
      <c r="T1289" s="188"/>
    </row>
    <row r="1290" spans="1:20" x14ac:dyDescent="0.25">
      <c r="A1290" s="101"/>
      <c r="B1290" s="4"/>
      <c r="C1290" s="6"/>
      <c r="D1290" s="4"/>
      <c r="E1290" s="101" t="str">
        <f>IFERROR(VLOOKUP(C1290,Resources!B:D,3,FALSE)," ")</f>
        <v xml:space="preserve"> </v>
      </c>
      <c r="F1290" s="9"/>
      <c r="G1290" s="9"/>
      <c r="H1290" s="9"/>
      <c r="I1290" s="38" t="str">
        <f>IFERROR(VLOOKUP(C1290,Resources!B:G,6,FALSE)," ")</f>
        <v xml:space="preserve"> </v>
      </c>
      <c r="J1290" s="38"/>
      <c r="K1290" s="9"/>
      <c r="L1290" s="9"/>
      <c r="M1290" s="38"/>
      <c r="N1290" s="38"/>
      <c r="O1290" s="38"/>
      <c r="P1290" s="38"/>
      <c r="Q1290" s="38"/>
      <c r="R1290" s="122"/>
      <c r="T1290" s="188"/>
    </row>
    <row r="1291" spans="1:20" ht="30" x14ac:dyDescent="0.25">
      <c r="A1291" s="114"/>
      <c r="B1291" s="1" t="s">
        <v>597</v>
      </c>
      <c r="C1291" s="1" t="s">
        <v>418</v>
      </c>
      <c r="D1291" s="2"/>
      <c r="E1291" s="99" t="str">
        <f>IFERROR(VLOOKUP(C1291,Resources!B:D,3,FALSE)," ")</f>
        <v xml:space="preserve"> </v>
      </c>
      <c r="F1291" s="7"/>
      <c r="G1291" s="7"/>
      <c r="H1291" s="7"/>
      <c r="I1291" s="108" t="str">
        <f>IFERROR(VLOOKUP(C1291,Resources!B:G,6,FALSE)," ")</f>
        <v xml:space="preserve"> </v>
      </c>
      <c r="J1291" s="108"/>
      <c r="K1291" s="7"/>
      <c r="L1291" s="7"/>
      <c r="M1291" s="108"/>
      <c r="N1291" s="108"/>
      <c r="O1291" s="108"/>
      <c r="P1291" s="108"/>
      <c r="Q1291" s="108"/>
      <c r="R1291" s="120"/>
      <c r="T1291" s="188"/>
    </row>
    <row r="1292" spans="1:20" ht="30" x14ac:dyDescent="0.25">
      <c r="A1292" s="114"/>
      <c r="B1292" s="1" t="s">
        <v>598</v>
      </c>
      <c r="C1292" s="1" t="s">
        <v>599</v>
      </c>
      <c r="D1292" s="2"/>
      <c r="E1292" s="99" t="str">
        <f>IFERROR(VLOOKUP(C1292,Resources!B:D,3,FALSE)," ")</f>
        <v xml:space="preserve"> </v>
      </c>
      <c r="F1292" s="7"/>
      <c r="G1292" s="7"/>
      <c r="H1292" s="7"/>
      <c r="I1292" s="108" t="str">
        <f>IFERROR(VLOOKUP(C1292,Resources!B:G,6,FALSE)," ")</f>
        <v xml:space="preserve"> </v>
      </c>
      <c r="J1292" s="108"/>
      <c r="K1292" s="7"/>
      <c r="L1292" s="7"/>
      <c r="M1292" s="108"/>
      <c r="N1292" s="108"/>
      <c r="O1292" s="108"/>
      <c r="P1292" s="108"/>
      <c r="Q1292" s="108"/>
      <c r="R1292" s="120"/>
      <c r="T1292" s="188"/>
    </row>
    <row r="1293" spans="1:20" ht="30" x14ac:dyDescent="0.25">
      <c r="A1293" s="114"/>
      <c r="B1293" s="1" t="s">
        <v>600</v>
      </c>
      <c r="C1293" s="1" t="s">
        <v>601</v>
      </c>
      <c r="D1293" s="2"/>
      <c r="E1293" s="99" t="str">
        <f>IFERROR(VLOOKUP(C1293,Resources!B:D,3,FALSE)," ")</f>
        <v xml:space="preserve"> </v>
      </c>
      <c r="F1293" s="7"/>
      <c r="G1293" s="7"/>
      <c r="H1293" s="7"/>
      <c r="I1293" s="108" t="str">
        <f>IFERROR(VLOOKUP(C1293,Resources!B:G,6,FALSE)," ")</f>
        <v xml:space="preserve"> </v>
      </c>
      <c r="J1293" s="108"/>
      <c r="K1293" s="7"/>
      <c r="L1293" s="7"/>
      <c r="M1293" s="108"/>
      <c r="N1293" s="108"/>
      <c r="O1293" s="108"/>
      <c r="P1293" s="108"/>
      <c r="Q1293" s="108"/>
      <c r="R1293" s="120"/>
      <c r="T1293" s="188"/>
    </row>
    <row r="1294" spans="1:20" ht="30" x14ac:dyDescent="0.25">
      <c r="A1294" s="114">
        <v>173</v>
      </c>
      <c r="B1294" s="1" t="s">
        <v>602</v>
      </c>
      <c r="C1294" s="1" t="s">
        <v>603</v>
      </c>
      <c r="D1294" s="2" t="s">
        <v>89</v>
      </c>
      <c r="E1294" s="99" t="str">
        <f>IFERROR(VLOOKUP(C1294,Resources!B:D,3,FALSE)," ")</f>
        <v xml:space="preserve"> </v>
      </c>
      <c r="F1294" s="7"/>
      <c r="G1294" s="7"/>
      <c r="H1294" s="103">
        <f>VLOOKUP($A1294,'Model Inputs'!$A:$D,4,FALSE)</f>
        <v>300</v>
      </c>
      <c r="I1294" s="108" t="str">
        <f>IFERROR(VLOOKUP(C1294,Resources!B:G,6,FALSE)," ")</f>
        <v xml:space="preserve"> </v>
      </c>
      <c r="J1294" s="108">
        <f>SUBTOTAL(9,J1295)</f>
        <v>3000</v>
      </c>
      <c r="K1294" s="7"/>
      <c r="L1294" s="7">
        <f>ROUNDUP(L1295,0)</f>
        <v>2</v>
      </c>
      <c r="M1294" s="108">
        <f t="shared" ref="M1294" si="1911">SUBTOTAL(9,M1295)</f>
        <v>0</v>
      </c>
      <c r="N1294" s="108">
        <f t="shared" ref="N1294" si="1912">SUBTOTAL(9,N1295)</f>
        <v>0</v>
      </c>
      <c r="O1294" s="108">
        <f t="shared" ref="O1294" si="1913">SUBTOTAL(9,O1295)</f>
        <v>0</v>
      </c>
      <c r="P1294" s="108">
        <f t="shared" ref="P1294" si="1914">SUBTOTAL(9,P1295)</f>
        <v>3000</v>
      </c>
      <c r="Q1294" s="108">
        <f t="shared" ref="Q1294" si="1915">SUBTOTAL(9,Q1295)</f>
        <v>3000</v>
      </c>
      <c r="R1294" s="120"/>
      <c r="T1294" s="188"/>
    </row>
    <row r="1295" spans="1:20" x14ac:dyDescent="0.25">
      <c r="A1295" s="100"/>
      <c r="B1295" s="3">
        <v>1</v>
      </c>
      <c r="C1295" s="5" t="s">
        <v>604</v>
      </c>
      <c r="D1295" s="3" t="s">
        <v>89</v>
      </c>
      <c r="E1295" s="100" t="str">
        <f>IFERROR(VLOOKUP(C1295,Resources!B:D,3,FALSE)," ")</f>
        <v>S</v>
      </c>
      <c r="F1295" s="8">
        <v>1</v>
      </c>
      <c r="G1295" s="8">
        <v>1</v>
      </c>
      <c r="H1295" s="8">
        <f>H1294</f>
        <v>300</v>
      </c>
      <c r="I1295" s="109">
        <f>IFERROR(VLOOKUP(C1295,Resources!B:G,6,FALSE)," ")</f>
        <v>10</v>
      </c>
      <c r="J1295" s="109">
        <f t="shared" ref="J1295" si="1916">(H1295/(G1295/F1295))*I1295</f>
        <v>3000</v>
      </c>
      <c r="K1295" s="8"/>
      <c r="L1295" s="8">
        <f>H1295/150</f>
        <v>2</v>
      </c>
      <c r="M1295" s="109">
        <f t="shared" ref="M1295" si="1917">IF($E1295="L",$J1295,0)</f>
        <v>0</v>
      </c>
      <c r="N1295" s="109">
        <f t="shared" ref="N1295" si="1918">IF($E1295="M",$J1295,0)</f>
        <v>0</v>
      </c>
      <c r="O1295" s="109">
        <f t="shared" ref="O1295" si="1919">IF($E1295="P",$J1295,0)</f>
        <v>0</v>
      </c>
      <c r="P1295" s="109">
        <f t="shared" ref="P1295" si="1920">IF($E1295="S",$J1295,0)</f>
        <v>3000</v>
      </c>
      <c r="Q1295" s="109">
        <f t="shared" ref="Q1295" si="1921">SUM(M1295:P1295)</f>
        <v>3000</v>
      </c>
      <c r="R1295" s="121">
        <v>75</v>
      </c>
      <c r="T1295" s="188"/>
    </row>
    <row r="1296" spans="1:20" x14ac:dyDescent="0.25">
      <c r="A1296" s="101"/>
      <c r="B1296" s="4"/>
      <c r="C1296" s="6"/>
      <c r="D1296" s="4"/>
      <c r="E1296" s="101" t="str">
        <f>IFERROR(VLOOKUP(C1296,Resources!B:D,3,FALSE)," ")</f>
        <v xml:space="preserve"> </v>
      </c>
      <c r="F1296" s="9"/>
      <c r="G1296" s="9"/>
      <c r="H1296" s="9"/>
      <c r="I1296" s="38" t="str">
        <f>IFERROR(VLOOKUP(C1296,Resources!B:G,6,FALSE)," ")</f>
        <v xml:space="preserve"> </v>
      </c>
      <c r="J1296" s="38"/>
      <c r="K1296" s="9"/>
      <c r="L1296" s="9"/>
      <c r="M1296" s="38"/>
      <c r="N1296" s="38"/>
      <c r="O1296" s="38"/>
      <c r="P1296" s="38"/>
      <c r="Q1296" s="38"/>
      <c r="R1296" s="122"/>
      <c r="T1296" s="188"/>
    </row>
    <row r="1297" spans="1:20" ht="30" x14ac:dyDescent="0.25">
      <c r="A1297" s="114"/>
      <c r="B1297" s="1" t="s">
        <v>605</v>
      </c>
      <c r="C1297" s="1" t="s">
        <v>420</v>
      </c>
      <c r="D1297" s="2"/>
      <c r="E1297" s="99" t="str">
        <f>IFERROR(VLOOKUP(C1297,Resources!B:D,3,FALSE)," ")</f>
        <v xml:space="preserve"> </v>
      </c>
      <c r="F1297" s="7"/>
      <c r="G1297" s="7"/>
      <c r="H1297" s="7"/>
      <c r="I1297" s="108" t="str">
        <f>IFERROR(VLOOKUP(C1297,Resources!B:G,6,FALSE)," ")</f>
        <v xml:space="preserve"> </v>
      </c>
      <c r="J1297" s="108"/>
      <c r="K1297" s="7"/>
      <c r="L1297" s="7"/>
      <c r="M1297" s="108"/>
      <c r="N1297" s="108"/>
      <c r="O1297" s="108"/>
      <c r="P1297" s="108"/>
      <c r="Q1297" s="108"/>
      <c r="R1297" s="120"/>
      <c r="T1297" s="188"/>
    </row>
    <row r="1298" spans="1:20" ht="30" x14ac:dyDescent="0.25">
      <c r="A1298" s="114">
        <v>174</v>
      </c>
      <c r="B1298" s="1" t="s">
        <v>606</v>
      </c>
      <c r="C1298" s="1" t="s">
        <v>514</v>
      </c>
      <c r="D1298" s="2" t="s">
        <v>20</v>
      </c>
      <c r="E1298" s="99" t="str">
        <f>IFERROR(VLOOKUP(C1298,Resources!B:D,3,FALSE)," ")</f>
        <v xml:space="preserve"> </v>
      </c>
      <c r="F1298" s="7"/>
      <c r="G1298" s="7"/>
      <c r="H1298" s="103">
        <f>VLOOKUP($A1298,'Model Inputs'!$A:$D,4,FALSE)</f>
        <v>1</v>
      </c>
      <c r="I1298" s="108" t="str">
        <f>IFERROR(VLOOKUP(C1298,Resources!B:G,6,FALSE)," ")</f>
        <v xml:space="preserve"> </v>
      </c>
      <c r="J1298" s="108">
        <f>SUBTOTAL(9,J1299)</f>
        <v>29880</v>
      </c>
      <c r="K1298" s="7"/>
      <c r="L1298" s="7">
        <f>ROUNDUP(L1299,0)</f>
        <v>4</v>
      </c>
      <c r="M1298" s="108">
        <f t="shared" ref="M1298" si="1922">SUBTOTAL(9,M1299)</f>
        <v>0</v>
      </c>
      <c r="N1298" s="108">
        <f t="shared" ref="N1298" si="1923">SUBTOTAL(9,N1299)</f>
        <v>0</v>
      </c>
      <c r="O1298" s="108">
        <f t="shared" ref="O1298" si="1924">SUBTOTAL(9,O1299)</f>
        <v>0</v>
      </c>
      <c r="P1298" s="108">
        <f t="shared" ref="P1298" si="1925">SUBTOTAL(9,P1299)</f>
        <v>29880</v>
      </c>
      <c r="Q1298" s="108">
        <f t="shared" ref="Q1298" si="1926">SUBTOTAL(9,Q1299)</f>
        <v>29880</v>
      </c>
      <c r="R1298" s="120"/>
      <c r="T1298" s="188"/>
    </row>
    <row r="1299" spans="1:20" x14ac:dyDescent="0.25">
      <c r="A1299" s="100"/>
      <c r="B1299" s="3">
        <v>1</v>
      </c>
      <c r="C1299" s="5" t="s">
        <v>306</v>
      </c>
      <c r="D1299" s="3" t="s">
        <v>33</v>
      </c>
      <c r="E1299" s="100" t="str">
        <f>IFERROR(VLOOKUP(C1299,Resources!B:D,3,FALSE)," ")</f>
        <v>S</v>
      </c>
      <c r="F1299" s="8">
        <v>1</v>
      </c>
      <c r="G1299" s="8">
        <v>1</v>
      </c>
      <c r="H1299" s="8">
        <f>H1298*29880</f>
        <v>29880</v>
      </c>
      <c r="I1299" s="109">
        <f>IFERROR(VLOOKUP(C1299,Resources!B:G,6,FALSE)," ")</f>
        <v>1</v>
      </c>
      <c r="J1299" s="109">
        <f t="shared" ref="J1299" si="1927">(H1299/(G1299/F1299))*I1299</f>
        <v>29880</v>
      </c>
      <c r="K1299" s="8"/>
      <c r="L1299" s="8">
        <f>H1298*4</f>
        <v>4</v>
      </c>
      <c r="M1299" s="109">
        <f t="shared" ref="M1299" si="1928">IF($E1299="L",$J1299,0)</f>
        <v>0</v>
      </c>
      <c r="N1299" s="109">
        <f t="shared" ref="N1299" si="1929">IF($E1299="M",$J1299,0)</f>
        <v>0</v>
      </c>
      <c r="O1299" s="109">
        <f t="shared" ref="O1299" si="1930">IF($E1299="P",$J1299,0)</f>
        <v>0</v>
      </c>
      <c r="P1299" s="109">
        <f t="shared" ref="P1299" si="1931">IF($E1299="S",$J1299,0)</f>
        <v>29880</v>
      </c>
      <c r="Q1299" s="109">
        <f t="shared" ref="Q1299" si="1932">SUM(M1299:P1299)</f>
        <v>29880</v>
      </c>
      <c r="R1299" s="121">
        <v>103</v>
      </c>
      <c r="T1299" s="188"/>
    </row>
    <row r="1300" spans="1:20" x14ac:dyDescent="0.25">
      <c r="A1300" s="101"/>
      <c r="B1300" s="4"/>
      <c r="C1300" s="6"/>
      <c r="D1300" s="4"/>
      <c r="E1300" s="101" t="str">
        <f>IFERROR(VLOOKUP(C1300,Resources!B:D,3,FALSE)," ")</f>
        <v xml:space="preserve"> </v>
      </c>
      <c r="F1300" s="9"/>
      <c r="G1300" s="9"/>
      <c r="H1300" s="9"/>
      <c r="I1300" s="38" t="str">
        <f>IFERROR(VLOOKUP(C1300,Resources!B:G,6,FALSE)," ")</f>
        <v xml:space="preserve"> </v>
      </c>
      <c r="J1300" s="38"/>
      <c r="K1300" s="9"/>
      <c r="L1300" s="9"/>
      <c r="M1300" s="38"/>
      <c r="N1300" s="38"/>
      <c r="O1300" s="38"/>
      <c r="P1300" s="38"/>
      <c r="Q1300" s="38"/>
      <c r="R1300" s="122"/>
      <c r="T1300" s="188"/>
    </row>
    <row r="1301" spans="1:20" ht="30" x14ac:dyDescent="0.25">
      <c r="A1301" s="114"/>
      <c r="B1301" s="1" t="s">
        <v>607</v>
      </c>
      <c r="C1301" s="1" t="s">
        <v>145</v>
      </c>
      <c r="D1301" s="2"/>
      <c r="E1301" s="99" t="str">
        <f>IFERROR(VLOOKUP(C1301,Resources!B:D,3,FALSE)," ")</f>
        <v xml:space="preserve"> </v>
      </c>
      <c r="F1301" s="7"/>
      <c r="G1301" s="7"/>
      <c r="H1301" s="7"/>
      <c r="I1301" s="108" t="str">
        <f>IFERROR(VLOOKUP(C1301,Resources!B:G,6,FALSE)," ")</f>
        <v xml:space="preserve"> </v>
      </c>
      <c r="J1301" s="108"/>
      <c r="K1301" s="7"/>
      <c r="L1301" s="7"/>
      <c r="M1301" s="108"/>
      <c r="N1301" s="108"/>
      <c r="O1301" s="108"/>
      <c r="P1301" s="108"/>
      <c r="Q1301" s="108"/>
      <c r="R1301" s="120"/>
      <c r="T1301" s="188"/>
    </row>
    <row r="1302" spans="1:20" ht="30" x14ac:dyDescent="0.25">
      <c r="A1302" s="114">
        <v>175</v>
      </c>
      <c r="B1302" s="1" t="s">
        <v>608</v>
      </c>
      <c r="C1302" s="1" t="s">
        <v>147</v>
      </c>
      <c r="D1302" s="2" t="s">
        <v>20</v>
      </c>
      <c r="E1302" s="99" t="str">
        <f>IFERROR(VLOOKUP(C1302,Resources!B:D,3,FALSE)," ")</f>
        <v xml:space="preserve"> </v>
      </c>
      <c r="F1302" s="7"/>
      <c r="G1302" s="7"/>
      <c r="H1302" s="103">
        <f>VLOOKUP($A1302,'Model Inputs'!$A:$D,4,FALSE)</f>
        <v>1</v>
      </c>
      <c r="I1302" s="108" t="str">
        <f>IFERROR(VLOOKUP(C1302,Resources!B:G,6,FALSE)," ")</f>
        <v xml:space="preserve"> </v>
      </c>
      <c r="J1302" s="108">
        <f>SUBTOTAL(9,J1303)</f>
        <v>2400</v>
      </c>
      <c r="K1302" s="7"/>
      <c r="L1302" s="7">
        <f>ROUNDUP(L1303/Workhrs,0)</f>
        <v>3</v>
      </c>
      <c r="M1302" s="108">
        <f t="shared" ref="M1302" si="1933">SUBTOTAL(9,M1303)</f>
        <v>0</v>
      </c>
      <c r="N1302" s="108">
        <f t="shared" ref="N1302" si="1934">SUBTOTAL(9,N1303)</f>
        <v>0</v>
      </c>
      <c r="O1302" s="108">
        <f t="shared" ref="O1302" si="1935">SUBTOTAL(9,O1303)</f>
        <v>0</v>
      </c>
      <c r="P1302" s="108">
        <f t="shared" ref="P1302" si="1936">SUBTOTAL(9,P1303)</f>
        <v>2400</v>
      </c>
      <c r="Q1302" s="108">
        <f t="shared" ref="Q1302" si="1937">SUBTOTAL(9,Q1303)</f>
        <v>2400</v>
      </c>
      <c r="R1302" s="120"/>
      <c r="T1302" s="188"/>
    </row>
    <row r="1303" spans="1:20" x14ac:dyDescent="0.25">
      <c r="A1303" s="100"/>
      <c r="B1303" s="3">
        <v>1</v>
      </c>
      <c r="C1303" s="5" t="s">
        <v>148</v>
      </c>
      <c r="D1303" s="3" t="s">
        <v>33</v>
      </c>
      <c r="E1303" s="100" t="str">
        <f>IFERROR(VLOOKUP(C1303,Resources!B:D,3,FALSE)," ")</f>
        <v>S</v>
      </c>
      <c r="F1303" s="8">
        <v>1</v>
      </c>
      <c r="G1303" s="8">
        <v>1</v>
      </c>
      <c r="H1303" s="8">
        <f>H1302*2400</f>
        <v>2400</v>
      </c>
      <c r="I1303" s="109">
        <f>IFERROR(VLOOKUP(C1303,Resources!B:G,6,FALSE)," ")</f>
        <v>1</v>
      </c>
      <c r="J1303" s="109">
        <f t="shared" ref="J1303" si="1938">(H1303/(G1303/F1303))*I1303</f>
        <v>2400</v>
      </c>
      <c r="K1303" s="8"/>
      <c r="L1303" s="8">
        <f>H1303/125</f>
        <v>19.2</v>
      </c>
      <c r="M1303" s="109">
        <f t="shared" ref="M1303" si="1939">IF($E1303="L",$J1303,0)</f>
        <v>0</v>
      </c>
      <c r="N1303" s="109">
        <f t="shared" ref="N1303" si="1940">IF($E1303="M",$J1303,0)</f>
        <v>0</v>
      </c>
      <c r="O1303" s="109">
        <f t="shared" ref="O1303" si="1941">IF($E1303="P",$J1303,0)</f>
        <v>0</v>
      </c>
      <c r="P1303" s="109">
        <f t="shared" ref="P1303" si="1942">IF($E1303="S",$J1303,0)</f>
        <v>2400</v>
      </c>
      <c r="Q1303" s="109">
        <f t="shared" ref="Q1303" si="1943">SUM(M1303:P1303)</f>
        <v>2400</v>
      </c>
      <c r="R1303" s="121">
        <v>12</v>
      </c>
      <c r="T1303" s="188"/>
    </row>
    <row r="1304" spans="1:20" x14ac:dyDescent="0.25">
      <c r="A1304" s="101"/>
      <c r="B1304" s="4"/>
      <c r="C1304" s="6"/>
      <c r="D1304" s="4"/>
      <c r="E1304" s="101" t="str">
        <f>IFERROR(VLOOKUP(C1304,Resources!B:D,3,FALSE)," ")</f>
        <v xml:space="preserve"> </v>
      </c>
      <c r="F1304" s="9"/>
      <c r="G1304" s="9"/>
      <c r="H1304" s="9"/>
      <c r="I1304" s="38" t="str">
        <f>IFERROR(VLOOKUP(C1304,Resources!B:G,6,FALSE)," ")</f>
        <v xml:space="preserve"> </v>
      </c>
      <c r="J1304" s="38"/>
      <c r="K1304" s="9"/>
      <c r="L1304" s="9"/>
      <c r="M1304" s="38"/>
      <c r="N1304" s="38"/>
      <c r="O1304" s="38"/>
      <c r="P1304" s="38"/>
      <c r="Q1304" s="38"/>
      <c r="R1304" s="122"/>
      <c r="T1304" s="188"/>
    </row>
    <row r="1305" spans="1:20" ht="30" x14ac:dyDescent="0.25">
      <c r="A1305" s="114">
        <v>800</v>
      </c>
      <c r="B1305" s="1" t="s">
        <v>609</v>
      </c>
      <c r="C1305" s="1" t="s">
        <v>610</v>
      </c>
      <c r="D1305" s="2"/>
      <c r="E1305" s="99" t="str">
        <f>IFERROR(VLOOKUP(C1305,Resources!B:D,3,FALSE)," ")</f>
        <v xml:space="preserve"> </v>
      </c>
      <c r="F1305" s="7"/>
      <c r="G1305" s="7"/>
      <c r="H1305" s="7"/>
      <c r="I1305" s="108" t="str">
        <f>IFERROR(VLOOKUP(C1305,Resources!B:G,6,FALSE)," ")</f>
        <v xml:space="preserve"> </v>
      </c>
      <c r="J1305" s="108"/>
      <c r="K1305" s="7"/>
      <c r="L1305" s="7"/>
      <c r="M1305" s="108"/>
      <c r="N1305" s="108"/>
      <c r="O1305" s="108"/>
      <c r="P1305" s="108"/>
      <c r="Q1305" s="108"/>
      <c r="R1305" s="120"/>
      <c r="T1305" s="188"/>
    </row>
    <row r="1306" spans="1:20" ht="30" x14ac:dyDescent="0.25">
      <c r="A1306" s="114"/>
      <c r="B1306" s="1" t="s">
        <v>611</v>
      </c>
      <c r="C1306" s="1" t="s">
        <v>17</v>
      </c>
      <c r="D1306" s="2"/>
      <c r="E1306" s="99" t="str">
        <f>IFERROR(VLOOKUP(C1306,Resources!B:D,3,FALSE)," ")</f>
        <v xml:space="preserve"> </v>
      </c>
      <c r="F1306" s="7"/>
      <c r="G1306" s="7"/>
      <c r="H1306" s="7"/>
      <c r="I1306" s="108" t="str">
        <f>IFERROR(VLOOKUP(C1306,Resources!B:G,6,FALSE)," ")</f>
        <v xml:space="preserve"> </v>
      </c>
      <c r="J1306" s="108"/>
      <c r="K1306" s="7"/>
      <c r="L1306" s="7"/>
      <c r="M1306" s="108"/>
      <c r="N1306" s="108"/>
      <c r="O1306" s="108"/>
      <c r="P1306" s="108"/>
      <c r="Q1306" s="108"/>
      <c r="R1306" s="120"/>
      <c r="T1306" s="188"/>
    </row>
    <row r="1307" spans="1:20" ht="30" x14ac:dyDescent="0.25">
      <c r="A1307" s="114"/>
      <c r="B1307" s="1" t="s">
        <v>612</v>
      </c>
      <c r="C1307" s="1" t="s">
        <v>25</v>
      </c>
      <c r="D1307" s="2"/>
      <c r="E1307" s="99" t="str">
        <f>IFERROR(VLOOKUP(C1307,Resources!B:D,3,FALSE)," ")</f>
        <v xml:space="preserve"> </v>
      </c>
      <c r="F1307" s="7"/>
      <c r="G1307" s="7"/>
      <c r="H1307" s="7"/>
      <c r="I1307" s="108" t="str">
        <f>IFERROR(VLOOKUP(C1307,Resources!B:G,6,FALSE)," ")</f>
        <v xml:space="preserve"> </v>
      </c>
      <c r="J1307" s="108"/>
      <c r="K1307" s="7"/>
      <c r="L1307" s="7"/>
      <c r="M1307" s="108"/>
      <c r="N1307" s="108"/>
      <c r="O1307" s="108"/>
      <c r="P1307" s="108"/>
      <c r="Q1307" s="108"/>
      <c r="R1307" s="120"/>
      <c r="T1307" s="188"/>
    </row>
    <row r="1308" spans="1:20" ht="30" x14ac:dyDescent="0.25">
      <c r="A1308" s="114">
        <v>176</v>
      </c>
      <c r="B1308" s="1" t="s">
        <v>613</v>
      </c>
      <c r="C1308" s="1" t="s">
        <v>27</v>
      </c>
      <c r="D1308" s="2" t="s">
        <v>20</v>
      </c>
      <c r="E1308" s="99" t="str">
        <f>IFERROR(VLOOKUP(C1308,Resources!B:D,3,FALSE)," ")</f>
        <v xml:space="preserve"> </v>
      </c>
      <c r="F1308" s="7"/>
      <c r="G1308" s="7"/>
      <c r="H1308" s="103">
        <f>VLOOKUP($A1308,'Model Inputs'!$A:$D,4,FALSE)</f>
        <v>1</v>
      </c>
      <c r="I1308" s="108" t="str">
        <f>IFERROR(VLOOKUP(C1308,Resources!B:G,6,FALSE)," ")</f>
        <v xml:space="preserve"> </v>
      </c>
      <c r="J1308" s="108">
        <f>SUBTOTAL(9,J1309:J1315)</f>
        <v>9860</v>
      </c>
      <c r="K1308" s="7"/>
      <c r="L1308" s="7">
        <v>0</v>
      </c>
      <c r="M1308" s="108">
        <f t="shared" ref="M1308:Q1308" si="1944">SUBTOTAL(9,M1309:M1315)</f>
        <v>3250</v>
      </c>
      <c r="N1308" s="108">
        <f t="shared" si="1944"/>
        <v>0</v>
      </c>
      <c r="O1308" s="108">
        <f t="shared" si="1944"/>
        <v>0</v>
      </c>
      <c r="P1308" s="108">
        <f t="shared" si="1944"/>
        <v>6610</v>
      </c>
      <c r="Q1308" s="108">
        <f t="shared" si="1944"/>
        <v>9860</v>
      </c>
      <c r="R1308" s="120"/>
      <c r="T1308" s="188"/>
    </row>
    <row r="1309" spans="1:20" x14ac:dyDescent="0.25">
      <c r="A1309" s="100"/>
      <c r="B1309" s="3">
        <v>1</v>
      </c>
      <c r="C1309" s="5" t="s">
        <v>21</v>
      </c>
      <c r="D1309" s="3" t="s">
        <v>22</v>
      </c>
      <c r="E1309" s="100" t="str">
        <f>IFERROR(VLOOKUP(C1309,Resources!B:D,3,FALSE)," ")</f>
        <v>L</v>
      </c>
      <c r="F1309" s="8">
        <v>1</v>
      </c>
      <c r="G1309" s="8">
        <v>1</v>
      </c>
      <c r="H1309" s="8">
        <f>H1308</f>
        <v>1</v>
      </c>
      <c r="I1309" s="109">
        <f>IFERROR(VLOOKUP(C1309,Resources!B:G,6,FALSE)," ")</f>
        <v>3250</v>
      </c>
      <c r="J1309" s="109">
        <f t="shared" ref="J1309" si="1945">(H1309/(G1309/F1309))*I1309</f>
        <v>3250</v>
      </c>
      <c r="K1309" s="8"/>
      <c r="L1309" s="8"/>
      <c r="M1309" s="109">
        <f t="shared" ref="M1309" si="1946">IF($E1309="L",$J1309,0)</f>
        <v>3250</v>
      </c>
      <c r="N1309" s="109">
        <f t="shared" ref="N1309" si="1947">IF($E1309="M",$J1309,0)</f>
        <v>0</v>
      </c>
      <c r="O1309" s="109">
        <f t="shared" ref="O1309" si="1948">IF($E1309="P",$J1309,0)</f>
        <v>0</v>
      </c>
      <c r="P1309" s="109">
        <f t="shared" ref="P1309" si="1949">IF($E1309="S",$J1309,0)</f>
        <v>0</v>
      </c>
      <c r="Q1309" s="109">
        <f t="shared" ref="Q1309" si="1950">SUM(M1309:P1309)</f>
        <v>3250</v>
      </c>
      <c r="R1309" s="121">
        <v>901</v>
      </c>
      <c r="T1309" s="188"/>
    </row>
    <row r="1310" spans="1:20" x14ac:dyDescent="0.25">
      <c r="A1310" s="100">
        <v>176.1</v>
      </c>
      <c r="B1310" s="3">
        <v>2</v>
      </c>
      <c r="C1310" s="5" t="s">
        <v>2367</v>
      </c>
      <c r="D1310" s="3"/>
      <c r="E1310" s="100" t="str">
        <f>IFERROR(VLOOKUP(C1310,Resources!B:D,3,FALSE)," ")</f>
        <v xml:space="preserve"> </v>
      </c>
      <c r="F1310" s="8"/>
      <c r="G1310" s="8"/>
      <c r="H1310" s="103">
        <f>VLOOKUP($A1310,'Model Inputs'!$A:$D,4,FALSE)</f>
        <v>12</v>
      </c>
      <c r="I1310" s="109" t="str">
        <f>IFERROR(VLOOKUP(C1310,Resources!B:G,6,FALSE)," ")</f>
        <v xml:space="preserve"> </v>
      </c>
      <c r="J1310" s="109"/>
      <c r="K1310" s="8"/>
      <c r="L1310" s="8"/>
      <c r="M1310" s="109"/>
      <c r="N1310" s="109"/>
      <c r="O1310" s="109"/>
      <c r="P1310" s="109"/>
      <c r="Q1310" s="109"/>
      <c r="R1310" s="121"/>
      <c r="T1310" s="188"/>
    </row>
    <row r="1311" spans="1:20" x14ac:dyDescent="0.25">
      <c r="A1311" s="100">
        <v>176.2</v>
      </c>
      <c r="B1311" s="3">
        <v>3</v>
      </c>
      <c r="C1311" s="5" t="s">
        <v>2363</v>
      </c>
      <c r="D1311" s="3"/>
      <c r="E1311" s="100" t="str">
        <f>IFERROR(VLOOKUP(C1311,Resources!B:D,3,FALSE)," ")</f>
        <v xml:space="preserve"> </v>
      </c>
      <c r="F1311" s="8"/>
      <c r="G1311" s="8"/>
      <c r="H1311" s="103">
        <f>VLOOKUP($A1311,'Model Inputs'!$A:$D,4,FALSE)</f>
        <v>6</v>
      </c>
      <c r="I1311" s="109" t="str">
        <f>IFERROR(VLOOKUP(C1311,Resources!B:G,6,FALSE)," ")</f>
        <v xml:space="preserve"> </v>
      </c>
      <c r="J1311" s="109"/>
      <c r="K1311" s="8"/>
      <c r="L1311" s="8"/>
      <c r="M1311" s="109"/>
      <c r="N1311" s="109"/>
      <c r="O1311" s="109"/>
      <c r="P1311" s="109"/>
      <c r="Q1311" s="109"/>
      <c r="R1311" s="121"/>
      <c r="T1311" s="188"/>
    </row>
    <row r="1312" spans="1:20" x14ac:dyDescent="0.25">
      <c r="A1312" s="100"/>
      <c r="B1312" s="3">
        <v>4</v>
      </c>
      <c r="C1312" s="5" t="s">
        <v>28</v>
      </c>
      <c r="D1312" s="3" t="s">
        <v>29</v>
      </c>
      <c r="E1312" s="100" t="str">
        <f>IFERROR(VLOOKUP(C1312,Resources!B:D,3,FALSE)," ")</f>
        <v>S</v>
      </c>
      <c r="F1312" s="8">
        <v>1</v>
      </c>
      <c r="G1312" s="8">
        <v>1</v>
      </c>
      <c r="H1312" s="8">
        <f>H1310</f>
        <v>12</v>
      </c>
      <c r="I1312" s="109">
        <f>IFERROR(VLOOKUP(C1312,Resources!B:G,6,FALSE)," ")</f>
        <v>45</v>
      </c>
      <c r="J1312" s="109">
        <f t="shared" ref="J1312:J1314" si="1951">(H1312/(G1312/F1312))*I1312</f>
        <v>540</v>
      </c>
      <c r="K1312" s="8"/>
      <c r="L1312" s="8"/>
      <c r="M1312" s="109">
        <f t="shared" ref="M1312:M1315" si="1952">IF($E1312="L",$J1312,0)</f>
        <v>0</v>
      </c>
      <c r="N1312" s="109">
        <f t="shared" ref="N1312:N1315" si="1953">IF($E1312="M",$J1312,0)</f>
        <v>0</v>
      </c>
      <c r="O1312" s="109">
        <f t="shared" ref="O1312:O1315" si="1954">IF($E1312="P",$J1312,0)</f>
        <v>0</v>
      </c>
      <c r="P1312" s="109">
        <f t="shared" ref="P1312:P1315" si="1955">IF($E1312="S",$J1312,0)</f>
        <v>540</v>
      </c>
      <c r="Q1312" s="109">
        <f t="shared" ref="Q1312:Q1315" si="1956">SUM(M1312:P1312)</f>
        <v>540</v>
      </c>
      <c r="R1312" s="121">
        <v>13</v>
      </c>
      <c r="T1312" s="188"/>
    </row>
    <row r="1313" spans="1:20" x14ac:dyDescent="0.25">
      <c r="A1313" s="100"/>
      <c r="B1313" s="3">
        <v>5</v>
      </c>
      <c r="C1313" s="5" t="s">
        <v>30</v>
      </c>
      <c r="D1313" s="3" t="s">
        <v>29</v>
      </c>
      <c r="E1313" s="100" t="str">
        <f>IFERROR(VLOOKUP(C1313,Resources!B:D,3,FALSE)," ")</f>
        <v>S</v>
      </c>
      <c r="F1313" s="8">
        <v>1</v>
      </c>
      <c r="G1313" s="8">
        <v>1</v>
      </c>
      <c r="H1313" s="8">
        <v>3</v>
      </c>
      <c r="I1313" s="109">
        <f>IFERROR(VLOOKUP(C1313,Resources!B:G,6,FALSE)," ")</f>
        <v>390</v>
      </c>
      <c r="J1313" s="109">
        <f t="shared" si="1951"/>
        <v>1170</v>
      </c>
      <c r="K1313" s="8"/>
      <c r="L1313" s="8"/>
      <c r="M1313" s="109">
        <f t="shared" si="1952"/>
        <v>0</v>
      </c>
      <c r="N1313" s="109">
        <f t="shared" si="1953"/>
        <v>0</v>
      </c>
      <c r="O1313" s="109">
        <f t="shared" si="1954"/>
        <v>0</v>
      </c>
      <c r="P1313" s="109">
        <f t="shared" si="1955"/>
        <v>1170</v>
      </c>
      <c r="Q1313" s="109">
        <f t="shared" si="1956"/>
        <v>1170</v>
      </c>
      <c r="R1313" s="121">
        <v>13</v>
      </c>
      <c r="T1313" s="188"/>
    </row>
    <row r="1314" spans="1:20" x14ac:dyDescent="0.25">
      <c r="A1314" s="100"/>
      <c r="B1314" s="3">
        <v>6</v>
      </c>
      <c r="C1314" s="5" t="s">
        <v>31</v>
      </c>
      <c r="D1314" s="3" t="s">
        <v>29</v>
      </c>
      <c r="E1314" s="100" t="str">
        <f>IFERROR(VLOOKUP(C1314,Resources!B:D,3,FALSE)," ")</f>
        <v>S</v>
      </c>
      <c r="F1314" s="8">
        <v>1</v>
      </c>
      <c r="G1314" s="8">
        <v>1</v>
      </c>
      <c r="H1314" s="8">
        <f>H1311</f>
        <v>6</v>
      </c>
      <c r="I1314" s="109">
        <f>IFERROR(VLOOKUP(C1314,Resources!B:G,6,FALSE)," ")</f>
        <v>150</v>
      </c>
      <c r="J1314" s="109">
        <f t="shared" si="1951"/>
        <v>900</v>
      </c>
      <c r="K1314" s="8"/>
      <c r="L1314" s="8"/>
      <c r="M1314" s="109">
        <f t="shared" si="1952"/>
        <v>0</v>
      </c>
      <c r="N1314" s="109">
        <f t="shared" si="1953"/>
        <v>0</v>
      </c>
      <c r="O1314" s="109">
        <f t="shared" si="1954"/>
        <v>0</v>
      </c>
      <c r="P1314" s="109">
        <f t="shared" si="1955"/>
        <v>900</v>
      </c>
      <c r="Q1314" s="109">
        <f t="shared" si="1956"/>
        <v>900</v>
      </c>
      <c r="R1314" s="121">
        <v>13</v>
      </c>
      <c r="T1314" s="188"/>
    </row>
    <row r="1315" spans="1:20" x14ac:dyDescent="0.25">
      <c r="A1315" s="100">
        <v>176.3</v>
      </c>
      <c r="B1315" s="3">
        <v>7</v>
      </c>
      <c r="C1315" s="5" t="s">
        <v>148</v>
      </c>
      <c r="D1315" s="3" t="s">
        <v>33</v>
      </c>
      <c r="E1315" s="100" t="str">
        <f>IFERROR(VLOOKUP(C1315,Resources!B:D,3,FALSE)," ")</f>
        <v>S</v>
      </c>
      <c r="F1315" s="103">
        <f>VLOOKUP($A1315,'Model Inputs'!$A:$D,4,FALSE)</f>
        <v>4000</v>
      </c>
      <c r="G1315" s="8">
        <v>1</v>
      </c>
      <c r="H1315" s="8">
        <f>H1308*F1315</f>
        <v>4000</v>
      </c>
      <c r="I1315" s="109">
        <f>IFERROR(VLOOKUP(C1315,Resources!B:G,6,FALSE)," ")</f>
        <v>1</v>
      </c>
      <c r="J1315" s="109">
        <f>I1315*H1315</f>
        <v>4000</v>
      </c>
      <c r="K1315" s="8"/>
      <c r="L1315" s="8"/>
      <c r="M1315" s="109">
        <f t="shared" si="1952"/>
        <v>0</v>
      </c>
      <c r="N1315" s="109">
        <f t="shared" si="1953"/>
        <v>0</v>
      </c>
      <c r="O1315" s="109">
        <f t="shared" si="1954"/>
        <v>0</v>
      </c>
      <c r="P1315" s="109">
        <f t="shared" si="1955"/>
        <v>4000</v>
      </c>
      <c r="Q1315" s="109">
        <f t="shared" si="1956"/>
        <v>4000</v>
      </c>
      <c r="R1315" s="121">
        <v>11</v>
      </c>
      <c r="T1315" s="188"/>
    </row>
    <row r="1316" spans="1:20" x14ac:dyDescent="0.25">
      <c r="A1316" s="101"/>
      <c r="B1316" s="4"/>
      <c r="C1316" s="6"/>
      <c r="D1316" s="4"/>
      <c r="E1316" s="101" t="str">
        <f>IFERROR(VLOOKUP(C1316,Resources!B:D,3,FALSE)," ")</f>
        <v xml:space="preserve"> </v>
      </c>
      <c r="F1316" s="9"/>
      <c r="G1316" s="9"/>
      <c r="H1316" s="9"/>
      <c r="I1316" s="38" t="str">
        <f>IFERROR(VLOOKUP(C1316,Resources!B:G,6,FALSE)," ")</f>
        <v xml:space="preserve"> </v>
      </c>
      <c r="J1316" s="38"/>
      <c r="K1316" s="9"/>
      <c r="L1316" s="9"/>
      <c r="M1316" s="38"/>
      <c r="N1316" s="38"/>
      <c r="O1316" s="38"/>
      <c r="P1316" s="38"/>
      <c r="Q1316" s="38"/>
      <c r="R1316" s="122"/>
      <c r="T1316" s="188"/>
    </row>
    <row r="1317" spans="1:20" ht="30" x14ac:dyDescent="0.25">
      <c r="A1317" s="114"/>
      <c r="B1317" s="1" t="s">
        <v>614</v>
      </c>
      <c r="C1317" s="1" t="s">
        <v>35</v>
      </c>
      <c r="D1317" s="2"/>
      <c r="E1317" s="99" t="str">
        <f>IFERROR(VLOOKUP(C1317,Resources!B:D,3,FALSE)," ")</f>
        <v xml:space="preserve"> </v>
      </c>
      <c r="F1317" s="7"/>
      <c r="G1317" s="7"/>
      <c r="H1317" s="7"/>
      <c r="I1317" s="108" t="str">
        <f>IFERROR(VLOOKUP(C1317,Resources!B:G,6,FALSE)," ")</f>
        <v xml:space="preserve"> </v>
      </c>
      <c r="J1317" s="108"/>
      <c r="K1317" s="7"/>
      <c r="L1317" s="7"/>
      <c r="M1317" s="108"/>
      <c r="N1317" s="108"/>
      <c r="O1317" s="108"/>
      <c r="P1317" s="108"/>
      <c r="Q1317" s="108"/>
      <c r="R1317" s="120"/>
      <c r="T1317" s="188"/>
    </row>
    <row r="1318" spans="1:20" ht="30" x14ac:dyDescent="0.25">
      <c r="A1318" s="114"/>
      <c r="B1318" s="1" t="s">
        <v>615</v>
      </c>
      <c r="C1318" s="1" t="s">
        <v>36</v>
      </c>
      <c r="D1318" s="2"/>
      <c r="E1318" s="99" t="str">
        <f>IFERROR(VLOOKUP(C1318,Resources!B:D,3,FALSE)," ")</f>
        <v xml:space="preserve"> </v>
      </c>
      <c r="F1318" s="7"/>
      <c r="G1318" s="7"/>
      <c r="H1318" s="7"/>
      <c r="I1318" s="108" t="str">
        <f>IFERROR(VLOOKUP(C1318,Resources!B:G,6,FALSE)," ")</f>
        <v xml:space="preserve"> </v>
      </c>
      <c r="J1318" s="108"/>
      <c r="K1318" s="7"/>
      <c r="L1318" s="7"/>
      <c r="M1318" s="108"/>
      <c r="N1318" s="108"/>
      <c r="O1318" s="108"/>
      <c r="P1318" s="108"/>
      <c r="Q1318" s="108"/>
      <c r="R1318" s="120"/>
      <c r="T1318" s="188"/>
    </row>
    <row r="1319" spans="1:20" ht="30" x14ac:dyDescent="0.25">
      <c r="A1319" s="114"/>
      <c r="B1319" s="1" t="s">
        <v>616</v>
      </c>
      <c r="C1319" s="1" t="s">
        <v>38</v>
      </c>
      <c r="D1319" s="2" t="s">
        <v>20</v>
      </c>
      <c r="E1319" s="99" t="str">
        <f>IFERROR(VLOOKUP(C1319,Resources!B:D,3,FALSE)," ")</f>
        <v xml:space="preserve"> </v>
      </c>
      <c r="F1319" s="7"/>
      <c r="G1319" s="7"/>
      <c r="H1319" s="7">
        <v>1</v>
      </c>
      <c r="I1319" s="108" t="str">
        <f>IFERROR(VLOOKUP(C1319,Resources!B:G,6,FALSE)," ")</f>
        <v xml:space="preserve"> </v>
      </c>
      <c r="J1319" s="108"/>
      <c r="K1319" s="7"/>
      <c r="L1319" s="7"/>
      <c r="M1319" s="108"/>
      <c r="N1319" s="108"/>
      <c r="O1319" s="108"/>
      <c r="P1319" s="108"/>
      <c r="Q1319" s="108"/>
      <c r="R1319" s="120"/>
      <c r="T1319" s="188"/>
    </row>
    <row r="1320" spans="1:20" x14ac:dyDescent="0.25">
      <c r="A1320" s="101"/>
      <c r="B1320" s="4"/>
      <c r="C1320" s="6"/>
      <c r="D1320" s="4"/>
      <c r="E1320" s="101" t="str">
        <f>IFERROR(VLOOKUP(C1320,Resources!B:D,3,FALSE)," ")</f>
        <v xml:space="preserve"> </v>
      </c>
      <c r="F1320" s="9"/>
      <c r="G1320" s="9"/>
      <c r="H1320" s="9"/>
      <c r="I1320" s="38" t="str">
        <f>IFERROR(VLOOKUP(C1320,Resources!B:G,6,FALSE)," ")</f>
        <v xml:space="preserve"> </v>
      </c>
      <c r="J1320" s="38"/>
      <c r="K1320" s="9"/>
      <c r="L1320" s="9"/>
      <c r="M1320" s="38"/>
      <c r="N1320" s="38"/>
      <c r="O1320" s="38"/>
      <c r="P1320" s="38"/>
      <c r="Q1320" s="38"/>
      <c r="R1320" s="122"/>
      <c r="T1320" s="188"/>
    </row>
    <row r="1321" spans="1:20" ht="30" x14ac:dyDescent="0.25">
      <c r="A1321" s="114"/>
      <c r="B1321" s="1" t="s">
        <v>617</v>
      </c>
      <c r="C1321" s="1" t="s">
        <v>50</v>
      </c>
      <c r="D1321" s="2"/>
      <c r="E1321" s="99" t="str">
        <f>IFERROR(VLOOKUP(C1321,Resources!B:D,3,FALSE)," ")</f>
        <v xml:space="preserve"> </v>
      </c>
      <c r="F1321" s="7"/>
      <c r="G1321" s="7"/>
      <c r="H1321" s="7"/>
      <c r="I1321" s="108" t="str">
        <f>IFERROR(VLOOKUP(C1321,Resources!B:G,6,FALSE)," ")</f>
        <v xml:space="preserve"> </v>
      </c>
      <c r="J1321" s="108"/>
      <c r="K1321" s="7"/>
      <c r="L1321" s="7"/>
      <c r="M1321" s="108"/>
      <c r="N1321" s="108"/>
      <c r="O1321" s="108"/>
      <c r="P1321" s="108"/>
      <c r="Q1321" s="108"/>
      <c r="R1321" s="120"/>
      <c r="T1321" s="188"/>
    </row>
    <row r="1322" spans="1:20" ht="30" x14ac:dyDescent="0.25">
      <c r="A1322" s="114"/>
      <c r="B1322" s="1" t="s">
        <v>618</v>
      </c>
      <c r="C1322" s="1" t="s">
        <v>52</v>
      </c>
      <c r="D1322" s="2"/>
      <c r="E1322" s="99" t="str">
        <f>IFERROR(VLOOKUP(C1322,Resources!B:D,3,FALSE)," ")</f>
        <v xml:space="preserve"> </v>
      </c>
      <c r="F1322" s="7"/>
      <c r="G1322" s="7"/>
      <c r="H1322" s="7"/>
      <c r="I1322" s="108" t="str">
        <f>IFERROR(VLOOKUP(C1322,Resources!B:G,6,FALSE)," ")</f>
        <v xml:space="preserve"> </v>
      </c>
      <c r="J1322" s="108"/>
      <c r="K1322" s="7"/>
      <c r="L1322" s="7"/>
      <c r="M1322" s="108"/>
      <c r="N1322" s="108"/>
      <c r="O1322" s="108"/>
      <c r="P1322" s="108"/>
      <c r="Q1322" s="108"/>
      <c r="R1322" s="120"/>
      <c r="T1322" s="188"/>
    </row>
    <row r="1323" spans="1:20" ht="30" x14ac:dyDescent="0.25">
      <c r="A1323" s="114">
        <v>177</v>
      </c>
      <c r="B1323" s="1" t="s">
        <v>619</v>
      </c>
      <c r="C1323" s="1" t="s">
        <v>54</v>
      </c>
      <c r="D1323" s="2" t="s">
        <v>20</v>
      </c>
      <c r="E1323" s="99" t="str">
        <f>IFERROR(VLOOKUP(C1323,Resources!B:D,3,FALSE)," ")</f>
        <v xml:space="preserve"> </v>
      </c>
      <c r="F1323" s="7"/>
      <c r="G1323" s="7"/>
      <c r="H1323" s="103">
        <f>VLOOKUP($A1323,'Model Inputs'!$A:$D,4,FALSE)</f>
        <v>1</v>
      </c>
      <c r="I1323" s="108" t="str">
        <f>IFERROR(VLOOKUP(C1323,Resources!B:G,6,FALSE)," ")</f>
        <v xml:space="preserve"> </v>
      </c>
      <c r="J1323" s="108">
        <f>SUBTOTAL(9,J1325)</f>
        <v>23292.48</v>
      </c>
      <c r="K1323" s="7"/>
      <c r="L1323" s="7">
        <f>ROUNDUP(L1325,0)</f>
        <v>20</v>
      </c>
      <c r="M1323" s="108">
        <f t="shared" ref="M1323:Q1323" si="1957">SUBTOTAL(9,M1325)</f>
        <v>0</v>
      </c>
      <c r="N1323" s="108">
        <f t="shared" si="1957"/>
        <v>0</v>
      </c>
      <c r="O1323" s="108">
        <f t="shared" si="1957"/>
        <v>0</v>
      </c>
      <c r="P1323" s="108">
        <f t="shared" si="1957"/>
        <v>23292.48</v>
      </c>
      <c r="Q1323" s="108">
        <f t="shared" si="1957"/>
        <v>23292.48</v>
      </c>
      <c r="R1323" s="120"/>
      <c r="T1323" s="188"/>
    </row>
    <row r="1324" spans="1:20" ht="30" x14ac:dyDescent="0.25">
      <c r="A1324" s="100"/>
      <c r="B1324" s="3">
        <v>1</v>
      </c>
      <c r="C1324" s="5" t="s">
        <v>2390</v>
      </c>
      <c r="D1324" s="3"/>
      <c r="E1324" s="100" t="str">
        <f>IFERROR(VLOOKUP(C1324,Resources!B:D,3,FALSE)," ")</f>
        <v xml:space="preserve"> </v>
      </c>
      <c r="F1324" s="8"/>
      <c r="G1324" s="8"/>
      <c r="H1324" s="8">
        <f>H1323*4</f>
        <v>4</v>
      </c>
      <c r="I1324" s="109" t="str">
        <f>IFERROR(VLOOKUP(C1324,Resources!B:G,6,FALSE)," ")</f>
        <v xml:space="preserve"> </v>
      </c>
      <c r="J1324" s="109"/>
      <c r="K1324" s="8"/>
      <c r="L1324" s="8"/>
      <c r="M1324" s="109"/>
      <c r="N1324" s="109"/>
      <c r="O1324" s="109"/>
      <c r="P1324" s="109"/>
      <c r="Q1324" s="109"/>
      <c r="R1324" s="121"/>
      <c r="T1324" s="188"/>
    </row>
    <row r="1325" spans="1:20" x14ac:dyDescent="0.25">
      <c r="A1325" s="100">
        <v>177.1</v>
      </c>
      <c r="B1325" s="3">
        <v>2</v>
      </c>
      <c r="C1325" s="5" t="s">
        <v>55</v>
      </c>
      <c r="D1325" s="3" t="s">
        <v>48</v>
      </c>
      <c r="E1325" s="100" t="str">
        <f>IFERROR(VLOOKUP(C1325,Resources!B:D,3,FALSE)," ")</f>
        <v>S</v>
      </c>
      <c r="F1325" s="103">
        <f>VLOOKUP($A1325,'Model Inputs'!$A:$D,4,FALSE)</f>
        <v>6</v>
      </c>
      <c r="G1325" s="8">
        <v>1</v>
      </c>
      <c r="H1325" s="8">
        <v>228</v>
      </c>
      <c r="I1325" s="109">
        <f>IFERROR(VLOOKUP(C1325,Resources!B:G,6,FALSE)," ")</f>
        <v>102.16</v>
      </c>
      <c r="J1325" s="109">
        <f>I1325*H1325</f>
        <v>23292.48</v>
      </c>
      <c r="K1325" s="8"/>
      <c r="L1325" s="8">
        <f>H1324*5</f>
        <v>20</v>
      </c>
      <c r="M1325" s="109">
        <f t="shared" ref="M1325" si="1958">IF($E1325="L",$J1325,0)</f>
        <v>0</v>
      </c>
      <c r="N1325" s="109">
        <f t="shared" ref="N1325" si="1959">IF($E1325="M",$J1325,0)</f>
        <v>0</v>
      </c>
      <c r="O1325" s="109">
        <f t="shared" ref="O1325" si="1960">IF($E1325="P",$J1325,0)</f>
        <v>0</v>
      </c>
      <c r="P1325" s="109">
        <f t="shared" ref="P1325" si="1961">IF($E1325="S",$J1325,0)</f>
        <v>23292.48</v>
      </c>
      <c r="Q1325" s="109">
        <f t="shared" ref="Q1325" si="1962">SUM(M1325:P1325)</f>
        <v>23292.48</v>
      </c>
      <c r="R1325" s="121">
        <v>141</v>
      </c>
      <c r="T1325" s="188"/>
    </row>
    <row r="1326" spans="1:20" x14ac:dyDescent="0.25">
      <c r="A1326" s="101"/>
      <c r="B1326" s="4"/>
      <c r="C1326" s="6"/>
      <c r="D1326" s="4"/>
      <c r="E1326" s="101" t="str">
        <f>IFERROR(VLOOKUP(C1326,Resources!B:D,3,FALSE)," ")</f>
        <v xml:space="preserve"> </v>
      </c>
      <c r="F1326" s="9"/>
      <c r="G1326" s="9"/>
      <c r="H1326" s="9"/>
      <c r="I1326" s="38" t="str">
        <f>IFERROR(VLOOKUP(C1326,Resources!B:G,6,FALSE)," ")</f>
        <v xml:space="preserve"> </v>
      </c>
      <c r="J1326" s="38"/>
      <c r="K1326" s="9"/>
      <c r="L1326" s="9"/>
      <c r="M1326" s="38"/>
      <c r="N1326" s="38"/>
      <c r="O1326" s="38"/>
      <c r="P1326" s="38"/>
      <c r="Q1326" s="38"/>
      <c r="R1326" s="122"/>
      <c r="T1326" s="188"/>
    </row>
    <row r="1327" spans="1:20" ht="30" x14ac:dyDescent="0.25">
      <c r="A1327" s="114"/>
      <c r="B1327" s="1" t="s">
        <v>620</v>
      </c>
      <c r="C1327" s="1" t="s">
        <v>621</v>
      </c>
      <c r="D1327" s="2" t="s">
        <v>20</v>
      </c>
      <c r="E1327" s="99" t="str">
        <f>IFERROR(VLOOKUP(C1327,Resources!B:D,3,FALSE)," ")</f>
        <v xml:space="preserve"> </v>
      </c>
      <c r="F1327" s="7"/>
      <c r="G1327" s="7"/>
      <c r="H1327" s="7">
        <v>1</v>
      </c>
      <c r="I1327" s="108" t="str">
        <f>IFERROR(VLOOKUP(C1327,Resources!B:G,6,FALSE)," ")</f>
        <v xml:space="preserve"> </v>
      </c>
      <c r="J1327" s="108"/>
      <c r="K1327" s="7"/>
      <c r="L1327" s="7"/>
      <c r="M1327" s="108"/>
      <c r="N1327" s="108"/>
      <c r="O1327" s="108"/>
      <c r="P1327" s="108"/>
      <c r="Q1327" s="108"/>
      <c r="R1327" s="120"/>
      <c r="T1327" s="188"/>
    </row>
    <row r="1328" spans="1:20" x14ac:dyDescent="0.25">
      <c r="A1328" s="101"/>
      <c r="B1328" s="4"/>
      <c r="C1328" s="6"/>
      <c r="D1328" s="4"/>
      <c r="E1328" s="101" t="str">
        <f>IFERROR(VLOOKUP(C1328,Resources!B:D,3,FALSE)," ")</f>
        <v xml:space="preserve"> </v>
      </c>
      <c r="F1328" s="9"/>
      <c r="G1328" s="9"/>
      <c r="H1328" s="9"/>
      <c r="I1328" s="38" t="str">
        <f>IFERROR(VLOOKUP(C1328,Resources!B:G,6,FALSE)," ")</f>
        <v xml:space="preserve"> </v>
      </c>
      <c r="J1328" s="38"/>
      <c r="K1328" s="9"/>
      <c r="L1328" s="9"/>
      <c r="M1328" s="38"/>
      <c r="N1328" s="38"/>
      <c r="O1328" s="38"/>
      <c r="P1328" s="38"/>
      <c r="Q1328" s="38"/>
      <c r="R1328" s="122"/>
      <c r="T1328" s="188"/>
    </row>
    <row r="1329" spans="1:20" ht="30" x14ac:dyDescent="0.25">
      <c r="A1329" s="114"/>
      <c r="B1329" s="1" t="s">
        <v>622</v>
      </c>
      <c r="C1329" s="1" t="s">
        <v>161</v>
      </c>
      <c r="D1329" s="2"/>
      <c r="E1329" s="99" t="str">
        <f>IFERROR(VLOOKUP(C1329,Resources!B:D,3,FALSE)," ")</f>
        <v xml:space="preserve"> </v>
      </c>
      <c r="F1329" s="7"/>
      <c r="G1329" s="7"/>
      <c r="H1329" s="7"/>
      <c r="I1329" s="108" t="str">
        <f>IFERROR(VLOOKUP(C1329,Resources!B:G,6,FALSE)," ")</f>
        <v xml:space="preserve"> </v>
      </c>
      <c r="J1329" s="108"/>
      <c r="K1329" s="7"/>
      <c r="L1329" s="7"/>
      <c r="M1329" s="108"/>
      <c r="N1329" s="108"/>
      <c r="O1329" s="108"/>
      <c r="P1329" s="108"/>
      <c r="Q1329" s="108"/>
      <c r="R1329" s="120"/>
      <c r="T1329" s="188"/>
    </row>
    <row r="1330" spans="1:20" ht="45" x14ac:dyDescent="0.25">
      <c r="A1330" s="114">
        <v>178</v>
      </c>
      <c r="B1330" s="1" t="s">
        <v>623</v>
      </c>
      <c r="C1330" s="1" t="s">
        <v>163</v>
      </c>
      <c r="D1330" s="2" t="s">
        <v>20</v>
      </c>
      <c r="E1330" s="99" t="str">
        <f>IFERROR(VLOOKUP(C1330,Resources!B:D,3,FALSE)," ")</f>
        <v xml:space="preserve"> </v>
      </c>
      <c r="F1330" s="7"/>
      <c r="G1330" s="7"/>
      <c r="H1330" s="103">
        <f>VLOOKUP($A1330,'Model Inputs'!$A:$D,4,FALSE)</f>
        <v>1</v>
      </c>
      <c r="I1330" s="108" t="str">
        <f>IFERROR(VLOOKUP(C1330,Resources!B:G,6,FALSE)," ")</f>
        <v xml:space="preserve"> </v>
      </c>
      <c r="J1330" s="108">
        <f>SUBTOTAL(9,J1331:J1332)</f>
        <v>11050</v>
      </c>
      <c r="K1330" s="7"/>
      <c r="L1330" s="7">
        <f>ROUNDUP(MAX(L1331:L1332)/Workhrs,0)</f>
        <v>6</v>
      </c>
      <c r="M1330" s="108">
        <f t="shared" ref="M1330:Q1330" si="1963">SUBTOTAL(9,M1331:M1332)</f>
        <v>6300</v>
      </c>
      <c r="N1330" s="108">
        <f t="shared" si="1963"/>
        <v>0</v>
      </c>
      <c r="O1330" s="108">
        <f t="shared" si="1963"/>
        <v>4750</v>
      </c>
      <c r="P1330" s="108">
        <f t="shared" si="1963"/>
        <v>0</v>
      </c>
      <c r="Q1330" s="108">
        <f t="shared" si="1963"/>
        <v>11050</v>
      </c>
      <c r="R1330" s="120"/>
      <c r="T1330" s="188"/>
    </row>
    <row r="1331" spans="1:20" x14ac:dyDescent="0.25">
      <c r="A1331" s="100"/>
      <c r="B1331" s="3">
        <v>1</v>
      </c>
      <c r="C1331" s="5" t="s">
        <v>8</v>
      </c>
      <c r="D1331" s="3" t="s">
        <v>48</v>
      </c>
      <c r="E1331" s="100" t="str">
        <f>IFERROR(VLOOKUP(C1331,Resources!B:D,3,FALSE)," ")</f>
        <v>L</v>
      </c>
      <c r="F1331" s="8">
        <v>3</v>
      </c>
      <c r="G1331" s="8">
        <v>1</v>
      </c>
      <c r="H1331" s="8">
        <f>H1330*50</f>
        <v>50</v>
      </c>
      <c r="I1331" s="109">
        <f>IFERROR(VLOOKUP(C1331,Resources!B:G,6,FALSE)," ")</f>
        <v>42</v>
      </c>
      <c r="J1331" s="109">
        <f t="shared" ref="J1331:J1332" si="1964">(H1331/(G1331/F1331))*I1331</f>
        <v>6300</v>
      </c>
      <c r="K1331" s="8">
        <f t="shared" ref="K1331:K1332" si="1965">L1331*F1331</f>
        <v>150</v>
      </c>
      <c r="L1331" s="8">
        <f t="shared" ref="L1331:L1332" si="1966">IF(E1331="M"," ",H1331/G1331)</f>
        <v>50</v>
      </c>
      <c r="M1331" s="109">
        <f t="shared" ref="M1331:M1332" si="1967">IF($E1331="L",$J1331,0)</f>
        <v>6300</v>
      </c>
      <c r="N1331" s="109">
        <f t="shared" ref="N1331:N1332" si="1968">IF($E1331="M",$J1331,0)</f>
        <v>0</v>
      </c>
      <c r="O1331" s="109">
        <f t="shared" ref="O1331:O1332" si="1969">IF($E1331="P",$J1331,0)</f>
        <v>0</v>
      </c>
      <c r="P1331" s="109">
        <f t="shared" ref="P1331:P1332" si="1970">IF($E1331="S",$J1331,0)</f>
        <v>0</v>
      </c>
      <c r="Q1331" s="109">
        <f t="shared" ref="Q1331:Q1332" si="1971">SUM(M1331:P1331)</f>
        <v>6300</v>
      </c>
      <c r="R1331" s="121">
        <v>151</v>
      </c>
      <c r="T1331" s="188"/>
    </row>
    <row r="1332" spans="1:20" x14ac:dyDescent="0.25">
      <c r="A1332" s="100"/>
      <c r="B1332" s="3">
        <v>2</v>
      </c>
      <c r="C1332" s="5" t="s">
        <v>45</v>
      </c>
      <c r="D1332" s="3" t="s">
        <v>48</v>
      </c>
      <c r="E1332" s="100" t="str">
        <f>IFERROR(VLOOKUP(C1332,Resources!B:D,3,FALSE)," ")</f>
        <v>P</v>
      </c>
      <c r="F1332" s="8">
        <v>1</v>
      </c>
      <c r="G1332" s="8">
        <v>1</v>
      </c>
      <c r="H1332" s="8">
        <f>H1331</f>
        <v>50</v>
      </c>
      <c r="I1332" s="109">
        <f>IFERROR(VLOOKUP(C1332,Resources!B:G,6,FALSE)," ")</f>
        <v>95</v>
      </c>
      <c r="J1332" s="109">
        <f t="shared" si="1964"/>
        <v>4750</v>
      </c>
      <c r="K1332" s="8">
        <f t="shared" si="1965"/>
        <v>50</v>
      </c>
      <c r="L1332" s="8">
        <f t="shared" si="1966"/>
        <v>50</v>
      </c>
      <c r="M1332" s="109">
        <f t="shared" si="1967"/>
        <v>0</v>
      </c>
      <c r="N1332" s="109">
        <f t="shared" si="1968"/>
        <v>0</v>
      </c>
      <c r="O1332" s="109">
        <f t="shared" si="1969"/>
        <v>4750</v>
      </c>
      <c r="P1332" s="109">
        <f t="shared" si="1970"/>
        <v>0</v>
      </c>
      <c r="Q1332" s="109">
        <f t="shared" si="1971"/>
        <v>4750</v>
      </c>
      <c r="R1332" s="121">
        <v>151</v>
      </c>
      <c r="T1332" s="188"/>
    </row>
    <row r="1333" spans="1:20" x14ac:dyDescent="0.25">
      <c r="A1333" s="101"/>
      <c r="B1333" s="4"/>
      <c r="C1333" s="6"/>
      <c r="D1333" s="4"/>
      <c r="E1333" s="101" t="str">
        <f>IFERROR(VLOOKUP(C1333,Resources!B:D,3,FALSE)," ")</f>
        <v xml:space="preserve"> </v>
      </c>
      <c r="F1333" s="9"/>
      <c r="G1333" s="9"/>
      <c r="H1333" s="9"/>
      <c r="I1333" s="38" t="str">
        <f>IFERROR(VLOOKUP(C1333,Resources!B:G,6,FALSE)," ")</f>
        <v xml:space="preserve"> </v>
      </c>
      <c r="J1333" s="38"/>
      <c r="K1333" s="9"/>
      <c r="L1333" s="9"/>
      <c r="M1333" s="38"/>
      <c r="N1333" s="38"/>
      <c r="O1333" s="38"/>
      <c r="P1333" s="38"/>
      <c r="Q1333" s="38"/>
      <c r="R1333" s="122"/>
      <c r="T1333" s="188"/>
    </row>
    <row r="1334" spans="1:20" ht="30" x14ac:dyDescent="0.25">
      <c r="A1334" s="114"/>
      <c r="B1334" s="1" t="s">
        <v>624</v>
      </c>
      <c r="C1334" s="1" t="s">
        <v>362</v>
      </c>
      <c r="D1334" s="2"/>
      <c r="E1334" s="99" t="str">
        <f>IFERROR(VLOOKUP(C1334,Resources!B:D,3,FALSE)," ")</f>
        <v xml:space="preserve"> </v>
      </c>
      <c r="F1334" s="7"/>
      <c r="G1334" s="7"/>
      <c r="H1334" s="7"/>
      <c r="I1334" s="108" t="str">
        <f>IFERROR(VLOOKUP(C1334,Resources!B:G,6,FALSE)," ")</f>
        <v xml:space="preserve"> </v>
      </c>
      <c r="J1334" s="108"/>
      <c r="K1334" s="7"/>
      <c r="L1334" s="7"/>
      <c r="M1334" s="108"/>
      <c r="N1334" s="108"/>
      <c r="O1334" s="108"/>
      <c r="P1334" s="108"/>
      <c r="Q1334" s="108"/>
      <c r="R1334" s="120"/>
      <c r="T1334" s="188"/>
    </row>
    <row r="1335" spans="1:20" ht="30" x14ac:dyDescent="0.25">
      <c r="A1335" s="114">
        <v>179</v>
      </c>
      <c r="B1335" s="1" t="s">
        <v>625</v>
      </c>
      <c r="C1335" s="1" t="s">
        <v>364</v>
      </c>
      <c r="D1335" s="2" t="s">
        <v>20</v>
      </c>
      <c r="E1335" s="99" t="str">
        <f>IFERROR(VLOOKUP(C1335,Resources!B:D,3,FALSE)," ")</f>
        <v xml:space="preserve"> </v>
      </c>
      <c r="F1335" s="7"/>
      <c r="G1335" s="7"/>
      <c r="H1335" s="103">
        <f>VLOOKUP($A1335,'Model Inputs'!$A:$D,4,FALSE)</f>
        <v>1</v>
      </c>
      <c r="I1335" s="108" t="str">
        <f>IFERROR(VLOOKUP(C1335,Resources!B:G,6,FALSE)," ")</f>
        <v xml:space="preserve"> </v>
      </c>
      <c r="J1335" s="108">
        <f>SUBTOTAL(9,J1336:J1339)</f>
        <v>10066.666666666666</v>
      </c>
      <c r="K1335" s="7"/>
      <c r="L1335" s="7">
        <f>ROUNDUP(MAX(L1336:L1339)/Workhrs,0)</f>
        <v>2</v>
      </c>
      <c r="M1335" s="108">
        <f t="shared" ref="M1335:Q1335" si="1972">SUBTOTAL(9,M1336:M1339)</f>
        <v>1400</v>
      </c>
      <c r="N1335" s="108">
        <f t="shared" si="1972"/>
        <v>0</v>
      </c>
      <c r="O1335" s="108">
        <f t="shared" si="1972"/>
        <v>8666.6666666666661</v>
      </c>
      <c r="P1335" s="108">
        <f t="shared" si="1972"/>
        <v>0</v>
      </c>
      <c r="Q1335" s="108">
        <f t="shared" si="1972"/>
        <v>10066.666666666666</v>
      </c>
      <c r="R1335" s="120"/>
      <c r="T1335" s="188"/>
    </row>
    <row r="1336" spans="1:20" x14ac:dyDescent="0.25">
      <c r="A1336" s="100">
        <v>179.1</v>
      </c>
      <c r="B1336" s="3">
        <v>1</v>
      </c>
      <c r="C1336" s="5" t="s">
        <v>63</v>
      </c>
      <c r="D1336" s="3" t="s">
        <v>48</v>
      </c>
      <c r="E1336" s="100" t="str">
        <f>IFERROR(VLOOKUP(C1336,Resources!B:D,3,FALSE)," ")</f>
        <v>P</v>
      </c>
      <c r="F1336" s="8">
        <v>1</v>
      </c>
      <c r="G1336" s="103">
        <f>VLOOKUP($A1336,'Model Inputs'!$A:$D,4,FALSE)</f>
        <v>0.06</v>
      </c>
      <c r="H1336" s="8">
        <f>H1335</f>
        <v>1</v>
      </c>
      <c r="I1336" s="109">
        <f>IFERROR(VLOOKUP(C1336,Resources!B:G,6,FALSE)," ")</f>
        <v>135</v>
      </c>
      <c r="J1336" s="109">
        <f t="shared" ref="J1336:J1339" si="1973">(H1336/(G1336/F1336))*I1336</f>
        <v>2250</v>
      </c>
      <c r="K1336" s="8">
        <f t="shared" ref="K1336:K1339" si="1974">L1336*F1336</f>
        <v>16.666666666666668</v>
      </c>
      <c r="L1336" s="8">
        <f t="shared" ref="L1336:L1339" si="1975">IF(E1336="M"," ",H1336/G1336)</f>
        <v>16.666666666666668</v>
      </c>
      <c r="M1336" s="109">
        <f t="shared" ref="M1336:M1339" si="1976">IF($E1336="L",$J1336,0)</f>
        <v>0</v>
      </c>
      <c r="N1336" s="109">
        <f t="shared" ref="N1336:N1339" si="1977">IF($E1336="M",$J1336,0)</f>
        <v>0</v>
      </c>
      <c r="O1336" s="109">
        <f t="shared" ref="O1336:O1339" si="1978">IF($E1336="P",$J1336,0)</f>
        <v>2250</v>
      </c>
      <c r="P1336" s="109">
        <f t="shared" ref="P1336:P1339" si="1979">IF($E1336="S",$J1336,0)</f>
        <v>0</v>
      </c>
      <c r="Q1336" s="109">
        <f t="shared" ref="Q1336:Q1339" si="1980">SUM(M1336:P1336)</f>
        <v>2250</v>
      </c>
      <c r="R1336" s="121">
        <v>41</v>
      </c>
      <c r="T1336" s="188"/>
    </row>
    <row r="1337" spans="1:20" x14ac:dyDescent="0.25">
      <c r="A1337" s="100">
        <v>179.2</v>
      </c>
      <c r="B1337" s="3">
        <v>2</v>
      </c>
      <c r="C1337" s="5" t="s">
        <v>173</v>
      </c>
      <c r="D1337" s="3" t="s">
        <v>48</v>
      </c>
      <c r="E1337" s="100" t="str">
        <f>IFERROR(VLOOKUP(C1337,Resources!B:D,3,FALSE)," ")</f>
        <v>P</v>
      </c>
      <c r="F1337" s="103">
        <f>VLOOKUP($A1337,'Model Inputs'!$A:$D,4,FALSE)</f>
        <v>3</v>
      </c>
      <c r="G1337" s="8">
        <f>G1336</f>
        <v>0.06</v>
      </c>
      <c r="H1337" s="8">
        <f>H1335</f>
        <v>1</v>
      </c>
      <c r="I1337" s="109">
        <f>IFERROR(VLOOKUP(C1337,Resources!B:G,6,FALSE)," ")</f>
        <v>95</v>
      </c>
      <c r="J1337" s="109">
        <f t="shared" si="1973"/>
        <v>4750</v>
      </c>
      <c r="K1337" s="8">
        <f t="shared" si="1974"/>
        <v>50</v>
      </c>
      <c r="L1337" s="8">
        <f t="shared" si="1975"/>
        <v>16.666666666666668</v>
      </c>
      <c r="M1337" s="109">
        <f t="shared" si="1976"/>
        <v>0</v>
      </c>
      <c r="N1337" s="109">
        <f t="shared" si="1977"/>
        <v>0</v>
      </c>
      <c r="O1337" s="109">
        <f t="shared" si="1978"/>
        <v>4750</v>
      </c>
      <c r="P1337" s="109">
        <f t="shared" si="1979"/>
        <v>0</v>
      </c>
      <c r="Q1337" s="109">
        <f t="shared" si="1980"/>
        <v>4750</v>
      </c>
      <c r="R1337" s="121">
        <v>41</v>
      </c>
      <c r="T1337" s="188"/>
    </row>
    <row r="1338" spans="1:20" x14ac:dyDescent="0.25">
      <c r="A1338" s="100"/>
      <c r="B1338" s="3">
        <v>3</v>
      </c>
      <c r="C1338" s="5" t="s">
        <v>64</v>
      </c>
      <c r="D1338" s="3" t="s">
        <v>48</v>
      </c>
      <c r="E1338" s="100" t="str">
        <f>IFERROR(VLOOKUP(C1338,Resources!B:D,3,FALSE)," ")</f>
        <v>P</v>
      </c>
      <c r="F1338" s="8">
        <v>1</v>
      </c>
      <c r="G1338" s="8">
        <f>G1336</f>
        <v>0.06</v>
      </c>
      <c r="H1338" s="8">
        <f>H1335</f>
        <v>1</v>
      </c>
      <c r="I1338" s="109">
        <f>IFERROR(VLOOKUP(C1338,Resources!B:G,6,FALSE)," ")</f>
        <v>100</v>
      </c>
      <c r="J1338" s="109">
        <f t="shared" si="1973"/>
        <v>1666.6666666666667</v>
      </c>
      <c r="K1338" s="8">
        <f t="shared" si="1974"/>
        <v>16.666666666666668</v>
      </c>
      <c r="L1338" s="8">
        <f t="shared" si="1975"/>
        <v>16.666666666666668</v>
      </c>
      <c r="M1338" s="109">
        <f t="shared" si="1976"/>
        <v>0</v>
      </c>
      <c r="N1338" s="109">
        <f t="shared" si="1977"/>
        <v>0</v>
      </c>
      <c r="O1338" s="109">
        <f t="shared" si="1978"/>
        <v>1666.6666666666667</v>
      </c>
      <c r="P1338" s="109">
        <f t="shared" si="1979"/>
        <v>0</v>
      </c>
      <c r="Q1338" s="109">
        <f t="shared" si="1980"/>
        <v>1666.6666666666667</v>
      </c>
      <c r="R1338" s="121">
        <v>41</v>
      </c>
      <c r="T1338" s="188"/>
    </row>
    <row r="1339" spans="1:20" x14ac:dyDescent="0.25">
      <c r="A1339" s="100"/>
      <c r="B1339" s="3">
        <v>4</v>
      </c>
      <c r="C1339" s="5" t="s">
        <v>8</v>
      </c>
      <c r="D1339" s="3" t="s">
        <v>48</v>
      </c>
      <c r="E1339" s="100" t="str">
        <f>IFERROR(VLOOKUP(C1339,Resources!B:D,3,FALSE)," ")</f>
        <v>L</v>
      </c>
      <c r="F1339" s="8">
        <v>2</v>
      </c>
      <c r="G1339" s="8">
        <f>G1336</f>
        <v>0.06</v>
      </c>
      <c r="H1339" s="8">
        <f>H1335</f>
        <v>1</v>
      </c>
      <c r="I1339" s="109">
        <f>IFERROR(VLOOKUP(C1339,Resources!B:G,6,FALSE)," ")</f>
        <v>42</v>
      </c>
      <c r="J1339" s="109">
        <f t="shared" si="1973"/>
        <v>1400</v>
      </c>
      <c r="K1339" s="8">
        <f t="shared" si="1974"/>
        <v>33.333333333333336</v>
      </c>
      <c r="L1339" s="8">
        <f t="shared" si="1975"/>
        <v>16.666666666666668</v>
      </c>
      <c r="M1339" s="109">
        <f t="shared" si="1976"/>
        <v>1400</v>
      </c>
      <c r="N1339" s="109">
        <f t="shared" si="1977"/>
        <v>0</v>
      </c>
      <c r="O1339" s="109">
        <f t="shared" si="1978"/>
        <v>0</v>
      </c>
      <c r="P1339" s="109">
        <f t="shared" si="1979"/>
        <v>0</v>
      </c>
      <c r="Q1339" s="109">
        <f t="shared" si="1980"/>
        <v>1400</v>
      </c>
      <c r="R1339" s="121">
        <v>41</v>
      </c>
      <c r="T1339" s="188"/>
    </row>
    <row r="1340" spans="1:20" x14ac:dyDescent="0.25">
      <c r="A1340" s="101"/>
      <c r="B1340" s="4"/>
      <c r="C1340" s="6"/>
      <c r="D1340" s="4"/>
      <c r="E1340" s="101" t="str">
        <f>IFERROR(VLOOKUP(C1340,Resources!B:D,3,FALSE)," ")</f>
        <v xml:space="preserve"> </v>
      </c>
      <c r="F1340" s="9"/>
      <c r="G1340" s="9"/>
      <c r="H1340" s="9"/>
      <c r="I1340" s="38" t="str">
        <f>IFERROR(VLOOKUP(C1340,Resources!B:G,6,FALSE)," ")</f>
        <v xml:space="preserve"> </v>
      </c>
      <c r="J1340" s="38"/>
      <c r="K1340" s="9"/>
      <c r="L1340" s="9"/>
      <c r="M1340" s="38"/>
      <c r="N1340" s="38"/>
      <c r="O1340" s="38"/>
      <c r="P1340" s="38"/>
      <c r="Q1340" s="38"/>
      <c r="R1340" s="122"/>
      <c r="T1340" s="188"/>
    </row>
    <row r="1341" spans="1:20" ht="30" x14ac:dyDescent="0.25">
      <c r="A1341" s="114"/>
      <c r="B1341" s="1" t="s">
        <v>626</v>
      </c>
      <c r="C1341" s="1" t="s">
        <v>59</v>
      </c>
      <c r="D1341" s="2"/>
      <c r="E1341" s="99" t="str">
        <f>IFERROR(VLOOKUP(C1341,Resources!B:D,3,FALSE)," ")</f>
        <v xml:space="preserve"> </v>
      </c>
      <c r="F1341" s="7"/>
      <c r="G1341" s="7"/>
      <c r="H1341" s="7"/>
      <c r="I1341" s="108" t="str">
        <f>IFERROR(VLOOKUP(C1341,Resources!B:G,6,FALSE)," ")</f>
        <v xml:space="preserve"> </v>
      </c>
      <c r="J1341" s="108"/>
      <c r="K1341" s="7"/>
      <c r="L1341" s="7"/>
      <c r="M1341" s="108"/>
      <c r="N1341" s="108"/>
      <c r="O1341" s="108"/>
      <c r="P1341" s="108"/>
      <c r="Q1341" s="108"/>
      <c r="R1341" s="120"/>
      <c r="T1341" s="188"/>
    </row>
    <row r="1342" spans="1:20" ht="30" x14ac:dyDescent="0.25">
      <c r="A1342" s="114">
        <v>180</v>
      </c>
      <c r="B1342" s="1" t="s">
        <v>627</v>
      </c>
      <c r="C1342" s="1" t="s">
        <v>628</v>
      </c>
      <c r="D1342" s="2" t="s">
        <v>62</v>
      </c>
      <c r="E1342" s="99" t="str">
        <f>IFERROR(VLOOKUP(C1342,Resources!B:D,3,FALSE)," ")</f>
        <v xml:space="preserve"> </v>
      </c>
      <c r="F1342" s="7"/>
      <c r="G1342" s="7"/>
      <c r="H1342" s="103">
        <f>VLOOKUP($A1342,'Model Inputs'!$A:$D,4,FALSE)</f>
        <v>155</v>
      </c>
      <c r="I1342" s="108" t="str">
        <f>IFERROR(VLOOKUP(C1342,Resources!B:G,6,FALSE)," ")</f>
        <v xml:space="preserve"> </v>
      </c>
      <c r="J1342" s="108">
        <f>SUBTOTAL(9,J1343:J1346)</f>
        <v>2613.5613561356136</v>
      </c>
      <c r="K1342" s="7"/>
      <c r="L1342" s="7">
        <f>ROUNDUP(MAX(L1343:L1346)/Workhrs,0)</f>
        <v>1</v>
      </c>
      <c r="M1342" s="108">
        <f t="shared" ref="M1342:Q1342" si="1981">SUBTOTAL(9,M1343:M1346)</f>
        <v>195.31953195319531</v>
      </c>
      <c r="N1342" s="108">
        <f t="shared" si="1981"/>
        <v>0</v>
      </c>
      <c r="O1342" s="108">
        <f t="shared" si="1981"/>
        <v>2418.2418241824184</v>
      </c>
      <c r="P1342" s="108">
        <f t="shared" si="1981"/>
        <v>0</v>
      </c>
      <c r="Q1342" s="108">
        <f t="shared" si="1981"/>
        <v>2613.5613561356136</v>
      </c>
      <c r="R1342" s="120"/>
      <c r="T1342" s="188"/>
    </row>
    <row r="1343" spans="1:20" x14ac:dyDescent="0.25">
      <c r="A1343" s="100">
        <v>180.1</v>
      </c>
      <c r="B1343" s="3">
        <v>1</v>
      </c>
      <c r="C1343" s="5" t="s">
        <v>63</v>
      </c>
      <c r="D1343" s="3" t="s">
        <v>48</v>
      </c>
      <c r="E1343" s="100" t="str">
        <f>IFERROR(VLOOKUP(C1343,Resources!B:D,3,FALSE)," ")</f>
        <v>P</v>
      </c>
      <c r="F1343" s="8">
        <v>1</v>
      </c>
      <c r="G1343" s="103">
        <f>VLOOKUP($A1343,'Model Inputs'!$A:$D,4,FALSE)</f>
        <v>33.33</v>
      </c>
      <c r="H1343" s="8">
        <f>H1342</f>
        <v>155</v>
      </c>
      <c r="I1343" s="109">
        <f>IFERROR(VLOOKUP(C1343,Resources!B:G,6,FALSE)," ")</f>
        <v>135</v>
      </c>
      <c r="J1343" s="109">
        <f t="shared" ref="J1343:J1346" si="1982">(H1343/(G1343/F1343))*I1343</f>
        <v>627.81278127812777</v>
      </c>
      <c r="K1343" s="8">
        <f t="shared" ref="K1343:K1346" si="1983">L1343*F1343</f>
        <v>4.6504650465046504</v>
      </c>
      <c r="L1343" s="8">
        <f t="shared" ref="L1343:L1346" si="1984">IF(E1343="M"," ",H1343/G1343)</f>
        <v>4.6504650465046504</v>
      </c>
      <c r="M1343" s="109">
        <f t="shared" ref="M1343:M1346" si="1985">IF($E1343="L",$J1343,0)</f>
        <v>0</v>
      </c>
      <c r="N1343" s="109">
        <f t="shared" ref="N1343:N1346" si="1986">IF($E1343="M",$J1343,0)</f>
        <v>0</v>
      </c>
      <c r="O1343" s="109">
        <f t="shared" ref="O1343:O1346" si="1987">IF($E1343="P",$J1343,0)</f>
        <v>627.81278127812777</v>
      </c>
      <c r="P1343" s="109">
        <f t="shared" ref="P1343:P1346" si="1988">IF($E1343="S",$J1343,0)</f>
        <v>0</v>
      </c>
      <c r="Q1343" s="109">
        <f t="shared" ref="Q1343:Q1346" si="1989">SUM(M1343:P1343)</f>
        <v>627.81278127812777</v>
      </c>
      <c r="R1343" s="121">
        <v>33</v>
      </c>
      <c r="T1343" s="188"/>
    </row>
    <row r="1344" spans="1:20" x14ac:dyDescent="0.25">
      <c r="A1344" s="100">
        <v>180.2</v>
      </c>
      <c r="B1344" s="3">
        <v>2</v>
      </c>
      <c r="C1344" s="5" t="s">
        <v>173</v>
      </c>
      <c r="D1344" s="3" t="s">
        <v>48</v>
      </c>
      <c r="E1344" s="100" t="str">
        <f>IFERROR(VLOOKUP(C1344,Resources!B:D,3,FALSE)," ")</f>
        <v>P</v>
      </c>
      <c r="F1344" s="103">
        <f>VLOOKUP($A1344,'Model Inputs'!$A:$D,4,FALSE)</f>
        <v>3</v>
      </c>
      <c r="G1344" s="8">
        <f>G1343</f>
        <v>33.33</v>
      </c>
      <c r="H1344" s="8">
        <f>H1342</f>
        <v>155</v>
      </c>
      <c r="I1344" s="109">
        <f>IFERROR(VLOOKUP(C1344,Resources!B:G,6,FALSE)," ")</f>
        <v>95</v>
      </c>
      <c r="J1344" s="109">
        <f t="shared" si="1982"/>
        <v>1325.3825382538255</v>
      </c>
      <c r="K1344" s="8">
        <f t="shared" si="1983"/>
        <v>13.951395139513952</v>
      </c>
      <c r="L1344" s="8">
        <f t="shared" si="1984"/>
        <v>4.6504650465046504</v>
      </c>
      <c r="M1344" s="109">
        <f t="shared" si="1985"/>
        <v>0</v>
      </c>
      <c r="N1344" s="109">
        <f t="shared" si="1986"/>
        <v>0</v>
      </c>
      <c r="O1344" s="109">
        <f t="shared" si="1987"/>
        <v>1325.3825382538255</v>
      </c>
      <c r="P1344" s="109">
        <f t="shared" si="1988"/>
        <v>0</v>
      </c>
      <c r="Q1344" s="109">
        <f t="shared" si="1989"/>
        <v>1325.3825382538255</v>
      </c>
      <c r="R1344" s="121">
        <v>33</v>
      </c>
      <c r="T1344" s="188"/>
    </row>
    <row r="1345" spans="1:20" x14ac:dyDescent="0.25">
      <c r="A1345" s="100"/>
      <c r="B1345" s="3">
        <v>3</v>
      </c>
      <c r="C1345" s="5" t="s">
        <v>64</v>
      </c>
      <c r="D1345" s="3" t="s">
        <v>48</v>
      </c>
      <c r="E1345" s="100" t="str">
        <f>IFERROR(VLOOKUP(C1345,Resources!B:D,3,FALSE)," ")</f>
        <v>P</v>
      </c>
      <c r="F1345" s="8">
        <v>1</v>
      </c>
      <c r="G1345" s="8">
        <f>G1343</f>
        <v>33.33</v>
      </c>
      <c r="H1345" s="8">
        <f>H1342</f>
        <v>155</v>
      </c>
      <c r="I1345" s="109">
        <f>IFERROR(VLOOKUP(C1345,Resources!B:G,6,FALSE)," ")</f>
        <v>100</v>
      </c>
      <c r="J1345" s="109">
        <f t="shared" si="1982"/>
        <v>465.04650465046507</v>
      </c>
      <c r="K1345" s="8">
        <f t="shared" si="1983"/>
        <v>4.6504650465046504</v>
      </c>
      <c r="L1345" s="8">
        <f t="shared" si="1984"/>
        <v>4.6504650465046504</v>
      </c>
      <c r="M1345" s="109">
        <f t="shared" si="1985"/>
        <v>0</v>
      </c>
      <c r="N1345" s="109">
        <f t="shared" si="1986"/>
        <v>0</v>
      </c>
      <c r="O1345" s="109">
        <f t="shared" si="1987"/>
        <v>465.04650465046507</v>
      </c>
      <c r="P1345" s="109">
        <f t="shared" si="1988"/>
        <v>0</v>
      </c>
      <c r="Q1345" s="109">
        <f t="shared" si="1989"/>
        <v>465.04650465046507</v>
      </c>
      <c r="R1345" s="121">
        <v>33</v>
      </c>
      <c r="T1345" s="188"/>
    </row>
    <row r="1346" spans="1:20" x14ac:dyDescent="0.25">
      <c r="A1346" s="100"/>
      <c r="B1346" s="3">
        <v>4</v>
      </c>
      <c r="C1346" s="5" t="s">
        <v>8</v>
      </c>
      <c r="D1346" s="3" t="s">
        <v>48</v>
      </c>
      <c r="E1346" s="100" t="str">
        <f>IFERROR(VLOOKUP(C1346,Resources!B:D,3,FALSE)," ")</f>
        <v>L</v>
      </c>
      <c r="F1346" s="8">
        <v>1</v>
      </c>
      <c r="G1346" s="8">
        <f>G1343</f>
        <v>33.33</v>
      </c>
      <c r="H1346" s="8">
        <f>H1342</f>
        <v>155</v>
      </c>
      <c r="I1346" s="109">
        <f>IFERROR(VLOOKUP(C1346,Resources!B:G,6,FALSE)," ")</f>
        <v>42</v>
      </c>
      <c r="J1346" s="109">
        <f t="shared" si="1982"/>
        <v>195.31953195319531</v>
      </c>
      <c r="K1346" s="8">
        <f t="shared" si="1983"/>
        <v>4.6504650465046504</v>
      </c>
      <c r="L1346" s="8">
        <f t="shared" si="1984"/>
        <v>4.6504650465046504</v>
      </c>
      <c r="M1346" s="109">
        <f t="shared" si="1985"/>
        <v>195.31953195319531</v>
      </c>
      <c r="N1346" s="109">
        <f t="shared" si="1986"/>
        <v>0</v>
      </c>
      <c r="O1346" s="109">
        <f t="shared" si="1987"/>
        <v>0</v>
      </c>
      <c r="P1346" s="109">
        <f t="shared" si="1988"/>
        <v>0</v>
      </c>
      <c r="Q1346" s="109">
        <f t="shared" si="1989"/>
        <v>195.31953195319531</v>
      </c>
      <c r="R1346" s="121">
        <v>33</v>
      </c>
      <c r="T1346" s="188"/>
    </row>
    <row r="1347" spans="1:20" x14ac:dyDescent="0.25">
      <c r="A1347" s="101"/>
      <c r="B1347" s="4"/>
      <c r="C1347" s="6"/>
      <c r="D1347" s="4"/>
      <c r="E1347" s="101" t="str">
        <f>IFERROR(VLOOKUP(C1347,Resources!B:D,3,FALSE)," ")</f>
        <v xml:space="preserve"> </v>
      </c>
      <c r="F1347" s="9"/>
      <c r="G1347" s="9"/>
      <c r="H1347" s="9"/>
      <c r="I1347" s="38" t="str">
        <f>IFERROR(VLOOKUP(C1347,Resources!B:G,6,FALSE)," ")</f>
        <v xml:space="preserve"> </v>
      </c>
      <c r="J1347" s="38"/>
      <c r="K1347" s="9"/>
      <c r="L1347" s="9"/>
      <c r="M1347" s="38"/>
      <c r="N1347" s="38"/>
      <c r="O1347" s="38"/>
      <c r="P1347" s="38"/>
      <c r="Q1347" s="38"/>
      <c r="R1347" s="122"/>
      <c r="T1347" s="188"/>
    </row>
    <row r="1348" spans="1:20" ht="30" x14ac:dyDescent="0.25">
      <c r="A1348" s="114">
        <v>181</v>
      </c>
      <c r="B1348" s="1" t="s">
        <v>630</v>
      </c>
      <c r="C1348" s="1" t="s">
        <v>61</v>
      </c>
      <c r="D1348" s="2" t="s">
        <v>62</v>
      </c>
      <c r="E1348" s="99" t="str">
        <f>IFERROR(VLOOKUP(C1348,Resources!B:D,3,FALSE)," ")</f>
        <v xml:space="preserve"> </v>
      </c>
      <c r="F1348" s="7"/>
      <c r="G1348" s="7"/>
      <c r="H1348" s="103">
        <f>VLOOKUP($A1348,'Model Inputs'!$A:$D,4,FALSE)</f>
        <v>775</v>
      </c>
      <c r="I1348" s="108" t="str">
        <f>IFERROR(VLOOKUP(C1348,Resources!B:G,6,FALSE)," ")</f>
        <v xml:space="preserve"> </v>
      </c>
      <c r="J1348" s="108">
        <f>SUBTOTAL(9,J1349:J1357)</f>
        <v>15596.637107776265</v>
      </c>
      <c r="K1348" s="7"/>
      <c r="L1348" s="7">
        <f>ROUNDUP((MAX(L1349:L1352)+MAX(L1354:L1357))/Workhrs,0)</f>
        <v>3</v>
      </c>
      <c r="M1348" s="108">
        <f t="shared" ref="M1348:Q1348" si="1990">SUBTOTAL(9,M1349:M1357)</f>
        <v>1346.6285811732607</v>
      </c>
      <c r="N1348" s="108">
        <f t="shared" si="1990"/>
        <v>0</v>
      </c>
      <c r="O1348" s="108">
        <f t="shared" si="1990"/>
        <v>14250.008526603004</v>
      </c>
      <c r="P1348" s="108">
        <f t="shared" si="1990"/>
        <v>0</v>
      </c>
      <c r="Q1348" s="108">
        <f t="shared" si="1990"/>
        <v>15596.637107776265</v>
      </c>
      <c r="R1348" s="120"/>
      <c r="T1348" s="188"/>
    </row>
    <row r="1349" spans="1:20" x14ac:dyDescent="0.25">
      <c r="A1349" s="100">
        <v>181.1</v>
      </c>
      <c r="B1349" s="3">
        <v>1</v>
      </c>
      <c r="C1349" s="5" t="s">
        <v>63</v>
      </c>
      <c r="D1349" s="3" t="s">
        <v>48</v>
      </c>
      <c r="E1349" s="100" t="str">
        <f>IFERROR(VLOOKUP(C1349,Resources!B:D,3,FALSE)," ")</f>
        <v>P</v>
      </c>
      <c r="F1349" s="8">
        <v>1</v>
      </c>
      <c r="G1349" s="103">
        <f>VLOOKUP($A1349,'Model Inputs'!$A:$D,4,FALSE)</f>
        <v>40</v>
      </c>
      <c r="H1349" s="8">
        <f>H1348</f>
        <v>775</v>
      </c>
      <c r="I1349" s="109">
        <f>IFERROR(VLOOKUP(C1349,Resources!B:G,6,FALSE)," ")</f>
        <v>135</v>
      </c>
      <c r="J1349" s="109">
        <f t="shared" ref="J1349:J1352" si="1991">(H1349/(G1349/F1349))*I1349</f>
        <v>2615.625</v>
      </c>
      <c r="K1349" s="8">
        <f t="shared" ref="K1349:K1352" si="1992">L1349*F1349</f>
        <v>19.375</v>
      </c>
      <c r="L1349" s="8">
        <f t="shared" ref="L1349:L1352" si="1993">IF(E1349="M"," ",H1349/G1349)</f>
        <v>19.375</v>
      </c>
      <c r="M1349" s="109">
        <f t="shared" ref="M1349:M1352" si="1994">IF($E1349="L",$J1349,0)</f>
        <v>0</v>
      </c>
      <c r="N1349" s="109">
        <f t="shared" ref="N1349:N1352" si="1995">IF($E1349="M",$J1349,0)</f>
        <v>0</v>
      </c>
      <c r="O1349" s="109">
        <f t="shared" ref="O1349:O1352" si="1996">IF($E1349="P",$J1349,0)</f>
        <v>2615.625</v>
      </c>
      <c r="P1349" s="109">
        <f t="shared" ref="P1349:P1352" si="1997">IF($E1349="S",$J1349,0)</f>
        <v>0</v>
      </c>
      <c r="Q1349" s="109">
        <f t="shared" ref="Q1349:Q1352" si="1998">SUM(M1349:P1349)</f>
        <v>2615.625</v>
      </c>
      <c r="R1349" s="121">
        <v>53</v>
      </c>
      <c r="T1349" s="188"/>
    </row>
    <row r="1350" spans="1:20" x14ac:dyDescent="0.25">
      <c r="A1350" s="100">
        <v>181.2</v>
      </c>
      <c r="B1350" s="3">
        <v>2</v>
      </c>
      <c r="C1350" s="5" t="s">
        <v>44</v>
      </c>
      <c r="D1350" s="3" t="s">
        <v>48</v>
      </c>
      <c r="E1350" s="100" t="str">
        <f>IFERROR(VLOOKUP(C1350,Resources!B:D,3,FALSE)," ")</f>
        <v>P</v>
      </c>
      <c r="F1350" s="103">
        <f>VLOOKUP($A1350,'Model Inputs'!$A:$D,4,FALSE)</f>
        <v>3</v>
      </c>
      <c r="G1350" s="8">
        <f>G1349</f>
        <v>40</v>
      </c>
      <c r="H1350" s="8">
        <f>H1348</f>
        <v>775</v>
      </c>
      <c r="I1350" s="109">
        <f>IFERROR(VLOOKUP(C1350,Resources!B:G,6,FALSE)," ")</f>
        <v>145</v>
      </c>
      <c r="J1350" s="109">
        <f t="shared" si="1991"/>
        <v>8428.125</v>
      </c>
      <c r="K1350" s="8">
        <f t="shared" si="1992"/>
        <v>58.125</v>
      </c>
      <c r="L1350" s="8">
        <f t="shared" si="1993"/>
        <v>19.375</v>
      </c>
      <c r="M1350" s="109">
        <f t="shared" si="1994"/>
        <v>0</v>
      </c>
      <c r="N1350" s="109">
        <f t="shared" si="1995"/>
        <v>0</v>
      </c>
      <c r="O1350" s="109">
        <f t="shared" si="1996"/>
        <v>8428.125</v>
      </c>
      <c r="P1350" s="109">
        <f t="shared" si="1997"/>
        <v>0</v>
      </c>
      <c r="Q1350" s="109">
        <f t="shared" si="1998"/>
        <v>8428.125</v>
      </c>
      <c r="R1350" s="121">
        <v>53</v>
      </c>
      <c r="T1350" s="188"/>
    </row>
    <row r="1351" spans="1:20" x14ac:dyDescent="0.25">
      <c r="A1351" s="100"/>
      <c r="B1351" s="3">
        <v>3</v>
      </c>
      <c r="C1351" s="5" t="s">
        <v>64</v>
      </c>
      <c r="D1351" s="3" t="s">
        <v>48</v>
      </c>
      <c r="E1351" s="100" t="str">
        <f>IFERROR(VLOOKUP(C1351,Resources!B:D,3,FALSE)," ")</f>
        <v>P</v>
      </c>
      <c r="F1351" s="8">
        <v>1</v>
      </c>
      <c r="G1351" s="8">
        <f>G1349</f>
        <v>40</v>
      </c>
      <c r="H1351" s="8">
        <f>H1348</f>
        <v>775</v>
      </c>
      <c r="I1351" s="109">
        <f>IFERROR(VLOOKUP(C1351,Resources!B:G,6,FALSE)," ")</f>
        <v>100</v>
      </c>
      <c r="J1351" s="109">
        <f t="shared" si="1991"/>
        <v>1937.5</v>
      </c>
      <c r="K1351" s="8">
        <f t="shared" si="1992"/>
        <v>19.375</v>
      </c>
      <c r="L1351" s="8">
        <f t="shared" si="1993"/>
        <v>19.375</v>
      </c>
      <c r="M1351" s="109">
        <f t="shared" si="1994"/>
        <v>0</v>
      </c>
      <c r="N1351" s="109">
        <f t="shared" si="1995"/>
        <v>0</v>
      </c>
      <c r="O1351" s="109">
        <f t="shared" si="1996"/>
        <v>1937.5</v>
      </c>
      <c r="P1351" s="109">
        <f t="shared" si="1997"/>
        <v>0</v>
      </c>
      <c r="Q1351" s="109">
        <f t="shared" si="1998"/>
        <v>1937.5</v>
      </c>
      <c r="R1351" s="121">
        <v>53</v>
      </c>
      <c r="T1351" s="188"/>
    </row>
    <row r="1352" spans="1:20" x14ac:dyDescent="0.25">
      <c r="A1352" s="100"/>
      <c r="B1352" s="3">
        <v>4</v>
      </c>
      <c r="C1352" s="5" t="s">
        <v>8</v>
      </c>
      <c r="D1352" s="3" t="s">
        <v>48</v>
      </c>
      <c r="E1352" s="100" t="str">
        <f>IFERROR(VLOOKUP(C1352,Resources!B:D,3,FALSE)," ")</f>
        <v>L</v>
      </c>
      <c r="F1352" s="8">
        <v>1</v>
      </c>
      <c r="G1352" s="8">
        <f>G1349</f>
        <v>40</v>
      </c>
      <c r="H1352" s="8">
        <f>H1348</f>
        <v>775</v>
      </c>
      <c r="I1352" s="109">
        <f>IFERROR(VLOOKUP(C1352,Resources!B:G,6,FALSE)," ")</f>
        <v>42</v>
      </c>
      <c r="J1352" s="109">
        <f t="shared" si="1991"/>
        <v>813.75</v>
      </c>
      <c r="K1352" s="8">
        <f t="shared" si="1992"/>
        <v>19.375</v>
      </c>
      <c r="L1352" s="8">
        <f t="shared" si="1993"/>
        <v>19.375</v>
      </c>
      <c r="M1352" s="109">
        <f t="shared" si="1994"/>
        <v>813.75</v>
      </c>
      <c r="N1352" s="109">
        <f t="shared" si="1995"/>
        <v>0</v>
      </c>
      <c r="O1352" s="109">
        <f t="shared" si="1996"/>
        <v>0</v>
      </c>
      <c r="P1352" s="109">
        <f t="shared" si="1997"/>
        <v>0</v>
      </c>
      <c r="Q1352" s="109">
        <f t="shared" si="1998"/>
        <v>813.75</v>
      </c>
      <c r="R1352" s="121">
        <v>53</v>
      </c>
      <c r="T1352" s="188"/>
    </row>
    <row r="1353" spans="1:20" x14ac:dyDescent="0.25">
      <c r="A1353" s="101"/>
      <c r="B1353" s="4">
        <v>5</v>
      </c>
      <c r="C1353" s="6" t="s">
        <v>65</v>
      </c>
      <c r="D1353" s="4"/>
      <c r="E1353" s="101" t="str">
        <f>IFERROR(VLOOKUP(C1353,Resources!B:D,3,FALSE)," ")</f>
        <v xml:space="preserve"> </v>
      </c>
      <c r="F1353" s="9"/>
      <c r="G1353" s="9"/>
      <c r="H1353" s="9"/>
      <c r="I1353" s="38" t="str">
        <f>IFERROR(VLOOKUP(C1353,Resources!B:G,6,FALSE)," ")</f>
        <v xml:space="preserve"> </v>
      </c>
      <c r="J1353" s="38"/>
      <c r="K1353" s="9"/>
      <c r="L1353" s="9"/>
      <c r="M1353" s="38"/>
      <c r="N1353" s="38"/>
      <c r="O1353" s="38"/>
      <c r="P1353" s="38"/>
      <c r="Q1353" s="38"/>
      <c r="R1353" s="122"/>
      <c r="T1353" s="188"/>
    </row>
    <row r="1354" spans="1:20" x14ac:dyDescent="0.25">
      <c r="A1354" s="100">
        <v>181.3</v>
      </c>
      <c r="B1354" s="3">
        <v>6</v>
      </c>
      <c r="C1354" s="5" t="s">
        <v>39</v>
      </c>
      <c r="D1354" s="3" t="s">
        <v>48</v>
      </c>
      <c r="E1354" s="100" t="str">
        <f>IFERROR(VLOOKUP(C1354,Resources!B:D,3,FALSE)," ")</f>
        <v>P</v>
      </c>
      <c r="F1354" s="8">
        <v>1</v>
      </c>
      <c r="G1354" s="103">
        <f>VLOOKUP($A1354,'Model Inputs'!$A:$D,4,FALSE)</f>
        <v>250</v>
      </c>
      <c r="H1354" s="8">
        <f>H1348/0.733</f>
        <v>1057.2987721691679</v>
      </c>
      <c r="I1354" s="109">
        <f>IFERROR(VLOOKUP(C1354,Resources!B:G,6,FALSE)," ")</f>
        <v>145</v>
      </c>
      <c r="J1354" s="109">
        <f t="shared" ref="J1354:J1357" si="1999">(H1354/(G1354/F1354))*I1354</f>
        <v>613.23328785811748</v>
      </c>
      <c r="K1354" s="8">
        <f t="shared" ref="K1354:K1357" si="2000">L1354*F1354</f>
        <v>4.229195088676672</v>
      </c>
      <c r="L1354" s="8">
        <f t="shared" ref="L1354:L1357" si="2001">IF(E1354="M"," ",H1354/G1354)</f>
        <v>4.229195088676672</v>
      </c>
      <c r="M1354" s="109">
        <f t="shared" ref="M1354:M1357" si="2002">IF($E1354="L",$J1354,0)</f>
        <v>0</v>
      </c>
      <c r="N1354" s="109">
        <f t="shared" ref="N1354:N1357" si="2003">IF($E1354="M",$J1354,0)</f>
        <v>0</v>
      </c>
      <c r="O1354" s="109">
        <f t="shared" ref="O1354:O1357" si="2004">IF($E1354="P",$J1354,0)</f>
        <v>613.23328785811748</v>
      </c>
      <c r="P1354" s="109">
        <f t="shared" ref="P1354:P1357" si="2005">IF($E1354="S",$J1354,0)</f>
        <v>0</v>
      </c>
      <c r="Q1354" s="109">
        <f t="shared" ref="Q1354:Q1357" si="2006">SUM(M1354:P1354)</f>
        <v>613.23328785811748</v>
      </c>
      <c r="R1354" s="121">
        <v>61</v>
      </c>
      <c r="T1354" s="188"/>
    </row>
    <row r="1355" spans="1:20" x14ac:dyDescent="0.25">
      <c r="A1355" s="100"/>
      <c r="B1355" s="3">
        <v>7</v>
      </c>
      <c r="C1355" s="5" t="s">
        <v>64</v>
      </c>
      <c r="D1355" s="3" t="s">
        <v>48</v>
      </c>
      <c r="E1355" s="100" t="str">
        <f>IFERROR(VLOOKUP(C1355,Resources!B:D,3,FALSE)," ")</f>
        <v>P</v>
      </c>
      <c r="F1355" s="8">
        <v>1</v>
      </c>
      <c r="G1355" s="8">
        <f>G1354</f>
        <v>250</v>
      </c>
      <c r="H1355" s="8">
        <f>H1354</f>
        <v>1057.2987721691679</v>
      </c>
      <c r="I1355" s="109">
        <f>IFERROR(VLOOKUP(C1355,Resources!B:G,6,FALSE)," ")</f>
        <v>100</v>
      </c>
      <c r="J1355" s="109">
        <f t="shared" si="1999"/>
        <v>422.91950886766722</v>
      </c>
      <c r="K1355" s="8">
        <f t="shared" si="2000"/>
        <v>4.229195088676672</v>
      </c>
      <c r="L1355" s="8">
        <f t="shared" si="2001"/>
        <v>4.229195088676672</v>
      </c>
      <c r="M1355" s="109">
        <f t="shared" si="2002"/>
        <v>0</v>
      </c>
      <c r="N1355" s="109">
        <f t="shared" si="2003"/>
        <v>0</v>
      </c>
      <c r="O1355" s="109">
        <f t="shared" si="2004"/>
        <v>422.91950886766722</v>
      </c>
      <c r="P1355" s="109">
        <f t="shared" si="2005"/>
        <v>0</v>
      </c>
      <c r="Q1355" s="109">
        <f t="shared" si="2006"/>
        <v>422.91950886766722</v>
      </c>
      <c r="R1355" s="121">
        <v>61</v>
      </c>
      <c r="T1355" s="188"/>
    </row>
    <row r="1356" spans="1:20" x14ac:dyDescent="0.25">
      <c r="A1356" s="100"/>
      <c r="B1356" s="3">
        <v>8</v>
      </c>
      <c r="C1356" s="5" t="s">
        <v>69</v>
      </c>
      <c r="D1356" s="3" t="s">
        <v>48</v>
      </c>
      <c r="E1356" s="100" t="str">
        <f>IFERROR(VLOOKUP(C1356,Resources!B:D,3,FALSE)," ")</f>
        <v>P</v>
      </c>
      <c r="F1356" s="8">
        <v>1</v>
      </c>
      <c r="G1356" s="8">
        <f>G1354</f>
        <v>250</v>
      </c>
      <c r="H1356" s="8">
        <f>H1354</f>
        <v>1057.2987721691679</v>
      </c>
      <c r="I1356" s="109">
        <f>IFERROR(VLOOKUP(C1356,Resources!B:G,6,FALSE)," ")</f>
        <v>55</v>
      </c>
      <c r="J1356" s="109">
        <f t="shared" si="1999"/>
        <v>232.60572987721696</v>
      </c>
      <c r="K1356" s="8">
        <f t="shared" si="2000"/>
        <v>4.229195088676672</v>
      </c>
      <c r="L1356" s="8">
        <f t="shared" si="2001"/>
        <v>4.229195088676672</v>
      </c>
      <c r="M1356" s="109">
        <f t="shared" si="2002"/>
        <v>0</v>
      </c>
      <c r="N1356" s="109">
        <f t="shared" si="2003"/>
        <v>0</v>
      </c>
      <c r="O1356" s="109">
        <f t="shared" si="2004"/>
        <v>232.60572987721696</v>
      </c>
      <c r="P1356" s="109">
        <f t="shared" si="2005"/>
        <v>0</v>
      </c>
      <c r="Q1356" s="109">
        <f t="shared" si="2006"/>
        <v>232.60572987721696</v>
      </c>
      <c r="R1356" s="121">
        <v>61</v>
      </c>
      <c r="T1356" s="188"/>
    </row>
    <row r="1357" spans="1:20" x14ac:dyDescent="0.25">
      <c r="A1357" s="100"/>
      <c r="B1357" s="3">
        <v>9</v>
      </c>
      <c r="C1357" s="5" t="s">
        <v>8</v>
      </c>
      <c r="D1357" s="3" t="s">
        <v>48</v>
      </c>
      <c r="E1357" s="100" t="str">
        <f>IFERROR(VLOOKUP(C1357,Resources!B:D,3,FALSE)," ")</f>
        <v>L</v>
      </c>
      <c r="F1357" s="8">
        <v>3</v>
      </c>
      <c r="G1357" s="8">
        <f>G1354</f>
        <v>250</v>
      </c>
      <c r="H1357" s="8">
        <f>H1354</f>
        <v>1057.2987721691679</v>
      </c>
      <c r="I1357" s="109">
        <f>IFERROR(VLOOKUP(C1357,Resources!B:G,6,FALSE)," ")</f>
        <v>42</v>
      </c>
      <c r="J1357" s="109">
        <f t="shared" si="1999"/>
        <v>532.87858117326073</v>
      </c>
      <c r="K1357" s="8">
        <f t="shared" si="2000"/>
        <v>12.687585266030016</v>
      </c>
      <c r="L1357" s="8">
        <f t="shared" si="2001"/>
        <v>4.229195088676672</v>
      </c>
      <c r="M1357" s="109">
        <f t="shared" si="2002"/>
        <v>532.87858117326073</v>
      </c>
      <c r="N1357" s="109">
        <f t="shared" si="2003"/>
        <v>0</v>
      </c>
      <c r="O1357" s="109">
        <f t="shared" si="2004"/>
        <v>0</v>
      </c>
      <c r="P1357" s="109">
        <f t="shared" si="2005"/>
        <v>0</v>
      </c>
      <c r="Q1357" s="109">
        <f t="shared" si="2006"/>
        <v>532.87858117326073</v>
      </c>
      <c r="R1357" s="121">
        <v>61</v>
      </c>
      <c r="T1357" s="188"/>
    </row>
    <row r="1358" spans="1:20" x14ac:dyDescent="0.25">
      <c r="A1358" s="101"/>
      <c r="B1358" s="4"/>
      <c r="C1358" s="6"/>
      <c r="D1358" s="4"/>
      <c r="E1358" s="101" t="str">
        <f>IFERROR(VLOOKUP(C1358,Resources!B:D,3,FALSE)," ")</f>
        <v xml:space="preserve"> </v>
      </c>
      <c r="F1358" s="9"/>
      <c r="G1358" s="9"/>
      <c r="H1358" s="9"/>
      <c r="I1358" s="38" t="str">
        <f>IFERROR(VLOOKUP(C1358,Resources!B:G,6,FALSE)," ")</f>
        <v xml:space="preserve"> </v>
      </c>
      <c r="J1358" s="38"/>
      <c r="K1358" s="9"/>
      <c r="L1358" s="9"/>
      <c r="M1358" s="38"/>
      <c r="N1358" s="38"/>
      <c r="O1358" s="38"/>
      <c r="P1358" s="38"/>
      <c r="Q1358" s="38"/>
      <c r="R1358" s="122"/>
      <c r="T1358" s="188"/>
    </row>
    <row r="1359" spans="1:20" ht="30" x14ac:dyDescent="0.25">
      <c r="A1359" s="114">
        <v>182</v>
      </c>
      <c r="B1359" s="1" t="s">
        <v>631</v>
      </c>
      <c r="C1359" s="1" t="s">
        <v>258</v>
      </c>
      <c r="D1359" s="2" t="s">
        <v>62</v>
      </c>
      <c r="E1359" s="99" t="str">
        <f>IFERROR(VLOOKUP(C1359,Resources!B:D,3,FALSE)," ")</f>
        <v xml:space="preserve"> </v>
      </c>
      <c r="F1359" s="7"/>
      <c r="G1359" s="7"/>
      <c r="H1359" s="103">
        <f>VLOOKUP($A1359,'Model Inputs'!$A:$D,4,FALSE)</f>
        <v>27</v>
      </c>
      <c r="I1359" s="108" t="str">
        <f>IFERROR(VLOOKUP(C1359,Resources!B:G,6,FALSE)," ")</f>
        <v xml:space="preserve"> </v>
      </c>
      <c r="J1359" s="108">
        <f>SUBTOTAL(9,J1360:J1364)</f>
        <v>757.35</v>
      </c>
      <c r="K1359" s="7"/>
      <c r="L1359" s="7">
        <f>ROUNDUP(MAX(L1360:L1364)/Workhrs,0)</f>
        <v>1</v>
      </c>
      <c r="M1359" s="108">
        <f t="shared" ref="M1359:Q1359" si="2007">SUBTOTAL(9,M1360:M1364)</f>
        <v>170.1</v>
      </c>
      <c r="N1359" s="108">
        <f t="shared" si="2007"/>
        <v>0</v>
      </c>
      <c r="O1359" s="108">
        <f t="shared" si="2007"/>
        <v>587.25</v>
      </c>
      <c r="P1359" s="108">
        <f t="shared" si="2007"/>
        <v>0</v>
      </c>
      <c r="Q1359" s="108">
        <f t="shared" si="2007"/>
        <v>757.35</v>
      </c>
      <c r="R1359" s="120"/>
      <c r="T1359" s="188"/>
    </row>
    <row r="1360" spans="1:20" x14ac:dyDescent="0.25">
      <c r="A1360" s="100">
        <v>182.1</v>
      </c>
      <c r="B1360" s="3">
        <v>1</v>
      </c>
      <c r="C1360" s="5" t="s">
        <v>63</v>
      </c>
      <c r="D1360" s="3" t="s">
        <v>48</v>
      </c>
      <c r="E1360" s="100" t="str">
        <f>IFERROR(VLOOKUP(C1360,Resources!B:D,3,FALSE)," ")</f>
        <v>P</v>
      </c>
      <c r="F1360" s="8">
        <v>1</v>
      </c>
      <c r="G1360" s="103">
        <f>VLOOKUP($A1360,'Model Inputs'!$A:$D,4,FALSE)</f>
        <v>20</v>
      </c>
      <c r="H1360" s="8">
        <f>H1359</f>
        <v>27</v>
      </c>
      <c r="I1360" s="109">
        <f>IFERROR(VLOOKUP(C1360,Resources!B:G,6,FALSE)," ")</f>
        <v>135</v>
      </c>
      <c r="J1360" s="109">
        <f t="shared" ref="J1360:J1364" si="2008">(H1360/(G1360/F1360))*I1360</f>
        <v>182.25</v>
      </c>
      <c r="K1360" s="8">
        <f t="shared" ref="K1360:K1364" si="2009">L1360*F1360</f>
        <v>1.35</v>
      </c>
      <c r="L1360" s="8">
        <f t="shared" ref="L1360:L1364" si="2010">IF(E1360="M"," ",H1360/G1360)</f>
        <v>1.35</v>
      </c>
      <c r="M1360" s="109">
        <f t="shared" ref="M1360:M1364" si="2011">IF($E1360="L",$J1360,0)</f>
        <v>0</v>
      </c>
      <c r="N1360" s="109">
        <f t="shared" ref="N1360:N1364" si="2012">IF($E1360="M",$J1360,0)</f>
        <v>0</v>
      </c>
      <c r="O1360" s="109">
        <f t="shared" ref="O1360:O1364" si="2013">IF($E1360="P",$J1360,0)</f>
        <v>182.25</v>
      </c>
      <c r="P1360" s="109">
        <f t="shared" ref="P1360:P1364" si="2014">IF($E1360="S",$J1360,0)</f>
        <v>0</v>
      </c>
      <c r="Q1360" s="109">
        <f t="shared" ref="Q1360:Q1364" si="2015">SUM(M1360:P1360)</f>
        <v>182.25</v>
      </c>
      <c r="R1360" s="121">
        <v>53</v>
      </c>
      <c r="T1360" s="188"/>
    </row>
    <row r="1361" spans="1:20" x14ac:dyDescent="0.25">
      <c r="A1361" s="100"/>
      <c r="B1361" s="3">
        <v>2</v>
      </c>
      <c r="C1361" s="5" t="s">
        <v>39</v>
      </c>
      <c r="D1361" s="3" t="s">
        <v>48</v>
      </c>
      <c r="E1361" s="100" t="str">
        <f>IFERROR(VLOOKUP(C1361,Resources!B:D,3,FALSE)," ")</f>
        <v>P</v>
      </c>
      <c r="F1361" s="8">
        <v>1</v>
      </c>
      <c r="G1361" s="8">
        <f>G1360</f>
        <v>20</v>
      </c>
      <c r="H1361" s="8">
        <f>H1359</f>
        <v>27</v>
      </c>
      <c r="I1361" s="109">
        <f>IFERROR(VLOOKUP(C1361,Resources!B:G,6,FALSE)," ")</f>
        <v>145</v>
      </c>
      <c r="J1361" s="109">
        <f t="shared" si="2008"/>
        <v>195.75</v>
      </c>
      <c r="K1361" s="8">
        <f t="shared" si="2009"/>
        <v>1.35</v>
      </c>
      <c r="L1361" s="8">
        <f t="shared" si="2010"/>
        <v>1.35</v>
      </c>
      <c r="M1361" s="109">
        <f t="shared" si="2011"/>
        <v>0</v>
      </c>
      <c r="N1361" s="109">
        <f t="shared" si="2012"/>
        <v>0</v>
      </c>
      <c r="O1361" s="109">
        <f t="shared" si="2013"/>
        <v>195.75</v>
      </c>
      <c r="P1361" s="109">
        <f t="shared" si="2014"/>
        <v>0</v>
      </c>
      <c r="Q1361" s="109">
        <f t="shared" si="2015"/>
        <v>195.75</v>
      </c>
      <c r="R1361" s="121">
        <v>53</v>
      </c>
      <c r="T1361" s="188"/>
    </row>
    <row r="1362" spans="1:20" x14ac:dyDescent="0.25">
      <c r="A1362" s="100"/>
      <c r="B1362" s="3">
        <v>3</v>
      </c>
      <c r="C1362" s="5" t="s">
        <v>69</v>
      </c>
      <c r="D1362" s="3" t="s">
        <v>48</v>
      </c>
      <c r="E1362" s="100" t="str">
        <f>IFERROR(VLOOKUP(C1362,Resources!B:D,3,FALSE)," ")</f>
        <v>P</v>
      </c>
      <c r="F1362" s="8">
        <v>1</v>
      </c>
      <c r="G1362" s="8">
        <f>G1360</f>
        <v>20</v>
      </c>
      <c r="H1362" s="8">
        <f>H1359</f>
        <v>27</v>
      </c>
      <c r="I1362" s="109">
        <f>IFERROR(VLOOKUP(C1362,Resources!B:G,6,FALSE)," ")</f>
        <v>55</v>
      </c>
      <c r="J1362" s="109">
        <f t="shared" si="2008"/>
        <v>74.25</v>
      </c>
      <c r="K1362" s="8">
        <f t="shared" si="2009"/>
        <v>1.35</v>
      </c>
      <c r="L1362" s="8">
        <f t="shared" si="2010"/>
        <v>1.35</v>
      </c>
      <c r="M1362" s="109">
        <f t="shared" si="2011"/>
        <v>0</v>
      </c>
      <c r="N1362" s="109">
        <f t="shared" si="2012"/>
        <v>0</v>
      </c>
      <c r="O1362" s="109">
        <f t="shared" si="2013"/>
        <v>74.25</v>
      </c>
      <c r="P1362" s="109">
        <f t="shared" si="2014"/>
        <v>0</v>
      </c>
      <c r="Q1362" s="109">
        <f t="shared" si="2015"/>
        <v>74.25</v>
      </c>
      <c r="R1362" s="121">
        <v>53</v>
      </c>
      <c r="T1362" s="188"/>
    </row>
    <row r="1363" spans="1:20" x14ac:dyDescent="0.25">
      <c r="A1363" s="100"/>
      <c r="B1363" s="3">
        <v>4</v>
      </c>
      <c r="C1363" s="5" t="s">
        <v>64</v>
      </c>
      <c r="D1363" s="3" t="s">
        <v>48</v>
      </c>
      <c r="E1363" s="100" t="str">
        <f>IFERROR(VLOOKUP(C1363,Resources!B:D,3,FALSE)," ")</f>
        <v>P</v>
      </c>
      <c r="F1363" s="8">
        <v>1</v>
      </c>
      <c r="G1363" s="8">
        <f>G1360</f>
        <v>20</v>
      </c>
      <c r="H1363" s="8">
        <f>H1359</f>
        <v>27</v>
      </c>
      <c r="I1363" s="109">
        <f>IFERROR(VLOOKUP(C1363,Resources!B:G,6,FALSE)," ")</f>
        <v>100</v>
      </c>
      <c r="J1363" s="109">
        <f t="shared" si="2008"/>
        <v>135</v>
      </c>
      <c r="K1363" s="8">
        <f t="shared" si="2009"/>
        <v>1.35</v>
      </c>
      <c r="L1363" s="8">
        <f t="shared" si="2010"/>
        <v>1.35</v>
      </c>
      <c r="M1363" s="109">
        <f t="shared" si="2011"/>
        <v>0</v>
      </c>
      <c r="N1363" s="109">
        <f t="shared" si="2012"/>
        <v>0</v>
      </c>
      <c r="O1363" s="109">
        <f t="shared" si="2013"/>
        <v>135</v>
      </c>
      <c r="P1363" s="109">
        <f t="shared" si="2014"/>
        <v>0</v>
      </c>
      <c r="Q1363" s="109">
        <f t="shared" si="2015"/>
        <v>135</v>
      </c>
      <c r="R1363" s="121">
        <v>53</v>
      </c>
      <c r="T1363" s="188"/>
    </row>
    <row r="1364" spans="1:20" x14ac:dyDescent="0.25">
      <c r="A1364" s="100"/>
      <c r="B1364" s="3">
        <v>5</v>
      </c>
      <c r="C1364" s="5" t="s">
        <v>8</v>
      </c>
      <c r="D1364" s="3" t="s">
        <v>48</v>
      </c>
      <c r="E1364" s="100" t="str">
        <f>IFERROR(VLOOKUP(C1364,Resources!B:D,3,FALSE)," ")</f>
        <v>L</v>
      </c>
      <c r="F1364" s="8">
        <v>3</v>
      </c>
      <c r="G1364" s="8">
        <f>G1360</f>
        <v>20</v>
      </c>
      <c r="H1364" s="8">
        <f>H1359</f>
        <v>27</v>
      </c>
      <c r="I1364" s="109">
        <f>IFERROR(VLOOKUP(C1364,Resources!B:G,6,FALSE)," ")</f>
        <v>42</v>
      </c>
      <c r="J1364" s="109">
        <f t="shared" si="2008"/>
        <v>170.1</v>
      </c>
      <c r="K1364" s="8">
        <f t="shared" si="2009"/>
        <v>4.0500000000000007</v>
      </c>
      <c r="L1364" s="8">
        <f t="shared" si="2010"/>
        <v>1.35</v>
      </c>
      <c r="M1364" s="109">
        <f t="shared" si="2011"/>
        <v>170.1</v>
      </c>
      <c r="N1364" s="109">
        <f t="shared" si="2012"/>
        <v>0</v>
      </c>
      <c r="O1364" s="109">
        <f t="shared" si="2013"/>
        <v>0</v>
      </c>
      <c r="P1364" s="109">
        <f t="shared" si="2014"/>
        <v>0</v>
      </c>
      <c r="Q1364" s="109">
        <f t="shared" si="2015"/>
        <v>170.1</v>
      </c>
      <c r="R1364" s="121">
        <v>53</v>
      </c>
      <c r="T1364" s="188"/>
    </row>
    <row r="1365" spans="1:20" x14ac:dyDescent="0.25">
      <c r="A1365" s="101"/>
      <c r="B1365" s="4"/>
      <c r="C1365" s="6"/>
      <c r="D1365" s="4"/>
      <c r="E1365" s="101" t="str">
        <f>IFERROR(VLOOKUP(C1365,Resources!B:D,3,FALSE)," ")</f>
        <v xml:space="preserve"> </v>
      </c>
      <c r="F1365" s="9"/>
      <c r="G1365" s="9"/>
      <c r="H1365" s="9"/>
      <c r="I1365" s="38" t="str">
        <f>IFERROR(VLOOKUP(C1365,Resources!B:G,6,FALSE)," ")</f>
        <v xml:space="preserve"> </v>
      </c>
      <c r="J1365" s="38"/>
      <c r="K1365" s="9"/>
      <c r="L1365" s="9"/>
      <c r="M1365" s="38"/>
      <c r="N1365" s="38"/>
      <c r="O1365" s="38"/>
      <c r="P1365" s="38"/>
      <c r="Q1365" s="38"/>
      <c r="R1365" s="122"/>
      <c r="T1365" s="188"/>
    </row>
    <row r="1366" spans="1:20" ht="45" x14ac:dyDescent="0.25">
      <c r="A1366" s="114">
        <v>183</v>
      </c>
      <c r="B1366" s="1" t="s">
        <v>632</v>
      </c>
      <c r="C1366" s="1" t="s">
        <v>167</v>
      </c>
      <c r="D1366" s="2" t="s">
        <v>62</v>
      </c>
      <c r="E1366" s="99" t="str">
        <f>IFERROR(VLOOKUP(C1366,Resources!B:D,3,FALSE)," ")</f>
        <v xml:space="preserve"> </v>
      </c>
      <c r="F1366" s="7"/>
      <c r="G1366" s="7"/>
      <c r="H1366" s="103">
        <f>VLOOKUP($A1366,'Model Inputs'!$A:$D,4,FALSE)</f>
        <v>20</v>
      </c>
      <c r="I1366" s="108" t="str">
        <f>IFERROR(VLOOKUP(C1366,Resources!B:G,6,FALSE)," ")</f>
        <v xml:space="preserve"> </v>
      </c>
      <c r="J1366" s="108">
        <f>SUBTOTAL(9,J1367:J1375)</f>
        <v>1310.6666666666667</v>
      </c>
      <c r="K1366" s="7"/>
      <c r="L1366" s="7">
        <f>ROUNDUP((MAX(L1367:L1370)+MAX(L1372:L1375))/Workhrs,0)</f>
        <v>1</v>
      </c>
      <c r="M1366" s="108">
        <f t="shared" ref="M1366:Q1366" si="2016">SUBTOTAL(9,M1367:M1375)</f>
        <v>224</v>
      </c>
      <c r="N1366" s="108">
        <f t="shared" si="2016"/>
        <v>0</v>
      </c>
      <c r="O1366" s="108">
        <f t="shared" si="2016"/>
        <v>1086.6666666666667</v>
      </c>
      <c r="P1366" s="108">
        <f t="shared" si="2016"/>
        <v>0</v>
      </c>
      <c r="Q1366" s="108">
        <f t="shared" si="2016"/>
        <v>1310.6666666666667</v>
      </c>
      <c r="R1366" s="120"/>
      <c r="T1366" s="188"/>
    </row>
    <row r="1367" spans="1:20" x14ac:dyDescent="0.25">
      <c r="A1367" s="100">
        <v>183.1</v>
      </c>
      <c r="B1367" s="3">
        <v>1</v>
      </c>
      <c r="C1367" s="5" t="s">
        <v>63</v>
      </c>
      <c r="D1367" s="3" t="s">
        <v>48</v>
      </c>
      <c r="E1367" s="100" t="str">
        <f>IFERROR(VLOOKUP(C1367,Resources!B:D,3,FALSE)," ")</f>
        <v>P</v>
      </c>
      <c r="F1367" s="8">
        <v>1</v>
      </c>
      <c r="G1367" s="103">
        <f>VLOOKUP($A1367,'Model Inputs'!$A:$D,4,FALSE)</f>
        <v>15</v>
      </c>
      <c r="H1367" s="8">
        <f>H1366</f>
        <v>20</v>
      </c>
      <c r="I1367" s="109">
        <f>IFERROR(VLOOKUP(C1367,Resources!B:G,6,FALSE)," ")</f>
        <v>135</v>
      </c>
      <c r="J1367" s="109">
        <f t="shared" ref="J1367:J1370" si="2017">(H1367/(G1367/F1367))*I1367</f>
        <v>180</v>
      </c>
      <c r="K1367" s="8">
        <f t="shared" ref="K1367:K1370" si="2018">L1367*F1367</f>
        <v>1.3333333333333333</v>
      </c>
      <c r="L1367" s="8">
        <f t="shared" ref="L1367:L1370" si="2019">IF(E1367="M"," ",H1367/G1367)</f>
        <v>1.3333333333333333</v>
      </c>
      <c r="M1367" s="109">
        <f t="shared" ref="M1367:M1370" si="2020">IF($E1367="L",$J1367,0)</f>
        <v>0</v>
      </c>
      <c r="N1367" s="109">
        <f t="shared" ref="N1367:N1370" si="2021">IF($E1367="M",$J1367,0)</f>
        <v>0</v>
      </c>
      <c r="O1367" s="109">
        <f t="shared" ref="O1367:O1370" si="2022">IF($E1367="P",$J1367,0)</f>
        <v>180</v>
      </c>
      <c r="P1367" s="109">
        <f t="shared" ref="P1367:P1370" si="2023">IF($E1367="S",$J1367,0)</f>
        <v>0</v>
      </c>
      <c r="Q1367" s="109">
        <f t="shared" ref="Q1367:Q1370" si="2024">SUM(M1367:P1367)</f>
        <v>180</v>
      </c>
      <c r="R1367" s="121">
        <v>57</v>
      </c>
      <c r="T1367" s="188"/>
    </row>
    <row r="1368" spans="1:20" x14ac:dyDescent="0.25">
      <c r="A1368" s="100">
        <v>183.2</v>
      </c>
      <c r="B1368" s="3">
        <v>2</v>
      </c>
      <c r="C1368" s="5" t="s">
        <v>44</v>
      </c>
      <c r="D1368" s="3" t="s">
        <v>48</v>
      </c>
      <c r="E1368" s="100" t="str">
        <f>IFERROR(VLOOKUP(C1368,Resources!B:D,3,FALSE)," ")</f>
        <v>P</v>
      </c>
      <c r="F1368" s="103">
        <f>VLOOKUP($A1368,'Model Inputs'!$A:$D,4,FALSE)</f>
        <v>2</v>
      </c>
      <c r="G1368" s="8">
        <f>G1367</f>
        <v>15</v>
      </c>
      <c r="H1368" s="8">
        <f>H1366</f>
        <v>20</v>
      </c>
      <c r="I1368" s="109">
        <f>IFERROR(VLOOKUP(C1368,Resources!B:G,6,FALSE)," ")</f>
        <v>145</v>
      </c>
      <c r="J1368" s="109">
        <f t="shared" si="2017"/>
        <v>386.66666666666663</v>
      </c>
      <c r="K1368" s="8">
        <f t="shared" si="2018"/>
        <v>2.6666666666666665</v>
      </c>
      <c r="L1368" s="8">
        <f t="shared" si="2019"/>
        <v>1.3333333333333333</v>
      </c>
      <c r="M1368" s="109">
        <f t="shared" si="2020"/>
        <v>0</v>
      </c>
      <c r="N1368" s="109">
        <f t="shared" si="2021"/>
        <v>0</v>
      </c>
      <c r="O1368" s="109">
        <f t="shared" si="2022"/>
        <v>386.66666666666663</v>
      </c>
      <c r="P1368" s="109">
        <f t="shared" si="2023"/>
        <v>0</v>
      </c>
      <c r="Q1368" s="109">
        <f t="shared" si="2024"/>
        <v>386.66666666666663</v>
      </c>
      <c r="R1368" s="121">
        <v>57</v>
      </c>
      <c r="T1368" s="188"/>
    </row>
    <row r="1369" spans="1:20" x14ac:dyDescent="0.25">
      <c r="A1369" s="100"/>
      <c r="B1369" s="3">
        <v>3</v>
      </c>
      <c r="C1369" s="5" t="s">
        <v>64</v>
      </c>
      <c r="D1369" s="3" t="s">
        <v>48</v>
      </c>
      <c r="E1369" s="100" t="str">
        <f>IFERROR(VLOOKUP(C1369,Resources!B:D,3,FALSE)," ")</f>
        <v>P</v>
      </c>
      <c r="F1369" s="8">
        <v>1</v>
      </c>
      <c r="G1369" s="8">
        <f>G1367</f>
        <v>15</v>
      </c>
      <c r="H1369" s="8">
        <f>H1366</f>
        <v>20</v>
      </c>
      <c r="I1369" s="109">
        <f>IFERROR(VLOOKUP(C1369,Resources!B:G,6,FALSE)," ")</f>
        <v>100</v>
      </c>
      <c r="J1369" s="109">
        <f t="shared" si="2017"/>
        <v>133.33333333333331</v>
      </c>
      <c r="K1369" s="8">
        <f t="shared" si="2018"/>
        <v>1.3333333333333333</v>
      </c>
      <c r="L1369" s="8">
        <f t="shared" si="2019"/>
        <v>1.3333333333333333</v>
      </c>
      <c r="M1369" s="109">
        <f t="shared" si="2020"/>
        <v>0</v>
      </c>
      <c r="N1369" s="109">
        <f t="shared" si="2021"/>
        <v>0</v>
      </c>
      <c r="O1369" s="109">
        <f t="shared" si="2022"/>
        <v>133.33333333333331</v>
      </c>
      <c r="P1369" s="109">
        <f t="shared" si="2023"/>
        <v>0</v>
      </c>
      <c r="Q1369" s="109">
        <f t="shared" si="2024"/>
        <v>133.33333333333331</v>
      </c>
      <c r="R1369" s="121">
        <v>57</v>
      </c>
      <c r="T1369" s="188"/>
    </row>
    <row r="1370" spans="1:20" x14ac:dyDescent="0.25">
      <c r="A1370" s="100"/>
      <c r="B1370" s="3">
        <v>4</v>
      </c>
      <c r="C1370" s="5" t="s">
        <v>8</v>
      </c>
      <c r="D1370" s="3" t="s">
        <v>48</v>
      </c>
      <c r="E1370" s="100" t="str">
        <f>IFERROR(VLOOKUP(C1370,Resources!B:D,3,FALSE)," ")</f>
        <v>L</v>
      </c>
      <c r="F1370" s="8">
        <v>1</v>
      </c>
      <c r="G1370" s="8">
        <f>G1367</f>
        <v>15</v>
      </c>
      <c r="H1370" s="8">
        <f>H1366</f>
        <v>20</v>
      </c>
      <c r="I1370" s="109">
        <f>IFERROR(VLOOKUP(C1370,Resources!B:G,6,FALSE)," ")</f>
        <v>42</v>
      </c>
      <c r="J1370" s="109">
        <f t="shared" si="2017"/>
        <v>56</v>
      </c>
      <c r="K1370" s="8">
        <f t="shared" si="2018"/>
        <v>1.3333333333333333</v>
      </c>
      <c r="L1370" s="8">
        <f t="shared" si="2019"/>
        <v>1.3333333333333333</v>
      </c>
      <c r="M1370" s="109">
        <f t="shared" si="2020"/>
        <v>56</v>
      </c>
      <c r="N1370" s="109">
        <f t="shared" si="2021"/>
        <v>0</v>
      </c>
      <c r="O1370" s="109">
        <f t="shared" si="2022"/>
        <v>0</v>
      </c>
      <c r="P1370" s="109">
        <f t="shared" si="2023"/>
        <v>0</v>
      </c>
      <c r="Q1370" s="109">
        <f t="shared" si="2024"/>
        <v>56</v>
      </c>
      <c r="R1370" s="121">
        <v>57</v>
      </c>
      <c r="T1370" s="188"/>
    </row>
    <row r="1371" spans="1:20" x14ac:dyDescent="0.25">
      <c r="A1371" s="101"/>
      <c r="B1371" s="4">
        <v>5</v>
      </c>
      <c r="C1371" s="6" t="s">
        <v>68</v>
      </c>
      <c r="D1371" s="4"/>
      <c r="E1371" s="101" t="str">
        <f>IFERROR(VLOOKUP(C1371,Resources!B:D,3,FALSE)," ")</f>
        <v xml:space="preserve"> </v>
      </c>
      <c r="F1371" s="9"/>
      <c r="G1371" s="9"/>
      <c r="H1371" s="9"/>
      <c r="I1371" s="38" t="str">
        <f>IFERROR(VLOOKUP(C1371,Resources!B:G,6,FALSE)," ")</f>
        <v xml:space="preserve"> </v>
      </c>
      <c r="J1371" s="38"/>
      <c r="K1371" s="9"/>
      <c r="L1371" s="9"/>
      <c r="M1371" s="38"/>
      <c r="N1371" s="38"/>
      <c r="O1371" s="38"/>
      <c r="P1371" s="38"/>
      <c r="Q1371" s="38"/>
      <c r="R1371" s="122"/>
      <c r="T1371" s="188"/>
    </row>
    <row r="1372" spans="1:20" x14ac:dyDescent="0.25">
      <c r="A1372" s="100">
        <v>183.3</v>
      </c>
      <c r="B1372" s="3">
        <v>6</v>
      </c>
      <c r="C1372" s="5" t="s">
        <v>63</v>
      </c>
      <c r="D1372" s="3" t="s">
        <v>48</v>
      </c>
      <c r="E1372" s="100" t="str">
        <f>IFERROR(VLOOKUP(C1372,Resources!B:D,3,FALSE)," ")</f>
        <v>P</v>
      </c>
      <c r="F1372" s="8">
        <v>1</v>
      </c>
      <c r="G1372" s="103">
        <f>VLOOKUP($A1372,'Model Inputs'!$A:$D,4,FALSE)</f>
        <v>15</v>
      </c>
      <c r="H1372" s="8">
        <f>H1366</f>
        <v>20</v>
      </c>
      <c r="I1372" s="109">
        <f>IFERROR(VLOOKUP(C1372,Resources!B:G,6,FALSE)," ")</f>
        <v>135</v>
      </c>
      <c r="J1372" s="109">
        <f t="shared" ref="J1372:J1375" si="2025">(H1372/(G1372/F1372))*I1372</f>
        <v>180</v>
      </c>
      <c r="K1372" s="8">
        <f t="shared" ref="K1372:K1375" si="2026">L1372*F1372</f>
        <v>1.3333333333333333</v>
      </c>
      <c r="L1372" s="8">
        <f t="shared" ref="L1372:L1375" si="2027">IF(E1372="M"," ",H1372/G1372)</f>
        <v>1.3333333333333333</v>
      </c>
      <c r="M1372" s="109">
        <f t="shared" ref="M1372:M1375" si="2028">IF($E1372="L",$J1372,0)</f>
        <v>0</v>
      </c>
      <c r="N1372" s="109">
        <f t="shared" ref="N1372:N1375" si="2029">IF($E1372="M",$J1372,0)</f>
        <v>0</v>
      </c>
      <c r="O1372" s="109">
        <f t="shared" ref="O1372:O1375" si="2030">IF($E1372="P",$J1372,0)</f>
        <v>180</v>
      </c>
      <c r="P1372" s="109">
        <f t="shared" ref="P1372:P1375" si="2031">IF($E1372="S",$J1372,0)</f>
        <v>0</v>
      </c>
      <c r="Q1372" s="109">
        <f t="shared" ref="Q1372:Q1375" si="2032">SUM(M1372:P1372)</f>
        <v>180</v>
      </c>
      <c r="R1372" s="121">
        <v>57</v>
      </c>
      <c r="T1372" s="188"/>
    </row>
    <row r="1373" spans="1:20" x14ac:dyDescent="0.25">
      <c r="A1373" s="100"/>
      <c r="B1373" s="3">
        <v>7</v>
      </c>
      <c r="C1373" s="5" t="s">
        <v>69</v>
      </c>
      <c r="D1373" s="3" t="s">
        <v>48</v>
      </c>
      <c r="E1373" s="100" t="str">
        <f>IFERROR(VLOOKUP(C1373,Resources!B:D,3,FALSE)," ")</f>
        <v>P</v>
      </c>
      <c r="F1373" s="8">
        <v>1</v>
      </c>
      <c r="G1373" s="8">
        <f>G1372</f>
        <v>15</v>
      </c>
      <c r="H1373" s="8">
        <f>H1366</f>
        <v>20</v>
      </c>
      <c r="I1373" s="109">
        <f>IFERROR(VLOOKUP(C1373,Resources!B:G,6,FALSE)," ")</f>
        <v>55</v>
      </c>
      <c r="J1373" s="109">
        <f t="shared" si="2025"/>
        <v>73.333333333333329</v>
      </c>
      <c r="K1373" s="8">
        <f t="shared" si="2026"/>
        <v>1.3333333333333333</v>
      </c>
      <c r="L1373" s="8">
        <f t="shared" si="2027"/>
        <v>1.3333333333333333</v>
      </c>
      <c r="M1373" s="109">
        <f t="shared" si="2028"/>
        <v>0</v>
      </c>
      <c r="N1373" s="109">
        <f t="shared" si="2029"/>
        <v>0</v>
      </c>
      <c r="O1373" s="109">
        <f t="shared" si="2030"/>
        <v>73.333333333333329</v>
      </c>
      <c r="P1373" s="109">
        <f t="shared" si="2031"/>
        <v>0</v>
      </c>
      <c r="Q1373" s="109">
        <f t="shared" si="2032"/>
        <v>73.333333333333329</v>
      </c>
      <c r="R1373" s="121">
        <v>57</v>
      </c>
      <c r="T1373" s="188"/>
    </row>
    <row r="1374" spans="1:20" x14ac:dyDescent="0.25">
      <c r="A1374" s="100"/>
      <c r="B1374" s="3">
        <v>8</v>
      </c>
      <c r="C1374" s="5" t="s">
        <v>64</v>
      </c>
      <c r="D1374" s="3" t="s">
        <v>48</v>
      </c>
      <c r="E1374" s="100" t="str">
        <f>IFERROR(VLOOKUP(C1374,Resources!B:D,3,FALSE)," ")</f>
        <v>P</v>
      </c>
      <c r="F1374" s="8">
        <v>1</v>
      </c>
      <c r="G1374" s="8">
        <f>G1372</f>
        <v>15</v>
      </c>
      <c r="H1374" s="8">
        <f>H1366</f>
        <v>20</v>
      </c>
      <c r="I1374" s="109">
        <f>IFERROR(VLOOKUP(C1374,Resources!B:G,6,FALSE)," ")</f>
        <v>100</v>
      </c>
      <c r="J1374" s="109">
        <f t="shared" si="2025"/>
        <v>133.33333333333331</v>
      </c>
      <c r="K1374" s="8">
        <f t="shared" si="2026"/>
        <v>1.3333333333333333</v>
      </c>
      <c r="L1374" s="8">
        <f t="shared" si="2027"/>
        <v>1.3333333333333333</v>
      </c>
      <c r="M1374" s="109">
        <f t="shared" si="2028"/>
        <v>0</v>
      </c>
      <c r="N1374" s="109">
        <f t="shared" si="2029"/>
        <v>0</v>
      </c>
      <c r="O1374" s="109">
        <f t="shared" si="2030"/>
        <v>133.33333333333331</v>
      </c>
      <c r="P1374" s="109">
        <f t="shared" si="2031"/>
        <v>0</v>
      </c>
      <c r="Q1374" s="109">
        <f t="shared" si="2032"/>
        <v>133.33333333333331</v>
      </c>
      <c r="R1374" s="121">
        <v>57</v>
      </c>
      <c r="T1374" s="188"/>
    </row>
    <row r="1375" spans="1:20" x14ac:dyDescent="0.25">
      <c r="A1375" s="100"/>
      <c r="B1375" s="3">
        <v>9</v>
      </c>
      <c r="C1375" s="5" t="s">
        <v>8</v>
      </c>
      <c r="D1375" s="3" t="s">
        <v>48</v>
      </c>
      <c r="E1375" s="100" t="str">
        <f>IFERROR(VLOOKUP(C1375,Resources!B:D,3,FALSE)," ")</f>
        <v>L</v>
      </c>
      <c r="F1375" s="8">
        <v>3</v>
      </c>
      <c r="G1375" s="8">
        <f>G1372</f>
        <v>15</v>
      </c>
      <c r="H1375" s="8">
        <f>H1366</f>
        <v>20</v>
      </c>
      <c r="I1375" s="109">
        <f>IFERROR(VLOOKUP(C1375,Resources!B:G,6,FALSE)," ")</f>
        <v>42</v>
      </c>
      <c r="J1375" s="109">
        <f t="shared" si="2025"/>
        <v>168</v>
      </c>
      <c r="K1375" s="8">
        <f t="shared" si="2026"/>
        <v>4</v>
      </c>
      <c r="L1375" s="8">
        <f t="shared" si="2027"/>
        <v>1.3333333333333333</v>
      </c>
      <c r="M1375" s="109">
        <f t="shared" si="2028"/>
        <v>168</v>
      </c>
      <c r="N1375" s="109">
        <f t="shared" si="2029"/>
        <v>0</v>
      </c>
      <c r="O1375" s="109">
        <f t="shared" si="2030"/>
        <v>0</v>
      </c>
      <c r="P1375" s="109">
        <f t="shared" si="2031"/>
        <v>0</v>
      </c>
      <c r="Q1375" s="109">
        <f t="shared" si="2032"/>
        <v>168</v>
      </c>
      <c r="R1375" s="121">
        <v>57</v>
      </c>
      <c r="T1375" s="188"/>
    </row>
    <row r="1376" spans="1:20" x14ac:dyDescent="0.25">
      <c r="A1376" s="101"/>
      <c r="B1376" s="4"/>
      <c r="C1376" s="6"/>
      <c r="D1376" s="4"/>
      <c r="E1376" s="101" t="str">
        <f>IFERROR(VLOOKUP(C1376,Resources!B:D,3,FALSE)," ")</f>
        <v xml:space="preserve"> </v>
      </c>
      <c r="F1376" s="9"/>
      <c r="G1376" s="9"/>
      <c r="H1376" s="9"/>
      <c r="I1376" s="38" t="str">
        <f>IFERROR(VLOOKUP(C1376,Resources!B:G,6,FALSE)," ")</f>
        <v xml:space="preserve"> </v>
      </c>
      <c r="J1376" s="38"/>
      <c r="K1376" s="9"/>
      <c r="L1376" s="9"/>
      <c r="M1376" s="38"/>
      <c r="N1376" s="38"/>
      <c r="O1376" s="38"/>
      <c r="P1376" s="38"/>
      <c r="Q1376" s="38"/>
      <c r="R1376" s="122"/>
      <c r="T1376" s="188"/>
    </row>
    <row r="1377" spans="1:20" ht="30" x14ac:dyDescent="0.25">
      <c r="A1377" s="114"/>
      <c r="B1377" s="1" t="s">
        <v>633</v>
      </c>
      <c r="C1377" s="1" t="s">
        <v>71</v>
      </c>
      <c r="D1377" s="2"/>
      <c r="E1377" s="99" t="str">
        <f>IFERROR(VLOOKUP(C1377,Resources!B:D,3,FALSE)," ")</f>
        <v xml:space="preserve"> </v>
      </c>
      <c r="F1377" s="7"/>
      <c r="G1377" s="7"/>
      <c r="H1377" s="7"/>
      <c r="I1377" s="108" t="str">
        <f>IFERROR(VLOOKUP(C1377,Resources!B:G,6,FALSE)," ")</f>
        <v xml:space="preserve"> </v>
      </c>
      <c r="J1377" s="108"/>
      <c r="K1377" s="7"/>
      <c r="L1377" s="7"/>
      <c r="M1377" s="108"/>
      <c r="N1377" s="108"/>
      <c r="O1377" s="108"/>
      <c r="P1377" s="108"/>
      <c r="Q1377" s="108"/>
      <c r="R1377" s="120"/>
      <c r="T1377" s="188"/>
    </row>
    <row r="1378" spans="1:20" ht="30" x14ac:dyDescent="0.25">
      <c r="A1378" s="114"/>
      <c r="B1378" s="1" t="s">
        <v>634</v>
      </c>
      <c r="C1378" s="1" t="s">
        <v>170</v>
      </c>
      <c r="D1378" s="2"/>
      <c r="E1378" s="99" t="str">
        <f>IFERROR(VLOOKUP(C1378,Resources!B:D,3,FALSE)," ")</f>
        <v xml:space="preserve"> </v>
      </c>
      <c r="F1378" s="7"/>
      <c r="G1378" s="7"/>
      <c r="H1378" s="7"/>
      <c r="I1378" s="108" t="str">
        <f>IFERROR(VLOOKUP(C1378,Resources!B:G,6,FALSE)," ")</f>
        <v xml:space="preserve"> </v>
      </c>
      <c r="J1378" s="108"/>
      <c r="K1378" s="7"/>
      <c r="L1378" s="7"/>
      <c r="M1378" s="108"/>
      <c r="N1378" s="108"/>
      <c r="O1378" s="108"/>
      <c r="P1378" s="108"/>
      <c r="Q1378" s="108"/>
      <c r="R1378" s="120"/>
      <c r="T1378" s="188"/>
    </row>
    <row r="1379" spans="1:20" ht="30" x14ac:dyDescent="0.25">
      <c r="A1379" s="114">
        <v>184</v>
      </c>
      <c r="B1379" s="1" t="s">
        <v>635</v>
      </c>
      <c r="C1379" s="1" t="s">
        <v>172</v>
      </c>
      <c r="D1379" s="2" t="s">
        <v>20</v>
      </c>
      <c r="E1379" s="99" t="str">
        <f>IFERROR(VLOOKUP(C1379,Resources!B:D,3,FALSE)," ")</f>
        <v xml:space="preserve"> </v>
      </c>
      <c r="F1379" s="7"/>
      <c r="G1379" s="7"/>
      <c r="H1379" s="103">
        <f>VLOOKUP($A1379,'Model Inputs'!$A:$D,4,FALSE)</f>
        <v>1</v>
      </c>
      <c r="I1379" s="108" t="str">
        <f>IFERROR(VLOOKUP(C1379,Resources!B:G,6,FALSE)," ")</f>
        <v xml:space="preserve"> </v>
      </c>
      <c r="J1379" s="108">
        <f>SUBTOTAL(9,J1380:J1383)</f>
        <v>5490.9090909090919</v>
      </c>
      <c r="K1379" s="7"/>
      <c r="L1379" s="7">
        <f>ROUNDUP(MAX(L1380:L1383)/Workhrs,0)</f>
        <v>2</v>
      </c>
      <c r="M1379" s="108">
        <f t="shared" ref="M1379:Q1379" si="2033">SUBTOTAL(9,M1380:M1383)</f>
        <v>763.63636363636374</v>
      </c>
      <c r="N1379" s="108">
        <f t="shared" si="2033"/>
        <v>0</v>
      </c>
      <c r="O1379" s="108">
        <f t="shared" si="2033"/>
        <v>4727.2727272727279</v>
      </c>
      <c r="P1379" s="108">
        <f t="shared" si="2033"/>
        <v>0</v>
      </c>
      <c r="Q1379" s="108">
        <f t="shared" si="2033"/>
        <v>5490.9090909090919</v>
      </c>
      <c r="R1379" s="120"/>
      <c r="T1379" s="188"/>
    </row>
    <row r="1380" spans="1:20" x14ac:dyDescent="0.25">
      <c r="A1380" s="100">
        <v>184.1</v>
      </c>
      <c r="B1380" s="3">
        <v>1</v>
      </c>
      <c r="C1380" s="5" t="s">
        <v>63</v>
      </c>
      <c r="D1380" s="3" t="s">
        <v>48</v>
      </c>
      <c r="E1380" s="100" t="str">
        <f>IFERROR(VLOOKUP(C1380,Resources!B:D,3,FALSE)," ")</f>
        <v>P</v>
      </c>
      <c r="F1380" s="8">
        <v>1</v>
      </c>
      <c r="G1380" s="103">
        <f>VLOOKUP($A1380,'Model Inputs'!$A:$D,4,FALSE)</f>
        <v>0.11</v>
      </c>
      <c r="H1380" s="8">
        <f>H1379</f>
        <v>1</v>
      </c>
      <c r="I1380" s="109">
        <f>IFERROR(VLOOKUP(C1380,Resources!B:G,6,FALSE)," ")</f>
        <v>135</v>
      </c>
      <c r="J1380" s="109">
        <f t="shared" ref="J1380:J1383" si="2034">(H1380/(G1380/F1380))*I1380</f>
        <v>1227.2727272727275</v>
      </c>
      <c r="K1380" s="8">
        <f t="shared" ref="K1380:K1383" si="2035">L1380*F1380</f>
        <v>9.0909090909090917</v>
      </c>
      <c r="L1380" s="8">
        <f t="shared" ref="L1380:L1383" si="2036">IF(E1380="M"," ",H1380/G1380)</f>
        <v>9.0909090909090917</v>
      </c>
      <c r="M1380" s="109">
        <f t="shared" ref="M1380:M1383" si="2037">IF($E1380="L",$J1380,0)</f>
        <v>0</v>
      </c>
      <c r="N1380" s="109">
        <f t="shared" ref="N1380:N1383" si="2038">IF($E1380="M",$J1380,0)</f>
        <v>0</v>
      </c>
      <c r="O1380" s="109">
        <f t="shared" ref="O1380:O1383" si="2039">IF($E1380="P",$J1380,0)</f>
        <v>1227.2727272727275</v>
      </c>
      <c r="P1380" s="109">
        <f t="shared" ref="P1380:P1383" si="2040">IF($E1380="S",$J1380,0)</f>
        <v>0</v>
      </c>
      <c r="Q1380" s="109">
        <f t="shared" ref="Q1380:Q1383" si="2041">SUM(M1380:P1380)</f>
        <v>1227.2727272727275</v>
      </c>
      <c r="R1380" s="121">
        <v>41</v>
      </c>
      <c r="T1380" s="188"/>
    </row>
    <row r="1381" spans="1:20" x14ac:dyDescent="0.25">
      <c r="A1381" s="100">
        <v>184.2</v>
      </c>
      <c r="B1381" s="3">
        <v>2</v>
      </c>
      <c r="C1381" s="5" t="s">
        <v>173</v>
      </c>
      <c r="D1381" s="3" t="s">
        <v>48</v>
      </c>
      <c r="E1381" s="100" t="str">
        <f>IFERROR(VLOOKUP(C1381,Resources!B:D,3,FALSE)," ")</f>
        <v>P</v>
      </c>
      <c r="F1381" s="103">
        <f>VLOOKUP($A1381,'Model Inputs'!$A:$D,4,FALSE)</f>
        <v>3</v>
      </c>
      <c r="G1381" s="8">
        <f>G1380</f>
        <v>0.11</v>
      </c>
      <c r="H1381" s="8">
        <f>H1379</f>
        <v>1</v>
      </c>
      <c r="I1381" s="109">
        <f>IFERROR(VLOOKUP(C1381,Resources!B:G,6,FALSE)," ")</f>
        <v>95</v>
      </c>
      <c r="J1381" s="109">
        <f t="shared" si="2034"/>
        <v>2590.909090909091</v>
      </c>
      <c r="K1381" s="8">
        <f t="shared" si="2035"/>
        <v>27.272727272727273</v>
      </c>
      <c r="L1381" s="8">
        <f t="shared" si="2036"/>
        <v>9.0909090909090917</v>
      </c>
      <c r="M1381" s="109">
        <f t="shared" si="2037"/>
        <v>0</v>
      </c>
      <c r="N1381" s="109">
        <f t="shared" si="2038"/>
        <v>0</v>
      </c>
      <c r="O1381" s="109">
        <f t="shared" si="2039"/>
        <v>2590.909090909091</v>
      </c>
      <c r="P1381" s="109">
        <f t="shared" si="2040"/>
        <v>0</v>
      </c>
      <c r="Q1381" s="109">
        <f t="shared" si="2041"/>
        <v>2590.909090909091</v>
      </c>
      <c r="R1381" s="121">
        <v>41</v>
      </c>
      <c r="T1381" s="188"/>
    </row>
    <row r="1382" spans="1:20" x14ac:dyDescent="0.25">
      <c r="A1382" s="100"/>
      <c r="B1382" s="3">
        <v>3</v>
      </c>
      <c r="C1382" s="5" t="s">
        <v>64</v>
      </c>
      <c r="D1382" s="3" t="s">
        <v>48</v>
      </c>
      <c r="E1382" s="100" t="str">
        <f>IFERROR(VLOOKUP(C1382,Resources!B:D,3,FALSE)," ")</f>
        <v>P</v>
      </c>
      <c r="F1382" s="8">
        <v>1</v>
      </c>
      <c r="G1382" s="8">
        <f>G1380</f>
        <v>0.11</v>
      </c>
      <c r="H1382" s="8">
        <f>H1379</f>
        <v>1</v>
      </c>
      <c r="I1382" s="109">
        <f>IFERROR(VLOOKUP(C1382,Resources!B:G,6,FALSE)," ")</f>
        <v>100</v>
      </c>
      <c r="J1382" s="109">
        <f t="shared" si="2034"/>
        <v>909.09090909090912</v>
      </c>
      <c r="K1382" s="8">
        <f t="shared" si="2035"/>
        <v>9.0909090909090917</v>
      </c>
      <c r="L1382" s="8">
        <f t="shared" si="2036"/>
        <v>9.0909090909090917</v>
      </c>
      <c r="M1382" s="109">
        <f t="shared" si="2037"/>
        <v>0</v>
      </c>
      <c r="N1382" s="109">
        <f t="shared" si="2038"/>
        <v>0</v>
      </c>
      <c r="O1382" s="109">
        <f t="shared" si="2039"/>
        <v>909.09090909090912</v>
      </c>
      <c r="P1382" s="109">
        <f t="shared" si="2040"/>
        <v>0</v>
      </c>
      <c r="Q1382" s="109">
        <f t="shared" si="2041"/>
        <v>909.09090909090912</v>
      </c>
      <c r="R1382" s="121">
        <v>41</v>
      </c>
      <c r="T1382" s="188"/>
    </row>
    <row r="1383" spans="1:20" x14ac:dyDescent="0.25">
      <c r="A1383" s="100"/>
      <c r="B1383" s="3">
        <v>4</v>
      </c>
      <c r="C1383" s="5" t="s">
        <v>8</v>
      </c>
      <c r="D1383" s="3" t="s">
        <v>48</v>
      </c>
      <c r="E1383" s="100" t="str">
        <f>IFERROR(VLOOKUP(C1383,Resources!B:D,3,FALSE)," ")</f>
        <v>L</v>
      </c>
      <c r="F1383" s="8">
        <v>2</v>
      </c>
      <c r="G1383" s="8">
        <f>G1380</f>
        <v>0.11</v>
      </c>
      <c r="H1383" s="8">
        <f>H1379</f>
        <v>1</v>
      </c>
      <c r="I1383" s="109">
        <f>IFERROR(VLOOKUP(C1383,Resources!B:G,6,FALSE)," ")</f>
        <v>42</v>
      </c>
      <c r="J1383" s="109">
        <f t="shared" si="2034"/>
        <v>763.63636363636374</v>
      </c>
      <c r="K1383" s="8">
        <f t="shared" si="2035"/>
        <v>18.181818181818183</v>
      </c>
      <c r="L1383" s="8">
        <f t="shared" si="2036"/>
        <v>9.0909090909090917</v>
      </c>
      <c r="M1383" s="109">
        <f t="shared" si="2037"/>
        <v>763.63636363636374</v>
      </c>
      <c r="N1383" s="109">
        <f t="shared" si="2038"/>
        <v>0</v>
      </c>
      <c r="O1383" s="109">
        <f t="shared" si="2039"/>
        <v>0</v>
      </c>
      <c r="P1383" s="109">
        <f t="shared" si="2040"/>
        <v>0</v>
      </c>
      <c r="Q1383" s="109">
        <f t="shared" si="2041"/>
        <v>763.63636363636374</v>
      </c>
      <c r="R1383" s="121">
        <v>41</v>
      </c>
      <c r="T1383" s="188"/>
    </row>
    <row r="1384" spans="1:20" x14ac:dyDescent="0.25">
      <c r="A1384" s="101"/>
      <c r="B1384" s="4"/>
      <c r="C1384" s="6"/>
      <c r="D1384" s="4"/>
      <c r="E1384" s="101" t="str">
        <f>IFERROR(VLOOKUP(C1384,Resources!B:D,3,FALSE)," ")</f>
        <v xml:space="preserve"> </v>
      </c>
      <c r="F1384" s="9"/>
      <c r="G1384" s="9"/>
      <c r="H1384" s="9"/>
      <c r="I1384" s="38" t="str">
        <f>IFERROR(VLOOKUP(C1384,Resources!B:G,6,FALSE)," ")</f>
        <v xml:space="preserve"> </v>
      </c>
      <c r="J1384" s="38"/>
      <c r="K1384" s="9"/>
      <c r="L1384" s="9"/>
      <c r="M1384" s="38"/>
      <c r="N1384" s="38"/>
      <c r="O1384" s="38"/>
      <c r="P1384" s="38"/>
      <c r="Q1384" s="38"/>
      <c r="R1384" s="122"/>
      <c r="T1384" s="188"/>
    </row>
    <row r="1385" spans="1:20" ht="30" x14ac:dyDescent="0.25">
      <c r="A1385" s="114"/>
      <c r="B1385" s="1" t="s">
        <v>636</v>
      </c>
      <c r="C1385" s="1" t="s">
        <v>73</v>
      </c>
      <c r="D1385" s="2"/>
      <c r="E1385" s="99" t="str">
        <f>IFERROR(VLOOKUP(C1385,Resources!B:D,3,FALSE)," ")</f>
        <v xml:space="preserve"> </v>
      </c>
      <c r="F1385" s="7"/>
      <c r="G1385" s="7"/>
      <c r="H1385" s="7"/>
      <c r="I1385" s="108" t="str">
        <f>IFERROR(VLOOKUP(C1385,Resources!B:G,6,FALSE)," ")</f>
        <v xml:space="preserve"> </v>
      </c>
      <c r="J1385" s="108"/>
      <c r="K1385" s="7"/>
      <c r="L1385" s="7"/>
      <c r="M1385" s="108"/>
      <c r="N1385" s="108"/>
      <c r="O1385" s="108"/>
      <c r="P1385" s="108"/>
      <c r="Q1385" s="108"/>
      <c r="R1385" s="120"/>
      <c r="T1385" s="188"/>
    </row>
    <row r="1386" spans="1:20" ht="30" x14ac:dyDescent="0.25">
      <c r="A1386" s="114">
        <v>185</v>
      </c>
      <c r="B1386" s="1" t="s">
        <v>637</v>
      </c>
      <c r="C1386" s="1" t="s">
        <v>638</v>
      </c>
      <c r="D1386" s="2" t="s">
        <v>20</v>
      </c>
      <c r="E1386" s="99" t="str">
        <f>IFERROR(VLOOKUP(C1386,Resources!B:D,3,FALSE)," ")</f>
        <v xml:space="preserve"> </v>
      </c>
      <c r="F1386" s="7"/>
      <c r="G1386" s="7"/>
      <c r="H1386" s="103">
        <f>VLOOKUP($A1386,'Model Inputs'!$A:$D,4,FALSE)</f>
        <v>1</v>
      </c>
      <c r="I1386" s="108" t="str">
        <f>IFERROR(VLOOKUP(C1386,Resources!B:G,6,FALSE)," ")</f>
        <v xml:space="preserve"> </v>
      </c>
      <c r="J1386" s="108">
        <f>SUBTOTAL(9,J1388:J1390)</f>
        <v>2765</v>
      </c>
      <c r="K1386" s="7"/>
      <c r="L1386" s="7">
        <f>ROUNDUP(L1390/Workhrs,0)</f>
        <v>2</v>
      </c>
      <c r="M1386" s="108">
        <f t="shared" ref="M1386:Q1386" si="2042">SUBTOTAL(9,M1388:M1390)</f>
        <v>0</v>
      </c>
      <c r="N1386" s="108">
        <f t="shared" si="2042"/>
        <v>1575</v>
      </c>
      <c r="O1386" s="108">
        <f t="shared" si="2042"/>
        <v>0</v>
      </c>
      <c r="P1386" s="108">
        <f t="shared" si="2042"/>
        <v>1190</v>
      </c>
      <c r="Q1386" s="108">
        <f t="shared" si="2042"/>
        <v>2765</v>
      </c>
      <c r="R1386" s="120"/>
      <c r="T1386" s="188"/>
    </row>
    <row r="1387" spans="1:20" x14ac:dyDescent="0.25">
      <c r="A1387" s="100"/>
      <c r="B1387" s="3">
        <v>1</v>
      </c>
      <c r="C1387" s="5" t="s">
        <v>639</v>
      </c>
      <c r="D1387" s="3"/>
      <c r="E1387" s="100" t="str">
        <f>IFERROR(VLOOKUP(C1387,Resources!B:D,3,FALSE)," ")</f>
        <v xml:space="preserve"> </v>
      </c>
      <c r="F1387" s="8"/>
      <c r="G1387" s="8"/>
      <c r="H1387" s="8">
        <f>ROUNDUP(H1386*7,0)</f>
        <v>7</v>
      </c>
      <c r="I1387" s="109" t="str">
        <f>IFERROR(VLOOKUP(C1387,Resources!B:G,6,FALSE)," ")</f>
        <v xml:space="preserve"> </v>
      </c>
      <c r="J1387" s="109"/>
      <c r="K1387" s="8"/>
      <c r="L1387" s="8"/>
      <c r="M1387" s="109"/>
      <c r="N1387" s="109"/>
      <c r="O1387" s="109"/>
      <c r="P1387" s="109"/>
      <c r="Q1387" s="109"/>
      <c r="R1387" s="121"/>
      <c r="T1387" s="188"/>
    </row>
    <row r="1388" spans="1:20" x14ac:dyDescent="0.25">
      <c r="A1388" s="100"/>
      <c r="B1388" s="3">
        <v>2</v>
      </c>
      <c r="C1388" s="5" t="s">
        <v>266</v>
      </c>
      <c r="D1388" s="3" t="s">
        <v>89</v>
      </c>
      <c r="E1388" s="100" t="str">
        <f>IFERROR(VLOOKUP(C1388,Resources!B:D,3,FALSE)," ")</f>
        <v>M</v>
      </c>
      <c r="F1388" s="8">
        <v>1</v>
      </c>
      <c r="G1388" s="8">
        <v>1</v>
      </c>
      <c r="H1388" s="8">
        <f>H1387*6</f>
        <v>42</v>
      </c>
      <c r="I1388" s="109">
        <f>IFERROR(VLOOKUP(C1388,Resources!B:G,6,FALSE)," ")</f>
        <v>25</v>
      </c>
      <c r="J1388" s="109">
        <f t="shared" ref="J1388:J1390" si="2043">(H1388/(G1388/F1388))*I1388</f>
        <v>1050</v>
      </c>
      <c r="K1388" s="8"/>
      <c r="L1388" s="8" t="str">
        <f t="shared" ref="L1388:L1390" si="2044">IF(E1388="M"," ",H1388/G1388)</f>
        <v xml:space="preserve"> </v>
      </c>
      <c r="M1388" s="109">
        <f t="shared" ref="M1388:M1390" si="2045">IF($E1388="L",$J1388,0)</f>
        <v>0</v>
      </c>
      <c r="N1388" s="109">
        <f t="shared" ref="N1388:N1390" si="2046">IF($E1388="M",$J1388,0)</f>
        <v>1050</v>
      </c>
      <c r="O1388" s="109">
        <f t="shared" ref="O1388:O1390" si="2047">IF($E1388="P",$J1388,0)</f>
        <v>0</v>
      </c>
      <c r="P1388" s="109">
        <f t="shared" ref="P1388:P1390" si="2048">IF($E1388="S",$J1388,0)</f>
        <v>0</v>
      </c>
      <c r="Q1388" s="109">
        <f t="shared" ref="Q1388:Q1390" si="2049">SUM(M1388:P1388)</f>
        <v>1050</v>
      </c>
      <c r="R1388" s="121" t="s">
        <v>2346</v>
      </c>
      <c r="T1388" s="188"/>
    </row>
    <row r="1389" spans="1:20" x14ac:dyDescent="0.25">
      <c r="A1389" s="100"/>
      <c r="B1389" s="3">
        <v>3</v>
      </c>
      <c r="C1389" s="5" t="s">
        <v>267</v>
      </c>
      <c r="D1389" s="3" t="s">
        <v>29</v>
      </c>
      <c r="E1389" s="100" t="str">
        <f>IFERROR(VLOOKUP(C1389,Resources!B:D,3,FALSE)," ")</f>
        <v>M</v>
      </c>
      <c r="F1389" s="8">
        <v>1</v>
      </c>
      <c r="G1389" s="8">
        <v>1</v>
      </c>
      <c r="H1389" s="8">
        <f>H1387</f>
        <v>7</v>
      </c>
      <c r="I1389" s="109">
        <f>IFERROR(VLOOKUP(C1389,Resources!B:G,6,FALSE)," ")</f>
        <v>75</v>
      </c>
      <c r="J1389" s="109">
        <f t="shared" si="2043"/>
        <v>525</v>
      </c>
      <c r="K1389" s="8"/>
      <c r="L1389" s="8" t="str">
        <f t="shared" si="2044"/>
        <v xml:space="preserve"> </v>
      </c>
      <c r="M1389" s="109">
        <f t="shared" si="2045"/>
        <v>0</v>
      </c>
      <c r="N1389" s="109">
        <f t="shared" si="2046"/>
        <v>525</v>
      </c>
      <c r="O1389" s="109">
        <f t="shared" si="2047"/>
        <v>0</v>
      </c>
      <c r="P1389" s="109">
        <f t="shared" si="2048"/>
        <v>0</v>
      </c>
      <c r="Q1389" s="109">
        <f t="shared" si="2049"/>
        <v>525</v>
      </c>
      <c r="R1389" s="121" t="s">
        <v>2346</v>
      </c>
      <c r="T1389" s="188"/>
    </row>
    <row r="1390" spans="1:20" x14ac:dyDescent="0.25">
      <c r="A1390" s="100"/>
      <c r="B1390" s="3">
        <v>4</v>
      </c>
      <c r="C1390" s="5" t="s">
        <v>268</v>
      </c>
      <c r="D1390" s="3" t="s">
        <v>48</v>
      </c>
      <c r="E1390" s="100" t="str">
        <f>IFERROR(VLOOKUP(C1390,Resources!B:D,3,FALSE)," ")</f>
        <v>S</v>
      </c>
      <c r="F1390" s="8">
        <v>1</v>
      </c>
      <c r="G1390" s="8">
        <v>0.5</v>
      </c>
      <c r="H1390" s="8">
        <f>H1387</f>
        <v>7</v>
      </c>
      <c r="I1390" s="109">
        <f>IFERROR(VLOOKUP(C1390,Resources!B:G,6,FALSE)," ")</f>
        <v>85</v>
      </c>
      <c r="J1390" s="109">
        <f t="shared" si="2043"/>
        <v>1190</v>
      </c>
      <c r="K1390" s="8">
        <f t="shared" ref="K1390" si="2050">L1390*F1390</f>
        <v>14</v>
      </c>
      <c r="L1390" s="8">
        <f t="shared" si="2044"/>
        <v>14</v>
      </c>
      <c r="M1390" s="109">
        <f t="shared" si="2045"/>
        <v>0</v>
      </c>
      <c r="N1390" s="109">
        <f t="shared" si="2046"/>
        <v>0</v>
      </c>
      <c r="O1390" s="109">
        <f t="shared" si="2047"/>
        <v>0</v>
      </c>
      <c r="P1390" s="109">
        <f t="shared" si="2048"/>
        <v>1190</v>
      </c>
      <c r="Q1390" s="109">
        <f t="shared" si="2049"/>
        <v>1190</v>
      </c>
      <c r="R1390" s="121">
        <v>81</v>
      </c>
      <c r="T1390" s="188"/>
    </row>
    <row r="1391" spans="1:20" x14ac:dyDescent="0.25">
      <c r="A1391" s="101"/>
      <c r="B1391" s="4"/>
      <c r="C1391" s="6"/>
      <c r="D1391" s="4"/>
      <c r="E1391" s="101" t="str">
        <f>IFERROR(VLOOKUP(C1391,Resources!B:D,3,FALSE)," ")</f>
        <v xml:space="preserve"> </v>
      </c>
      <c r="F1391" s="9"/>
      <c r="G1391" s="9"/>
      <c r="H1391" s="9"/>
      <c r="I1391" s="38" t="str">
        <f>IFERROR(VLOOKUP(C1391,Resources!B:G,6,FALSE)," ")</f>
        <v xml:space="preserve"> </v>
      </c>
      <c r="J1391" s="38"/>
      <c r="K1391" s="9"/>
      <c r="L1391" s="9"/>
      <c r="M1391" s="38"/>
      <c r="N1391" s="38"/>
      <c r="O1391" s="38"/>
      <c r="P1391" s="38"/>
      <c r="Q1391" s="38"/>
      <c r="R1391" s="122"/>
      <c r="T1391" s="188"/>
    </row>
    <row r="1392" spans="1:20" ht="30" x14ac:dyDescent="0.25">
      <c r="A1392" s="114"/>
      <c r="B1392" s="1" t="s">
        <v>640</v>
      </c>
      <c r="C1392" s="1" t="s">
        <v>77</v>
      </c>
      <c r="D1392" s="2"/>
      <c r="E1392" s="99" t="str">
        <f>IFERROR(VLOOKUP(C1392,Resources!B:D,3,FALSE)," ")</f>
        <v xml:space="preserve"> </v>
      </c>
      <c r="F1392" s="7"/>
      <c r="G1392" s="7"/>
      <c r="H1392" s="7"/>
      <c r="I1392" s="108" t="str">
        <f>IFERROR(VLOOKUP(C1392,Resources!B:G,6,FALSE)," ")</f>
        <v xml:space="preserve"> </v>
      </c>
      <c r="J1392" s="108"/>
      <c r="K1392" s="7"/>
      <c r="L1392" s="7"/>
      <c r="M1392" s="108"/>
      <c r="N1392" s="108"/>
      <c r="O1392" s="108"/>
      <c r="P1392" s="108"/>
      <c r="Q1392" s="108"/>
      <c r="R1392" s="120"/>
      <c r="T1392" s="188"/>
    </row>
    <row r="1393" spans="1:20" ht="30" x14ac:dyDescent="0.25">
      <c r="A1393" s="114">
        <v>186</v>
      </c>
      <c r="B1393" s="1" t="s">
        <v>641</v>
      </c>
      <c r="C1393" s="1" t="s">
        <v>79</v>
      </c>
      <c r="D1393" s="2" t="s">
        <v>62</v>
      </c>
      <c r="E1393" s="99" t="str">
        <f>IFERROR(VLOOKUP(C1393,Resources!B:D,3,FALSE)," ")</f>
        <v xml:space="preserve"> </v>
      </c>
      <c r="F1393" s="7"/>
      <c r="G1393" s="7"/>
      <c r="H1393" s="103">
        <f>VLOOKUP($A1393,'Model Inputs'!$A:$D,4,FALSE)</f>
        <v>2.6</v>
      </c>
      <c r="I1393" s="108" t="str">
        <f>IFERROR(VLOOKUP(C1393,Resources!B:G,6,FALSE)," ")</f>
        <v xml:space="preserve"> </v>
      </c>
      <c r="J1393" s="108">
        <f>SUBTOTAL(9,J1396:J1400)</f>
        <v>1692.7155555555555</v>
      </c>
      <c r="K1393" s="7"/>
      <c r="L1393" s="7">
        <f>ROUNDUP(L1400,0)+1</f>
        <v>2</v>
      </c>
      <c r="M1393" s="108">
        <f t="shared" ref="M1393:Q1393" si="2051">SUBTOTAL(9,M1396:M1400)</f>
        <v>0</v>
      </c>
      <c r="N1393" s="108">
        <f t="shared" si="2051"/>
        <v>847.71555555555562</v>
      </c>
      <c r="O1393" s="108">
        <f t="shared" si="2051"/>
        <v>0</v>
      </c>
      <c r="P1393" s="108">
        <f t="shared" si="2051"/>
        <v>845</v>
      </c>
      <c r="Q1393" s="108">
        <f t="shared" si="2051"/>
        <v>1692.7155555555555</v>
      </c>
      <c r="R1393" s="120"/>
      <c r="T1393" s="188"/>
    </row>
    <row r="1394" spans="1:20" x14ac:dyDescent="0.25">
      <c r="A1394" s="101"/>
      <c r="B1394" s="4">
        <v>1</v>
      </c>
      <c r="C1394" s="6" t="s">
        <v>80</v>
      </c>
      <c r="D1394" s="4"/>
      <c r="E1394" s="101" t="str">
        <f>IFERROR(VLOOKUP(C1394,Resources!B:D,3,FALSE)," ")</f>
        <v xml:space="preserve"> </v>
      </c>
      <c r="F1394" s="9"/>
      <c r="G1394" s="9"/>
      <c r="H1394" s="9"/>
      <c r="I1394" s="38" t="str">
        <f>IFERROR(VLOOKUP(C1394,Resources!B:G,6,FALSE)," ")</f>
        <v xml:space="preserve"> </v>
      </c>
      <c r="J1394" s="38"/>
      <c r="K1394" s="9"/>
      <c r="L1394" s="9"/>
      <c r="M1394" s="38"/>
      <c r="N1394" s="38"/>
      <c r="O1394" s="38"/>
      <c r="P1394" s="38"/>
      <c r="Q1394" s="38"/>
      <c r="R1394" s="122"/>
      <c r="T1394" s="188"/>
    </row>
    <row r="1395" spans="1:20" x14ac:dyDescent="0.25">
      <c r="A1395" s="100"/>
      <c r="B1395" s="3">
        <v>2</v>
      </c>
      <c r="C1395" s="5" t="s">
        <v>2391</v>
      </c>
      <c r="D1395" s="3"/>
      <c r="E1395" s="100" t="str">
        <f>IFERROR(VLOOKUP(C1395,Resources!B:D,3,FALSE)," ")</f>
        <v xml:space="preserve"> </v>
      </c>
      <c r="F1395" s="8"/>
      <c r="G1395" s="8"/>
      <c r="H1395" s="8">
        <f>H1393/0.2</f>
        <v>13</v>
      </c>
      <c r="I1395" s="109" t="str">
        <f>IFERROR(VLOOKUP(C1395,Resources!B:G,6,FALSE)," ")</f>
        <v xml:space="preserve"> </v>
      </c>
      <c r="J1395" s="109"/>
      <c r="K1395" s="8"/>
      <c r="L1395" s="8"/>
      <c r="M1395" s="109"/>
      <c r="N1395" s="109"/>
      <c r="O1395" s="109"/>
      <c r="P1395" s="109"/>
      <c r="Q1395" s="109"/>
      <c r="R1395" s="121"/>
      <c r="T1395" s="188"/>
    </row>
    <row r="1396" spans="1:20" x14ac:dyDescent="0.25">
      <c r="A1396" s="100"/>
      <c r="B1396" s="3">
        <v>3</v>
      </c>
      <c r="C1396" s="5" t="s">
        <v>81</v>
      </c>
      <c r="D1396" s="3" t="s">
        <v>82</v>
      </c>
      <c r="E1396" s="100" t="str">
        <f>IFERROR(VLOOKUP(C1396,Resources!B:D,3,FALSE)," ")</f>
        <v>M</v>
      </c>
      <c r="F1396" s="8">
        <v>1</v>
      </c>
      <c r="G1396" s="8">
        <v>1</v>
      </c>
      <c r="H1396" s="8">
        <f>H1395*0.1</f>
        <v>1.3</v>
      </c>
      <c r="I1396" s="109">
        <f>IFERROR(VLOOKUP(C1396,Resources!B:G,6,FALSE)," ")</f>
        <v>24</v>
      </c>
      <c r="J1396" s="109">
        <f t="shared" ref="J1396:J1400" si="2052">(H1396/(G1396/F1396))*I1396</f>
        <v>31.200000000000003</v>
      </c>
      <c r="K1396" s="8"/>
      <c r="L1396" s="8" t="str">
        <f t="shared" ref="L1396:L1399" si="2053">IF(E1396="M"," ",H1396/G1396)</f>
        <v xml:space="preserve"> </v>
      </c>
      <c r="M1396" s="109">
        <f t="shared" ref="M1396:M1400" si="2054">IF($E1396="L",$J1396,0)</f>
        <v>0</v>
      </c>
      <c r="N1396" s="109">
        <f t="shared" ref="N1396:N1400" si="2055">IF($E1396="M",$J1396,0)</f>
        <v>31.200000000000003</v>
      </c>
      <c r="O1396" s="109">
        <f t="shared" ref="O1396:O1400" si="2056">IF($E1396="P",$J1396,0)</f>
        <v>0</v>
      </c>
      <c r="P1396" s="109">
        <f t="shared" ref="P1396:P1400" si="2057">IF($E1396="S",$J1396,0)</f>
        <v>0</v>
      </c>
      <c r="Q1396" s="109">
        <f t="shared" ref="Q1396:Q1400" si="2058">SUM(M1396:P1396)</f>
        <v>31.200000000000003</v>
      </c>
      <c r="R1396" s="121" t="s">
        <v>2341</v>
      </c>
      <c r="T1396" s="188"/>
    </row>
    <row r="1397" spans="1:20" x14ac:dyDescent="0.25">
      <c r="A1397" s="100"/>
      <c r="B1397" s="3">
        <v>4</v>
      </c>
      <c r="C1397" s="5" t="s">
        <v>2168</v>
      </c>
      <c r="D1397" s="3" t="s">
        <v>83</v>
      </c>
      <c r="E1397" s="100" t="str">
        <f>IFERROR(VLOOKUP(C1397,Resources!B:D,3,FALSE)," ")</f>
        <v>M</v>
      </c>
      <c r="F1397" s="8">
        <v>1</v>
      </c>
      <c r="G1397" s="8">
        <v>1</v>
      </c>
      <c r="H1397" s="8">
        <f>H1395*1.2</f>
        <v>15.6</v>
      </c>
      <c r="I1397" s="109">
        <f>IFERROR(VLOOKUP(C1397,Resources!B:G,6,FALSE)," ")</f>
        <v>18</v>
      </c>
      <c r="J1397" s="109">
        <f t="shared" si="2052"/>
        <v>280.8</v>
      </c>
      <c r="K1397" s="8"/>
      <c r="L1397" s="8" t="str">
        <f t="shared" si="2053"/>
        <v xml:space="preserve"> </v>
      </c>
      <c r="M1397" s="109">
        <f t="shared" si="2054"/>
        <v>0</v>
      </c>
      <c r="N1397" s="109">
        <f t="shared" si="2055"/>
        <v>280.8</v>
      </c>
      <c r="O1397" s="109">
        <f t="shared" si="2056"/>
        <v>0</v>
      </c>
      <c r="P1397" s="109">
        <f t="shared" si="2057"/>
        <v>0</v>
      </c>
      <c r="Q1397" s="109">
        <f t="shared" si="2058"/>
        <v>280.8</v>
      </c>
      <c r="R1397" s="121" t="s">
        <v>2343</v>
      </c>
      <c r="T1397" s="188"/>
    </row>
    <row r="1398" spans="1:20" x14ac:dyDescent="0.25">
      <c r="A1398" s="100"/>
      <c r="B1398" s="3">
        <v>5</v>
      </c>
      <c r="C1398" s="5" t="s">
        <v>84</v>
      </c>
      <c r="D1398" s="3" t="s">
        <v>29</v>
      </c>
      <c r="E1398" s="100" t="str">
        <f>IFERROR(VLOOKUP(C1398,Resources!B:D,3,FALSE)," ")</f>
        <v>M</v>
      </c>
      <c r="F1398" s="8">
        <v>1</v>
      </c>
      <c r="G1398" s="8">
        <v>1</v>
      </c>
      <c r="H1398" s="8">
        <f>H1395/0.9</f>
        <v>14.444444444444445</v>
      </c>
      <c r="I1398" s="109">
        <f>IFERROR(VLOOKUP(C1398,Resources!B:G,6,FALSE)," ")</f>
        <v>0.8</v>
      </c>
      <c r="J1398" s="109">
        <f t="shared" si="2052"/>
        <v>11.555555555555557</v>
      </c>
      <c r="K1398" s="8"/>
      <c r="L1398" s="8" t="str">
        <f t="shared" si="2053"/>
        <v xml:space="preserve"> </v>
      </c>
      <c r="M1398" s="109">
        <f t="shared" si="2054"/>
        <v>0</v>
      </c>
      <c r="N1398" s="109">
        <f t="shared" si="2055"/>
        <v>11.555555555555557</v>
      </c>
      <c r="O1398" s="109">
        <f t="shared" si="2056"/>
        <v>0</v>
      </c>
      <c r="P1398" s="109">
        <f t="shared" si="2057"/>
        <v>0</v>
      </c>
      <c r="Q1398" s="109">
        <f t="shared" si="2058"/>
        <v>11.555555555555557</v>
      </c>
      <c r="R1398" s="121" t="s">
        <v>2343</v>
      </c>
      <c r="T1398" s="188"/>
    </row>
    <row r="1399" spans="1:20" x14ac:dyDescent="0.25">
      <c r="A1399" s="100"/>
      <c r="B1399" s="3">
        <v>6</v>
      </c>
      <c r="C1399" s="5" t="s">
        <v>85</v>
      </c>
      <c r="D1399" s="3" t="s">
        <v>86</v>
      </c>
      <c r="E1399" s="100" t="str">
        <f>IFERROR(VLOOKUP(C1399,Resources!B:D,3,FALSE)," ")</f>
        <v>M</v>
      </c>
      <c r="F1399" s="8">
        <v>1</v>
      </c>
      <c r="G1399" s="8">
        <v>1</v>
      </c>
      <c r="H1399" s="8">
        <f>H1393*1.05</f>
        <v>2.7300000000000004</v>
      </c>
      <c r="I1399" s="109">
        <f>IFERROR(VLOOKUP(C1399,Resources!B:G,6,FALSE)," ")</f>
        <v>192</v>
      </c>
      <c r="J1399" s="109">
        <f t="shared" si="2052"/>
        <v>524.16000000000008</v>
      </c>
      <c r="K1399" s="8"/>
      <c r="L1399" s="8" t="str">
        <f t="shared" si="2053"/>
        <v xml:space="preserve"> </v>
      </c>
      <c r="M1399" s="109">
        <f t="shared" si="2054"/>
        <v>0</v>
      </c>
      <c r="N1399" s="109">
        <f t="shared" si="2055"/>
        <v>524.16000000000008</v>
      </c>
      <c r="O1399" s="109">
        <f t="shared" si="2056"/>
        <v>0</v>
      </c>
      <c r="P1399" s="109">
        <f t="shared" si="2057"/>
        <v>0</v>
      </c>
      <c r="Q1399" s="109">
        <f t="shared" si="2058"/>
        <v>524.16000000000008</v>
      </c>
      <c r="R1399" s="121" t="s">
        <v>2335</v>
      </c>
      <c r="T1399" s="188"/>
    </row>
    <row r="1400" spans="1:20" x14ac:dyDescent="0.25">
      <c r="A1400" s="100"/>
      <c r="B1400" s="3">
        <v>7</v>
      </c>
      <c r="C1400" s="5" t="s">
        <v>2259</v>
      </c>
      <c r="D1400" s="3" t="s">
        <v>83</v>
      </c>
      <c r="E1400" s="100" t="str">
        <f>IFERROR(VLOOKUP(C1400,Resources!B:D,3,FALSE)," ")</f>
        <v>S</v>
      </c>
      <c r="F1400" s="8">
        <v>1</v>
      </c>
      <c r="G1400" s="8">
        <v>1</v>
      </c>
      <c r="H1400" s="8">
        <f>H1395</f>
        <v>13</v>
      </c>
      <c r="I1400" s="109">
        <f>IFERROR(VLOOKUP(C1400,Resources!B:G,6,FALSE)," ")</f>
        <v>65</v>
      </c>
      <c r="J1400" s="109">
        <f t="shared" si="2052"/>
        <v>845</v>
      </c>
      <c r="K1400" s="8"/>
      <c r="L1400" s="8">
        <f>H1400/50</f>
        <v>0.26</v>
      </c>
      <c r="M1400" s="109">
        <f t="shared" si="2054"/>
        <v>0</v>
      </c>
      <c r="N1400" s="109">
        <f t="shared" si="2055"/>
        <v>0</v>
      </c>
      <c r="O1400" s="109">
        <f t="shared" si="2056"/>
        <v>0</v>
      </c>
      <c r="P1400" s="109">
        <f t="shared" si="2057"/>
        <v>845</v>
      </c>
      <c r="Q1400" s="109">
        <f t="shared" si="2058"/>
        <v>845</v>
      </c>
      <c r="R1400" s="121">
        <v>72</v>
      </c>
      <c r="T1400" s="188"/>
    </row>
    <row r="1401" spans="1:20" x14ac:dyDescent="0.25">
      <c r="A1401" s="101"/>
      <c r="B1401" s="4"/>
      <c r="C1401" s="6"/>
      <c r="D1401" s="4"/>
      <c r="E1401" s="101" t="str">
        <f>IFERROR(VLOOKUP(C1401,Resources!B:D,3,FALSE)," ")</f>
        <v xml:space="preserve"> </v>
      </c>
      <c r="F1401" s="9"/>
      <c r="G1401" s="9"/>
      <c r="H1401" s="9"/>
      <c r="I1401" s="38" t="str">
        <f>IFERROR(VLOOKUP(C1401,Resources!B:G,6,FALSE)," ")</f>
        <v xml:space="preserve"> </v>
      </c>
      <c r="J1401" s="38"/>
      <c r="K1401" s="9"/>
      <c r="L1401" s="9"/>
      <c r="M1401" s="38"/>
      <c r="N1401" s="38"/>
      <c r="O1401" s="38"/>
      <c r="P1401" s="38"/>
      <c r="Q1401" s="38"/>
      <c r="R1401" s="122"/>
      <c r="T1401" s="188"/>
    </row>
    <row r="1402" spans="1:20" ht="30" x14ac:dyDescent="0.25">
      <c r="A1402" s="114">
        <v>187</v>
      </c>
      <c r="B1402" s="1" t="s">
        <v>642</v>
      </c>
      <c r="C1402" s="1" t="s">
        <v>643</v>
      </c>
      <c r="D1402" s="2" t="s">
        <v>89</v>
      </c>
      <c r="E1402" s="99" t="str">
        <f>IFERROR(VLOOKUP(C1402,Resources!B:D,3,FALSE)," ")</f>
        <v xml:space="preserve"> </v>
      </c>
      <c r="F1402" s="7"/>
      <c r="G1402" s="7"/>
      <c r="H1402" s="103">
        <f>VLOOKUP($A1402,'Model Inputs'!$A:$D,4,FALSE)</f>
        <v>13.2</v>
      </c>
      <c r="I1402" s="108" t="str">
        <f>IFERROR(VLOOKUP(C1402,Resources!B:G,6,FALSE)," ")</f>
        <v xml:space="preserve"> </v>
      </c>
      <c r="J1402" s="108">
        <f>SUBTOTAL(9,J1405:J1412)</f>
        <v>8530.5</v>
      </c>
      <c r="K1402" s="7"/>
      <c r="L1402" s="7">
        <f>ROUNDUP((MAX(L1406:L1407)+MAX(L1409:L1412))/Workhrs,0)</f>
        <v>2</v>
      </c>
      <c r="M1402" s="108">
        <f t="shared" ref="M1402:Q1402" si="2059">SUBTOTAL(9,M1405:M1412)</f>
        <v>1323</v>
      </c>
      <c r="N1402" s="108">
        <f t="shared" si="2059"/>
        <v>5472.5</v>
      </c>
      <c r="O1402" s="108">
        <f t="shared" si="2059"/>
        <v>1735</v>
      </c>
      <c r="P1402" s="108">
        <f t="shared" si="2059"/>
        <v>0</v>
      </c>
      <c r="Q1402" s="108">
        <f t="shared" si="2059"/>
        <v>8530.5</v>
      </c>
      <c r="R1402" s="120"/>
      <c r="T1402" s="188"/>
    </row>
    <row r="1403" spans="1:20" x14ac:dyDescent="0.25">
      <c r="A1403" s="100"/>
      <c r="B1403" s="3">
        <v>1</v>
      </c>
      <c r="C1403" s="5" t="s">
        <v>2387</v>
      </c>
      <c r="D1403" s="3"/>
      <c r="E1403" s="100" t="str">
        <f>IFERROR(VLOOKUP(C1403,Resources!B:D,3,FALSE)," ")</f>
        <v xml:space="preserve"> </v>
      </c>
      <c r="F1403" s="8"/>
      <c r="G1403" s="8"/>
      <c r="H1403" s="8">
        <f>ROUNDUP(H1402/1.2,0)</f>
        <v>11</v>
      </c>
      <c r="I1403" s="109" t="str">
        <f>IFERROR(VLOOKUP(C1403,Resources!B:G,6,FALSE)," ")</f>
        <v xml:space="preserve"> </v>
      </c>
      <c r="J1403" s="109"/>
      <c r="K1403" s="8"/>
      <c r="L1403" s="8"/>
      <c r="M1403" s="109"/>
      <c r="N1403" s="109"/>
      <c r="O1403" s="109"/>
      <c r="P1403" s="109"/>
      <c r="Q1403" s="109"/>
      <c r="R1403" s="121"/>
      <c r="T1403" s="188"/>
    </row>
    <row r="1404" spans="1:20" x14ac:dyDescent="0.25">
      <c r="A1404" s="100"/>
      <c r="B1404" s="3">
        <v>2</v>
      </c>
      <c r="C1404" s="5" t="s">
        <v>90</v>
      </c>
      <c r="D1404" s="3"/>
      <c r="E1404" s="100" t="str">
        <f>IFERROR(VLOOKUP(C1404,Resources!B:D,3,FALSE)," ")</f>
        <v xml:space="preserve"> </v>
      </c>
      <c r="F1404" s="8"/>
      <c r="G1404" s="8"/>
      <c r="H1404" s="8">
        <f>H1403*15/11</f>
        <v>15</v>
      </c>
      <c r="I1404" s="109" t="str">
        <f>IFERROR(VLOOKUP(C1404,Resources!B:G,6,FALSE)," ")</f>
        <v xml:space="preserve"> </v>
      </c>
      <c r="J1404" s="109"/>
      <c r="K1404" s="8"/>
      <c r="L1404" s="8"/>
      <c r="M1404" s="109"/>
      <c r="N1404" s="109"/>
      <c r="O1404" s="109"/>
      <c r="P1404" s="109"/>
      <c r="Q1404" s="109"/>
      <c r="R1404" s="121"/>
      <c r="T1404" s="188"/>
    </row>
    <row r="1405" spans="1:20" x14ac:dyDescent="0.25">
      <c r="A1405" s="100"/>
      <c r="B1405" s="3">
        <v>3</v>
      </c>
      <c r="C1405" s="5" t="s">
        <v>2161</v>
      </c>
      <c r="D1405" s="3" t="s">
        <v>89</v>
      </c>
      <c r="E1405" s="100" t="str">
        <f>IFERROR(VLOOKUP(C1405,Resources!B:D,3,FALSE)," ")</f>
        <v>M</v>
      </c>
      <c r="F1405" s="8">
        <v>1</v>
      </c>
      <c r="G1405" s="8">
        <v>1</v>
      </c>
      <c r="H1405" s="8">
        <f>H1403*1.2</f>
        <v>13.2</v>
      </c>
      <c r="I1405" s="109">
        <f>IFERROR(VLOOKUP(C1405,Resources!B:G,6,FALSE)," ")</f>
        <v>400</v>
      </c>
      <c r="J1405" s="109">
        <f t="shared" ref="J1405:J1412" si="2060">(H1405/(G1405/F1405))*I1405</f>
        <v>5280</v>
      </c>
      <c r="K1405" s="8"/>
      <c r="L1405" s="8" t="str">
        <f t="shared" ref="L1405:L1412" si="2061">IF(E1405="M"," ",H1405/G1405)</f>
        <v xml:space="preserve"> </v>
      </c>
      <c r="M1405" s="109">
        <f t="shared" ref="M1405:M1412" si="2062">IF($E1405="L",$J1405,0)</f>
        <v>0</v>
      </c>
      <c r="N1405" s="109">
        <f t="shared" ref="N1405:N1412" si="2063">IF($E1405="M",$J1405,0)</f>
        <v>5280</v>
      </c>
      <c r="O1405" s="109">
        <f t="shared" ref="O1405:O1412" si="2064">IF($E1405="P",$J1405,0)</f>
        <v>0</v>
      </c>
      <c r="P1405" s="109">
        <f t="shared" ref="P1405:P1412" si="2065">IF($E1405="S",$J1405,0)</f>
        <v>0</v>
      </c>
      <c r="Q1405" s="109">
        <f t="shared" ref="Q1405:Q1412" si="2066">SUM(M1405:P1405)</f>
        <v>5280</v>
      </c>
      <c r="R1405" s="121" t="s">
        <v>2344</v>
      </c>
      <c r="T1405" s="188"/>
    </row>
    <row r="1406" spans="1:20" x14ac:dyDescent="0.25">
      <c r="A1406" s="100">
        <v>187.1</v>
      </c>
      <c r="B1406" s="3">
        <v>4</v>
      </c>
      <c r="C1406" s="5" t="s">
        <v>63</v>
      </c>
      <c r="D1406" s="3" t="s">
        <v>48</v>
      </c>
      <c r="E1406" s="100" t="str">
        <f>IFERROR(VLOOKUP(C1406,Resources!B:D,3,FALSE)," ")</f>
        <v>P</v>
      </c>
      <c r="F1406" s="8">
        <v>1</v>
      </c>
      <c r="G1406" s="103">
        <f>VLOOKUP($A1406,'Model Inputs'!$A:$D,4,FALSE)</f>
        <v>2</v>
      </c>
      <c r="H1406" s="8">
        <f>H1403</f>
        <v>11</v>
      </c>
      <c r="I1406" s="109">
        <f>IFERROR(VLOOKUP(C1406,Resources!B:G,6,FALSE)," ")</f>
        <v>135</v>
      </c>
      <c r="J1406" s="109">
        <f t="shared" si="2060"/>
        <v>742.5</v>
      </c>
      <c r="K1406" s="8">
        <f t="shared" ref="K1406:K1412" si="2067">L1406*F1406</f>
        <v>5.5</v>
      </c>
      <c r="L1406" s="8">
        <f t="shared" si="2061"/>
        <v>5.5</v>
      </c>
      <c r="M1406" s="109">
        <f t="shared" si="2062"/>
        <v>0</v>
      </c>
      <c r="N1406" s="109">
        <f t="shared" si="2063"/>
        <v>0</v>
      </c>
      <c r="O1406" s="109">
        <f t="shared" si="2064"/>
        <v>742.5</v>
      </c>
      <c r="P1406" s="109">
        <f t="shared" si="2065"/>
        <v>0</v>
      </c>
      <c r="Q1406" s="109">
        <f t="shared" si="2066"/>
        <v>742.5</v>
      </c>
      <c r="R1406" s="121">
        <v>181</v>
      </c>
      <c r="T1406" s="188"/>
    </row>
    <row r="1407" spans="1:20" x14ac:dyDescent="0.25">
      <c r="A1407" s="100">
        <v>187.2</v>
      </c>
      <c r="B1407" s="3">
        <v>5</v>
      </c>
      <c r="C1407" s="5" t="s">
        <v>8</v>
      </c>
      <c r="D1407" s="3" t="s">
        <v>48</v>
      </c>
      <c r="E1407" s="100" t="str">
        <f>IFERROR(VLOOKUP(C1407,Resources!B:D,3,FALSE)," ")</f>
        <v>L</v>
      </c>
      <c r="F1407" s="103">
        <f>VLOOKUP($A1407,'Model Inputs'!$A:$D,4,FALSE)</f>
        <v>3</v>
      </c>
      <c r="G1407" s="8">
        <f>G1406</f>
        <v>2</v>
      </c>
      <c r="H1407" s="8">
        <f>H1403</f>
        <v>11</v>
      </c>
      <c r="I1407" s="109">
        <f>IFERROR(VLOOKUP(C1407,Resources!B:G,6,FALSE)," ")</f>
        <v>42</v>
      </c>
      <c r="J1407" s="109">
        <f t="shared" si="2060"/>
        <v>693</v>
      </c>
      <c r="K1407" s="8">
        <f t="shared" si="2067"/>
        <v>16.5</v>
      </c>
      <c r="L1407" s="8">
        <f t="shared" si="2061"/>
        <v>5.5</v>
      </c>
      <c r="M1407" s="109">
        <f t="shared" si="2062"/>
        <v>693</v>
      </c>
      <c r="N1407" s="109">
        <f t="shared" si="2063"/>
        <v>0</v>
      </c>
      <c r="O1407" s="109">
        <f t="shared" si="2064"/>
        <v>0</v>
      </c>
      <c r="P1407" s="109">
        <f t="shared" si="2065"/>
        <v>0</v>
      </c>
      <c r="Q1407" s="109">
        <f t="shared" si="2066"/>
        <v>693</v>
      </c>
      <c r="R1407" s="121">
        <v>181</v>
      </c>
      <c r="T1407" s="188"/>
    </row>
    <row r="1408" spans="1:20" x14ac:dyDescent="0.25">
      <c r="A1408" s="100"/>
      <c r="B1408" s="3">
        <v>6</v>
      </c>
      <c r="C1408" s="5" t="s">
        <v>91</v>
      </c>
      <c r="D1408" s="3" t="s">
        <v>89</v>
      </c>
      <c r="E1408" s="100" t="str">
        <f>IFERROR(VLOOKUP(C1408,Resources!B:D,3,FALSE)," ")</f>
        <v>M</v>
      </c>
      <c r="F1408" s="8">
        <v>1</v>
      </c>
      <c r="G1408" s="8">
        <v>1</v>
      </c>
      <c r="H1408" s="8">
        <f>H1403*3.5</f>
        <v>38.5</v>
      </c>
      <c r="I1408" s="109">
        <f>IFERROR(VLOOKUP(C1408,Resources!B:G,6,FALSE)," ")</f>
        <v>5</v>
      </c>
      <c r="J1408" s="109">
        <f t="shared" si="2060"/>
        <v>192.5</v>
      </c>
      <c r="K1408" s="8"/>
      <c r="L1408" s="8" t="str">
        <f t="shared" si="2061"/>
        <v xml:space="preserve"> </v>
      </c>
      <c r="M1408" s="109">
        <f t="shared" si="2062"/>
        <v>0</v>
      </c>
      <c r="N1408" s="109">
        <f t="shared" si="2063"/>
        <v>192.5</v>
      </c>
      <c r="O1408" s="109">
        <f t="shared" si="2064"/>
        <v>0</v>
      </c>
      <c r="P1408" s="109">
        <f t="shared" si="2065"/>
        <v>0</v>
      </c>
      <c r="Q1408" s="109">
        <f t="shared" si="2066"/>
        <v>192.5</v>
      </c>
      <c r="R1408" s="121">
        <v>181</v>
      </c>
      <c r="T1408" s="188"/>
    </row>
    <row r="1409" spans="1:20" x14ac:dyDescent="0.25">
      <c r="A1409" s="100">
        <v>187.3</v>
      </c>
      <c r="B1409" s="3">
        <v>7</v>
      </c>
      <c r="C1409" s="5" t="s">
        <v>45</v>
      </c>
      <c r="D1409" s="3" t="s">
        <v>48</v>
      </c>
      <c r="E1409" s="100" t="str">
        <f>IFERROR(VLOOKUP(C1409,Resources!B:D,3,FALSE)," ")</f>
        <v>P</v>
      </c>
      <c r="F1409" s="8">
        <v>1</v>
      </c>
      <c r="G1409" s="103">
        <f>VLOOKUP($A1409,'Model Inputs'!$A:$D,4,FALSE)</f>
        <v>3</v>
      </c>
      <c r="H1409" s="8">
        <f>H1404</f>
        <v>15</v>
      </c>
      <c r="I1409" s="109">
        <f>IFERROR(VLOOKUP(C1409,Resources!B:G,6,FALSE)," ")</f>
        <v>95</v>
      </c>
      <c r="J1409" s="109">
        <f t="shared" si="2060"/>
        <v>475</v>
      </c>
      <c r="K1409" s="8">
        <f t="shared" si="2067"/>
        <v>5</v>
      </c>
      <c r="L1409" s="8">
        <f t="shared" si="2061"/>
        <v>5</v>
      </c>
      <c r="M1409" s="109">
        <f t="shared" si="2062"/>
        <v>0</v>
      </c>
      <c r="N1409" s="109">
        <f t="shared" si="2063"/>
        <v>0</v>
      </c>
      <c r="O1409" s="109">
        <f t="shared" si="2064"/>
        <v>475</v>
      </c>
      <c r="P1409" s="109">
        <f t="shared" si="2065"/>
        <v>0</v>
      </c>
      <c r="Q1409" s="109">
        <f t="shared" si="2066"/>
        <v>475</v>
      </c>
      <c r="R1409" s="121">
        <v>181</v>
      </c>
      <c r="T1409" s="188"/>
    </row>
    <row r="1410" spans="1:20" x14ac:dyDescent="0.25">
      <c r="A1410" s="100">
        <v>187.4</v>
      </c>
      <c r="B1410" s="3">
        <v>8</v>
      </c>
      <c r="C1410" s="5" t="s">
        <v>8</v>
      </c>
      <c r="D1410" s="3" t="s">
        <v>48</v>
      </c>
      <c r="E1410" s="100" t="str">
        <f>IFERROR(VLOOKUP(C1410,Resources!B:D,3,FALSE)," ")</f>
        <v>L</v>
      </c>
      <c r="F1410" s="103">
        <f>VLOOKUP($A1410,'Model Inputs'!$A:$D,4,FALSE)</f>
        <v>3</v>
      </c>
      <c r="G1410" s="8">
        <f>G1409</f>
        <v>3</v>
      </c>
      <c r="H1410" s="8">
        <f>H1404</f>
        <v>15</v>
      </c>
      <c r="I1410" s="109">
        <f>IFERROR(VLOOKUP(C1410,Resources!B:G,6,FALSE)," ")</f>
        <v>42</v>
      </c>
      <c r="J1410" s="109">
        <f t="shared" si="2060"/>
        <v>630</v>
      </c>
      <c r="K1410" s="8">
        <f t="shared" si="2067"/>
        <v>15</v>
      </c>
      <c r="L1410" s="8">
        <f t="shared" si="2061"/>
        <v>5</v>
      </c>
      <c r="M1410" s="109">
        <f t="shared" si="2062"/>
        <v>630</v>
      </c>
      <c r="N1410" s="109">
        <f t="shared" si="2063"/>
        <v>0</v>
      </c>
      <c r="O1410" s="109">
        <f t="shared" si="2064"/>
        <v>0</v>
      </c>
      <c r="P1410" s="109">
        <f t="shared" si="2065"/>
        <v>0</v>
      </c>
      <c r="Q1410" s="109">
        <f t="shared" si="2066"/>
        <v>630</v>
      </c>
      <c r="R1410" s="121">
        <v>181</v>
      </c>
      <c r="T1410" s="188"/>
    </row>
    <row r="1411" spans="1:20" x14ac:dyDescent="0.25">
      <c r="A1411" s="100"/>
      <c r="B1411" s="3">
        <v>9</v>
      </c>
      <c r="C1411" s="5" t="s">
        <v>92</v>
      </c>
      <c r="D1411" s="3" t="s">
        <v>48</v>
      </c>
      <c r="E1411" s="100" t="str">
        <f>IFERROR(VLOOKUP(C1411,Resources!B:D,3,FALSE)," ")</f>
        <v>P</v>
      </c>
      <c r="F1411" s="8">
        <v>1</v>
      </c>
      <c r="G1411" s="8">
        <f>G1409</f>
        <v>3</v>
      </c>
      <c r="H1411" s="8">
        <f>H1404</f>
        <v>15</v>
      </c>
      <c r="I1411" s="109">
        <f>IFERROR(VLOOKUP(C1411,Resources!B:G,6,FALSE)," ")</f>
        <v>3.5</v>
      </c>
      <c r="J1411" s="109">
        <f t="shared" si="2060"/>
        <v>17.5</v>
      </c>
      <c r="K1411" s="8">
        <f t="shared" si="2067"/>
        <v>5</v>
      </c>
      <c r="L1411" s="8">
        <f t="shared" si="2061"/>
        <v>5</v>
      </c>
      <c r="M1411" s="109">
        <f t="shared" si="2062"/>
        <v>0</v>
      </c>
      <c r="N1411" s="109">
        <f t="shared" si="2063"/>
        <v>0</v>
      </c>
      <c r="O1411" s="109">
        <f t="shared" si="2064"/>
        <v>17.5</v>
      </c>
      <c r="P1411" s="109">
        <f t="shared" si="2065"/>
        <v>0</v>
      </c>
      <c r="Q1411" s="109">
        <f t="shared" si="2066"/>
        <v>17.5</v>
      </c>
      <c r="R1411" s="121">
        <v>181</v>
      </c>
      <c r="T1411" s="188"/>
    </row>
    <row r="1412" spans="1:20" x14ac:dyDescent="0.25">
      <c r="A1412" s="100"/>
      <c r="B1412" s="3">
        <v>10</v>
      </c>
      <c r="C1412" s="5" t="s">
        <v>64</v>
      </c>
      <c r="D1412" s="3" t="s">
        <v>48</v>
      </c>
      <c r="E1412" s="100" t="str">
        <f>IFERROR(VLOOKUP(C1412,Resources!B:D,3,FALSE)," ")</f>
        <v>P</v>
      </c>
      <c r="F1412" s="8">
        <v>1</v>
      </c>
      <c r="G1412" s="8">
        <f>G1409</f>
        <v>3</v>
      </c>
      <c r="H1412" s="8">
        <f>H1404</f>
        <v>15</v>
      </c>
      <c r="I1412" s="109">
        <f>IFERROR(VLOOKUP(C1412,Resources!B:G,6,FALSE)," ")</f>
        <v>100</v>
      </c>
      <c r="J1412" s="109">
        <f t="shared" si="2060"/>
        <v>500</v>
      </c>
      <c r="K1412" s="8">
        <f t="shared" si="2067"/>
        <v>5</v>
      </c>
      <c r="L1412" s="8">
        <f t="shared" si="2061"/>
        <v>5</v>
      </c>
      <c r="M1412" s="109">
        <f t="shared" si="2062"/>
        <v>0</v>
      </c>
      <c r="N1412" s="109">
        <f t="shared" si="2063"/>
        <v>0</v>
      </c>
      <c r="O1412" s="109">
        <f t="shared" si="2064"/>
        <v>500</v>
      </c>
      <c r="P1412" s="109">
        <f t="shared" si="2065"/>
        <v>0</v>
      </c>
      <c r="Q1412" s="109">
        <f t="shared" si="2066"/>
        <v>500</v>
      </c>
      <c r="R1412" s="121">
        <v>181</v>
      </c>
      <c r="T1412" s="188"/>
    </row>
    <row r="1413" spans="1:20" x14ac:dyDescent="0.25">
      <c r="A1413" s="101"/>
      <c r="B1413" s="4"/>
      <c r="C1413" s="6"/>
      <c r="D1413" s="4"/>
      <c r="E1413" s="101" t="str">
        <f>IFERROR(VLOOKUP(C1413,Resources!B:D,3,FALSE)," ")</f>
        <v xml:space="preserve"> </v>
      </c>
      <c r="F1413" s="9"/>
      <c r="G1413" s="9"/>
      <c r="H1413" s="9"/>
      <c r="I1413" s="38" t="str">
        <f>IFERROR(VLOOKUP(C1413,Resources!B:G,6,FALSE)," ")</f>
        <v xml:space="preserve"> </v>
      </c>
      <c r="J1413" s="38"/>
      <c r="K1413" s="9"/>
      <c r="L1413" s="9"/>
      <c r="M1413" s="38"/>
      <c r="N1413" s="38"/>
      <c r="O1413" s="38"/>
      <c r="P1413" s="38"/>
      <c r="Q1413" s="38"/>
      <c r="R1413" s="122"/>
      <c r="T1413" s="188"/>
    </row>
    <row r="1414" spans="1:20" ht="30" x14ac:dyDescent="0.25">
      <c r="A1414" s="114"/>
      <c r="B1414" s="1" t="s">
        <v>644</v>
      </c>
      <c r="C1414" s="1" t="s">
        <v>94</v>
      </c>
      <c r="D1414" s="2"/>
      <c r="E1414" s="99" t="str">
        <f>IFERROR(VLOOKUP(C1414,Resources!B:D,3,FALSE)," ")</f>
        <v xml:space="preserve"> </v>
      </c>
      <c r="F1414" s="7"/>
      <c r="G1414" s="7"/>
      <c r="H1414" s="7"/>
      <c r="I1414" s="108" t="str">
        <f>IFERROR(VLOOKUP(C1414,Resources!B:G,6,FALSE)," ")</f>
        <v xml:space="preserve"> </v>
      </c>
      <c r="J1414" s="108"/>
      <c r="K1414" s="7"/>
      <c r="L1414" s="7"/>
      <c r="M1414" s="108"/>
      <c r="N1414" s="108"/>
      <c r="O1414" s="108"/>
      <c r="P1414" s="108"/>
      <c r="Q1414" s="108"/>
      <c r="R1414" s="120"/>
      <c r="T1414" s="188"/>
    </row>
    <row r="1415" spans="1:20" ht="30" x14ac:dyDescent="0.25">
      <c r="A1415" s="114">
        <v>188</v>
      </c>
      <c r="B1415" s="1" t="s">
        <v>645</v>
      </c>
      <c r="C1415" s="1" t="s">
        <v>646</v>
      </c>
      <c r="D1415" s="2" t="s">
        <v>29</v>
      </c>
      <c r="E1415" s="99" t="str">
        <f>IFERROR(VLOOKUP(C1415,Resources!B:D,3,FALSE)," ")</f>
        <v xml:space="preserve"> </v>
      </c>
      <c r="F1415" s="7"/>
      <c r="G1415" s="7"/>
      <c r="H1415" s="103">
        <f>VLOOKUP($A1415,'Model Inputs'!$A:$D,4,FALSE)</f>
        <v>1</v>
      </c>
      <c r="I1415" s="108" t="str">
        <f>IFERROR(VLOOKUP(C1415,Resources!B:G,6,FALSE)," ")</f>
        <v xml:space="preserve"> </v>
      </c>
      <c r="J1415" s="108">
        <f>SUBTOTAL(9,J1416:J1418)</f>
        <v>3505</v>
      </c>
      <c r="K1415" s="7"/>
      <c r="L1415" s="7">
        <f>ROUNDUP(L1416,0)</f>
        <v>2</v>
      </c>
      <c r="M1415" s="108">
        <f t="shared" ref="M1415:Q1415" si="2068">SUBTOTAL(9,M1416:M1418)</f>
        <v>340</v>
      </c>
      <c r="N1415" s="108">
        <f t="shared" si="2068"/>
        <v>1290</v>
      </c>
      <c r="O1415" s="108">
        <f t="shared" si="2068"/>
        <v>0</v>
      </c>
      <c r="P1415" s="108">
        <f t="shared" si="2068"/>
        <v>1875</v>
      </c>
      <c r="Q1415" s="108">
        <f t="shared" si="2068"/>
        <v>3505</v>
      </c>
      <c r="R1415" s="120"/>
      <c r="T1415" s="188"/>
    </row>
    <row r="1416" spans="1:20" x14ac:dyDescent="0.25">
      <c r="A1416" s="100"/>
      <c r="B1416" s="3">
        <v>1</v>
      </c>
      <c r="C1416" s="5" t="s">
        <v>183</v>
      </c>
      <c r="D1416" s="3" t="s">
        <v>29</v>
      </c>
      <c r="E1416" s="100" t="str">
        <f>IFERROR(VLOOKUP(C1416,Resources!B:D,3,FALSE)," ")</f>
        <v>S</v>
      </c>
      <c r="F1416" s="8">
        <v>1</v>
      </c>
      <c r="G1416" s="8">
        <v>2</v>
      </c>
      <c r="H1416" s="8">
        <f>H1415</f>
        <v>1</v>
      </c>
      <c r="I1416" s="109">
        <f>IFERROR(VLOOKUP(C1416,Resources!B:G,6,FALSE)," ")</f>
        <v>3750</v>
      </c>
      <c r="J1416" s="109">
        <f t="shared" ref="J1416:J1418" si="2069">(H1416/(G1416/F1416))*I1416</f>
        <v>1875</v>
      </c>
      <c r="K1416" s="8"/>
      <c r="L1416" s="8">
        <f>H1415*2</f>
        <v>2</v>
      </c>
      <c r="M1416" s="109">
        <f t="shared" ref="M1416:M1418" si="2070">IF($E1416="L",$J1416,0)</f>
        <v>0</v>
      </c>
      <c r="N1416" s="109">
        <f t="shared" ref="N1416:N1418" si="2071">IF($E1416="M",$J1416,0)</f>
        <v>0</v>
      </c>
      <c r="O1416" s="109">
        <f t="shared" ref="O1416:O1418" si="2072">IF($E1416="P",$J1416,0)</f>
        <v>0</v>
      </c>
      <c r="P1416" s="109">
        <f t="shared" ref="P1416:P1418" si="2073">IF($E1416="S",$J1416,0)</f>
        <v>1875</v>
      </c>
      <c r="Q1416" s="109">
        <f t="shared" ref="Q1416:Q1418" si="2074">SUM(M1416:P1416)</f>
        <v>1875</v>
      </c>
      <c r="R1416" s="121">
        <v>85</v>
      </c>
      <c r="T1416" s="188"/>
    </row>
    <row r="1417" spans="1:20" x14ac:dyDescent="0.25">
      <c r="A1417" s="100"/>
      <c r="B1417" s="3">
        <v>2</v>
      </c>
      <c r="C1417" s="5" t="s">
        <v>383</v>
      </c>
      <c r="D1417" s="3" t="s">
        <v>29</v>
      </c>
      <c r="E1417" s="100" t="str">
        <f>IFERROR(VLOOKUP(C1417,Resources!B:D,3,FALSE)," ")</f>
        <v>M</v>
      </c>
      <c r="F1417" s="8">
        <v>1</v>
      </c>
      <c r="G1417" s="8">
        <v>1</v>
      </c>
      <c r="H1417" s="8">
        <f>H1415</f>
        <v>1</v>
      </c>
      <c r="I1417" s="109">
        <f>IFERROR(VLOOKUP(C1417,Resources!B:G,6,FALSE)," ")</f>
        <v>1290</v>
      </c>
      <c r="J1417" s="109">
        <f t="shared" si="2069"/>
        <v>1290</v>
      </c>
      <c r="K1417" s="8"/>
      <c r="L1417" s="8" t="str">
        <f t="shared" ref="L1417:L1418" si="2075">IF(E1417="M"," ",H1417/G1417)</f>
        <v xml:space="preserve"> </v>
      </c>
      <c r="M1417" s="109">
        <f t="shared" si="2070"/>
        <v>0</v>
      </c>
      <c r="N1417" s="109">
        <f t="shared" si="2071"/>
        <v>1290</v>
      </c>
      <c r="O1417" s="109">
        <f t="shared" si="2072"/>
        <v>0</v>
      </c>
      <c r="P1417" s="109">
        <f t="shared" si="2073"/>
        <v>0</v>
      </c>
      <c r="Q1417" s="109">
        <f t="shared" si="2074"/>
        <v>1290</v>
      </c>
      <c r="R1417" s="121" t="s">
        <v>2347</v>
      </c>
      <c r="T1417" s="188"/>
    </row>
    <row r="1418" spans="1:20" x14ac:dyDescent="0.25">
      <c r="A1418" s="100"/>
      <c r="B1418" s="3">
        <v>3</v>
      </c>
      <c r="C1418" s="5" t="s">
        <v>384</v>
      </c>
      <c r="D1418" s="3" t="s">
        <v>48</v>
      </c>
      <c r="E1418" s="100" t="str">
        <f>IFERROR(VLOOKUP(C1418,Resources!B:D,3,FALSE)," ")</f>
        <v>L</v>
      </c>
      <c r="F1418" s="8">
        <v>1</v>
      </c>
      <c r="G1418" s="8">
        <v>1</v>
      </c>
      <c r="H1418" s="8">
        <f>H1415*4</f>
        <v>4</v>
      </c>
      <c r="I1418" s="109">
        <f>IFERROR(VLOOKUP(C1418,Resources!B:G,6,FALSE)," ")</f>
        <v>85</v>
      </c>
      <c r="J1418" s="109">
        <f t="shared" si="2069"/>
        <v>340</v>
      </c>
      <c r="K1418" s="8">
        <f t="shared" ref="K1418" si="2076">L1418*F1418</f>
        <v>4</v>
      </c>
      <c r="L1418" s="8">
        <f t="shared" si="2075"/>
        <v>4</v>
      </c>
      <c r="M1418" s="109">
        <f t="shared" si="2070"/>
        <v>340</v>
      </c>
      <c r="N1418" s="109">
        <f t="shared" si="2071"/>
        <v>0</v>
      </c>
      <c r="O1418" s="109">
        <f t="shared" si="2072"/>
        <v>0</v>
      </c>
      <c r="P1418" s="109">
        <f t="shared" si="2073"/>
        <v>0</v>
      </c>
      <c r="Q1418" s="109">
        <f t="shared" si="2074"/>
        <v>340</v>
      </c>
      <c r="R1418" s="121">
        <v>85</v>
      </c>
      <c r="T1418" s="188"/>
    </row>
    <row r="1419" spans="1:20" x14ac:dyDescent="0.25">
      <c r="A1419" s="101"/>
      <c r="B1419" s="4"/>
      <c r="C1419" s="6"/>
      <c r="D1419" s="4"/>
      <c r="E1419" s="101" t="str">
        <f>IFERROR(VLOOKUP(C1419,Resources!B:D,3,FALSE)," ")</f>
        <v xml:space="preserve"> </v>
      </c>
      <c r="F1419" s="9"/>
      <c r="G1419" s="9"/>
      <c r="H1419" s="9"/>
      <c r="I1419" s="38" t="str">
        <f>IFERROR(VLOOKUP(C1419,Resources!B:G,6,FALSE)," ")</f>
        <v xml:space="preserve"> </v>
      </c>
      <c r="J1419" s="38"/>
      <c r="K1419" s="9"/>
      <c r="L1419" s="9"/>
      <c r="M1419" s="38"/>
      <c r="N1419" s="38"/>
      <c r="O1419" s="38"/>
      <c r="P1419" s="38"/>
      <c r="Q1419" s="38"/>
      <c r="R1419" s="122"/>
      <c r="T1419" s="188"/>
    </row>
    <row r="1420" spans="1:20" ht="30" x14ac:dyDescent="0.25">
      <c r="A1420" s="114"/>
      <c r="B1420" s="1" t="s">
        <v>647</v>
      </c>
      <c r="C1420" s="1" t="s">
        <v>98</v>
      </c>
      <c r="D1420" s="2"/>
      <c r="E1420" s="99" t="str">
        <f>IFERROR(VLOOKUP(C1420,Resources!B:D,3,FALSE)," ")</f>
        <v xml:space="preserve"> </v>
      </c>
      <c r="F1420" s="7"/>
      <c r="G1420" s="7"/>
      <c r="H1420" s="7"/>
      <c r="I1420" s="108" t="str">
        <f>IFERROR(VLOOKUP(C1420,Resources!B:G,6,FALSE)," ")</f>
        <v xml:space="preserve"> </v>
      </c>
      <c r="J1420" s="108"/>
      <c r="K1420" s="7"/>
      <c r="L1420" s="7"/>
      <c r="M1420" s="108"/>
      <c r="N1420" s="108"/>
      <c r="O1420" s="108"/>
      <c r="P1420" s="108"/>
      <c r="Q1420" s="108"/>
      <c r="R1420" s="120"/>
      <c r="T1420" s="188"/>
    </row>
    <row r="1421" spans="1:20" ht="30" x14ac:dyDescent="0.25">
      <c r="A1421" s="114">
        <v>189</v>
      </c>
      <c r="B1421" s="1" t="s">
        <v>648</v>
      </c>
      <c r="C1421" s="1" t="s">
        <v>195</v>
      </c>
      <c r="D1421" s="2" t="s">
        <v>89</v>
      </c>
      <c r="E1421" s="99" t="str">
        <f>IFERROR(VLOOKUP(C1421,Resources!B:D,3,FALSE)," ")</f>
        <v xml:space="preserve"> </v>
      </c>
      <c r="F1421" s="7"/>
      <c r="G1421" s="7"/>
      <c r="H1421" s="103">
        <f>VLOOKUP($A1421,'Model Inputs'!$A:$D,4,FALSE)</f>
        <v>313</v>
      </c>
      <c r="I1421" s="108" t="str">
        <f>IFERROR(VLOOKUP(C1421,Resources!B:G,6,FALSE)," ")</f>
        <v xml:space="preserve"> </v>
      </c>
      <c r="J1421" s="108">
        <f>SUBTOTAL(9,J1423:J1426)</f>
        <v>16640.026279069767</v>
      </c>
      <c r="K1421" s="7"/>
      <c r="L1421" s="7">
        <f>ROUNDUP(L1426,0)</f>
        <v>2</v>
      </c>
      <c r="M1421" s="108">
        <f t="shared" ref="M1421:Q1421" si="2077">SUBTOTAL(9,M1423:M1426)</f>
        <v>0</v>
      </c>
      <c r="N1421" s="108">
        <f t="shared" si="2077"/>
        <v>7250.026279069768</v>
      </c>
      <c r="O1421" s="108">
        <f t="shared" si="2077"/>
        <v>0</v>
      </c>
      <c r="P1421" s="108">
        <f t="shared" si="2077"/>
        <v>9390</v>
      </c>
      <c r="Q1421" s="108">
        <f t="shared" si="2077"/>
        <v>16640.026279069767</v>
      </c>
      <c r="R1421" s="120"/>
      <c r="T1421" s="188"/>
    </row>
    <row r="1422" spans="1:20" ht="30" x14ac:dyDescent="0.25">
      <c r="A1422" s="101"/>
      <c r="B1422" s="4">
        <v>1</v>
      </c>
      <c r="C1422" s="6" t="s">
        <v>196</v>
      </c>
      <c r="D1422" s="4"/>
      <c r="E1422" s="101" t="str">
        <f>IFERROR(VLOOKUP(C1422,Resources!B:D,3,FALSE)," ")</f>
        <v xml:space="preserve"> </v>
      </c>
      <c r="F1422" s="9"/>
      <c r="G1422" s="9"/>
      <c r="H1422" s="9"/>
      <c r="I1422" s="38" t="str">
        <f>IFERROR(VLOOKUP(C1422,Resources!B:G,6,FALSE)," ")</f>
        <v xml:space="preserve"> </v>
      </c>
      <c r="J1422" s="38"/>
      <c r="K1422" s="9"/>
      <c r="L1422" s="9"/>
      <c r="M1422" s="38"/>
      <c r="N1422" s="38"/>
      <c r="O1422" s="38"/>
      <c r="P1422" s="38"/>
      <c r="Q1422" s="38"/>
      <c r="R1422" s="122"/>
      <c r="T1422" s="188"/>
    </row>
    <row r="1423" spans="1:20" x14ac:dyDescent="0.25">
      <c r="A1423" s="100"/>
      <c r="B1423" s="3">
        <v>2</v>
      </c>
      <c r="C1423" s="5" t="s">
        <v>197</v>
      </c>
      <c r="D1423" s="3" t="s">
        <v>86</v>
      </c>
      <c r="E1423" s="100" t="str">
        <f>IFERROR(VLOOKUP(C1423,Resources!B:D,3,FALSE)," ")</f>
        <v>M</v>
      </c>
      <c r="F1423" s="8">
        <v>1</v>
      </c>
      <c r="G1423" s="8">
        <v>1</v>
      </c>
      <c r="H1423" s="8">
        <f>H1421/8.6</f>
        <v>36.395348837209305</v>
      </c>
      <c r="I1423" s="109">
        <f>IFERROR(VLOOKUP(C1423,Resources!B:G,6,FALSE)," ")</f>
        <v>190</v>
      </c>
      <c r="J1423" s="109">
        <f t="shared" ref="J1423:J1426" si="2078">(H1423/(G1423/F1423))*I1423</f>
        <v>6915.1162790697681</v>
      </c>
      <c r="K1423" s="8"/>
      <c r="L1423" s="8" t="str">
        <f t="shared" ref="L1423:L1425" si="2079">IF(E1423="M"," ",H1423/G1423)</f>
        <v xml:space="preserve"> </v>
      </c>
      <c r="M1423" s="109">
        <f t="shared" ref="M1423:M1426" si="2080">IF($E1423="L",$J1423,0)</f>
        <v>0</v>
      </c>
      <c r="N1423" s="109">
        <f t="shared" ref="N1423:N1426" si="2081">IF($E1423="M",$J1423,0)</f>
        <v>6915.1162790697681</v>
      </c>
      <c r="O1423" s="109">
        <f t="shared" ref="O1423:O1426" si="2082">IF($E1423="P",$J1423,0)</f>
        <v>0</v>
      </c>
      <c r="P1423" s="109">
        <f t="shared" ref="P1423:P1426" si="2083">IF($E1423="S",$J1423,0)</f>
        <v>0</v>
      </c>
      <c r="Q1423" s="109">
        <f t="shared" ref="Q1423:Q1426" si="2084">SUM(M1423:P1423)</f>
        <v>6915.1162790697681</v>
      </c>
      <c r="R1423" s="121" t="s">
        <v>2337</v>
      </c>
      <c r="T1423" s="188"/>
    </row>
    <row r="1424" spans="1:20" x14ac:dyDescent="0.25">
      <c r="A1424" s="100"/>
      <c r="B1424" s="3">
        <v>3</v>
      </c>
      <c r="C1424" s="5" t="s">
        <v>81</v>
      </c>
      <c r="D1424" s="3" t="s">
        <v>82</v>
      </c>
      <c r="E1424" s="100" t="str">
        <f>IFERROR(VLOOKUP(C1424,Resources!B:D,3,FALSE)," ")</f>
        <v>M</v>
      </c>
      <c r="F1424" s="8">
        <v>1</v>
      </c>
      <c r="G1424" s="8">
        <v>1</v>
      </c>
      <c r="H1424" s="8">
        <f>H1421/75</f>
        <v>4.1733333333333329</v>
      </c>
      <c r="I1424" s="109">
        <f>IFERROR(VLOOKUP(C1424,Resources!B:G,6,FALSE)," ")</f>
        <v>24</v>
      </c>
      <c r="J1424" s="109">
        <f t="shared" si="2078"/>
        <v>100.16</v>
      </c>
      <c r="K1424" s="8"/>
      <c r="L1424" s="8" t="str">
        <f t="shared" si="2079"/>
        <v xml:space="preserve"> </v>
      </c>
      <c r="M1424" s="109">
        <f t="shared" si="2080"/>
        <v>0</v>
      </c>
      <c r="N1424" s="109">
        <f t="shared" si="2081"/>
        <v>100.16</v>
      </c>
      <c r="O1424" s="109">
        <f t="shared" si="2082"/>
        <v>0</v>
      </c>
      <c r="P1424" s="109">
        <f t="shared" si="2083"/>
        <v>0</v>
      </c>
      <c r="Q1424" s="109">
        <f t="shared" si="2084"/>
        <v>100.16</v>
      </c>
      <c r="R1424" s="121" t="s">
        <v>2341</v>
      </c>
      <c r="T1424" s="188"/>
    </row>
    <row r="1425" spans="1:20" x14ac:dyDescent="0.25">
      <c r="A1425" s="100"/>
      <c r="B1425" s="3">
        <v>4</v>
      </c>
      <c r="C1425" s="5" t="s">
        <v>109</v>
      </c>
      <c r="D1425" s="3" t="s">
        <v>82</v>
      </c>
      <c r="E1425" s="100" t="str">
        <f>IFERROR(VLOOKUP(C1425,Resources!B:D,3,FALSE)," ")</f>
        <v>M</v>
      </c>
      <c r="F1425" s="8">
        <v>1</v>
      </c>
      <c r="G1425" s="8">
        <v>1</v>
      </c>
      <c r="H1425" s="8">
        <f>H1424/8</f>
        <v>0.52166666666666661</v>
      </c>
      <c r="I1425" s="109">
        <f>IFERROR(VLOOKUP(C1425,Resources!B:G,6,FALSE)," ")</f>
        <v>450</v>
      </c>
      <c r="J1425" s="109">
        <f t="shared" si="2078"/>
        <v>234.74999999999997</v>
      </c>
      <c r="K1425" s="8"/>
      <c r="L1425" s="8" t="str">
        <f t="shared" si="2079"/>
        <v xml:space="preserve"> </v>
      </c>
      <c r="M1425" s="109">
        <f t="shared" si="2080"/>
        <v>0</v>
      </c>
      <c r="N1425" s="109">
        <f t="shared" si="2081"/>
        <v>234.74999999999997</v>
      </c>
      <c r="O1425" s="109">
        <f t="shared" si="2082"/>
        <v>0</v>
      </c>
      <c r="P1425" s="109">
        <f t="shared" si="2083"/>
        <v>0</v>
      </c>
      <c r="Q1425" s="109">
        <f t="shared" si="2084"/>
        <v>234.74999999999997</v>
      </c>
      <c r="R1425" s="121" t="s">
        <v>2338</v>
      </c>
      <c r="T1425" s="188"/>
    </row>
    <row r="1426" spans="1:20" x14ac:dyDescent="0.25">
      <c r="A1426" s="100"/>
      <c r="B1426" s="3">
        <v>5</v>
      </c>
      <c r="C1426" s="5" t="s">
        <v>198</v>
      </c>
      <c r="D1426" s="3" t="s">
        <v>89</v>
      </c>
      <c r="E1426" s="100" t="str">
        <f>IFERROR(VLOOKUP(C1426,Resources!B:D,3,FALSE)," ")</f>
        <v>S</v>
      </c>
      <c r="F1426" s="8">
        <v>1</v>
      </c>
      <c r="G1426" s="8">
        <v>1</v>
      </c>
      <c r="H1426" s="8">
        <f>H1421</f>
        <v>313</v>
      </c>
      <c r="I1426" s="109">
        <f>IFERROR(VLOOKUP(C1426,Resources!B:G,6,FALSE)," ")</f>
        <v>30</v>
      </c>
      <c r="J1426" s="109">
        <f t="shared" si="2078"/>
        <v>9390</v>
      </c>
      <c r="K1426" s="8"/>
      <c r="L1426" s="8">
        <f>H1426/200</f>
        <v>1.5649999999999999</v>
      </c>
      <c r="M1426" s="109">
        <f t="shared" si="2080"/>
        <v>0</v>
      </c>
      <c r="N1426" s="109">
        <f t="shared" si="2081"/>
        <v>0</v>
      </c>
      <c r="O1426" s="109">
        <f t="shared" si="2082"/>
        <v>0</v>
      </c>
      <c r="P1426" s="109">
        <f t="shared" si="2083"/>
        <v>9390</v>
      </c>
      <c r="Q1426" s="109">
        <f t="shared" si="2084"/>
        <v>9390</v>
      </c>
      <c r="R1426" s="121">
        <v>71</v>
      </c>
      <c r="T1426" s="188"/>
    </row>
    <row r="1427" spans="1:20" x14ac:dyDescent="0.25">
      <c r="A1427" s="101"/>
      <c r="B1427" s="4"/>
      <c r="C1427" s="6"/>
      <c r="D1427" s="4"/>
      <c r="E1427" s="101" t="str">
        <f>IFERROR(VLOOKUP(C1427,Resources!B:D,3,FALSE)," ")</f>
        <v xml:space="preserve"> </v>
      </c>
      <c r="F1427" s="9"/>
      <c r="G1427" s="9"/>
      <c r="H1427" s="9"/>
      <c r="I1427" s="38" t="str">
        <f>IFERROR(VLOOKUP(C1427,Resources!B:G,6,FALSE)," ")</f>
        <v xml:space="preserve"> </v>
      </c>
      <c r="J1427" s="38"/>
      <c r="K1427" s="9"/>
      <c r="L1427" s="9"/>
      <c r="M1427" s="38"/>
      <c r="N1427" s="38"/>
      <c r="O1427" s="38"/>
      <c r="P1427" s="38"/>
      <c r="Q1427" s="38"/>
      <c r="R1427" s="122"/>
      <c r="T1427" s="188"/>
    </row>
    <row r="1428" spans="1:20" ht="30" x14ac:dyDescent="0.25">
      <c r="A1428" s="114">
        <v>190</v>
      </c>
      <c r="B1428" s="1" t="s">
        <v>649</v>
      </c>
      <c r="C1428" s="1" t="s">
        <v>650</v>
      </c>
      <c r="D1428" s="2" t="s">
        <v>89</v>
      </c>
      <c r="E1428" s="99" t="str">
        <f>IFERROR(VLOOKUP(C1428,Resources!B:D,3,FALSE)," ")</f>
        <v xml:space="preserve"> </v>
      </c>
      <c r="F1428" s="7"/>
      <c r="G1428" s="7"/>
      <c r="H1428" s="103">
        <f>VLOOKUP($A1428,'Model Inputs'!$A:$D,4,FALSE)</f>
        <v>13</v>
      </c>
      <c r="I1428" s="108" t="str">
        <f>IFERROR(VLOOKUP(C1428,Resources!B:G,6,FALSE)," ")</f>
        <v xml:space="preserve"> </v>
      </c>
      <c r="J1428" s="108">
        <f>SUBTOTAL(9,J1430:J1433)</f>
        <v>1690.9099999999999</v>
      </c>
      <c r="K1428" s="7"/>
      <c r="L1428" s="7">
        <f>ROUNDUP(L1433,0)</f>
        <v>1</v>
      </c>
      <c r="M1428" s="108">
        <f t="shared" ref="M1428:Q1428" si="2085">SUBTOTAL(9,M1430:M1433)</f>
        <v>0</v>
      </c>
      <c r="N1428" s="108">
        <f t="shared" si="2085"/>
        <v>845.91</v>
      </c>
      <c r="O1428" s="108">
        <f t="shared" si="2085"/>
        <v>0</v>
      </c>
      <c r="P1428" s="108">
        <f t="shared" si="2085"/>
        <v>845</v>
      </c>
      <c r="Q1428" s="108">
        <f t="shared" si="2085"/>
        <v>1690.9099999999999</v>
      </c>
      <c r="R1428" s="120"/>
      <c r="T1428" s="188"/>
    </row>
    <row r="1429" spans="1:20" ht="30" x14ac:dyDescent="0.25">
      <c r="A1429" s="101"/>
      <c r="B1429" s="4">
        <v>1</v>
      </c>
      <c r="C1429" s="6" t="s">
        <v>196</v>
      </c>
      <c r="D1429" s="4"/>
      <c r="E1429" s="101" t="str">
        <f>IFERROR(VLOOKUP(C1429,Resources!B:D,3,FALSE)," ")</f>
        <v xml:space="preserve"> </v>
      </c>
      <c r="F1429" s="9"/>
      <c r="G1429" s="9"/>
      <c r="H1429" s="9"/>
      <c r="I1429" s="38" t="str">
        <f>IFERROR(VLOOKUP(C1429,Resources!B:G,6,FALSE)," ")</f>
        <v xml:space="preserve"> </v>
      </c>
      <c r="J1429" s="38"/>
      <c r="K1429" s="9"/>
      <c r="L1429" s="9"/>
      <c r="M1429" s="38"/>
      <c r="N1429" s="38"/>
      <c r="O1429" s="38"/>
      <c r="P1429" s="38"/>
      <c r="Q1429" s="38"/>
      <c r="R1429" s="122"/>
      <c r="T1429" s="188"/>
    </row>
    <row r="1430" spans="1:20" x14ac:dyDescent="0.25">
      <c r="A1430" s="100"/>
      <c r="B1430" s="3">
        <v>2</v>
      </c>
      <c r="C1430" s="5" t="s">
        <v>85</v>
      </c>
      <c r="D1430" s="3" t="s">
        <v>86</v>
      </c>
      <c r="E1430" s="100" t="str">
        <f>IFERROR(VLOOKUP(C1430,Resources!B:D,3,FALSE)," ")</f>
        <v>M</v>
      </c>
      <c r="F1430" s="8">
        <v>1</v>
      </c>
      <c r="G1430" s="8">
        <v>1</v>
      </c>
      <c r="H1430" s="8">
        <f>H1428/3</f>
        <v>4.333333333333333</v>
      </c>
      <c r="I1430" s="109">
        <f>IFERROR(VLOOKUP(C1430,Resources!B:G,6,FALSE)," ")</f>
        <v>192</v>
      </c>
      <c r="J1430" s="109">
        <f t="shared" ref="J1430:J1433" si="2086">(H1430/(G1430/F1430))*I1430</f>
        <v>832</v>
      </c>
      <c r="K1430" s="8"/>
      <c r="L1430" s="8" t="str">
        <f t="shared" ref="L1430:L1432" si="2087">IF(E1430="M"," ",H1430/G1430)</f>
        <v xml:space="preserve"> </v>
      </c>
      <c r="M1430" s="109">
        <f t="shared" ref="M1430:M1433" si="2088">IF($E1430="L",$J1430,0)</f>
        <v>0</v>
      </c>
      <c r="N1430" s="109">
        <f t="shared" ref="N1430:N1433" si="2089">IF($E1430="M",$J1430,0)</f>
        <v>832</v>
      </c>
      <c r="O1430" s="109">
        <f t="shared" ref="O1430:O1433" si="2090">IF($E1430="P",$J1430,0)</f>
        <v>0</v>
      </c>
      <c r="P1430" s="109">
        <f t="shared" ref="P1430:P1433" si="2091">IF($E1430="S",$J1430,0)</f>
        <v>0</v>
      </c>
      <c r="Q1430" s="109">
        <f t="shared" ref="Q1430:Q1433" si="2092">SUM(M1430:P1430)</f>
        <v>832</v>
      </c>
      <c r="R1430" s="121" t="s">
        <v>2335</v>
      </c>
      <c r="T1430" s="188"/>
    </row>
    <row r="1431" spans="1:20" x14ac:dyDescent="0.25">
      <c r="A1431" s="100"/>
      <c r="B1431" s="3">
        <v>3</v>
      </c>
      <c r="C1431" s="5" t="s">
        <v>81</v>
      </c>
      <c r="D1431" s="3" t="s">
        <v>82</v>
      </c>
      <c r="E1431" s="100" t="str">
        <f>IFERROR(VLOOKUP(C1431,Resources!B:D,3,FALSE)," ")</f>
        <v>M</v>
      </c>
      <c r="F1431" s="8">
        <v>1</v>
      </c>
      <c r="G1431" s="8">
        <v>1</v>
      </c>
      <c r="H1431" s="8">
        <f>H1428/75</f>
        <v>0.17333333333333334</v>
      </c>
      <c r="I1431" s="109">
        <f>IFERROR(VLOOKUP(C1431,Resources!B:G,6,FALSE)," ")</f>
        <v>24</v>
      </c>
      <c r="J1431" s="109">
        <f t="shared" si="2086"/>
        <v>4.16</v>
      </c>
      <c r="K1431" s="8"/>
      <c r="L1431" s="8" t="str">
        <f t="shared" si="2087"/>
        <v xml:space="preserve"> </v>
      </c>
      <c r="M1431" s="109">
        <f t="shared" si="2088"/>
        <v>0</v>
      </c>
      <c r="N1431" s="109">
        <f t="shared" si="2089"/>
        <v>4.16</v>
      </c>
      <c r="O1431" s="109">
        <f t="shared" si="2090"/>
        <v>0</v>
      </c>
      <c r="P1431" s="109">
        <f t="shared" si="2091"/>
        <v>0</v>
      </c>
      <c r="Q1431" s="109">
        <f t="shared" si="2092"/>
        <v>4.16</v>
      </c>
      <c r="R1431" s="121" t="s">
        <v>2341</v>
      </c>
      <c r="T1431" s="188"/>
    </row>
    <row r="1432" spans="1:20" x14ac:dyDescent="0.25">
      <c r="A1432" s="100"/>
      <c r="B1432" s="3">
        <v>4</v>
      </c>
      <c r="C1432" s="5" t="s">
        <v>109</v>
      </c>
      <c r="D1432" s="3" t="s">
        <v>82</v>
      </c>
      <c r="E1432" s="100" t="str">
        <f>IFERROR(VLOOKUP(C1432,Resources!B:D,3,FALSE)," ")</f>
        <v>M</v>
      </c>
      <c r="F1432" s="8">
        <v>1</v>
      </c>
      <c r="G1432" s="8">
        <v>1</v>
      </c>
      <c r="H1432" s="8">
        <f>H1431/8</f>
        <v>2.1666666666666667E-2</v>
      </c>
      <c r="I1432" s="109">
        <f>IFERROR(VLOOKUP(C1432,Resources!B:G,6,FALSE)," ")</f>
        <v>450</v>
      </c>
      <c r="J1432" s="109">
        <f t="shared" si="2086"/>
        <v>9.75</v>
      </c>
      <c r="K1432" s="8"/>
      <c r="L1432" s="8" t="str">
        <f t="shared" si="2087"/>
        <v xml:space="preserve"> </v>
      </c>
      <c r="M1432" s="109">
        <f t="shared" si="2088"/>
        <v>0</v>
      </c>
      <c r="N1432" s="109">
        <f t="shared" si="2089"/>
        <v>9.75</v>
      </c>
      <c r="O1432" s="109">
        <f t="shared" si="2090"/>
        <v>0</v>
      </c>
      <c r="P1432" s="109">
        <f t="shared" si="2091"/>
        <v>0</v>
      </c>
      <c r="Q1432" s="109">
        <f t="shared" si="2092"/>
        <v>9.75</v>
      </c>
      <c r="R1432" s="121" t="s">
        <v>2338</v>
      </c>
      <c r="T1432" s="188"/>
    </row>
    <row r="1433" spans="1:20" x14ac:dyDescent="0.25">
      <c r="A1433" s="100"/>
      <c r="B1433" s="3">
        <v>5</v>
      </c>
      <c r="C1433" s="5" t="s">
        <v>2247</v>
      </c>
      <c r="D1433" s="3" t="s">
        <v>89</v>
      </c>
      <c r="E1433" s="100" t="str">
        <f>IFERROR(VLOOKUP(C1433,Resources!B:D,3,FALSE)," ")</f>
        <v>S</v>
      </c>
      <c r="F1433" s="8">
        <v>1</v>
      </c>
      <c r="G1433" s="8">
        <v>1</v>
      </c>
      <c r="H1433" s="8">
        <f>H1428</f>
        <v>13</v>
      </c>
      <c r="I1433" s="109">
        <f>IFERROR(VLOOKUP(C1433,Resources!B:G,6,FALSE)," ")</f>
        <v>65</v>
      </c>
      <c r="J1433" s="109">
        <f t="shared" si="2086"/>
        <v>845</v>
      </c>
      <c r="K1433" s="8"/>
      <c r="L1433" s="8">
        <f>H1433/200</f>
        <v>6.5000000000000002E-2</v>
      </c>
      <c r="M1433" s="109">
        <f t="shared" si="2088"/>
        <v>0</v>
      </c>
      <c r="N1433" s="109">
        <f t="shared" si="2089"/>
        <v>0</v>
      </c>
      <c r="O1433" s="109">
        <f t="shared" si="2090"/>
        <v>0</v>
      </c>
      <c r="P1433" s="109">
        <f t="shared" si="2091"/>
        <v>845</v>
      </c>
      <c r="Q1433" s="109">
        <f t="shared" si="2092"/>
        <v>845</v>
      </c>
      <c r="R1433" s="121">
        <v>71</v>
      </c>
      <c r="T1433" s="188"/>
    </row>
    <row r="1434" spans="1:20" x14ac:dyDescent="0.25">
      <c r="A1434" s="101"/>
      <c r="B1434" s="4"/>
      <c r="C1434" s="6"/>
      <c r="D1434" s="4"/>
      <c r="E1434" s="101" t="str">
        <f>IFERROR(VLOOKUP(C1434,Resources!B:D,3,FALSE)," ")</f>
        <v xml:space="preserve"> </v>
      </c>
      <c r="F1434" s="9"/>
      <c r="G1434" s="9"/>
      <c r="H1434" s="9"/>
      <c r="I1434" s="38" t="str">
        <f>IFERROR(VLOOKUP(C1434,Resources!B:G,6,FALSE)," ")</f>
        <v xml:space="preserve"> </v>
      </c>
      <c r="J1434" s="38"/>
      <c r="K1434" s="9"/>
      <c r="L1434" s="9"/>
      <c r="M1434" s="38"/>
      <c r="N1434" s="38"/>
      <c r="O1434" s="38"/>
      <c r="P1434" s="38"/>
      <c r="Q1434" s="38"/>
      <c r="R1434" s="122"/>
      <c r="T1434" s="188"/>
    </row>
    <row r="1435" spans="1:20" ht="30" x14ac:dyDescent="0.25">
      <c r="A1435" s="114"/>
      <c r="B1435" s="1" t="s">
        <v>651</v>
      </c>
      <c r="C1435" s="1" t="s">
        <v>204</v>
      </c>
      <c r="D1435" s="2"/>
      <c r="E1435" s="99" t="str">
        <f>IFERROR(VLOOKUP(C1435,Resources!B:D,3,FALSE)," ")</f>
        <v xml:space="preserve"> </v>
      </c>
      <c r="F1435" s="7"/>
      <c r="G1435" s="7"/>
      <c r="H1435" s="7"/>
      <c r="I1435" s="108" t="str">
        <f>IFERROR(VLOOKUP(C1435,Resources!B:G,6,FALSE)," ")</f>
        <v xml:space="preserve"> </v>
      </c>
      <c r="J1435" s="108"/>
      <c r="K1435" s="7"/>
      <c r="L1435" s="7"/>
      <c r="M1435" s="108"/>
      <c r="N1435" s="108"/>
      <c r="O1435" s="108"/>
      <c r="P1435" s="108"/>
      <c r="Q1435" s="108"/>
      <c r="R1435" s="120"/>
      <c r="T1435" s="188"/>
    </row>
    <row r="1436" spans="1:20" ht="30" x14ac:dyDescent="0.25">
      <c r="A1436" s="114"/>
      <c r="B1436" s="1" t="s">
        <v>652</v>
      </c>
      <c r="C1436" s="1" t="s">
        <v>391</v>
      </c>
      <c r="D1436" s="2"/>
      <c r="E1436" s="99" t="str">
        <f>IFERROR(VLOOKUP(C1436,Resources!B:D,3,FALSE)," ")</f>
        <v xml:space="preserve"> </v>
      </c>
      <c r="F1436" s="7"/>
      <c r="G1436" s="7"/>
      <c r="H1436" s="7"/>
      <c r="I1436" s="108" t="str">
        <f>IFERROR(VLOOKUP(C1436,Resources!B:G,6,FALSE)," ")</f>
        <v xml:space="preserve"> </v>
      </c>
      <c r="J1436" s="108"/>
      <c r="K1436" s="7"/>
      <c r="L1436" s="7"/>
      <c r="M1436" s="108"/>
      <c r="N1436" s="108"/>
      <c r="O1436" s="108"/>
      <c r="P1436" s="108"/>
      <c r="Q1436" s="108"/>
      <c r="R1436" s="120"/>
      <c r="T1436" s="188"/>
    </row>
    <row r="1437" spans="1:20" ht="30" x14ac:dyDescent="0.25">
      <c r="A1437" s="114">
        <v>191</v>
      </c>
      <c r="B1437" s="1" t="s">
        <v>653</v>
      </c>
      <c r="C1437" s="1" t="s">
        <v>654</v>
      </c>
      <c r="D1437" s="2" t="s">
        <v>89</v>
      </c>
      <c r="E1437" s="99" t="str">
        <f>IFERROR(VLOOKUP(C1437,Resources!B:D,3,FALSE)," ")</f>
        <v xml:space="preserve"> </v>
      </c>
      <c r="F1437" s="7"/>
      <c r="G1437" s="7"/>
      <c r="H1437" s="103">
        <f>VLOOKUP($A1437,'Model Inputs'!$A:$D,4,FALSE)</f>
        <v>281</v>
      </c>
      <c r="I1437" s="108" t="str">
        <f>IFERROR(VLOOKUP(C1437,Resources!B:G,6,FALSE)," ")</f>
        <v xml:space="preserve"> </v>
      </c>
      <c r="J1437" s="108">
        <f>SUBTOTAL(9,J1439:J1445)</f>
        <v>11600.308266426644</v>
      </c>
      <c r="K1437" s="7"/>
      <c r="L1437" s="7">
        <f>ROUNDUP((MAX(L1442:L1445)+L1440)/Workhrs,0)</f>
        <v>4</v>
      </c>
      <c r="M1437" s="108">
        <f t="shared" ref="M1437:Q1437" si="2093">SUBTOTAL(9,M1439:M1445)</f>
        <v>3186.8586858685871</v>
      </c>
      <c r="N1437" s="108">
        <f t="shared" si="2093"/>
        <v>1703.9840000000002</v>
      </c>
      <c r="O1437" s="108">
        <f t="shared" si="2093"/>
        <v>5905.805580558057</v>
      </c>
      <c r="P1437" s="108">
        <f t="shared" si="2093"/>
        <v>803.66</v>
      </c>
      <c r="Q1437" s="108">
        <f t="shared" si="2093"/>
        <v>11600.308266426644</v>
      </c>
      <c r="R1437" s="120"/>
      <c r="T1437" s="188"/>
    </row>
    <row r="1438" spans="1:20" ht="45" x14ac:dyDescent="0.25">
      <c r="A1438" s="101"/>
      <c r="B1438" s="4">
        <v>1</v>
      </c>
      <c r="C1438" s="6" t="s">
        <v>209</v>
      </c>
      <c r="D1438" s="4"/>
      <c r="E1438" s="101" t="str">
        <f>IFERROR(VLOOKUP(C1438,Resources!B:D,3,FALSE)," ")</f>
        <v xml:space="preserve"> </v>
      </c>
      <c r="F1438" s="9"/>
      <c r="G1438" s="9"/>
      <c r="H1438" s="9"/>
      <c r="I1438" s="38" t="str">
        <f>IFERROR(VLOOKUP(C1438,Resources!B:G,6,FALSE)," ")</f>
        <v xml:space="preserve"> </v>
      </c>
      <c r="J1438" s="38"/>
      <c r="K1438" s="9"/>
      <c r="L1438" s="9"/>
      <c r="M1438" s="38"/>
      <c r="N1438" s="38"/>
      <c r="O1438" s="38"/>
      <c r="P1438" s="38"/>
      <c r="Q1438" s="38"/>
      <c r="R1438" s="122"/>
      <c r="T1438" s="188"/>
    </row>
    <row r="1439" spans="1:20" x14ac:dyDescent="0.25">
      <c r="A1439" s="100"/>
      <c r="B1439" s="3">
        <v>2</v>
      </c>
      <c r="C1439" s="5" t="s">
        <v>210</v>
      </c>
      <c r="D1439" s="3" t="s">
        <v>89</v>
      </c>
      <c r="E1439" s="100" t="str">
        <f>IFERROR(VLOOKUP(C1439,Resources!B:D,3,FALSE)," ")</f>
        <v>M</v>
      </c>
      <c r="F1439" s="8">
        <v>1</v>
      </c>
      <c r="G1439" s="8">
        <v>1</v>
      </c>
      <c r="H1439" s="8">
        <f>H1437</f>
        <v>281</v>
      </c>
      <c r="I1439" s="109">
        <f>IFERROR(VLOOKUP(C1439,Resources!B:G,6,FALSE)," ")</f>
        <v>2.5</v>
      </c>
      <c r="J1439" s="109">
        <f t="shared" ref="J1439:J1445" si="2094">(H1439/(G1439/F1439))*I1439</f>
        <v>702.5</v>
      </c>
      <c r="K1439" s="8"/>
      <c r="L1439" s="8" t="str">
        <f t="shared" ref="L1439:L1445" si="2095">IF(E1439="M"," ",H1439/G1439)</f>
        <v xml:space="preserve"> </v>
      </c>
      <c r="M1439" s="109">
        <f t="shared" ref="M1439:M1445" si="2096">IF($E1439="L",$J1439,0)</f>
        <v>0</v>
      </c>
      <c r="N1439" s="109">
        <f t="shared" ref="N1439:N1445" si="2097">IF($E1439="M",$J1439,0)</f>
        <v>702.5</v>
      </c>
      <c r="O1439" s="109">
        <f t="shared" ref="O1439:O1445" si="2098">IF($E1439="P",$J1439,0)</f>
        <v>0</v>
      </c>
      <c r="P1439" s="109">
        <f t="shared" ref="P1439:P1445" si="2099">IF($E1439="S",$J1439,0)</f>
        <v>0</v>
      </c>
      <c r="Q1439" s="109">
        <f t="shared" ref="Q1439:Q1445" si="2100">SUM(M1439:P1439)</f>
        <v>702.5</v>
      </c>
      <c r="R1439" s="121">
        <v>87</v>
      </c>
      <c r="T1439" s="188"/>
    </row>
    <row r="1440" spans="1:20" x14ac:dyDescent="0.25">
      <c r="A1440" s="100"/>
      <c r="B1440" s="3">
        <v>3</v>
      </c>
      <c r="C1440" s="5" t="s">
        <v>211</v>
      </c>
      <c r="D1440" s="3" t="s">
        <v>29</v>
      </c>
      <c r="E1440" s="100" t="str">
        <f>IFERROR(VLOOKUP(C1440,Resources!B:D,3,FALSE)," ")</f>
        <v>S</v>
      </c>
      <c r="F1440" s="8">
        <v>1</v>
      </c>
      <c r="G1440" s="8">
        <v>1</v>
      </c>
      <c r="H1440" s="8">
        <f>H1437/50</f>
        <v>5.62</v>
      </c>
      <c r="I1440" s="109">
        <f>IFERROR(VLOOKUP(C1440,Resources!B:G,6,FALSE)," ")</f>
        <v>143</v>
      </c>
      <c r="J1440" s="109">
        <f t="shared" si="2094"/>
        <v>803.66</v>
      </c>
      <c r="K1440" s="8">
        <f t="shared" ref="K1440:K1445" si="2101">L1440*F1440</f>
        <v>5.62</v>
      </c>
      <c r="L1440" s="8">
        <f t="shared" si="2095"/>
        <v>5.62</v>
      </c>
      <c r="M1440" s="109">
        <f t="shared" si="2096"/>
        <v>0</v>
      </c>
      <c r="N1440" s="109">
        <f t="shared" si="2097"/>
        <v>0</v>
      </c>
      <c r="O1440" s="109">
        <f t="shared" si="2098"/>
        <v>0</v>
      </c>
      <c r="P1440" s="109">
        <f t="shared" si="2099"/>
        <v>803.66</v>
      </c>
      <c r="Q1440" s="109">
        <f t="shared" si="2100"/>
        <v>803.66</v>
      </c>
      <c r="R1440" s="121">
        <v>87</v>
      </c>
      <c r="T1440" s="188"/>
    </row>
    <row r="1441" spans="1:20" x14ac:dyDescent="0.25">
      <c r="A1441" s="100"/>
      <c r="B1441" s="3">
        <v>4</v>
      </c>
      <c r="C1441" s="5" t="s">
        <v>81</v>
      </c>
      <c r="D1441" s="3" t="s">
        <v>82</v>
      </c>
      <c r="E1441" s="100" t="str">
        <f>IFERROR(VLOOKUP(C1441,Resources!B:D,3,FALSE)," ")</f>
        <v>M</v>
      </c>
      <c r="F1441" s="8">
        <v>1</v>
      </c>
      <c r="G1441" s="8">
        <v>1</v>
      </c>
      <c r="H1441" s="8">
        <f>H1437*0.3*0.3*1.5*1.1</f>
        <v>41.728500000000004</v>
      </c>
      <c r="I1441" s="109">
        <f>IFERROR(VLOOKUP(C1441,Resources!B:G,6,FALSE)," ")</f>
        <v>24</v>
      </c>
      <c r="J1441" s="109">
        <f t="shared" si="2094"/>
        <v>1001.4840000000002</v>
      </c>
      <c r="K1441" s="8"/>
      <c r="L1441" s="8" t="str">
        <f t="shared" si="2095"/>
        <v xml:space="preserve"> </v>
      </c>
      <c r="M1441" s="109">
        <f t="shared" si="2096"/>
        <v>0</v>
      </c>
      <c r="N1441" s="109">
        <f t="shared" si="2097"/>
        <v>1001.4840000000002</v>
      </c>
      <c r="O1441" s="109">
        <f t="shared" si="2098"/>
        <v>0</v>
      </c>
      <c r="P1441" s="109">
        <f t="shared" si="2099"/>
        <v>0</v>
      </c>
      <c r="Q1441" s="109">
        <f t="shared" si="2100"/>
        <v>1001.4840000000002</v>
      </c>
      <c r="R1441" s="121" t="s">
        <v>2341</v>
      </c>
      <c r="T1441" s="188"/>
    </row>
    <row r="1442" spans="1:20" x14ac:dyDescent="0.25">
      <c r="A1442" s="100">
        <v>191.1</v>
      </c>
      <c r="B1442" s="3">
        <v>5</v>
      </c>
      <c r="C1442" s="5" t="s">
        <v>63</v>
      </c>
      <c r="D1442" s="3" t="s">
        <v>48</v>
      </c>
      <c r="E1442" s="100" t="str">
        <f>IFERROR(VLOOKUP(C1442,Resources!B:D,3,FALSE)," ")</f>
        <v>P</v>
      </c>
      <c r="F1442" s="8">
        <v>1</v>
      </c>
      <c r="G1442" s="103">
        <f>VLOOKUP($A1442,'Model Inputs'!$A:$D,4,FALSE)</f>
        <v>11.11</v>
      </c>
      <c r="H1442" s="8">
        <f>H1437</f>
        <v>281</v>
      </c>
      <c r="I1442" s="109">
        <f>IFERROR(VLOOKUP(C1442,Resources!B:G,6,FALSE)," ")</f>
        <v>135</v>
      </c>
      <c r="J1442" s="109">
        <f t="shared" si="2094"/>
        <v>3414.4914491449149</v>
      </c>
      <c r="K1442" s="8">
        <f t="shared" si="2101"/>
        <v>25.292529252925295</v>
      </c>
      <c r="L1442" s="8">
        <f t="shared" si="2095"/>
        <v>25.292529252925295</v>
      </c>
      <c r="M1442" s="109">
        <f t="shared" si="2096"/>
        <v>0</v>
      </c>
      <c r="N1442" s="109">
        <f t="shared" si="2097"/>
        <v>0</v>
      </c>
      <c r="O1442" s="109">
        <f t="shared" si="2098"/>
        <v>3414.4914491449149</v>
      </c>
      <c r="P1442" s="109">
        <f t="shared" si="2099"/>
        <v>0</v>
      </c>
      <c r="Q1442" s="109">
        <f t="shared" si="2100"/>
        <v>3414.4914491449149</v>
      </c>
      <c r="R1442" s="121">
        <v>87</v>
      </c>
      <c r="T1442" s="188"/>
    </row>
    <row r="1443" spans="1:20" x14ac:dyDescent="0.25">
      <c r="A1443" s="100"/>
      <c r="B1443" s="3">
        <v>6</v>
      </c>
      <c r="C1443" s="5" t="s">
        <v>8</v>
      </c>
      <c r="D1443" s="3" t="s">
        <v>48</v>
      </c>
      <c r="E1443" s="100" t="str">
        <f>IFERROR(VLOOKUP(C1443,Resources!B:D,3,FALSE)," ")</f>
        <v>L</v>
      </c>
      <c r="F1443" s="8">
        <v>3</v>
      </c>
      <c r="G1443" s="8">
        <f>G1442</f>
        <v>11.11</v>
      </c>
      <c r="H1443" s="8">
        <f>H1437</f>
        <v>281</v>
      </c>
      <c r="I1443" s="109">
        <f>IFERROR(VLOOKUP(C1443,Resources!B:G,6,FALSE)," ")</f>
        <v>42</v>
      </c>
      <c r="J1443" s="109">
        <f t="shared" si="2094"/>
        <v>3186.8586858685871</v>
      </c>
      <c r="K1443" s="8">
        <f t="shared" si="2101"/>
        <v>75.877587758775888</v>
      </c>
      <c r="L1443" s="8">
        <f t="shared" si="2095"/>
        <v>25.292529252925295</v>
      </c>
      <c r="M1443" s="109">
        <f t="shared" si="2096"/>
        <v>3186.8586858685871</v>
      </c>
      <c r="N1443" s="109">
        <f t="shared" si="2097"/>
        <v>0</v>
      </c>
      <c r="O1443" s="109">
        <f t="shared" si="2098"/>
        <v>0</v>
      </c>
      <c r="P1443" s="109">
        <f t="shared" si="2099"/>
        <v>0</v>
      </c>
      <c r="Q1443" s="109">
        <f t="shared" si="2100"/>
        <v>3186.8586858685871</v>
      </c>
      <c r="R1443" s="121">
        <v>87</v>
      </c>
      <c r="T1443" s="188"/>
    </row>
    <row r="1444" spans="1:20" x14ac:dyDescent="0.25">
      <c r="A1444" s="100"/>
      <c r="B1444" s="3">
        <v>7</v>
      </c>
      <c r="C1444" s="5" t="s">
        <v>45</v>
      </c>
      <c r="D1444" s="3" t="s">
        <v>48</v>
      </c>
      <c r="E1444" s="100" t="str">
        <f>IFERROR(VLOOKUP(C1444,Resources!B:D,3,FALSE)," ")</f>
        <v>P</v>
      </c>
      <c r="F1444" s="8">
        <v>1</v>
      </c>
      <c r="G1444" s="8">
        <f>G1442</f>
        <v>11.11</v>
      </c>
      <c r="H1444" s="8">
        <f>H1437</f>
        <v>281</v>
      </c>
      <c r="I1444" s="109">
        <f>IFERROR(VLOOKUP(C1444,Resources!B:G,6,FALSE)," ")</f>
        <v>95</v>
      </c>
      <c r="J1444" s="109">
        <f t="shared" si="2094"/>
        <v>2402.7902790279031</v>
      </c>
      <c r="K1444" s="8">
        <f t="shared" si="2101"/>
        <v>25.292529252925295</v>
      </c>
      <c r="L1444" s="8">
        <f t="shared" si="2095"/>
        <v>25.292529252925295</v>
      </c>
      <c r="M1444" s="109">
        <f t="shared" si="2096"/>
        <v>0</v>
      </c>
      <c r="N1444" s="109">
        <f t="shared" si="2097"/>
        <v>0</v>
      </c>
      <c r="O1444" s="109">
        <f t="shared" si="2098"/>
        <v>2402.7902790279031</v>
      </c>
      <c r="P1444" s="109">
        <f t="shared" si="2099"/>
        <v>0</v>
      </c>
      <c r="Q1444" s="109">
        <f t="shared" si="2100"/>
        <v>2402.7902790279031</v>
      </c>
      <c r="R1444" s="121">
        <v>87</v>
      </c>
      <c r="T1444" s="188"/>
    </row>
    <row r="1445" spans="1:20" x14ac:dyDescent="0.25">
      <c r="A1445" s="100"/>
      <c r="B1445" s="3">
        <v>8</v>
      </c>
      <c r="C1445" s="5" t="s">
        <v>92</v>
      </c>
      <c r="D1445" s="3" t="s">
        <v>48</v>
      </c>
      <c r="E1445" s="100" t="str">
        <f>IFERROR(VLOOKUP(C1445,Resources!B:D,3,FALSE)," ")</f>
        <v>P</v>
      </c>
      <c r="F1445" s="8">
        <v>1</v>
      </c>
      <c r="G1445" s="8">
        <f>G1442</f>
        <v>11.11</v>
      </c>
      <c r="H1445" s="8">
        <f>H1437</f>
        <v>281</v>
      </c>
      <c r="I1445" s="109">
        <f>IFERROR(VLOOKUP(C1445,Resources!B:G,6,FALSE)," ")</f>
        <v>3.5</v>
      </c>
      <c r="J1445" s="109">
        <f t="shared" si="2094"/>
        <v>88.523852385238527</v>
      </c>
      <c r="K1445" s="8">
        <f t="shared" si="2101"/>
        <v>25.292529252925295</v>
      </c>
      <c r="L1445" s="8">
        <f t="shared" si="2095"/>
        <v>25.292529252925295</v>
      </c>
      <c r="M1445" s="109">
        <f t="shared" si="2096"/>
        <v>0</v>
      </c>
      <c r="N1445" s="109">
        <f t="shared" si="2097"/>
        <v>0</v>
      </c>
      <c r="O1445" s="109">
        <f t="shared" si="2098"/>
        <v>88.523852385238527</v>
      </c>
      <c r="P1445" s="109">
        <f t="shared" si="2099"/>
        <v>0</v>
      </c>
      <c r="Q1445" s="109">
        <f t="shared" si="2100"/>
        <v>88.523852385238527</v>
      </c>
      <c r="R1445" s="121">
        <v>87</v>
      </c>
      <c r="T1445" s="188"/>
    </row>
    <row r="1446" spans="1:20" x14ac:dyDescent="0.25">
      <c r="A1446" s="101"/>
      <c r="B1446" s="4"/>
      <c r="C1446" s="6"/>
      <c r="D1446" s="4"/>
      <c r="E1446" s="101" t="str">
        <f>IFERROR(VLOOKUP(C1446,Resources!B:D,3,FALSE)," ")</f>
        <v xml:space="preserve"> </v>
      </c>
      <c r="F1446" s="9"/>
      <c r="G1446" s="9"/>
      <c r="H1446" s="9"/>
      <c r="I1446" s="38" t="str">
        <f>IFERROR(VLOOKUP(C1446,Resources!B:G,6,FALSE)," ")</f>
        <v xml:space="preserve"> </v>
      </c>
      <c r="J1446" s="38"/>
      <c r="K1446" s="9"/>
      <c r="L1446" s="9"/>
      <c r="M1446" s="38"/>
      <c r="N1446" s="38"/>
      <c r="O1446" s="38"/>
      <c r="P1446" s="38"/>
      <c r="Q1446" s="38"/>
      <c r="R1446" s="122"/>
      <c r="T1446" s="188"/>
    </row>
    <row r="1447" spans="1:20" ht="60" x14ac:dyDescent="0.25">
      <c r="A1447" s="114">
        <v>192</v>
      </c>
      <c r="B1447" s="1" t="s">
        <v>655</v>
      </c>
      <c r="C1447" s="1" t="s">
        <v>656</v>
      </c>
      <c r="D1447" s="2" t="s">
        <v>89</v>
      </c>
      <c r="E1447" s="99" t="str">
        <f>IFERROR(VLOOKUP(C1447,Resources!B:D,3,FALSE)," ")</f>
        <v xml:space="preserve"> </v>
      </c>
      <c r="F1447" s="7"/>
      <c r="G1447" s="7"/>
      <c r="H1447" s="103">
        <f>VLOOKUP($A1447,'Model Inputs'!$A:$D,4,FALSE)</f>
        <v>242</v>
      </c>
      <c r="I1447" s="108" t="str">
        <f>IFERROR(VLOOKUP(C1447,Resources!B:G,6,FALSE)," ")</f>
        <v xml:space="preserve"> </v>
      </c>
      <c r="J1447" s="108">
        <f>SUBTOTAL(9,J1449:J1455)</f>
        <v>16027.717069306931</v>
      </c>
      <c r="K1447" s="7"/>
      <c r="L1447" s="7">
        <f>ROUNDUP((MAX(L1452:L1455)+L1450)/Workhrs,0)</f>
        <v>3</v>
      </c>
      <c r="M1447" s="108">
        <f t="shared" ref="M1447:Q1447" si="2102">SUBTOTAL(9,M1449:M1455)</f>
        <v>2744.554455445545</v>
      </c>
      <c r="N1447" s="108">
        <f t="shared" si="2102"/>
        <v>7504.9039999999995</v>
      </c>
      <c r="O1447" s="108">
        <f t="shared" si="2102"/>
        <v>5086.1386138613861</v>
      </c>
      <c r="P1447" s="108">
        <f t="shared" si="2102"/>
        <v>692.12</v>
      </c>
      <c r="Q1447" s="108">
        <f t="shared" si="2102"/>
        <v>16027.717069306931</v>
      </c>
      <c r="R1447" s="120"/>
      <c r="T1447" s="188"/>
    </row>
    <row r="1448" spans="1:20" ht="45" x14ac:dyDescent="0.25">
      <c r="A1448" s="101"/>
      <c r="B1448" s="4">
        <v>1</v>
      </c>
      <c r="C1448" s="6" t="s">
        <v>209</v>
      </c>
      <c r="D1448" s="4"/>
      <c r="E1448" s="101" t="str">
        <f>IFERROR(VLOOKUP(C1448,Resources!B:D,3,FALSE)," ")</f>
        <v xml:space="preserve"> </v>
      </c>
      <c r="F1448" s="9"/>
      <c r="G1448" s="9"/>
      <c r="H1448" s="9"/>
      <c r="I1448" s="38" t="str">
        <f>IFERROR(VLOOKUP(C1448,Resources!B:G,6,FALSE)," ")</f>
        <v xml:space="preserve"> </v>
      </c>
      <c r="J1448" s="38"/>
      <c r="K1448" s="9"/>
      <c r="L1448" s="9"/>
      <c r="M1448" s="38"/>
      <c r="N1448" s="38"/>
      <c r="O1448" s="38"/>
      <c r="P1448" s="38"/>
      <c r="Q1448" s="38"/>
      <c r="R1448" s="122"/>
      <c r="T1448" s="188"/>
    </row>
    <row r="1449" spans="1:20" x14ac:dyDescent="0.25">
      <c r="A1449" s="100"/>
      <c r="B1449" s="3">
        <v>2</v>
      </c>
      <c r="C1449" s="5" t="s">
        <v>210</v>
      </c>
      <c r="D1449" s="3" t="s">
        <v>89</v>
      </c>
      <c r="E1449" s="100" t="str">
        <f>IFERROR(VLOOKUP(C1449,Resources!B:D,3,FALSE)," ")</f>
        <v>M</v>
      </c>
      <c r="F1449" s="8">
        <v>1</v>
      </c>
      <c r="G1449" s="8">
        <v>1</v>
      </c>
      <c r="H1449" s="8">
        <f>H1447</f>
        <v>242</v>
      </c>
      <c r="I1449" s="109">
        <f>IFERROR(VLOOKUP(C1449,Resources!B:G,6,FALSE)," ")</f>
        <v>2.5</v>
      </c>
      <c r="J1449" s="109">
        <f t="shared" ref="J1449:J1455" si="2103">(H1449/(G1449/F1449))*I1449</f>
        <v>605</v>
      </c>
      <c r="K1449" s="8"/>
      <c r="L1449" s="8" t="str">
        <f t="shared" ref="L1449:L1455" si="2104">IF(E1449="M"," ",H1449/G1449)</f>
        <v xml:space="preserve"> </v>
      </c>
      <c r="M1449" s="109">
        <f t="shared" ref="M1449:M1455" si="2105">IF($E1449="L",$J1449,0)</f>
        <v>0</v>
      </c>
      <c r="N1449" s="109">
        <f t="shared" ref="N1449:N1455" si="2106">IF($E1449="M",$J1449,0)</f>
        <v>605</v>
      </c>
      <c r="O1449" s="109">
        <f t="shared" ref="O1449:O1455" si="2107">IF($E1449="P",$J1449,0)</f>
        <v>0</v>
      </c>
      <c r="P1449" s="109">
        <f t="shared" ref="P1449:P1455" si="2108">IF($E1449="S",$J1449,0)</f>
        <v>0</v>
      </c>
      <c r="Q1449" s="109">
        <f t="shared" ref="Q1449:Q1455" si="2109">SUM(M1449:P1449)</f>
        <v>605</v>
      </c>
      <c r="R1449" s="121">
        <v>87</v>
      </c>
      <c r="T1449" s="188"/>
    </row>
    <row r="1450" spans="1:20" x14ac:dyDescent="0.25">
      <c r="A1450" s="100"/>
      <c r="B1450" s="3">
        <v>3</v>
      </c>
      <c r="C1450" s="5" t="s">
        <v>211</v>
      </c>
      <c r="D1450" s="3" t="s">
        <v>29</v>
      </c>
      <c r="E1450" s="100" t="str">
        <f>IFERROR(VLOOKUP(C1450,Resources!B:D,3,FALSE)," ")</f>
        <v>S</v>
      </c>
      <c r="F1450" s="8">
        <v>1</v>
      </c>
      <c r="G1450" s="8">
        <v>1</v>
      </c>
      <c r="H1450" s="8">
        <f>H1447/50</f>
        <v>4.84</v>
      </c>
      <c r="I1450" s="109">
        <f>IFERROR(VLOOKUP(C1450,Resources!B:G,6,FALSE)," ")</f>
        <v>143</v>
      </c>
      <c r="J1450" s="109">
        <f t="shared" si="2103"/>
        <v>692.12</v>
      </c>
      <c r="K1450" s="8">
        <f t="shared" ref="K1450" si="2110">L1450*F1450</f>
        <v>4.84</v>
      </c>
      <c r="L1450" s="8">
        <f t="shared" si="2104"/>
        <v>4.84</v>
      </c>
      <c r="M1450" s="109">
        <f t="shared" si="2105"/>
        <v>0</v>
      </c>
      <c r="N1450" s="109">
        <f t="shared" si="2106"/>
        <v>0</v>
      </c>
      <c r="O1450" s="109">
        <f t="shared" si="2107"/>
        <v>0</v>
      </c>
      <c r="P1450" s="109">
        <f t="shared" si="2108"/>
        <v>692.12</v>
      </c>
      <c r="Q1450" s="109">
        <f t="shared" si="2109"/>
        <v>692.12</v>
      </c>
      <c r="R1450" s="121">
        <v>87</v>
      </c>
      <c r="T1450" s="188"/>
    </row>
    <row r="1451" spans="1:20" x14ac:dyDescent="0.25">
      <c r="A1451" s="100"/>
      <c r="B1451" s="3">
        <v>4</v>
      </c>
      <c r="C1451" s="5" t="s">
        <v>85</v>
      </c>
      <c r="D1451" s="3" t="s">
        <v>86</v>
      </c>
      <c r="E1451" s="100" t="str">
        <f>IFERROR(VLOOKUP(C1451,Resources!B:D,3,FALSE)," ")</f>
        <v>M</v>
      </c>
      <c r="F1451" s="8">
        <v>1</v>
      </c>
      <c r="G1451" s="8">
        <v>1</v>
      </c>
      <c r="H1451" s="8">
        <f>H1447*0.3*0.3*1.5*1.1</f>
        <v>35.936999999999998</v>
      </c>
      <c r="I1451" s="109">
        <f>IFERROR(VLOOKUP(C1451,Resources!B:G,6,FALSE)," ")</f>
        <v>192</v>
      </c>
      <c r="J1451" s="109">
        <f t="shared" si="2103"/>
        <v>6899.9039999999995</v>
      </c>
      <c r="K1451" s="8"/>
      <c r="L1451" s="8" t="str">
        <f t="shared" si="2104"/>
        <v xml:space="preserve"> </v>
      </c>
      <c r="M1451" s="109">
        <f t="shared" si="2105"/>
        <v>0</v>
      </c>
      <c r="N1451" s="109">
        <f t="shared" si="2106"/>
        <v>6899.9039999999995</v>
      </c>
      <c r="O1451" s="109">
        <f t="shared" si="2107"/>
        <v>0</v>
      </c>
      <c r="P1451" s="109">
        <f t="shared" si="2108"/>
        <v>0</v>
      </c>
      <c r="Q1451" s="109">
        <f t="shared" si="2109"/>
        <v>6899.9039999999995</v>
      </c>
      <c r="R1451" s="121" t="s">
        <v>2335</v>
      </c>
      <c r="T1451" s="188"/>
    </row>
    <row r="1452" spans="1:20" x14ac:dyDescent="0.25">
      <c r="A1452" s="100">
        <v>192.1</v>
      </c>
      <c r="B1452" s="3">
        <v>5</v>
      </c>
      <c r="C1452" s="5" t="s">
        <v>63</v>
      </c>
      <c r="D1452" s="3" t="s">
        <v>48</v>
      </c>
      <c r="E1452" s="100" t="str">
        <f>IFERROR(VLOOKUP(C1452,Resources!B:D,3,FALSE)," ")</f>
        <v>P</v>
      </c>
      <c r="F1452" s="8">
        <v>1</v>
      </c>
      <c r="G1452" s="103">
        <f>VLOOKUP($A1452,'Model Inputs'!$A:$D,4,FALSE)</f>
        <v>11.11</v>
      </c>
      <c r="H1452" s="8">
        <f>H1447</f>
        <v>242</v>
      </c>
      <c r="I1452" s="109">
        <f>IFERROR(VLOOKUP(C1452,Resources!B:G,6,FALSE)," ")</f>
        <v>135</v>
      </c>
      <c r="J1452" s="109">
        <f t="shared" si="2103"/>
        <v>2940.5940594059407</v>
      </c>
      <c r="K1452" s="8">
        <f t="shared" ref="K1452:K1455" si="2111">L1452*F1452</f>
        <v>21.782178217821784</v>
      </c>
      <c r="L1452" s="8">
        <f t="shared" si="2104"/>
        <v>21.782178217821784</v>
      </c>
      <c r="M1452" s="109">
        <f t="shared" si="2105"/>
        <v>0</v>
      </c>
      <c r="N1452" s="109">
        <f t="shared" si="2106"/>
        <v>0</v>
      </c>
      <c r="O1452" s="109">
        <f t="shared" si="2107"/>
        <v>2940.5940594059407</v>
      </c>
      <c r="P1452" s="109">
        <f t="shared" si="2108"/>
        <v>0</v>
      </c>
      <c r="Q1452" s="109">
        <f t="shared" si="2109"/>
        <v>2940.5940594059407</v>
      </c>
      <c r="R1452" s="121">
        <v>87</v>
      </c>
      <c r="T1452" s="188"/>
    </row>
    <row r="1453" spans="1:20" x14ac:dyDescent="0.25">
      <c r="A1453" s="100"/>
      <c r="B1453" s="3">
        <v>6</v>
      </c>
      <c r="C1453" s="5" t="s">
        <v>8</v>
      </c>
      <c r="D1453" s="3" t="s">
        <v>48</v>
      </c>
      <c r="E1453" s="100" t="str">
        <f>IFERROR(VLOOKUP(C1453,Resources!B:D,3,FALSE)," ")</f>
        <v>L</v>
      </c>
      <c r="F1453" s="8">
        <v>3</v>
      </c>
      <c r="G1453" s="8">
        <f>G1452</f>
        <v>11.11</v>
      </c>
      <c r="H1453" s="8">
        <f>H1447</f>
        <v>242</v>
      </c>
      <c r="I1453" s="109">
        <f>IFERROR(VLOOKUP(C1453,Resources!B:G,6,FALSE)," ")</f>
        <v>42</v>
      </c>
      <c r="J1453" s="109">
        <f t="shared" si="2103"/>
        <v>2744.554455445545</v>
      </c>
      <c r="K1453" s="8">
        <f t="shared" si="2111"/>
        <v>65.346534653465355</v>
      </c>
      <c r="L1453" s="8">
        <f t="shared" si="2104"/>
        <v>21.782178217821784</v>
      </c>
      <c r="M1453" s="109">
        <f t="shared" si="2105"/>
        <v>2744.554455445545</v>
      </c>
      <c r="N1453" s="109">
        <f t="shared" si="2106"/>
        <v>0</v>
      </c>
      <c r="O1453" s="109">
        <f t="shared" si="2107"/>
        <v>0</v>
      </c>
      <c r="P1453" s="109">
        <f t="shared" si="2108"/>
        <v>0</v>
      </c>
      <c r="Q1453" s="109">
        <f t="shared" si="2109"/>
        <v>2744.554455445545</v>
      </c>
      <c r="R1453" s="121">
        <v>87</v>
      </c>
      <c r="T1453" s="188"/>
    </row>
    <row r="1454" spans="1:20" x14ac:dyDescent="0.25">
      <c r="A1454" s="100"/>
      <c r="B1454" s="3">
        <v>7</v>
      </c>
      <c r="C1454" s="5" t="s">
        <v>45</v>
      </c>
      <c r="D1454" s="3" t="s">
        <v>48</v>
      </c>
      <c r="E1454" s="100" t="str">
        <f>IFERROR(VLOOKUP(C1454,Resources!B:D,3,FALSE)," ")</f>
        <v>P</v>
      </c>
      <c r="F1454" s="8">
        <v>1</v>
      </c>
      <c r="G1454" s="8">
        <f>G1452</f>
        <v>11.11</v>
      </c>
      <c r="H1454" s="8">
        <f>H1447</f>
        <v>242</v>
      </c>
      <c r="I1454" s="109">
        <f>IFERROR(VLOOKUP(C1454,Resources!B:G,6,FALSE)," ")</f>
        <v>95</v>
      </c>
      <c r="J1454" s="109">
        <f t="shared" si="2103"/>
        <v>2069.3069306930693</v>
      </c>
      <c r="K1454" s="8">
        <f t="shared" si="2111"/>
        <v>21.782178217821784</v>
      </c>
      <c r="L1454" s="8">
        <f t="shared" si="2104"/>
        <v>21.782178217821784</v>
      </c>
      <c r="M1454" s="109">
        <f t="shared" si="2105"/>
        <v>0</v>
      </c>
      <c r="N1454" s="109">
        <f t="shared" si="2106"/>
        <v>0</v>
      </c>
      <c r="O1454" s="109">
        <f t="shared" si="2107"/>
        <v>2069.3069306930693</v>
      </c>
      <c r="P1454" s="109">
        <f t="shared" si="2108"/>
        <v>0</v>
      </c>
      <c r="Q1454" s="109">
        <f t="shared" si="2109"/>
        <v>2069.3069306930693</v>
      </c>
      <c r="R1454" s="121">
        <v>87</v>
      </c>
      <c r="T1454" s="188"/>
    </row>
    <row r="1455" spans="1:20" x14ac:dyDescent="0.25">
      <c r="A1455" s="100"/>
      <c r="B1455" s="3">
        <v>8</v>
      </c>
      <c r="C1455" s="5" t="s">
        <v>92</v>
      </c>
      <c r="D1455" s="3" t="s">
        <v>48</v>
      </c>
      <c r="E1455" s="100" t="str">
        <f>IFERROR(VLOOKUP(C1455,Resources!B:D,3,FALSE)," ")</f>
        <v>P</v>
      </c>
      <c r="F1455" s="8">
        <v>1</v>
      </c>
      <c r="G1455" s="8">
        <f>G1452</f>
        <v>11.11</v>
      </c>
      <c r="H1455" s="8">
        <f>H1447</f>
        <v>242</v>
      </c>
      <c r="I1455" s="109">
        <f>IFERROR(VLOOKUP(C1455,Resources!B:G,6,FALSE)," ")</f>
        <v>3.5</v>
      </c>
      <c r="J1455" s="109">
        <f t="shared" si="2103"/>
        <v>76.237623762376245</v>
      </c>
      <c r="K1455" s="8">
        <f t="shared" si="2111"/>
        <v>21.782178217821784</v>
      </c>
      <c r="L1455" s="8">
        <f t="shared" si="2104"/>
        <v>21.782178217821784</v>
      </c>
      <c r="M1455" s="109">
        <f t="shared" si="2105"/>
        <v>0</v>
      </c>
      <c r="N1455" s="109">
        <f t="shared" si="2106"/>
        <v>0</v>
      </c>
      <c r="O1455" s="109">
        <f t="shared" si="2107"/>
        <v>76.237623762376245</v>
      </c>
      <c r="P1455" s="109">
        <f t="shared" si="2108"/>
        <v>0</v>
      </c>
      <c r="Q1455" s="109">
        <f t="shared" si="2109"/>
        <v>76.237623762376245</v>
      </c>
      <c r="R1455" s="121">
        <v>87</v>
      </c>
      <c r="T1455" s="188"/>
    </row>
    <row r="1456" spans="1:20" x14ac:dyDescent="0.25">
      <c r="A1456" s="101"/>
      <c r="B1456" s="4"/>
      <c r="C1456" s="6"/>
      <c r="D1456" s="4"/>
      <c r="E1456" s="101" t="str">
        <f>IFERROR(VLOOKUP(C1456,Resources!B:D,3,FALSE)," ")</f>
        <v xml:space="preserve"> </v>
      </c>
      <c r="F1456" s="9"/>
      <c r="G1456" s="9"/>
      <c r="H1456" s="9"/>
      <c r="I1456" s="38" t="str">
        <f>IFERROR(VLOOKUP(C1456,Resources!B:G,6,FALSE)," ")</f>
        <v xml:space="preserve"> </v>
      </c>
      <c r="J1456" s="38"/>
      <c r="K1456" s="9"/>
      <c r="L1456" s="9"/>
      <c r="M1456" s="38"/>
      <c r="N1456" s="38"/>
      <c r="O1456" s="38"/>
      <c r="P1456" s="38"/>
      <c r="Q1456" s="38"/>
      <c r="R1456" s="122"/>
      <c r="T1456" s="188"/>
    </row>
    <row r="1457" spans="1:20" ht="30" x14ac:dyDescent="0.25">
      <c r="A1457" s="114">
        <v>193</v>
      </c>
      <c r="B1457" s="1" t="s">
        <v>657</v>
      </c>
      <c r="C1457" s="1" t="s">
        <v>213</v>
      </c>
      <c r="D1457" s="2" t="s">
        <v>29</v>
      </c>
      <c r="E1457" s="99" t="str">
        <f>IFERROR(VLOOKUP(C1457,Resources!B:D,3,FALSE)," ")</f>
        <v xml:space="preserve"> </v>
      </c>
      <c r="F1457" s="7"/>
      <c r="G1457" s="7"/>
      <c r="H1457" s="103">
        <f>VLOOKUP($A1457,'Model Inputs'!$A:$D,4,FALSE)</f>
        <v>13</v>
      </c>
      <c r="I1457" s="108" t="str">
        <f>IFERROR(VLOOKUP(C1457,Resources!B:G,6,FALSE)," ")</f>
        <v xml:space="preserve"> </v>
      </c>
      <c r="J1457" s="108">
        <f>SUBTOTAL(9,J1458)</f>
        <v>1859</v>
      </c>
      <c r="K1457" s="7"/>
      <c r="L1457" s="7">
        <f>ROUNDUP(L1458/Workhrs,0)</f>
        <v>2</v>
      </c>
      <c r="M1457" s="108">
        <f t="shared" ref="M1457:Q1457" si="2112">SUBTOTAL(9,M1458)</f>
        <v>0</v>
      </c>
      <c r="N1457" s="108">
        <f t="shared" si="2112"/>
        <v>0</v>
      </c>
      <c r="O1457" s="108">
        <f t="shared" si="2112"/>
        <v>0</v>
      </c>
      <c r="P1457" s="108">
        <f t="shared" si="2112"/>
        <v>1859</v>
      </c>
      <c r="Q1457" s="108">
        <f t="shared" si="2112"/>
        <v>1859</v>
      </c>
      <c r="R1457" s="120"/>
      <c r="T1457" s="188"/>
    </row>
    <row r="1458" spans="1:20" x14ac:dyDescent="0.25">
      <c r="A1458" s="100"/>
      <c r="B1458" s="3">
        <v>1</v>
      </c>
      <c r="C1458" s="5" t="s">
        <v>211</v>
      </c>
      <c r="D1458" s="3" t="s">
        <v>29</v>
      </c>
      <c r="E1458" s="100" t="str">
        <f>IFERROR(VLOOKUP(C1458,Resources!B:D,3,FALSE)," ")</f>
        <v>S</v>
      </c>
      <c r="F1458" s="8">
        <v>1</v>
      </c>
      <c r="G1458" s="8">
        <v>1</v>
      </c>
      <c r="H1458" s="8">
        <f>H1457</f>
        <v>13</v>
      </c>
      <c r="I1458" s="109">
        <f>IFERROR(VLOOKUP(C1458,Resources!B:G,6,FALSE)," ")</f>
        <v>143</v>
      </c>
      <c r="J1458" s="109">
        <f t="shared" ref="J1458" si="2113">(H1458/(G1458/F1458))*I1458</f>
        <v>1859</v>
      </c>
      <c r="K1458" s="8">
        <f t="shared" ref="K1458" si="2114">L1458*F1458</f>
        <v>13</v>
      </c>
      <c r="L1458" s="8">
        <f t="shared" ref="L1458" si="2115">IF(E1458="M"," ",H1458/G1458)</f>
        <v>13</v>
      </c>
      <c r="M1458" s="109">
        <f t="shared" ref="M1458" si="2116">IF($E1458="L",$J1458,0)</f>
        <v>0</v>
      </c>
      <c r="N1458" s="109">
        <f t="shared" ref="N1458" si="2117">IF($E1458="M",$J1458,0)</f>
        <v>0</v>
      </c>
      <c r="O1458" s="109">
        <f t="shared" ref="O1458" si="2118">IF($E1458="P",$J1458,0)</f>
        <v>0</v>
      </c>
      <c r="P1458" s="109">
        <f t="shared" ref="P1458" si="2119">IF($E1458="S",$J1458,0)</f>
        <v>1859</v>
      </c>
      <c r="Q1458" s="109">
        <f t="shared" ref="Q1458" si="2120">SUM(M1458:P1458)</f>
        <v>1859</v>
      </c>
      <c r="R1458" s="121">
        <v>87</v>
      </c>
      <c r="T1458" s="188"/>
    </row>
    <row r="1459" spans="1:20" x14ac:dyDescent="0.25">
      <c r="A1459" s="101"/>
      <c r="B1459" s="4"/>
      <c r="C1459" s="6"/>
      <c r="D1459" s="4"/>
      <c r="E1459" s="101" t="str">
        <f>IFERROR(VLOOKUP(C1459,Resources!B:D,3,FALSE)," ")</f>
        <v xml:space="preserve"> </v>
      </c>
      <c r="F1459" s="9"/>
      <c r="G1459" s="9"/>
      <c r="H1459" s="9"/>
      <c r="I1459" s="38" t="str">
        <f>IFERROR(VLOOKUP(C1459,Resources!B:G,6,FALSE)," ")</f>
        <v xml:space="preserve"> </v>
      </c>
      <c r="J1459" s="38"/>
      <c r="K1459" s="9"/>
      <c r="L1459" s="9"/>
      <c r="M1459" s="38"/>
      <c r="N1459" s="38"/>
      <c r="O1459" s="38"/>
      <c r="P1459" s="38"/>
      <c r="Q1459" s="38"/>
      <c r="R1459" s="122"/>
      <c r="T1459" s="188"/>
    </row>
    <row r="1460" spans="1:20" ht="30" x14ac:dyDescent="0.25">
      <c r="A1460" s="114"/>
      <c r="B1460" s="1" t="s">
        <v>658</v>
      </c>
      <c r="C1460" s="1" t="s">
        <v>102</v>
      </c>
      <c r="D1460" s="2"/>
      <c r="E1460" s="99" t="str">
        <f>IFERROR(VLOOKUP(C1460,Resources!B:D,3,FALSE)," ")</f>
        <v xml:space="preserve"> </v>
      </c>
      <c r="F1460" s="7"/>
      <c r="G1460" s="7"/>
      <c r="H1460" s="7"/>
      <c r="I1460" s="108" t="str">
        <f>IFERROR(VLOOKUP(C1460,Resources!B:G,6,FALSE)," ")</f>
        <v xml:space="preserve"> </v>
      </c>
      <c r="J1460" s="108"/>
      <c r="K1460" s="7"/>
      <c r="L1460" s="7"/>
      <c r="M1460" s="108"/>
      <c r="N1460" s="108"/>
      <c r="O1460" s="108"/>
      <c r="P1460" s="108"/>
      <c r="Q1460" s="108"/>
      <c r="R1460" s="120"/>
      <c r="T1460" s="188"/>
    </row>
    <row r="1461" spans="1:20" ht="30" x14ac:dyDescent="0.25">
      <c r="A1461" s="114"/>
      <c r="B1461" s="1" t="s">
        <v>659</v>
      </c>
      <c r="C1461" s="1" t="s">
        <v>111</v>
      </c>
      <c r="D1461" s="2"/>
      <c r="E1461" s="99" t="str">
        <f>IFERROR(VLOOKUP(C1461,Resources!B:D,3,FALSE)," ")</f>
        <v xml:space="preserve"> </v>
      </c>
      <c r="F1461" s="7"/>
      <c r="G1461" s="7"/>
      <c r="H1461" s="7"/>
      <c r="I1461" s="108" t="str">
        <f>IFERROR(VLOOKUP(C1461,Resources!B:G,6,FALSE)," ")</f>
        <v xml:space="preserve"> </v>
      </c>
      <c r="J1461" s="108"/>
      <c r="K1461" s="7"/>
      <c r="L1461" s="7"/>
      <c r="M1461" s="108"/>
      <c r="N1461" s="108"/>
      <c r="O1461" s="108"/>
      <c r="P1461" s="108"/>
      <c r="Q1461" s="108"/>
      <c r="R1461" s="120"/>
      <c r="T1461" s="188"/>
    </row>
    <row r="1462" spans="1:20" ht="30" x14ac:dyDescent="0.25">
      <c r="A1462" s="114">
        <v>194</v>
      </c>
      <c r="B1462" s="1" t="s">
        <v>660</v>
      </c>
      <c r="C1462" s="1" t="s">
        <v>118</v>
      </c>
      <c r="D1462" s="2" t="s">
        <v>62</v>
      </c>
      <c r="E1462" s="99" t="str">
        <f>IFERROR(VLOOKUP(C1462,Resources!B:D,3,FALSE)," ")</f>
        <v xml:space="preserve"> </v>
      </c>
      <c r="F1462" s="7"/>
      <c r="G1462" s="7"/>
      <c r="H1462" s="103">
        <f>VLOOKUP($A1462,'Model Inputs'!$A:$D,4,FALSE)</f>
        <v>378</v>
      </c>
      <c r="I1462" s="108" t="str">
        <f>IFERROR(VLOOKUP(C1462,Resources!B:G,6,FALSE)," ")</f>
        <v xml:space="preserve"> </v>
      </c>
      <c r="J1462" s="108">
        <f>SUBTOTAL(9,J1464:J1470)</f>
        <v>21403.515508307584</v>
      </c>
      <c r="K1462" s="7"/>
      <c r="L1462" s="7">
        <f>ROUNDUP(MAX((L1464+4),L1466:L1470)/Workhrs,0)</f>
        <v>4</v>
      </c>
      <c r="M1462" s="108">
        <f t="shared" ref="M1462:Q1462" si="2121">SUBTOTAL(9,M1464:M1470)</f>
        <v>2572.1692169216922</v>
      </c>
      <c r="N1462" s="108">
        <f t="shared" si="2121"/>
        <v>0</v>
      </c>
      <c r="O1462" s="108">
        <f t="shared" si="2121"/>
        <v>18831.346291385893</v>
      </c>
      <c r="P1462" s="108">
        <f t="shared" si="2121"/>
        <v>0</v>
      </c>
      <c r="Q1462" s="108">
        <f t="shared" si="2121"/>
        <v>21403.515508307584</v>
      </c>
      <c r="R1462" s="120"/>
      <c r="T1462" s="188"/>
    </row>
    <row r="1463" spans="1:20" x14ac:dyDescent="0.25">
      <c r="A1463" s="100">
        <v>194.1</v>
      </c>
      <c r="B1463" s="3">
        <v>1</v>
      </c>
      <c r="C1463" s="5" t="s">
        <v>2389</v>
      </c>
      <c r="D1463" s="3"/>
      <c r="E1463" s="100" t="str">
        <f>IFERROR(VLOOKUP(C1463,Resources!B:D,3,FALSE)," ")</f>
        <v xml:space="preserve"> </v>
      </c>
      <c r="F1463" s="103">
        <f>VLOOKUP($A1463,'Model Inputs'!$A:$D,4,FALSE)</f>
        <v>2.4</v>
      </c>
      <c r="G1463" s="8"/>
      <c r="H1463" s="8">
        <f>H1462*F1463</f>
        <v>907.19999999999993</v>
      </c>
      <c r="I1463" s="109" t="str">
        <f>IFERROR(VLOOKUP(C1463,Resources!B:G,6,FALSE)," ")</f>
        <v xml:space="preserve"> </v>
      </c>
      <c r="J1463" s="109"/>
      <c r="K1463" s="8"/>
      <c r="L1463" s="8"/>
      <c r="M1463" s="109"/>
      <c r="N1463" s="109"/>
      <c r="O1463" s="109"/>
      <c r="P1463" s="109"/>
      <c r="Q1463" s="109"/>
      <c r="R1463" s="121"/>
      <c r="T1463" s="188"/>
    </row>
    <row r="1464" spans="1:20" x14ac:dyDescent="0.25">
      <c r="A1464" s="100">
        <v>194.2</v>
      </c>
      <c r="B1464" s="3">
        <v>2</v>
      </c>
      <c r="C1464" s="5" t="s">
        <v>44</v>
      </c>
      <c r="D1464" s="3" t="s">
        <v>48</v>
      </c>
      <c r="E1464" s="100" t="str">
        <f>IFERROR(VLOOKUP(C1464,Resources!B:D,3,FALSE)," ")</f>
        <v>P</v>
      </c>
      <c r="F1464" s="103">
        <f>VLOOKUP($A1464,'Model Inputs'!$A:$D,4,FALSE)</f>
        <v>3</v>
      </c>
      <c r="G1464" s="8">
        <v>37</v>
      </c>
      <c r="H1464" s="8">
        <f>H1463</f>
        <v>907.19999999999993</v>
      </c>
      <c r="I1464" s="109">
        <f>IFERROR(VLOOKUP(C1464,Resources!B:G,6,FALSE)," ")</f>
        <v>145</v>
      </c>
      <c r="J1464" s="109">
        <f t="shared" ref="J1464" si="2122">(H1464/(G1464/F1464))*I1464</f>
        <v>10665.729729729728</v>
      </c>
      <c r="K1464" s="8">
        <f t="shared" ref="K1464" si="2123">L1464*F1464</f>
        <v>73.556756756756755</v>
      </c>
      <c r="L1464" s="8">
        <f t="shared" ref="L1464" si="2124">IF(E1464="M"," ",H1464/G1464)</f>
        <v>24.518918918918917</v>
      </c>
      <c r="M1464" s="109">
        <f t="shared" ref="M1464" si="2125">IF($E1464="L",$J1464,0)</f>
        <v>0</v>
      </c>
      <c r="N1464" s="109">
        <f t="shared" ref="N1464" si="2126">IF($E1464="M",$J1464,0)</f>
        <v>0</v>
      </c>
      <c r="O1464" s="109">
        <f t="shared" ref="O1464" si="2127">IF($E1464="P",$J1464,0)</f>
        <v>10665.729729729728</v>
      </c>
      <c r="P1464" s="109">
        <f t="shared" ref="P1464" si="2128">IF($E1464="S",$J1464,0)</f>
        <v>0</v>
      </c>
      <c r="Q1464" s="109">
        <f t="shared" ref="Q1464" si="2129">SUM(M1464:P1464)</f>
        <v>10665.729729729728</v>
      </c>
      <c r="R1464" s="121">
        <v>62</v>
      </c>
      <c r="T1464" s="188"/>
    </row>
    <row r="1465" spans="1:20" x14ac:dyDescent="0.25">
      <c r="A1465" s="101"/>
      <c r="B1465" s="4">
        <v>3</v>
      </c>
      <c r="C1465" s="6" t="s">
        <v>114</v>
      </c>
      <c r="D1465" s="4"/>
      <c r="E1465" s="101" t="str">
        <f>IFERROR(VLOOKUP(C1465,Resources!B:D,3,FALSE)," ")</f>
        <v xml:space="preserve"> </v>
      </c>
      <c r="F1465" s="9"/>
      <c r="G1465" s="9"/>
      <c r="H1465" s="9"/>
      <c r="I1465" s="38" t="str">
        <f>IFERROR(VLOOKUP(C1465,Resources!B:G,6,FALSE)," ")</f>
        <v xml:space="preserve"> </v>
      </c>
      <c r="J1465" s="38"/>
      <c r="K1465" s="9"/>
      <c r="L1465" s="9"/>
      <c r="M1465" s="38"/>
      <c r="N1465" s="38"/>
      <c r="O1465" s="38"/>
      <c r="P1465" s="38"/>
      <c r="Q1465" s="38"/>
      <c r="R1465" s="122"/>
      <c r="T1465" s="188"/>
    </row>
    <row r="1466" spans="1:20" x14ac:dyDescent="0.25">
      <c r="A1466" s="100">
        <v>194.3</v>
      </c>
      <c r="B1466" s="3">
        <v>4</v>
      </c>
      <c r="C1466" s="5" t="s">
        <v>39</v>
      </c>
      <c r="D1466" s="3" t="s">
        <v>48</v>
      </c>
      <c r="E1466" s="100" t="str">
        <f>IFERROR(VLOOKUP(C1466,Resources!B:D,3,FALSE)," ")</f>
        <v>P</v>
      </c>
      <c r="F1466" s="8">
        <v>1</v>
      </c>
      <c r="G1466" s="103">
        <f>VLOOKUP($A1466,'Model Inputs'!$A:$D,4,FALSE)</f>
        <v>44.44</v>
      </c>
      <c r="H1466" s="8">
        <f>H1463</f>
        <v>907.19999999999993</v>
      </c>
      <c r="I1466" s="109">
        <f>IFERROR(VLOOKUP(C1466,Resources!B:G,6,FALSE)," ")</f>
        <v>145</v>
      </c>
      <c r="J1466" s="109">
        <f t="shared" ref="J1466:J1470" si="2130">(H1466/(G1466/F1466))*I1466</f>
        <v>2960.0360036003599</v>
      </c>
      <c r="K1466" s="8">
        <f t="shared" ref="K1466:K1470" si="2131">L1466*F1466</f>
        <v>20.414041404140413</v>
      </c>
      <c r="L1466" s="8">
        <f t="shared" ref="L1466:L1470" si="2132">IF(E1466="M"," ",H1466/G1466)</f>
        <v>20.414041404140413</v>
      </c>
      <c r="M1466" s="109">
        <f t="shared" ref="M1466:M1470" si="2133">IF($E1466="L",$J1466,0)</f>
        <v>0</v>
      </c>
      <c r="N1466" s="109">
        <f t="shared" ref="N1466:N1470" si="2134">IF($E1466="M",$J1466,0)</f>
        <v>0</v>
      </c>
      <c r="O1466" s="109">
        <f t="shared" ref="O1466:O1470" si="2135">IF($E1466="P",$J1466,0)</f>
        <v>2960.0360036003599</v>
      </c>
      <c r="P1466" s="109">
        <f t="shared" ref="P1466:P1470" si="2136">IF($E1466="S",$J1466,0)</f>
        <v>0</v>
      </c>
      <c r="Q1466" s="109">
        <f t="shared" ref="Q1466:Q1470" si="2137">SUM(M1466:P1466)</f>
        <v>2960.0360036003599</v>
      </c>
      <c r="R1466" s="121">
        <v>62</v>
      </c>
      <c r="T1466" s="188"/>
    </row>
    <row r="1467" spans="1:20" x14ac:dyDescent="0.25">
      <c r="A1467" s="100"/>
      <c r="B1467" s="3">
        <v>5</v>
      </c>
      <c r="C1467" s="5" t="s">
        <v>64</v>
      </c>
      <c r="D1467" s="3" t="s">
        <v>48</v>
      </c>
      <c r="E1467" s="100" t="str">
        <f>IFERROR(VLOOKUP(C1467,Resources!B:D,3,FALSE)," ")</f>
        <v>P</v>
      </c>
      <c r="F1467" s="8">
        <v>1</v>
      </c>
      <c r="G1467" s="8">
        <f>G1466</f>
        <v>44.44</v>
      </c>
      <c r="H1467" s="8">
        <f>H1463</f>
        <v>907.19999999999993</v>
      </c>
      <c r="I1467" s="109">
        <f>IFERROR(VLOOKUP(C1467,Resources!B:G,6,FALSE)," ")</f>
        <v>100</v>
      </c>
      <c r="J1467" s="109">
        <f t="shared" si="2130"/>
        <v>2041.4041404140412</v>
      </c>
      <c r="K1467" s="8">
        <f t="shared" si="2131"/>
        <v>20.414041404140413</v>
      </c>
      <c r="L1467" s="8">
        <f t="shared" si="2132"/>
        <v>20.414041404140413</v>
      </c>
      <c r="M1467" s="109">
        <f t="shared" si="2133"/>
        <v>0</v>
      </c>
      <c r="N1467" s="109">
        <f t="shared" si="2134"/>
        <v>0</v>
      </c>
      <c r="O1467" s="109">
        <f t="shared" si="2135"/>
        <v>2041.4041404140412</v>
      </c>
      <c r="P1467" s="109">
        <f t="shared" si="2136"/>
        <v>0</v>
      </c>
      <c r="Q1467" s="109">
        <f t="shared" si="2137"/>
        <v>2041.4041404140412</v>
      </c>
      <c r="R1467" s="121">
        <v>62</v>
      </c>
      <c r="T1467" s="188"/>
    </row>
    <row r="1468" spans="1:20" x14ac:dyDescent="0.25">
      <c r="A1468" s="100"/>
      <c r="B1468" s="3">
        <v>6</v>
      </c>
      <c r="C1468" s="5" t="s">
        <v>69</v>
      </c>
      <c r="D1468" s="3" t="s">
        <v>48</v>
      </c>
      <c r="E1468" s="100" t="str">
        <f>IFERROR(VLOOKUP(C1468,Resources!B:D,3,FALSE)," ")</f>
        <v>P</v>
      </c>
      <c r="F1468" s="8">
        <v>1</v>
      </c>
      <c r="G1468" s="8">
        <f>G1466</f>
        <v>44.44</v>
      </c>
      <c r="H1468" s="8">
        <f>H1463</f>
        <v>907.19999999999993</v>
      </c>
      <c r="I1468" s="109">
        <f>IFERROR(VLOOKUP(C1468,Resources!B:G,6,FALSE)," ")</f>
        <v>55</v>
      </c>
      <c r="J1468" s="109">
        <f t="shared" si="2130"/>
        <v>1122.7722772277227</v>
      </c>
      <c r="K1468" s="8">
        <f t="shared" si="2131"/>
        <v>20.414041404140413</v>
      </c>
      <c r="L1468" s="8">
        <f t="shared" si="2132"/>
        <v>20.414041404140413</v>
      </c>
      <c r="M1468" s="109">
        <f t="shared" si="2133"/>
        <v>0</v>
      </c>
      <c r="N1468" s="109">
        <f t="shared" si="2134"/>
        <v>0</v>
      </c>
      <c r="O1468" s="109">
        <f t="shared" si="2135"/>
        <v>1122.7722772277227</v>
      </c>
      <c r="P1468" s="109">
        <f t="shared" si="2136"/>
        <v>0</v>
      </c>
      <c r="Q1468" s="109">
        <f t="shared" si="2137"/>
        <v>1122.7722772277227</v>
      </c>
      <c r="R1468" s="121">
        <v>62</v>
      </c>
      <c r="T1468" s="188"/>
    </row>
    <row r="1469" spans="1:20" x14ac:dyDescent="0.25">
      <c r="A1469" s="100"/>
      <c r="B1469" s="3">
        <v>7</v>
      </c>
      <c r="C1469" s="5" t="s">
        <v>8</v>
      </c>
      <c r="D1469" s="3" t="s">
        <v>48</v>
      </c>
      <c r="E1469" s="100" t="str">
        <f>IFERROR(VLOOKUP(C1469,Resources!B:D,3,FALSE)," ")</f>
        <v>L</v>
      </c>
      <c r="F1469" s="8">
        <v>3</v>
      </c>
      <c r="G1469" s="8">
        <f>G1466</f>
        <v>44.44</v>
      </c>
      <c r="H1469" s="8">
        <f>H1463</f>
        <v>907.19999999999993</v>
      </c>
      <c r="I1469" s="109">
        <f>IFERROR(VLOOKUP(C1469,Resources!B:G,6,FALSE)," ")</f>
        <v>42</v>
      </c>
      <c r="J1469" s="109">
        <f t="shared" si="2130"/>
        <v>2572.1692169216922</v>
      </c>
      <c r="K1469" s="8">
        <f t="shared" si="2131"/>
        <v>61.242124212421238</v>
      </c>
      <c r="L1469" s="8">
        <f t="shared" si="2132"/>
        <v>20.414041404140413</v>
      </c>
      <c r="M1469" s="109">
        <f t="shared" si="2133"/>
        <v>2572.1692169216922</v>
      </c>
      <c r="N1469" s="109">
        <f t="shared" si="2134"/>
        <v>0</v>
      </c>
      <c r="O1469" s="109">
        <f t="shared" si="2135"/>
        <v>0</v>
      </c>
      <c r="P1469" s="109">
        <f t="shared" si="2136"/>
        <v>0</v>
      </c>
      <c r="Q1469" s="109">
        <f t="shared" si="2137"/>
        <v>2572.1692169216922</v>
      </c>
      <c r="R1469" s="121">
        <v>62</v>
      </c>
      <c r="T1469" s="188"/>
    </row>
    <row r="1470" spans="1:20" x14ac:dyDescent="0.25">
      <c r="A1470" s="100"/>
      <c r="B1470" s="3">
        <v>8</v>
      </c>
      <c r="C1470" s="5" t="s">
        <v>115</v>
      </c>
      <c r="D1470" s="3" t="s">
        <v>48</v>
      </c>
      <c r="E1470" s="100" t="str">
        <f>IFERROR(VLOOKUP(C1470,Resources!B:D,3,FALSE)," ")</f>
        <v>P</v>
      </c>
      <c r="F1470" s="8">
        <v>1</v>
      </c>
      <c r="G1470" s="8">
        <f>G1466</f>
        <v>44.44</v>
      </c>
      <c r="H1470" s="8">
        <f>H1463</f>
        <v>907.19999999999993</v>
      </c>
      <c r="I1470" s="109">
        <f>IFERROR(VLOOKUP(C1470,Resources!B:G,6,FALSE)," ")</f>
        <v>100</v>
      </c>
      <c r="J1470" s="109">
        <f t="shared" si="2130"/>
        <v>2041.4041404140412</v>
      </c>
      <c r="K1470" s="8">
        <f t="shared" si="2131"/>
        <v>20.414041404140413</v>
      </c>
      <c r="L1470" s="8">
        <f t="shared" si="2132"/>
        <v>20.414041404140413</v>
      </c>
      <c r="M1470" s="109">
        <f t="shared" si="2133"/>
        <v>0</v>
      </c>
      <c r="N1470" s="109">
        <f t="shared" si="2134"/>
        <v>0</v>
      </c>
      <c r="O1470" s="109">
        <f t="shared" si="2135"/>
        <v>2041.4041404140412</v>
      </c>
      <c r="P1470" s="109">
        <f t="shared" si="2136"/>
        <v>0</v>
      </c>
      <c r="Q1470" s="109">
        <f t="shared" si="2137"/>
        <v>2041.4041404140412</v>
      </c>
      <c r="R1470" s="121">
        <v>62</v>
      </c>
      <c r="T1470" s="188"/>
    </row>
    <row r="1471" spans="1:20" x14ac:dyDescent="0.25">
      <c r="A1471" s="101"/>
      <c r="B1471" s="4"/>
      <c r="C1471" s="6"/>
      <c r="D1471" s="4"/>
      <c r="E1471" s="101" t="str">
        <f>IFERROR(VLOOKUP(C1471,Resources!B:D,3,FALSE)," ")</f>
        <v xml:space="preserve"> </v>
      </c>
      <c r="F1471" s="9"/>
      <c r="G1471" s="9"/>
      <c r="H1471" s="9"/>
      <c r="I1471" s="38" t="str">
        <f>IFERROR(VLOOKUP(C1471,Resources!B:G,6,FALSE)," ")</f>
        <v xml:space="preserve"> </v>
      </c>
      <c r="J1471" s="38"/>
      <c r="K1471" s="9"/>
      <c r="L1471" s="9"/>
      <c r="M1471" s="38"/>
      <c r="N1471" s="38"/>
      <c r="O1471" s="38"/>
      <c r="P1471" s="38"/>
      <c r="Q1471" s="38"/>
      <c r="R1471" s="122"/>
      <c r="T1471" s="188"/>
    </row>
    <row r="1472" spans="1:20" ht="30" x14ac:dyDescent="0.25">
      <c r="A1472" s="114">
        <v>195</v>
      </c>
      <c r="B1472" s="1" t="s">
        <v>661</v>
      </c>
      <c r="C1472" s="1" t="s">
        <v>113</v>
      </c>
      <c r="D1472" s="2" t="s">
        <v>62</v>
      </c>
      <c r="E1472" s="99" t="str">
        <f>IFERROR(VLOOKUP(C1472,Resources!B:D,3,FALSE)," ")</f>
        <v xml:space="preserve"> </v>
      </c>
      <c r="F1472" s="7"/>
      <c r="G1472" s="7"/>
      <c r="H1472" s="103">
        <f>VLOOKUP($A1472,'Model Inputs'!$A:$D,4,FALSE)</f>
        <v>127</v>
      </c>
      <c r="I1472" s="108" t="str">
        <f>IFERROR(VLOOKUP(C1472,Resources!B:G,6,FALSE)," ")</f>
        <v xml:space="preserve"> </v>
      </c>
      <c r="J1472" s="108">
        <f>SUBTOTAL(9,J1474:J1485)</f>
        <v>10584.850448558371</v>
      </c>
      <c r="K1472" s="7"/>
      <c r="L1472" s="7">
        <f>ROUNDUP((MAX((L1474+4),L1476:L1480)+MAX(L1482:L1485))/Workhrs,0)</f>
        <v>3</v>
      </c>
      <c r="M1472" s="108">
        <f t="shared" ref="M1472:Q1472" si="2138">SUBTOTAL(9,M1474:M1485)</f>
        <v>1753.1944194419445</v>
      </c>
      <c r="N1472" s="108">
        <f t="shared" si="2138"/>
        <v>0</v>
      </c>
      <c r="O1472" s="108">
        <f t="shared" si="2138"/>
        <v>8831.656029116426</v>
      </c>
      <c r="P1472" s="108">
        <f t="shared" si="2138"/>
        <v>0</v>
      </c>
      <c r="Q1472" s="108">
        <f t="shared" si="2138"/>
        <v>10584.850448558371</v>
      </c>
      <c r="R1472" s="120"/>
      <c r="T1472" s="188"/>
    </row>
    <row r="1473" spans="1:20" x14ac:dyDescent="0.25">
      <c r="A1473" s="100">
        <v>195.1</v>
      </c>
      <c r="B1473" s="3">
        <v>1</v>
      </c>
      <c r="C1473" s="5" t="s">
        <v>2389</v>
      </c>
      <c r="D1473" s="3"/>
      <c r="E1473" s="100" t="str">
        <f>IFERROR(VLOOKUP(C1473,Resources!B:D,3,FALSE)," ")</f>
        <v xml:space="preserve"> </v>
      </c>
      <c r="F1473" s="103">
        <f>VLOOKUP($A1473,'Model Inputs'!$A:$D,4,FALSE)</f>
        <v>2.4</v>
      </c>
      <c r="G1473" s="8"/>
      <c r="H1473" s="8">
        <f>H1472*F1473</f>
        <v>304.8</v>
      </c>
      <c r="I1473" s="109" t="str">
        <f>IFERROR(VLOOKUP(C1473,Resources!B:G,6,FALSE)," ")</f>
        <v xml:space="preserve"> </v>
      </c>
      <c r="J1473" s="109"/>
      <c r="K1473" s="8"/>
      <c r="L1473" s="8"/>
      <c r="M1473" s="109"/>
      <c r="N1473" s="109"/>
      <c r="O1473" s="109"/>
      <c r="P1473" s="109"/>
      <c r="Q1473" s="109"/>
      <c r="R1473" s="121"/>
      <c r="T1473" s="188"/>
    </row>
    <row r="1474" spans="1:20" x14ac:dyDescent="0.25">
      <c r="A1474" s="100"/>
      <c r="B1474" s="3">
        <v>2</v>
      </c>
      <c r="C1474" s="5" t="s">
        <v>44</v>
      </c>
      <c r="D1474" s="3" t="s">
        <v>48</v>
      </c>
      <c r="E1474" s="100" t="str">
        <f>IFERROR(VLOOKUP(C1474,Resources!B:D,3,FALSE)," ")</f>
        <v>P</v>
      </c>
      <c r="F1474" s="8">
        <v>3</v>
      </c>
      <c r="G1474" s="8">
        <v>37</v>
      </c>
      <c r="H1474" s="8">
        <f>H1473</f>
        <v>304.8</v>
      </c>
      <c r="I1474" s="109">
        <f>IFERROR(VLOOKUP(C1474,Resources!B:G,6,FALSE)," ")</f>
        <v>145</v>
      </c>
      <c r="J1474" s="109">
        <f t="shared" ref="J1474" si="2139">(H1474/(G1474/F1474))*I1474</f>
        <v>3583.4594594594591</v>
      </c>
      <c r="K1474" s="8">
        <f t="shared" ref="K1474" si="2140">L1474*F1474</f>
        <v>24.713513513513519</v>
      </c>
      <c r="L1474" s="8">
        <f t="shared" ref="L1474" si="2141">IF(E1474="M"," ",H1474/G1474)</f>
        <v>8.237837837837839</v>
      </c>
      <c r="M1474" s="109">
        <f t="shared" ref="M1474" si="2142">IF($E1474="L",$J1474,0)</f>
        <v>0</v>
      </c>
      <c r="N1474" s="109">
        <f t="shared" ref="N1474" si="2143">IF($E1474="M",$J1474,0)</f>
        <v>0</v>
      </c>
      <c r="O1474" s="109">
        <f t="shared" ref="O1474" si="2144">IF($E1474="P",$J1474,0)</f>
        <v>3583.4594594594591</v>
      </c>
      <c r="P1474" s="109">
        <f t="shared" ref="P1474" si="2145">IF($E1474="S",$J1474,0)</f>
        <v>0</v>
      </c>
      <c r="Q1474" s="109">
        <f t="shared" ref="Q1474" si="2146">SUM(M1474:P1474)</f>
        <v>3583.4594594594591</v>
      </c>
      <c r="R1474" s="121">
        <v>62</v>
      </c>
      <c r="T1474" s="188"/>
    </row>
    <row r="1475" spans="1:20" x14ac:dyDescent="0.25">
      <c r="A1475" s="101"/>
      <c r="B1475" s="4">
        <v>3</v>
      </c>
      <c r="C1475" s="6" t="s">
        <v>114</v>
      </c>
      <c r="D1475" s="4"/>
      <c r="E1475" s="101" t="str">
        <f>IFERROR(VLOOKUP(C1475,Resources!B:D,3,FALSE)," ")</f>
        <v xml:space="preserve"> </v>
      </c>
      <c r="F1475" s="9"/>
      <c r="G1475" s="9"/>
      <c r="H1475" s="9"/>
      <c r="I1475" s="38" t="str">
        <f>IFERROR(VLOOKUP(C1475,Resources!B:G,6,FALSE)," ")</f>
        <v xml:space="preserve"> </v>
      </c>
      <c r="J1475" s="38"/>
      <c r="K1475" s="9"/>
      <c r="L1475" s="9"/>
      <c r="M1475" s="38"/>
      <c r="N1475" s="38"/>
      <c r="O1475" s="38"/>
      <c r="P1475" s="38"/>
      <c r="Q1475" s="38"/>
      <c r="R1475" s="122"/>
      <c r="T1475" s="188"/>
    </row>
    <row r="1476" spans="1:20" x14ac:dyDescent="0.25">
      <c r="A1476" s="100">
        <v>195.2</v>
      </c>
      <c r="B1476" s="3">
        <v>4</v>
      </c>
      <c r="C1476" s="5" t="s">
        <v>39</v>
      </c>
      <c r="D1476" s="3" t="s">
        <v>48</v>
      </c>
      <c r="E1476" s="100" t="str">
        <f>IFERROR(VLOOKUP(C1476,Resources!B:D,3,FALSE)," ")</f>
        <v>P</v>
      </c>
      <c r="F1476" s="8">
        <v>1</v>
      </c>
      <c r="G1476" s="103">
        <f>VLOOKUP($A1476,'Model Inputs'!$A:$D,4,FALSE)</f>
        <v>44.44</v>
      </c>
      <c r="H1476" s="8">
        <f>H1473</f>
        <v>304.8</v>
      </c>
      <c r="I1476" s="109">
        <f>IFERROR(VLOOKUP(C1476,Resources!B:G,6,FALSE)," ")</f>
        <v>145</v>
      </c>
      <c r="J1476" s="109">
        <f t="shared" ref="J1476:J1480" si="2147">(H1476/(G1476/F1476))*I1476</f>
        <v>994.50945094509461</v>
      </c>
      <c r="K1476" s="8">
        <f t="shared" ref="K1476:K1480" si="2148">L1476*F1476</f>
        <v>6.8586858685868597</v>
      </c>
      <c r="L1476" s="8">
        <f t="shared" ref="L1476:L1480" si="2149">IF(E1476="M"," ",H1476/G1476)</f>
        <v>6.8586858685868597</v>
      </c>
      <c r="M1476" s="109">
        <f t="shared" ref="M1476:M1480" si="2150">IF($E1476="L",$J1476,0)</f>
        <v>0</v>
      </c>
      <c r="N1476" s="109">
        <f t="shared" ref="N1476:N1480" si="2151">IF($E1476="M",$J1476,0)</f>
        <v>0</v>
      </c>
      <c r="O1476" s="109">
        <f t="shared" ref="O1476:O1480" si="2152">IF($E1476="P",$J1476,0)</f>
        <v>994.50945094509461</v>
      </c>
      <c r="P1476" s="109">
        <f t="shared" ref="P1476:P1480" si="2153">IF($E1476="S",$J1476,0)</f>
        <v>0</v>
      </c>
      <c r="Q1476" s="109">
        <f t="shared" ref="Q1476:Q1480" si="2154">SUM(M1476:P1476)</f>
        <v>994.50945094509461</v>
      </c>
      <c r="R1476" s="121">
        <v>62</v>
      </c>
      <c r="T1476" s="188"/>
    </row>
    <row r="1477" spans="1:20" x14ac:dyDescent="0.25">
      <c r="A1477" s="100"/>
      <c r="B1477" s="3">
        <v>5</v>
      </c>
      <c r="C1477" s="5" t="s">
        <v>64</v>
      </c>
      <c r="D1477" s="3" t="s">
        <v>48</v>
      </c>
      <c r="E1477" s="100" t="str">
        <f>IFERROR(VLOOKUP(C1477,Resources!B:D,3,FALSE)," ")</f>
        <v>P</v>
      </c>
      <c r="F1477" s="8">
        <v>1</v>
      </c>
      <c r="G1477" s="8">
        <f>G1476</f>
        <v>44.44</v>
      </c>
      <c r="H1477" s="8">
        <f>H1473</f>
        <v>304.8</v>
      </c>
      <c r="I1477" s="109">
        <f>IFERROR(VLOOKUP(C1477,Resources!B:G,6,FALSE)," ")</f>
        <v>100</v>
      </c>
      <c r="J1477" s="109">
        <f t="shared" si="2147"/>
        <v>685.86858685868594</v>
      </c>
      <c r="K1477" s="8">
        <f t="shared" si="2148"/>
        <v>6.8586858685868597</v>
      </c>
      <c r="L1477" s="8">
        <f t="shared" si="2149"/>
        <v>6.8586858685868597</v>
      </c>
      <c r="M1477" s="109">
        <f t="shared" si="2150"/>
        <v>0</v>
      </c>
      <c r="N1477" s="109">
        <f t="shared" si="2151"/>
        <v>0</v>
      </c>
      <c r="O1477" s="109">
        <f t="shared" si="2152"/>
        <v>685.86858685868594</v>
      </c>
      <c r="P1477" s="109">
        <f t="shared" si="2153"/>
        <v>0</v>
      </c>
      <c r="Q1477" s="109">
        <f t="shared" si="2154"/>
        <v>685.86858685868594</v>
      </c>
      <c r="R1477" s="121">
        <v>62</v>
      </c>
      <c r="T1477" s="188"/>
    </row>
    <row r="1478" spans="1:20" x14ac:dyDescent="0.25">
      <c r="A1478" s="100"/>
      <c r="B1478" s="3">
        <v>6</v>
      </c>
      <c r="C1478" s="5" t="s">
        <v>69</v>
      </c>
      <c r="D1478" s="3" t="s">
        <v>48</v>
      </c>
      <c r="E1478" s="100" t="str">
        <f>IFERROR(VLOOKUP(C1478,Resources!B:D,3,FALSE)," ")</f>
        <v>P</v>
      </c>
      <c r="F1478" s="8">
        <v>1</v>
      </c>
      <c r="G1478" s="8">
        <f>G1476</f>
        <v>44.44</v>
      </c>
      <c r="H1478" s="8">
        <f>H1473</f>
        <v>304.8</v>
      </c>
      <c r="I1478" s="109">
        <f>IFERROR(VLOOKUP(C1478,Resources!B:G,6,FALSE)," ")</f>
        <v>55</v>
      </c>
      <c r="J1478" s="109">
        <f t="shared" si="2147"/>
        <v>377.22772277227727</v>
      </c>
      <c r="K1478" s="8">
        <f t="shared" si="2148"/>
        <v>6.8586858685868597</v>
      </c>
      <c r="L1478" s="8">
        <f t="shared" si="2149"/>
        <v>6.8586858685868597</v>
      </c>
      <c r="M1478" s="109">
        <f t="shared" si="2150"/>
        <v>0</v>
      </c>
      <c r="N1478" s="109">
        <f t="shared" si="2151"/>
        <v>0</v>
      </c>
      <c r="O1478" s="109">
        <f t="shared" si="2152"/>
        <v>377.22772277227727</v>
      </c>
      <c r="P1478" s="109">
        <f t="shared" si="2153"/>
        <v>0</v>
      </c>
      <c r="Q1478" s="109">
        <f t="shared" si="2154"/>
        <v>377.22772277227727</v>
      </c>
      <c r="R1478" s="121">
        <v>62</v>
      </c>
      <c r="T1478" s="188"/>
    </row>
    <row r="1479" spans="1:20" x14ac:dyDescent="0.25">
      <c r="A1479" s="100"/>
      <c r="B1479" s="3">
        <v>7</v>
      </c>
      <c r="C1479" s="5" t="s">
        <v>8</v>
      </c>
      <c r="D1479" s="3" t="s">
        <v>48</v>
      </c>
      <c r="E1479" s="100" t="str">
        <f>IFERROR(VLOOKUP(C1479,Resources!B:D,3,FALSE)," ")</f>
        <v>L</v>
      </c>
      <c r="F1479" s="8">
        <v>3</v>
      </c>
      <c r="G1479" s="8">
        <f>G1476</f>
        <v>44.44</v>
      </c>
      <c r="H1479" s="8">
        <f>H1473</f>
        <v>304.8</v>
      </c>
      <c r="I1479" s="109">
        <f>IFERROR(VLOOKUP(C1479,Resources!B:G,6,FALSE)," ")</f>
        <v>42</v>
      </c>
      <c r="J1479" s="109">
        <f t="shared" si="2147"/>
        <v>864.19441944194432</v>
      </c>
      <c r="K1479" s="8">
        <f t="shared" si="2148"/>
        <v>20.576057605760578</v>
      </c>
      <c r="L1479" s="8">
        <f t="shared" si="2149"/>
        <v>6.8586858685868597</v>
      </c>
      <c r="M1479" s="109">
        <f t="shared" si="2150"/>
        <v>864.19441944194432</v>
      </c>
      <c r="N1479" s="109">
        <f t="shared" si="2151"/>
        <v>0</v>
      </c>
      <c r="O1479" s="109">
        <f t="shared" si="2152"/>
        <v>0</v>
      </c>
      <c r="P1479" s="109">
        <f t="shared" si="2153"/>
        <v>0</v>
      </c>
      <c r="Q1479" s="109">
        <f t="shared" si="2154"/>
        <v>864.19441944194432</v>
      </c>
      <c r="R1479" s="121">
        <v>62</v>
      </c>
      <c r="T1479" s="188"/>
    </row>
    <row r="1480" spans="1:20" x14ac:dyDescent="0.25">
      <c r="A1480" s="100"/>
      <c r="B1480" s="3">
        <v>8</v>
      </c>
      <c r="C1480" s="5" t="s">
        <v>115</v>
      </c>
      <c r="D1480" s="3" t="s">
        <v>48</v>
      </c>
      <c r="E1480" s="100" t="str">
        <f>IFERROR(VLOOKUP(C1480,Resources!B:D,3,FALSE)," ")</f>
        <v>P</v>
      </c>
      <c r="F1480" s="8">
        <v>1</v>
      </c>
      <c r="G1480" s="8">
        <f>G1476</f>
        <v>44.44</v>
      </c>
      <c r="H1480" s="8">
        <f>H1473</f>
        <v>304.8</v>
      </c>
      <c r="I1480" s="109">
        <f>IFERROR(VLOOKUP(C1480,Resources!B:G,6,FALSE)," ")</f>
        <v>100</v>
      </c>
      <c r="J1480" s="109">
        <f t="shared" si="2147"/>
        <v>685.86858685868594</v>
      </c>
      <c r="K1480" s="8">
        <f t="shared" si="2148"/>
        <v>6.8586858685868597</v>
      </c>
      <c r="L1480" s="8">
        <f t="shared" si="2149"/>
        <v>6.8586858685868597</v>
      </c>
      <c r="M1480" s="109">
        <f t="shared" si="2150"/>
        <v>0</v>
      </c>
      <c r="N1480" s="109">
        <f t="shared" si="2151"/>
        <v>0</v>
      </c>
      <c r="O1480" s="109">
        <f t="shared" si="2152"/>
        <v>685.86858685868594</v>
      </c>
      <c r="P1480" s="109">
        <f t="shared" si="2153"/>
        <v>0</v>
      </c>
      <c r="Q1480" s="109">
        <f t="shared" si="2154"/>
        <v>685.86858685868594</v>
      </c>
      <c r="R1480" s="121">
        <v>62</v>
      </c>
      <c r="T1480" s="188"/>
    </row>
    <row r="1481" spans="1:20" x14ac:dyDescent="0.25">
      <c r="A1481" s="101"/>
      <c r="B1481" s="4">
        <v>9</v>
      </c>
      <c r="C1481" s="6" t="s">
        <v>116</v>
      </c>
      <c r="D1481" s="4"/>
      <c r="E1481" s="101" t="str">
        <f>IFERROR(VLOOKUP(C1481,Resources!B:D,3,FALSE)," ")</f>
        <v xml:space="preserve"> </v>
      </c>
      <c r="F1481" s="9"/>
      <c r="G1481" s="9"/>
      <c r="H1481" s="9"/>
      <c r="I1481" s="38" t="str">
        <f>IFERROR(VLOOKUP(C1481,Resources!B:G,6,FALSE)," ")</f>
        <v xml:space="preserve"> </v>
      </c>
      <c r="J1481" s="38"/>
      <c r="K1481" s="9"/>
      <c r="L1481" s="9"/>
      <c r="M1481" s="38"/>
      <c r="N1481" s="38"/>
      <c r="O1481" s="38"/>
      <c r="P1481" s="38"/>
      <c r="Q1481" s="38"/>
      <c r="R1481" s="122"/>
      <c r="T1481" s="188"/>
    </row>
    <row r="1482" spans="1:20" x14ac:dyDescent="0.25">
      <c r="A1482" s="100">
        <v>195.3</v>
      </c>
      <c r="B1482" s="3">
        <v>10</v>
      </c>
      <c r="C1482" s="5" t="s">
        <v>39</v>
      </c>
      <c r="D1482" s="3" t="s">
        <v>48</v>
      </c>
      <c r="E1482" s="100" t="str">
        <f>IFERROR(VLOOKUP(C1482,Resources!B:D,3,FALSE)," ")</f>
        <v>P</v>
      </c>
      <c r="F1482" s="8">
        <v>1</v>
      </c>
      <c r="G1482" s="103">
        <f>VLOOKUP($A1482,'Model Inputs'!$A:$D,4,FALSE)</f>
        <v>150</v>
      </c>
      <c r="H1482" s="8">
        <f>H1472/0.12</f>
        <v>1058.3333333333335</v>
      </c>
      <c r="I1482" s="109">
        <f>IFERROR(VLOOKUP(C1482,Resources!B:G,6,FALSE)," ")</f>
        <v>145</v>
      </c>
      <c r="J1482" s="109">
        <f t="shared" ref="J1482:J1485" si="2155">(H1482/(G1482/F1482))*I1482</f>
        <v>1023.0555555555557</v>
      </c>
      <c r="K1482" s="8">
        <f t="shared" ref="K1482:K1485" si="2156">L1482*F1482</f>
        <v>7.0555555555555562</v>
      </c>
      <c r="L1482" s="8">
        <f t="shared" ref="L1482:L1485" si="2157">IF(E1482="M"," ",H1482/G1482)</f>
        <v>7.0555555555555562</v>
      </c>
      <c r="M1482" s="109">
        <f t="shared" ref="M1482:M1485" si="2158">IF($E1482="L",$J1482,0)</f>
        <v>0</v>
      </c>
      <c r="N1482" s="109">
        <f t="shared" ref="N1482:N1485" si="2159">IF($E1482="M",$J1482,0)</f>
        <v>0</v>
      </c>
      <c r="O1482" s="109">
        <f t="shared" ref="O1482:O1485" si="2160">IF($E1482="P",$J1482,0)</f>
        <v>1023.0555555555557</v>
      </c>
      <c r="P1482" s="109">
        <f t="shared" ref="P1482:P1485" si="2161">IF($E1482="S",$J1482,0)</f>
        <v>0</v>
      </c>
      <c r="Q1482" s="109">
        <f t="shared" ref="Q1482:Q1485" si="2162">SUM(M1482:P1482)</f>
        <v>1023.0555555555557</v>
      </c>
      <c r="R1482" s="121">
        <v>63</v>
      </c>
      <c r="T1482" s="188"/>
    </row>
    <row r="1483" spans="1:20" x14ac:dyDescent="0.25">
      <c r="A1483" s="100"/>
      <c r="B1483" s="3">
        <v>11</v>
      </c>
      <c r="C1483" s="5" t="s">
        <v>64</v>
      </c>
      <c r="D1483" s="3" t="s">
        <v>48</v>
      </c>
      <c r="E1483" s="100" t="str">
        <f>IFERROR(VLOOKUP(C1483,Resources!B:D,3,FALSE)," ")</f>
        <v>P</v>
      </c>
      <c r="F1483" s="8">
        <v>1</v>
      </c>
      <c r="G1483" s="8">
        <f>G1482</f>
        <v>150</v>
      </c>
      <c r="H1483" s="8">
        <f>H1482</f>
        <v>1058.3333333333335</v>
      </c>
      <c r="I1483" s="109">
        <f>IFERROR(VLOOKUP(C1483,Resources!B:G,6,FALSE)," ")</f>
        <v>100</v>
      </c>
      <c r="J1483" s="109">
        <f t="shared" si="2155"/>
        <v>705.55555555555566</v>
      </c>
      <c r="K1483" s="8">
        <f t="shared" si="2156"/>
        <v>7.0555555555555562</v>
      </c>
      <c r="L1483" s="8">
        <f t="shared" si="2157"/>
        <v>7.0555555555555562</v>
      </c>
      <c r="M1483" s="109">
        <f t="shared" si="2158"/>
        <v>0</v>
      </c>
      <c r="N1483" s="109">
        <f t="shared" si="2159"/>
        <v>0</v>
      </c>
      <c r="O1483" s="109">
        <f t="shared" si="2160"/>
        <v>705.55555555555566</v>
      </c>
      <c r="P1483" s="109">
        <f t="shared" si="2161"/>
        <v>0</v>
      </c>
      <c r="Q1483" s="109">
        <f t="shared" si="2162"/>
        <v>705.55555555555566</v>
      </c>
      <c r="R1483" s="121">
        <v>63</v>
      </c>
      <c r="T1483" s="188"/>
    </row>
    <row r="1484" spans="1:20" x14ac:dyDescent="0.25">
      <c r="A1484" s="100"/>
      <c r="B1484" s="3">
        <v>12</v>
      </c>
      <c r="C1484" s="5" t="s">
        <v>43</v>
      </c>
      <c r="D1484" s="3" t="s">
        <v>48</v>
      </c>
      <c r="E1484" s="100" t="str">
        <f>IFERROR(VLOOKUP(C1484,Resources!B:D,3,FALSE)," ")</f>
        <v>P</v>
      </c>
      <c r="F1484" s="8">
        <v>1</v>
      </c>
      <c r="G1484" s="8">
        <f>G1482/2</f>
        <v>75</v>
      </c>
      <c r="H1484" s="8">
        <f>H1482</f>
        <v>1058.3333333333335</v>
      </c>
      <c r="I1484" s="109">
        <f>IFERROR(VLOOKUP(C1484,Resources!B:G,6,FALSE)," ")</f>
        <v>55</v>
      </c>
      <c r="J1484" s="109">
        <f t="shared" si="2155"/>
        <v>776.1111111111112</v>
      </c>
      <c r="K1484" s="8">
        <f t="shared" si="2156"/>
        <v>14.111111111111112</v>
      </c>
      <c r="L1484" s="8">
        <f t="shared" si="2157"/>
        <v>14.111111111111112</v>
      </c>
      <c r="M1484" s="109">
        <f t="shared" si="2158"/>
        <v>0</v>
      </c>
      <c r="N1484" s="109">
        <f t="shared" si="2159"/>
        <v>0</v>
      </c>
      <c r="O1484" s="109">
        <f t="shared" si="2160"/>
        <v>776.1111111111112</v>
      </c>
      <c r="P1484" s="109">
        <f t="shared" si="2161"/>
        <v>0</v>
      </c>
      <c r="Q1484" s="109">
        <f t="shared" si="2162"/>
        <v>776.1111111111112</v>
      </c>
      <c r="R1484" s="121">
        <v>63</v>
      </c>
      <c r="T1484" s="188"/>
    </row>
    <row r="1485" spans="1:20" x14ac:dyDescent="0.25">
      <c r="A1485" s="100"/>
      <c r="B1485" s="3">
        <v>13</v>
      </c>
      <c r="C1485" s="5" t="s">
        <v>8</v>
      </c>
      <c r="D1485" s="3" t="s">
        <v>48</v>
      </c>
      <c r="E1485" s="100" t="str">
        <f>IFERROR(VLOOKUP(C1485,Resources!B:D,3,FALSE)," ")</f>
        <v>L</v>
      </c>
      <c r="F1485" s="8">
        <v>3</v>
      </c>
      <c r="G1485" s="8">
        <f>G1482</f>
        <v>150</v>
      </c>
      <c r="H1485" s="8">
        <f>H1482</f>
        <v>1058.3333333333335</v>
      </c>
      <c r="I1485" s="109">
        <f>IFERROR(VLOOKUP(C1485,Resources!B:G,6,FALSE)," ")</f>
        <v>42</v>
      </c>
      <c r="J1485" s="109">
        <f t="shared" si="2155"/>
        <v>889.00000000000023</v>
      </c>
      <c r="K1485" s="8">
        <f t="shared" si="2156"/>
        <v>21.166666666666668</v>
      </c>
      <c r="L1485" s="8">
        <f t="shared" si="2157"/>
        <v>7.0555555555555562</v>
      </c>
      <c r="M1485" s="109">
        <f t="shared" si="2158"/>
        <v>889.00000000000023</v>
      </c>
      <c r="N1485" s="109">
        <f t="shared" si="2159"/>
        <v>0</v>
      </c>
      <c r="O1485" s="109">
        <f t="shared" si="2160"/>
        <v>0</v>
      </c>
      <c r="P1485" s="109">
        <f t="shared" si="2161"/>
        <v>0</v>
      </c>
      <c r="Q1485" s="109">
        <f t="shared" si="2162"/>
        <v>889.00000000000023</v>
      </c>
      <c r="R1485" s="121">
        <v>63</v>
      </c>
      <c r="T1485" s="188"/>
    </row>
    <row r="1486" spans="1:20" x14ac:dyDescent="0.25">
      <c r="A1486" s="101"/>
      <c r="B1486" s="4"/>
      <c r="C1486" s="6"/>
      <c r="D1486" s="4"/>
      <c r="E1486" s="101" t="str">
        <f>IFERROR(VLOOKUP(C1486,Resources!B:D,3,FALSE)," ")</f>
        <v xml:space="preserve"> </v>
      </c>
      <c r="F1486" s="9"/>
      <c r="G1486" s="9"/>
      <c r="H1486" s="9"/>
      <c r="I1486" s="38" t="str">
        <f>IFERROR(VLOOKUP(C1486,Resources!B:G,6,FALSE)," ")</f>
        <v xml:space="preserve"> </v>
      </c>
      <c r="J1486" s="38"/>
      <c r="K1486" s="9"/>
      <c r="L1486" s="9"/>
      <c r="M1486" s="38"/>
      <c r="N1486" s="38"/>
      <c r="O1486" s="38"/>
      <c r="P1486" s="38"/>
      <c r="Q1486" s="38"/>
      <c r="R1486" s="122"/>
      <c r="T1486" s="188"/>
    </row>
    <row r="1487" spans="1:20" ht="30" x14ac:dyDescent="0.25">
      <c r="A1487" s="114">
        <v>196</v>
      </c>
      <c r="B1487" s="1" t="s">
        <v>662</v>
      </c>
      <c r="C1487" s="1" t="s">
        <v>663</v>
      </c>
      <c r="D1487" s="2" t="s">
        <v>107</v>
      </c>
      <c r="E1487" s="99" t="str">
        <f>IFERROR(VLOOKUP(C1487,Resources!B:D,3,FALSE)," ")</f>
        <v xml:space="preserve"> </v>
      </c>
      <c r="F1487" s="7"/>
      <c r="G1487" s="7"/>
      <c r="H1487" s="103">
        <f>VLOOKUP($A1487,'Model Inputs'!$A:$D,4,FALSE)</f>
        <v>1260</v>
      </c>
      <c r="I1487" s="108" t="str">
        <f>IFERROR(VLOOKUP(C1487,Resources!B:G,6,FALSE)," ")</f>
        <v xml:space="preserve"> </v>
      </c>
      <c r="J1487" s="108">
        <f>SUBTOTAL(9,J1488:J1490)</f>
        <v>7508.9589473684209</v>
      </c>
      <c r="K1487" s="7"/>
      <c r="L1487" s="7">
        <f>ROUNDUP(MAX(L1489:L1490)/Workhrs,0)</f>
        <v>1</v>
      </c>
      <c r="M1487" s="108">
        <f t="shared" ref="M1487:Q1487" si="2163">SUBTOTAL(9,M1488:M1490)</f>
        <v>306.37894736842105</v>
      </c>
      <c r="N1487" s="108">
        <f t="shared" si="2163"/>
        <v>6971.58</v>
      </c>
      <c r="O1487" s="108">
        <f t="shared" si="2163"/>
        <v>231</v>
      </c>
      <c r="P1487" s="108">
        <f t="shared" si="2163"/>
        <v>0</v>
      </c>
      <c r="Q1487" s="108">
        <f t="shared" si="2163"/>
        <v>7508.9589473684209</v>
      </c>
      <c r="R1487" s="120"/>
      <c r="T1487" s="188"/>
    </row>
    <row r="1488" spans="1:20" x14ac:dyDescent="0.25">
      <c r="A1488" s="100"/>
      <c r="B1488" s="3">
        <v>1</v>
      </c>
      <c r="C1488" s="5" t="s">
        <v>2180</v>
      </c>
      <c r="D1488" s="3" t="s">
        <v>83</v>
      </c>
      <c r="E1488" s="100" t="str">
        <f>IFERROR(VLOOKUP(C1488,Resources!B:D,3,FALSE)," ")</f>
        <v>M</v>
      </c>
      <c r="F1488" s="8">
        <v>1</v>
      </c>
      <c r="G1488" s="8">
        <v>1</v>
      </c>
      <c r="H1488" s="8">
        <f>H1487*1.1</f>
        <v>1386</v>
      </c>
      <c r="I1488" s="109">
        <f>IFERROR(VLOOKUP(C1488,Resources!B:G,6,FALSE)," ")</f>
        <v>5.03</v>
      </c>
      <c r="J1488" s="109">
        <f t="shared" ref="J1488:J1490" si="2164">(H1488/(G1488/F1488))*I1488</f>
        <v>6971.58</v>
      </c>
      <c r="K1488" s="8"/>
      <c r="L1488" s="8" t="str">
        <f t="shared" ref="L1488:L1490" si="2165">IF(E1488="M"," ",H1488/G1488)</f>
        <v xml:space="preserve"> </v>
      </c>
      <c r="M1488" s="109">
        <f t="shared" ref="M1488:M1490" si="2166">IF($E1488="L",$J1488,0)</f>
        <v>0</v>
      </c>
      <c r="N1488" s="109">
        <f t="shared" ref="N1488:N1490" si="2167">IF($E1488="M",$J1488,0)</f>
        <v>6971.58</v>
      </c>
      <c r="O1488" s="109">
        <f t="shared" ref="O1488:O1490" si="2168">IF($E1488="P",$J1488,0)</f>
        <v>0</v>
      </c>
      <c r="P1488" s="109">
        <f t="shared" ref="P1488:P1490" si="2169">IF($E1488="S",$J1488,0)</f>
        <v>0</v>
      </c>
      <c r="Q1488" s="109">
        <f t="shared" ref="Q1488:Q1490" si="2170">SUM(M1488:P1488)</f>
        <v>6971.58</v>
      </c>
      <c r="R1488" s="121">
        <v>222</v>
      </c>
      <c r="T1488" s="188"/>
    </row>
    <row r="1489" spans="1:20" x14ac:dyDescent="0.25">
      <c r="A1489" s="100">
        <v>196.1</v>
      </c>
      <c r="B1489" s="3">
        <v>2</v>
      </c>
      <c r="C1489" s="5" t="s">
        <v>8</v>
      </c>
      <c r="D1489" s="3" t="s">
        <v>48</v>
      </c>
      <c r="E1489" s="100" t="str">
        <f>IFERROR(VLOOKUP(C1489,Resources!B:D,3,FALSE)," ")</f>
        <v>L</v>
      </c>
      <c r="F1489" s="8">
        <v>3</v>
      </c>
      <c r="G1489" s="103">
        <f>VLOOKUP($A1489,'Model Inputs'!$A:$D,4,FALSE)</f>
        <v>570</v>
      </c>
      <c r="H1489" s="8">
        <f>H1488</f>
        <v>1386</v>
      </c>
      <c r="I1489" s="109">
        <f>IFERROR(VLOOKUP(C1489,Resources!B:G,6,FALSE)," ")</f>
        <v>42</v>
      </c>
      <c r="J1489" s="109">
        <f t="shared" si="2164"/>
        <v>306.37894736842105</v>
      </c>
      <c r="K1489" s="8">
        <f t="shared" ref="K1489:K1490" si="2171">L1489*F1489</f>
        <v>7.2947368421052632</v>
      </c>
      <c r="L1489" s="8">
        <f t="shared" si="2165"/>
        <v>2.4315789473684211</v>
      </c>
      <c r="M1489" s="109">
        <f t="shared" si="2166"/>
        <v>306.37894736842105</v>
      </c>
      <c r="N1489" s="109">
        <f t="shared" si="2167"/>
        <v>0</v>
      </c>
      <c r="O1489" s="109">
        <f t="shared" si="2168"/>
        <v>0</v>
      </c>
      <c r="P1489" s="109">
        <f t="shared" si="2169"/>
        <v>0</v>
      </c>
      <c r="Q1489" s="109">
        <f t="shared" si="2170"/>
        <v>306.37894736842105</v>
      </c>
      <c r="R1489" s="121">
        <v>222</v>
      </c>
      <c r="T1489" s="188"/>
    </row>
    <row r="1490" spans="1:20" x14ac:dyDescent="0.25">
      <c r="A1490" s="100"/>
      <c r="B1490" s="3">
        <v>3</v>
      </c>
      <c r="C1490" s="5" t="s">
        <v>45</v>
      </c>
      <c r="D1490" s="3" t="s">
        <v>48</v>
      </c>
      <c r="E1490" s="100" t="str">
        <f>IFERROR(VLOOKUP(C1490,Resources!B:D,3,FALSE)," ")</f>
        <v>P</v>
      </c>
      <c r="F1490" s="8">
        <v>1</v>
      </c>
      <c r="G1490" s="8">
        <f>G1489</f>
        <v>570</v>
      </c>
      <c r="H1490" s="8">
        <f>H1488</f>
        <v>1386</v>
      </c>
      <c r="I1490" s="109">
        <f>IFERROR(VLOOKUP(C1490,Resources!B:G,6,FALSE)," ")</f>
        <v>95</v>
      </c>
      <c r="J1490" s="109">
        <f t="shared" si="2164"/>
        <v>231</v>
      </c>
      <c r="K1490" s="8">
        <f t="shared" si="2171"/>
        <v>2.4315789473684211</v>
      </c>
      <c r="L1490" s="8">
        <f t="shared" si="2165"/>
        <v>2.4315789473684211</v>
      </c>
      <c r="M1490" s="109">
        <f t="shared" si="2166"/>
        <v>0</v>
      </c>
      <c r="N1490" s="109">
        <f t="shared" si="2167"/>
        <v>0</v>
      </c>
      <c r="O1490" s="109">
        <f t="shared" si="2168"/>
        <v>231</v>
      </c>
      <c r="P1490" s="109">
        <f t="shared" si="2169"/>
        <v>0</v>
      </c>
      <c r="Q1490" s="109">
        <f t="shared" si="2170"/>
        <v>231</v>
      </c>
      <c r="R1490" s="121">
        <v>222</v>
      </c>
      <c r="T1490" s="188"/>
    </row>
    <row r="1491" spans="1:20" x14ac:dyDescent="0.25">
      <c r="A1491" s="101"/>
      <c r="B1491" s="4"/>
      <c r="C1491" s="6"/>
      <c r="D1491" s="4"/>
      <c r="E1491" s="101" t="str">
        <f>IFERROR(VLOOKUP(C1491,Resources!B:D,3,FALSE)," ")</f>
        <v xml:space="preserve"> </v>
      </c>
      <c r="F1491" s="9"/>
      <c r="G1491" s="9"/>
      <c r="H1491" s="9"/>
      <c r="I1491" s="38" t="str">
        <f>IFERROR(VLOOKUP(C1491,Resources!B:G,6,FALSE)," ")</f>
        <v xml:space="preserve"> </v>
      </c>
      <c r="J1491" s="38"/>
      <c r="K1491" s="9"/>
      <c r="L1491" s="9"/>
      <c r="M1491" s="38"/>
      <c r="N1491" s="38"/>
      <c r="O1491" s="38"/>
      <c r="P1491" s="38"/>
      <c r="Q1491" s="38"/>
      <c r="R1491" s="122"/>
      <c r="T1491" s="188"/>
    </row>
    <row r="1492" spans="1:20" ht="30" x14ac:dyDescent="0.25">
      <c r="A1492" s="114">
        <v>197</v>
      </c>
      <c r="B1492" s="1" t="s">
        <v>664</v>
      </c>
      <c r="C1492" s="1" t="s">
        <v>665</v>
      </c>
      <c r="D1492" s="2" t="s">
        <v>107</v>
      </c>
      <c r="E1492" s="99" t="str">
        <f>IFERROR(VLOOKUP(C1492,Resources!B:D,3,FALSE)," ")</f>
        <v xml:space="preserve"> </v>
      </c>
      <c r="F1492" s="7"/>
      <c r="G1492" s="7"/>
      <c r="H1492" s="103">
        <f>VLOOKUP($A1492,'Model Inputs'!$A:$D,4,FALSE)</f>
        <v>1260</v>
      </c>
      <c r="I1492" s="108" t="str">
        <f>IFERROR(VLOOKUP(C1492,Resources!B:G,6,FALSE)," ")</f>
        <v xml:space="preserve"> </v>
      </c>
      <c r="J1492" s="108">
        <f>SUBTOTAL(9,J1493:J1495)</f>
        <v>1992.6789473684209</v>
      </c>
      <c r="K1492" s="7"/>
      <c r="L1492" s="7">
        <f>ROUNDUP(MAX(L1494:L1495)/Workhrs,0)</f>
        <v>1</v>
      </c>
      <c r="M1492" s="108">
        <f t="shared" ref="M1492" si="2172">SUBTOTAL(9,M1493:M1495)</f>
        <v>306.37894736842105</v>
      </c>
      <c r="N1492" s="108">
        <f t="shared" ref="N1492" si="2173">SUBTOTAL(9,N1493:N1495)</f>
        <v>1455.3</v>
      </c>
      <c r="O1492" s="108">
        <f t="shared" ref="O1492" si="2174">SUBTOTAL(9,O1493:O1495)</f>
        <v>231</v>
      </c>
      <c r="P1492" s="108">
        <f t="shared" ref="P1492" si="2175">SUBTOTAL(9,P1493:P1495)</f>
        <v>0</v>
      </c>
      <c r="Q1492" s="108">
        <f t="shared" ref="Q1492" si="2176">SUBTOTAL(9,Q1493:Q1495)</f>
        <v>1992.6789473684209</v>
      </c>
      <c r="R1492" s="120"/>
      <c r="T1492" s="188"/>
    </row>
    <row r="1493" spans="1:20" x14ac:dyDescent="0.25">
      <c r="A1493" s="100"/>
      <c r="B1493" s="3">
        <v>1</v>
      </c>
      <c r="C1493" s="5" t="s">
        <v>2088</v>
      </c>
      <c r="D1493" s="3" t="s">
        <v>83</v>
      </c>
      <c r="E1493" s="100" t="str">
        <f>IFERROR(VLOOKUP(C1493,Resources!B:D,3,FALSE)," ")</f>
        <v>M</v>
      </c>
      <c r="F1493" s="8">
        <v>1</v>
      </c>
      <c r="G1493" s="8">
        <v>1</v>
      </c>
      <c r="H1493" s="8">
        <f>H1492*1.1</f>
        <v>1386</v>
      </c>
      <c r="I1493" s="109">
        <f>IFERROR(VLOOKUP(C1493,Resources!B:G,6,FALSE)," ")</f>
        <v>1.05</v>
      </c>
      <c r="J1493" s="109">
        <f t="shared" ref="J1493:J1495" si="2177">(H1493/(G1493/F1493))*I1493</f>
        <v>1455.3</v>
      </c>
      <c r="K1493" s="8"/>
      <c r="L1493" s="8" t="str">
        <f t="shared" ref="L1493:L1495" si="2178">IF(E1493="M"," ",H1493/G1493)</f>
        <v xml:space="preserve"> </v>
      </c>
      <c r="M1493" s="109">
        <f t="shared" ref="M1493:M1495" si="2179">IF($E1493="L",$J1493,0)</f>
        <v>0</v>
      </c>
      <c r="N1493" s="109">
        <f t="shared" ref="N1493:N1495" si="2180">IF($E1493="M",$J1493,0)</f>
        <v>1455.3</v>
      </c>
      <c r="O1493" s="109">
        <f t="shared" ref="O1493:O1495" si="2181">IF($E1493="P",$J1493,0)</f>
        <v>0</v>
      </c>
      <c r="P1493" s="109">
        <f t="shared" ref="P1493:P1495" si="2182">IF($E1493="S",$J1493,0)</f>
        <v>0</v>
      </c>
      <c r="Q1493" s="109">
        <f t="shared" ref="Q1493:Q1495" si="2183">SUM(M1493:P1493)</f>
        <v>1455.3</v>
      </c>
      <c r="R1493" s="121">
        <v>222</v>
      </c>
      <c r="T1493" s="188"/>
    </row>
    <row r="1494" spans="1:20" x14ac:dyDescent="0.25">
      <c r="A1494" s="100">
        <v>197.1</v>
      </c>
      <c r="B1494" s="3">
        <v>2</v>
      </c>
      <c r="C1494" s="5" t="s">
        <v>8</v>
      </c>
      <c r="D1494" s="3" t="s">
        <v>48</v>
      </c>
      <c r="E1494" s="100" t="str">
        <f>IFERROR(VLOOKUP(C1494,Resources!B:D,3,FALSE)," ")</f>
        <v>L</v>
      </c>
      <c r="F1494" s="8">
        <v>3</v>
      </c>
      <c r="G1494" s="103">
        <f>VLOOKUP($A1494,'Model Inputs'!$A:$D,4,FALSE)</f>
        <v>570</v>
      </c>
      <c r="H1494" s="8">
        <f>H1493</f>
        <v>1386</v>
      </c>
      <c r="I1494" s="109">
        <f>IFERROR(VLOOKUP(C1494,Resources!B:G,6,FALSE)," ")</f>
        <v>42</v>
      </c>
      <c r="J1494" s="109">
        <f t="shared" si="2177"/>
        <v>306.37894736842105</v>
      </c>
      <c r="K1494" s="8">
        <f t="shared" ref="K1494:K1495" si="2184">L1494*F1494</f>
        <v>7.2947368421052632</v>
      </c>
      <c r="L1494" s="8">
        <f t="shared" si="2178"/>
        <v>2.4315789473684211</v>
      </c>
      <c r="M1494" s="109">
        <f t="shared" si="2179"/>
        <v>306.37894736842105</v>
      </c>
      <c r="N1494" s="109">
        <f t="shared" si="2180"/>
        <v>0</v>
      </c>
      <c r="O1494" s="109">
        <f t="shared" si="2181"/>
        <v>0</v>
      </c>
      <c r="P1494" s="109">
        <f t="shared" si="2182"/>
        <v>0</v>
      </c>
      <c r="Q1494" s="109">
        <f t="shared" si="2183"/>
        <v>306.37894736842105</v>
      </c>
      <c r="R1494" s="121">
        <v>222</v>
      </c>
      <c r="T1494" s="188"/>
    </row>
    <row r="1495" spans="1:20" x14ac:dyDescent="0.25">
      <c r="A1495" s="100"/>
      <c r="B1495" s="3">
        <v>3</v>
      </c>
      <c r="C1495" s="5" t="s">
        <v>45</v>
      </c>
      <c r="D1495" s="3" t="s">
        <v>48</v>
      </c>
      <c r="E1495" s="100" t="str">
        <f>IFERROR(VLOOKUP(C1495,Resources!B:D,3,FALSE)," ")</f>
        <v>P</v>
      </c>
      <c r="F1495" s="8">
        <v>1</v>
      </c>
      <c r="G1495" s="8">
        <f>G1494</f>
        <v>570</v>
      </c>
      <c r="H1495" s="8">
        <f>H1493</f>
        <v>1386</v>
      </c>
      <c r="I1495" s="109">
        <f>IFERROR(VLOOKUP(C1495,Resources!B:G,6,FALSE)," ")</f>
        <v>95</v>
      </c>
      <c r="J1495" s="109">
        <f t="shared" si="2177"/>
        <v>231</v>
      </c>
      <c r="K1495" s="8">
        <f t="shared" si="2184"/>
        <v>2.4315789473684211</v>
      </c>
      <c r="L1495" s="8">
        <f t="shared" si="2178"/>
        <v>2.4315789473684211</v>
      </c>
      <c r="M1495" s="109">
        <f t="shared" si="2179"/>
        <v>0</v>
      </c>
      <c r="N1495" s="109">
        <f t="shared" si="2180"/>
        <v>0</v>
      </c>
      <c r="O1495" s="109">
        <f t="shared" si="2181"/>
        <v>231</v>
      </c>
      <c r="P1495" s="109">
        <f t="shared" si="2182"/>
        <v>0</v>
      </c>
      <c r="Q1495" s="109">
        <f t="shared" si="2183"/>
        <v>231</v>
      </c>
      <c r="R1495" s="121">
        <v>222</v>
      </c>
      <c r="T1495" s="188"/>
    </row>
    <row r="1496" spans="1:20" x14ac:dyDescent="0.25">
      <c r="A1496" s="101"/>
      <c r="B1496" s="4"/>
      <c r="C1496" s="6"/>
      <c r="D1496" s="4"/>
      <c r="E1496" s="101" t="str">
        <f>IFERROR(VLOOKUP(C1496,Resources!B:D,3,FALSE)," ")</f>
        <v xml:space="preserve"> </v>
      </c>
      <c r="F1496" s="9"/>
      <c r="G1496" s="9"/>
      <c r="H1496" s="9"/>
      <c r="I1496" s="38" t="str">
        <f>IFERROR(VLOOKUP(C1496,Resources!B:G,6,FALSE)," ")</f>
        <v xml:space="preserve"> </v>
      </c>
      <c r="J1496" s="38"/>
      <c r="K1496" s="9"/>
      <c r="L1496" s="9"/>
      <c r="M1496" s="38"/>
      <c r="N1496" s="38"/>
      <c r="O1496" s="38"/>
      <c r="P1496" s="38"/>
      <c r="Q1496" s="38"/>
      <c r="R1496" s="122"/>
      <c r="T1496" s="188"/>
    </row>
    <row r="1497" spans="1:20" ht="30" x14ac:dyDescent="0.25">
      <c r="A1497" s="114"/>
      <c r="B1497" s="1" t="s">
        <v>666</v>
      </c>
      <c r="C1497" s="1" t="s">
        <v>120</v>
      </c>
      <c r="D1497" s="2"/>
      <c r="E1497" s="99" t="str">
        <f>IFERROR(VLOOKUP(C1497,Resources!B:D,3,FALSE)," ")</f>
        <v xml:space="preserve"> </v>
      </c>
      <c r="F1497" s="7"/>
      <c r="G1497" s="7"/>
      <c r="H1497" s="7"/>
      <c r="I1497" s="108" t="str">
        <f>IFERROR(VLOOKUP(C1497,Resources!B:G,6,FALSE)," ")</f>
        <v xml:space="preserve"> </v>
      </c>
      <c r="J1497" s="108"/>
      <c r="K1497" s="7"/>
      <c r="L1497" s="7"/>
      <c r="M1497" s="108"/>
      <c r="N1497" s="108"/>
      <c r="O1497" s="108"/>
      <c r="P1497" s="108"/>
      <c r="Q1497" s="108"/>
      <c r="R1497" s="120"/>
      <c r="T1497" s="188"/>
    </row>
    <row r="1498" spans="1:20" ht="45" x14ac:dyDescent="0.25">
      <c r="A1498" s="114"/>
      <c r="B1498" s="1" t="s">
        <v>667</v>
      </c>
      <c r="C1498" s="1" t="s">
        <v>122</v>
      </c>
      <c r="D1498" s="2"/>
      <c r="E1498" s="99" t="str">
        <f>IFERROR(VLOOKUP(C1498,Resources!B:D,3,FALSE)," ")</f>
        <v xml:space="preserve"> </v>
      </c>
      <c r="F1498" s="7"/>
      <c r="G1498" s="7"/>
      <c r="H1498" s="7"/>
      <c r="I1498" s="108" t="str">
        <f>IFERROR(VLOOKUP(C1498,Resources!B:G,6,FALSE)," ")</f>
        <v xml:space="preserve"> </v>
      </c>
      <c r="J1498" s="108"/>
      <c r="K1498" s="7"/>
      <c r="L1498" s="7"/>
      <c r="M1498" s="108"/>
      <c r="N1498" s="108"/>
      <c r="O1498" s="108"/>
      <c r="P1498" s="108"/>
      <c r="Q1498" s="108"/>
      <c r="R1498" s="120"/>
      <c r="T1498" s="188"/>
    </row>
    <row r="1499" spans="1:20" ht="30" x14ac:dyDescent="0.25">
      <c r="A1499" s="114">
        <v>198</v>
      </c>
      <c r="B1499" s="1" t="s">
        <v>668</v>
      </c>
      <c r="C1499" s="1" t="s">
        <v>669</v>
      </c>
      <c r="D1499" s="2" t="s">
        <v>107</v>
      </c>
      <c r="E1499" s="99" t="str">
        <f>IFERROR(VLOOKUP(C1499,Resources!B:D,3,FALSE)," ")</f>
        <v xml:space="preserve"> </v>
      </c>
      <c r="F1499" s="7"/>
      <c r="G1499" s="7"/>
      <c r="H1499" s="103">
        <f>VLOOKUP($A1499,'Model Inputs'!$A:$D,4,FALSE)</f>
        <v>1057</v>
      </c>
      <c r="I1499" s="108" t="str">
        <f>IFERROR(VLOOKUP(C1499,Resources!B:G,6,FALSE)," ")</f>
        <v xml:space="preserve"> </v>
      </c>
      <c r="J1499" s="108">
        <f>SUBTOTAL(9,J1500)</f>
        <v>14172.784500000002</v>
      </c>
      <c r="K1499" s="7"/>
      <c r="L1499" s="7">
        <f>ROUNDUP(L1500,0)</f>
        <v>1</v>
      </c>
      <c r="M1499" s="108">
        <f t="shared" ref="M1499:Q1499" si="2185">SUBTOTAL(9,M1500)</f>
        <v>0</v>
      </c>
      <c r="N1499" s="108">
        <f t="shared" si="2185"/>
        <v>0</v>
      </c>
      <c r="O1499" s="108">
        <f t="shared" si="2185"/>
        <v>0</v>
      </c>
      <c r="P1499" s="108">
        <f t="shared" si="2185"/>
        <v>14172.784500000002</v>
      </c>
      <c r="Q1499" s="108">
        <f t="shared" si="2185"/>
        <v>14172.784500000002</v>
      </c>
      <c r="R1499" s="120"/>
      <c r="T1499" s="188"/>
    </row>
    <row r="1500" spans="1:20" x14ac:dyDescent="0.25">
      <c r="A1500" s="100"/>
      <c r="B1500" s="3">
        <v>1</v>
      </c>
      <c r="C1500" s="5" t="s">
        <v>2266</v>
      </c>
      <c r="D1500" s="3" t="s">
        <v>83</v>
      </c>
      <c r="E1500" s="100" t="str">
        <f>IFERROR(VLOOKUP(C1500,Resources!B:D,3,FALSE)," ")</f>
        <v>S</v>
      </c>
      <c r="F1500" s="8">
        <v>1</v>
      </c>
      <c r="G1500" s="8">
        <v>1</v>
      </c>
      <c r="H1500" s="8">
        <f>H1499*1.05</f>
        <v>1109.8500000000001</v>
      </c>
      <c r="I1500" s="109">
        <f>IFERROR(VLOOKUP(C1500,Resources!B:G,6,FALSE)," ")</f>
        <v>12.77</v>
      </c>
      <c r="J1500" s="109">
        <f t="shared" ref="J1500" si="2186">(H1500/(G1500/F1500))*I1500</f>
        <v>14172.784500000002</v>
      </c>
      <c r="K1500" s="8"/>
      <c r="L1500" s="8">
        <f>H1500/2000</f>
        <v>0.55492500000000011</v>
      </c>
      <c r="M1500" s="109">
        <f t="shared" ref="M1500" si="2187">IF($E1500="L",$J1500,0)</f>
        <v>0</v>
      </c>
      <c r="N1500" s="109">
        <f t="shared" ref="N1500" si="2188">IF($E1500="M",$J1500,0)</f>
        <v>0</v>
      </c>
      <c r="O1500" s="109">
        <f t="shared" ref="O1500" si="2189">IF($E1500="P",$J1500,0)</f>
        <v>0</v>
      </c>
      <c r="P1500" s="109">
        <f t="shared" ref="P1500" si="2190">IF($E1500="S",$J1500,0)</f>
        <v>14172.784500000002</v>
      </c>
      <c r="Q1500" s="109">
        <f t="shared" ref="Q1500" si="2191">SUM(M1500:P1500)</f>
        <v>14172.784500000002</v>
      </c>
      <c r="R1500" s="121">
        <v>64</v>
      </c>
      <c r="T1500" s="188"/>
    </row>
    <row r="1501" spans="1:20" x14ac:dyDescent="0.25">
      <c r="A1501" s="101"/>
      <c r="B1501" s="4"/>
      <c r="C1501" s="6"/>
      <c r="D1501" s="4"/>
      <c r="E1501" s="101" t="str">
        <f>IFERROR(VLOOKUP(C1501,Resources!B:D,3,FALSE)," ")</f>
        <v xml:space="preserve"> </v>
      </c>
      <c r="F1501" s="9"/>
      <c r="G1501" s="9"/>
      <c r="H1501" s="9"/>
      <c r="I1501" s="38" t="str">
        <f>IFERROR(VLOOKUP(C1501,Resources!B:G,6,FALSE)," ")</f>
        <v xml:space="preserve"> </v>
      </c>
      <c r="J1501" s="38"/>
      <c r="K1501" s="9"/>
      <c r="L1501" s="9"/>
      <c r="M1501" s="38"/>
      <c r="N1501" s="38"/>
      <c r="O1501" s="38"/>
      <c r="P1501" s="38"/>
      <c r="Q1501" s="38"/>
      <c r="R1501" s="122"/>
      <c r="T1501" s="188"/>
    </row>
    <row r="1502" spans="1:20" ht="30" x14ac:dyDescent="0.25">
      <c r="A1502" s="114"/>
      <c r="B1502" s="1" t="s">
        <v>670</v>
      </c>
      <c r="C1502" s="1" t="s">
        <v>403</v>
      </c>
      <c r="D1502" s="2"/>
      <c r="E1502" s="99" t="str">
        <f>IFERROR(VLOOKUP(C1502,Resources!B:D,3,FALSE)," ")</f>
        <v xml:space="preserve"> </v>
      </c>
      <c r="F1502" s="7"/>
      <c r="G1502" s="7"/>
      <c r="H1502" s="7"/>
      <c r="I1502" s="108" t="str">
        <f>IFERROR(VLOOKUP(C1502,Resources!B:G,6,FALSE)," ")</f>
        <v xml:space="preserve"> </v>
      </c>
      <c r="J1502" s="108"/>
      <c r="K1502" s="7"/>
      <c r="L1502" s="7"/>
      <c r="M1502" s="108"/>
      <c r="N1502" s="108"/>
      <c r="O1502" s="108"/>
      <c r="P1502" s="108"/>
      <c r="Q1502" s="108"/>
      <c r="R1502" s="120"/>
      <c r="T1502" s="188"/>
    </row>
    <row r="1503" spans="1:20" ht="30" x14ac:dyDescent="0.25">
      <c r="A1503" s="114"/>
      <c r="B1503" s="1" t="s">
        <v>671</v>
      </c>
      <c r="C1503" s="1" t="s">
        <v>226</v>
      </c>
      <c r="D1503" s="2"/>
      <c r="E1503" s="99" t="str">
        <f>IFERROR(VLOOKUP(C1503,Resources!B:D,3,FALSE)," ")</f>
        <v xml:space="preserve"> </v>
      </c>
      <c r="F1503" s="7"/>
      <c r="G1503" s="7"/>
      <c r="H1503" s="7"/>
      <c r="I1503" s="108" t="str">
        <f>IFERROR(VLOOKUP(C1503,Resources!B:G,6,FALSE)," ")</f>
        <v xml:space="preserve"> </v>
      </c>
      <c r="J1503" s="108"/>
      <c r="K1503" s="7"/>
      <c r="L1503" s="7"/>
      <c r="M1503" s="108"/>
      <c r="N1503" s="108"/>
      <c r="O1503" s="108"/>
      <c r="P1503" s="108"/>
      <c r="Q1503" s="108"/>
      <c r="R1503" s="120"/>
      <c r="T1503" s="188"/>
    </row>
    <row r="1504" spans="1:20" ht="30" x14ac:dyDescent="0.25">
      <c r="A1504" s="114">
        <v>199</v>
      </c>
      <c r="B1504" s="1" t="s">
        <v>672</v>
      </c>
      <c r="C1504" s="1" t="s">
        <v>228</v>
      </c>
      <c r="D1504" s="2" t="s">
        <v>82</v>
      </c>
      <c r="E1504" s="99" t="str">
        <f>IFERROR(VLOOKUP(C1504,Resources!B:D,3,FALSE)," ")</f>
        <v xml:space="preserve"> </v>
      </c>
      <c r="F1504" s="7"/>
      <c r="G1504" s="7"/>
      <c r="H1504" s="103">
        <f>VLOOKUP($A1504,'Model Inputs'!$A:$D,4,FALSE)</f>
        <v>102</v>
      </c>
      <c r="I1504" s="108" t="str">
        <f>IFERROR(VLOOKUP(C1504,Resources!B:G,6,FALSE)," ")</f>
        <v xml:space="preserve"> </v>
      </c>
      <c r="J1504" s="108">
        <f>SUBTOTAL(9,J1505)</f>
        <v>34057.800000000003</v>
      </c>
      <c r="K1504" s="7"/>
      <c r="L1504" s="7">
        <f>ROUNDUP(L1505,0)</f>
        <v>1</v>
      </c>
      <c r="M1504" s="108">
        <f t="shared" ref="M1504" si="2192">SUBTOTAL(9,M1505)</f>
        <v>0</v>
      </c>
      <c r="N1504" s="108">
        <f t="shared" ref="N1504" si="2193">SUBTOTAL(9,N1505)</f>
        <v>0</v>
      </c>
      <c r="O1504" s="108">
        <f t="shared" ref="O1504" si="2194">SUBTOTAL(9,O1505)</f>
        <v>0</v>
      </c>
      <c r="P1504" s="108">
        <f t="shared" ref="P1504" si="2195">SUBTOTAL(9,P1505)</f>
        <v>34057.800000000003</v>
      </c>
      <c r="Q1504" s="108">
        <f t="shared" ref="Q1504" si="2196">SUBTOTAL(9,Q1505)</f>
        <v>34057.800000000003</v>
      </c>
      <c r="R1504" s="120"/>
      <c r="T1504" s="188"/>
    </row>
    <row r="1505" spans="1:20" x14ac:dyDescent="0.25">
      <c r="A1505" s="100"/>
      <c r="B1505" s="3">
        <v>1</v>
      </c>
      <c r="C1505" s="5" t="s">
        <v>2240</v>
      </c>
      <c r="D1505" s="3" t="s">
        <v>82</v>
      </c>
      <c r="E1505" s="100" t="str">
        <f>IFERROR(VLOOKUP(C1505,Resources!B:D,3,FALSE)," ")</f>
        <v>S</v>
      </c>
      <c r="F1505" s="8">
        <v>1</v>
      </c>
      <c r="G1505" s="8">
        <v>1</v>
      </c>
      <c r="H1505" s="8">
        <f>H1504*1.05</f>
        <v>107.10000000000001</v>
      </c>
      <c r="I1505" s="109">
        <f>IFERROR(VLOOKUP(C1505,Resources!B:G,6,FALSE)," ")</f>
        <v>318</v>
      </c>
      <c r="J1505" s="109">
        <f t="shared" ref="J1505" si="2197">(H1505/(G1505/F1505))*I1505</f>
        <v>34057.800000000003</v>
      </c>
      <c r="K1505" s="8"/>
      <c r="L1505" s="8">
        <f>H1505/200</f>
        <v>0.53550000000000009</v>
      </c>
      <c r="M1505" s="109">
        <f t="shared" ref="M1505" si="2198">IF($E1505="L",$J1505,0)</f>
        <v>0</v>
      </c>
      <c r="N1505" s="109">
        <f t="shared" ref="N1505" si="2199">IF($E1505="M",$J1505,0)</f>
        <v>0</v>
      </c>
      <c r="O1505" s="109">
        <f t="shared" ref="O1505" si="2200">IF($E1505="P",$J1505,0)</f>
        <v>0</v>
      </c>
      <c r="P1505" s="109">
        <f t="shared" ref="P1505" si="2201">IF($E1505="S",$J1505,0)</f>
        <v>34057.800000000003</v>
      </c>
      <c r="Q1505" s="109">
        <f t="shared" ref="Q1505" si="2202">SUM(M1505:P1505)</f>
        <v>34057.800000000003</v>
      </c>
      <c r="R1505" s="121">
        <v>65</v>
      </c>
      <c r="T1505" s="188"/>
    </row>
    <row r="1506" spans="1:20" x14ac:dyDescent="0.25">
      <c r="A1506" s="101"/>
      <c r="B1506" s="4"/>
      <c r="C1506" s="6"/>
      <c r="D1506" s="4"/>
      <c r="E1506" s="101" t="str">
        <f>IFERROR(VLOOKUP(C1506,Resources!B:D,3,FALSE)," ")</f>
        <v xml:space="preserve"> </v>
      </c>
      <c r="F1506" s="9"/>
      <c r="G1506" s="9"/>
      <c r="H1506" s="9"/>
      <c r="I1506" s="38" t="str">
        <f>IFERROR(VLOOKUP(C1506,Resources!B:G,6,FALSE)," ")</f>
        <v xml:space="preserve"> </v>
      </c>
      <c r="J1506" s="38"/>
      <c r="K1506" s="9"/>
      <c r="L1506" s="9"/>
      <c r="M1506" s="38"/>
      <c r="N1506" s="38"/>
      <c r="O1506" s="38"/>
      <c r="P1506" s="38"/>
      <c r="Q1506" s="38"/>
      <c r="R1506" s="122"/>
      <c r="T1506" s="188"/>
    </row>
    <row r="1507" spans="1:20" ht="30" x14ac:dyDescent="0.25">
      <c r="A1507" s="114"/>
      <c r="B1507" s="1" t="s">
        <v>673</v>
      </c>
      <c r="C1507" s="1" t="s">
        <v>136</v>
      </c>
      <c r="D1507" s="2"/>
      <c r="E1507" s="99" t="str">
        <f>IFERROR(VLOOKUP(C1507,Resources!B:D,3,FALSE)," ")</f>
        <v xml:space="preserve"> </v>
      </c>
      <c r="F1507" s="7"/>
      <c r="G1507" s="7"/>
      <c r="H1507" s="7"/>
      <c r="I1507" s="108" t="str">
        <f>IFERROR(VLOOKUP(C1507,Resources!B:G,6,FALSE)," ")</f>
        <v xml:space="preserve"> </v>
      </c>
      <c r="J1507" s="108"/>
      <c r="K1507" s="7"/>
      <c r="L1507" s="7"/>
      <c r="M1507" s="108"/>
      <c r="N1507" s="108"/>
      <c r="O1507" s="108"/>
      <c r="P1507" s="108"/>
      <c r="Q1507" s="108"/>
      <c r="R1507" s="120"/>
      <c r="T1507" s="188"/>
    </row>
    <row r="1508" spans="1:20" ht="30" x14ac:dyDescent="0.25">
      <c r="A1508" s="114"/>
      <c r="B1508" s="1" t="s">
        <v>674</v>
      </c>
      <c r="C1508" s="1" t="s">
        <v>231</v>
      </c>
      <c r="D1508" s="2"/>
      <c r="E1508" s="99" t="str">
        <f>IFERROR(VLOOKUP(C1508,Resources!B:D,3,FALSE)," ")</f>
        <v xml:space="preserve"> </v>
      </c>
      <c r="F1508" s="7"/>
      <c r="G1508" s="7"/>
      <c r="H1508" s="7"/>
      <c r="I1508" s="108" t="str">
        <f>IFERROR(VLOOKUP(C1508,Resources!B:G,6,FALSE)," ")</f>
        <v xml:space="preserve"> </v>
      </c>
      <c r="J1508" s="108"/>
      <c r="K1508" s="7"/>
      <c r="L1508" s="7"/>
      <c r="M1508" s="108"/>
      <c r="N1508" s="108"/>
      <c r="O1508" s="108"/>
      <c r="P1508" s="108"/>
      <c r="Q1508" s="108"/>
      <c r="R1508" s="120"/>
      <c r="T1508" s="188"/>
    </row>
    <row r="1509" spans="1:20" ht="30" x14ac:dyDescent="0.25">
      <c r="A1509" s="114"/>
      <c r="B1509" s="1" t="s">
        <v>675</v>
      </c>
      <c r="C1509" s="1" t="s">
        <v>415</v>
      </c>
      <c r="D1509" s="2"/>
      <c r="E1509" s="99" t="str">
        <f>IFERROR(VLOOKUP(C1509,Resources!B:D,3,FALSE)," ")</f>
        <v xml:space="preserve"> </v>
      </c>
      <c r="F1509" s="7"/>
      <c r="G1509" s="7"/>
      <c r="H1509" s="7"/>
      <c r="I1509" s="108" t="str">
        <f>IFERROR(VLOOKUP(C1509,Resources!B:G,6,FALSE)," ")</f>
        <v xml:space="preserve"> </v>
      </c>
      <c r="J1509" s="108"/>
      <c r="K1509" s="7"/>
      <c r="L1509" s="7"/>
      <c r="M1509" s="108"/>
      <c r="N1509" s="108"/>
      <c r="O1509" s="108"/>
      <c r="P1509" s="108"/>
      <c r="Q1509" s="108"/>
      <c r="R1509" s="120"/>
      <c r="T1509" s="188"/>
    </row>
    <row r="1510" spans="1:20" ht="30" x14ac:dyDescent="0.25">
      <c r="A1510" s="114">
        <v>200</v>
      </c>
      <c r="B1510" s="1" t="s">
        <v>676</v>
      </c>
      <c r="C1510" s="1" t="s">
        <v>677</v>
      </c>
      <c r="D1510" s="2" t="s">
        <v>29</v>
      </c>
      <c r="E1510" s="99" t="str">
        <f>IFERROR(VLOOKUP(C1510,Resources!B:D,3,FALSE)," ")</f>
        <v xml:space="preserve"> </v>
      </c>
      <c r="F1510" s="7"/>
      <c r="G1510" s="7"/>
      <c r="H1510" s="103">
        <f>VLOOKUP($A1510,'Model Inputs'!$A:$D,4,FALSE)</f>
        <v>11</v>
      </c>
      <c r="I1510" s="108" t="str">
        <f>IFERROR(VLOOKUP(C1510,Resources!B:G,6,FALSE)," ")</f>
        <v xml:space="preserve"> </v>
      </c>
      <c r="J1510" s="108">
        <f>SUBTOTAL(9,J1512:J1522)</f>
        <v>5192.9866666666667</v>
      </c>
      <c r="K1510" s="7"/>
      <c r="L1510" s="7">
        <f>ROUNDUP(L1522,0)+2</f>
        <v>8</v>
      </c>
      <c r="M1510" s="108">
        <f t="shared" ref="M1510:Q1510" si="2203">SUBTOTAL(9,M1512:M1522)</f>
        <v>25.200000000000003</v>
      </c>
      <c r="N1510" s="108">
        <f t="shared" si="2203"/>
        <v>2917.7866666666669</v>
      </c>
      <c r="O1510" s="108">
        <f t="shared" si="2203"/>
        <v>138.00000000000003</v>
      </c>
      <c r="P1510" s="108">
        <f t="shared" si="2203"/>
        <v>2112</v>
      </c>
      <c r="Q1510" s="108">
        <f t="shared" si="2203"/>
        <v>5192.9866666666667</v>
      </c>
      <c r="R1510" s="120"/>
      <c r="T1510" s="188"/>
    </row>
    <row r="1511" spans="1:20" x14ac:dyDescent="0.25">
      <c r="A1511" s="101"/>
      <c r="B1511" s="4">
        <v>1</v>
      </c>
      <c r="C1511" s="6" t="s">
        <v>187</v>
      </c>
      <c r="D1511" s="4"/>
      <c r="E1511" s="101" t="str">
        <f>IFERROR(VLOOKUP(C1511,Resources!B:D,3,FALSE)," ")</f>
        <v xml:space="preserve"> </v>
      </c>
      <c r="F1511" s="9"/>
      <c r="G1511" s="9"/>
      <c r="H1511" s="9"/>
      <c r="I1511" s="38" t="str">
        <f>IFERROR(VLOOKUP(C1511,Resources!B:G,6,FALSE)," ")</f>
        <v xml:space="preserve"> </v>
      </c>
      <c r="J1511" s="38"/>
      <c r="K1511" s="9"/>
      <c r="L1511" s="9"/>
      <c r="M1511" s="38"/>
      <c r="N1511" s="38"/>
      <c r="O1511" s="38"/>
      <c r="P1511" s="38"/>
      <c r="Q1511" s="38"/>
      <c r="R1511" s="122"/>
      <c r="T1511" s="188"/>
    </row>
    <row r="1512" spans="1:20" x14ac:dyDescent="0.25">
      <c r="A1512" s="100"/>
      <c r="B1512" s="3">
        <v>2</v>
      </c>
      <c r="C1512" s="5" t="s">
        <v>85</v>
      </c>
      <c r="D1512" s="3" t="s">
        <v>86</v>
      </c>
      <c r="E1512" s="100" t="str">
        <f>IFERROR(VLOOKUP(C1512,Resources!B:D,3,FALSE)," ")</f>
        <v>M</v>
      </c>
      <c r="F1512" s="8">
        <v>1</v>
      </c>
      <c r="G1512" s="8">
        <v>1</v>
      </c>
      <c r="H1512" s="8">
        <f>H1510*6*0.125*1.1</f>
        <v>9.0750000000000011</v>
      </c>
      <c r="I1512" s="109">
        <f>IFERROR(VLOOKUP(C1512,Resources!B:G,6,FALSE)," ")</f>
        <v>192</v>
      </c>
      <c r="J1512" s="109">
        <f t="shared" ref="J1512:J1515" si="2204">(H1512/(G1512/F1512))*I1512</f>
        <v>1742.4</v>
      </c>
      <c r="K1512" s="8"/>
      <c r="L1512" s="8" t="str">
        <f t="shared" ref="L1512:L1515" si="2205">IF(E1512="M"," ",H1512/G1512)</f>
        <v xml:space="preserve"> </v>
      </c>
      <c r="M1512" s="109">
        <f t="shared" ref="M1512:M1515" si="2206">IF($E1512="L",$J1512,0)</f>
        <v>0</v>
      </c>
      <c r="N1512" s="109">
        <f t="shared" ref="N1512:N1515" si="2207">IF($E1512="M",$J1512,0)</f>
        <v>1742.4</v>
      </c>
      <c r="O1512" s="109">
        <f t="shared" ref="O1512:O1515" si="2208">IF($E1512="P",$J1512,0)</f>
        <v>0</v>
      </c>
      <c r="P1512" s="109">
        <f t="shared" ref="P1512:P1515" si="2209">IF($E1512="S",$J1512,0)</f>
        <v>0</v>
      </c>
      <c r="Q1512" s="109">
        <f t="shared" ref="Q1512:Q1515" si="2210">SUM(M1512:P1512)</f>
        <v>1742.4</v>
      </c>
      <c r="R1512" s="121" t="s">
        <v>2335</v>
      </c>
      <c r="T1512" s="188"/>
    </row>
    <row r="1513" spans="1:20" x14ac:dyDescent="0.25">
      <c r="A1513" s="100"/>
      <c r="B1513" s="3">
        <v>3</v>
      </c>
      <c r="C1513" s="5" t="s">
        <v>81</v>
      </c>
      <c r="D1513" s="3" t="s">
        <v>82</v>
      </c>
      <c r="E1513" s="100" t="str">
        <f>IFERROR(VLOOKUP(C1513,Resources!B:D,3,FALSE)," ")</f>
        <v>M</v>
      </c>
      <c r="F1513" s="8">
        <v>1</v>
      </c>
      <c r="G1513" s="8">
        <v>1</v>
      </c>
      <c r="H1513" s="8">
        <f>H1510*6*0.1*1.5</f>
        <v>9.9</v>
      </c>
      <c r="I1513" s="109">
        <f>IFERROR(VLOOKUP(C1513,Resources!B:G,6,FALSE)," ")</f>
        <v>24</v>
      </c>
      <c r="J1513" s="109">
        <f t="shared" si="2204"/>
        <v>237.60000000000002</v>
      </c>
      <c r="K1513" s="8"/>
      <c r="L1513" s="8" t="str">
        <f t="shared" si="2205"/>
        <v xml:space="preserve"> </v>
      </c>
      <c r="M1513" s="109">
        <f t="shared" si="2206"/>
        <v>0</v>
      </c>
      <c r="N1513" s="109">
        <f t="shared" si="2207"/>
        <v>237.60000000000002</v>
      </c>
      <c r="O1513" s="109">
        <f t="shared" si="2208"/>
        <v>0</v>
      </c>
      <c r="P1513" s="109">
        <f t="shared" si="2209"/>
        <v>0</v>
      </c>
      <c r="Q1513" s="109">
        <f t="shared" si="2210"/>
        <v>237.60000000000002</v>
      </c>
      <c r="R1513" s="121" t="s">
        <v>2341</v>
      </c>
      <c r="T1513" s="188"/>
    </row>
    <row r="1514" spans="1:20" x14ac:dyDescent="0.25">
      <c r="A1514" s="100"/>
      <c r="B1514" s="3">
        <v>4</v>
      </c>
      <c r="C1514" s="5" t="s">
        <v>189</v>
      </c>
      <c r="D1514" s="3" t="s">
        <v>83</v>
      </c>
      <c r="E1514" s="100" t="str">
        <f>IFERROR(VLOOKUP(C1514,Resources!B:D,3,FALSE)," ")</f>
        <v>M</v>
      </c>
      <c r="F1514" s="8">
        <v>1</v>
      </c>
      <c r="G1514" s="8">
        <v>1</v>
      </c>
      <c r="H1514" s="8">
        <f>H1510*6*1.2</f>
        <v>79.2</v>
      </c>
      <c r="I1514" s="109">
        <f>IFERROR(VLOOKUP(C1514,Resources!B:G,6,FALSE)," ")</f>
        <v>9.1</v>
      </c>
      <c r="J1514" s="109">
        <f t="shared" si="2204"/>
        <v>720.72</v>
      </c>
      <c r="K1514" s="8"/>
      <c r="L1514" s="8" t="str">
        <f t="shared" si="2205"/>
        <v xml:space="preserve"> </v>
      </c>
      <c r="M1514" s="109">
        <f t="shared" si="2206"/>
        <v>0</v>
      </c>
      <c r="N1514" s="109">
        <f t="shared" si="2207"/>
        <v>720.72</v>
      </c>
      <c r="O1514" s="109">
        <f t="shared" si="2208"/>
        <v>0</v>
      </c>
      <c r="P1514" s="109">
        <f t="shared" si="2209"/>
        <v>0</v>
      </c>
      <c r="Q1514" s="109">
        <f t="shared" si="2210"/>
        <v>720.72</v>
      </c>
      <c r="R1514" s="121" t="s">
        <v>2343</v>
      </c>
      <c r="T1514" s="188"/>
    </row>
    <row r="1515" spans="1:20" x14ac:dyDescent="0.25">
      <c r="A1515" s="100"/>
      <c r="B1515" s="3">
        <v>5</v>
      </c>
      <c r="C1515" s="5" t="s">
        <v>190</v>
      </c>
      <c r="D1515" s="3" t="s">
        <v>89</v>
      </c>
      <c r="E1515" s="100" t="str">
        <f>IFERROR(VLOOKUP(C1515,Resources!B:D,3,FALSE)," ")</f>
        <v>M</v>
      </c>
      <c r="F1515" s="8">
        <v>1</v>
      </c>
      <c r="G1515" s="8">
        <v>1</v>
      </c>
      <c r="H1515" s="8">
        <f>H1510*6*1.2/1.5</f>
        <v>52.800000000000004</v>
      </c>
      <c r="I1515" s="109">
        <f>IFERROR(VLOOKUP(C1515,Resources!B:G,6,FALSE)," ")</f>
        <v>3</v>
      </c>
      <c r="J1515" s="109">
        <f t="shared" si="2204"/>
        <v>158.4</v>
      </c>
      <c r="K1515" s="8"/>
      <c r="L1515" s="8" t="str">
        <f t="shared" si="2205"/>
        <v xml:space="preserve"> </v>
      </c>
      <c r="M1515" s="109">
        <f t="shared" si="2206"/>
        <v>0</v>
      </c>
      <c r="N1515" s="109">
        <f t="shared" si="2207"/>
        <v>158.4</v>
      </c>
      <c r="O1515" s="109">
        <f t="shared" si="2208"/>
        <v>0</v>
      </c>
      <c r="P1515" s="109">
        <f t="shared" si="2209"/>
        <v>0</v>
      </c>
      <c r="Q1515" s="109">
        <f t="shared" si="2210"/>
        <v>158.4</v>
      </c>
      <c r="R1515" s="121" t="s">
        <v>2343</v>
      </c>
      <c r="T1515" s="188"/>
    </row>
    <row r="1516" spans="1:20" x14ac:dyDescent="0.25">
      <c r="A1516" s="101"/>
      <c r="B1516" s="4">
        <v>6</v>
      </c>
      <c r="C1516" s="6" t="s">
        <v>191</v>
      </c>
      <c r="D1516" s="4"/>
      <c r="E1516" s="101" t="str">
        <f>IFERROR(VLOOKUP(C1516,Resources!B:D,3,FALSE)," ")</f>
        <v xml:space="preserve"> </v>
      </c>
      <c r="F1516" s="9"/>
      <c r="G1516" s="9"/>
      <c r="H1516" s="9"/>
      <c r="I1516" s="38" t="str">
        <f>IFERROR(VLOOKUP(C1516,Resources!B:G,6,FALSE)," ")</f>
        <v xml:space="preserve"> </v>
      </c>
      <c r="J1516" s="38"/>
      <c r="K1516" s="9"/>
      <c r="L1516" s="9"/>
      <c r="M1516" s="38"/>
      <c r="N1516" s="38"/>
      <c r="O1516" s="38"/>
      <c r="P1516" s="38"/>
      <c r="Q1516" s="38"/>
      <c r="R1516" s="122"/>
      <c r="T1516" s="188"/>
    </row>
    <row r="1517" spans="1:20" x14ac:dyDescent="0.25">
      <c r="A1517" s="100">
        <v>200.1</v>
      </c>
      <c r="B1517" s="3">
        <v>7</v>
      </c>
      <c r="C1517" s="5" t="s">
        <v>63</v>
      </c>
      <c r="D1517" s="3" t="s">
        <v>48</v>
      </c>
      <c r="E1517" s="100" t="str">
        <f>IFERROR(VLOOKUP(C1517,Resources!B:D,3,FALSE)," ")</f>
        <v>P</v>
      </c>
      <c r="F1517" s="8">
        <v>1</v>
      </c>
      <c r="G1517" s="103">
        <f>VLOOKUP($A1517,'Model Inputs'!$A:$D,4,FALSE)</f>
        <v>11</v>
      </c>
      <c r="H1517" s="8">
        <f>H1510*6*0.1</f>
        <v>6.6000000000000005</v>
      </c>
      <c r="I1517" s="109">
        <f>IFERROR(VLOOKUP(C1517,Resources!B:G,6,FALSE)," ")</f>
        <v>135</v>
      </c>
      <c r="J1517" s="109">
        <f t="shared" ref="J1517:J1519" si="2211">(H1517/(G1517/F1517))*I1517</f>
        <v>81.000000000000014</v>
      </c>
      <c r="K1517" s="8">
        <f t="shared" ref="K1517:K1519" si="2212">L1517*F1517</f>
        <v>0.60000000000000009</v>
      </c>
      <c r="L1517" s="8">
        <f t="shared" ref="L1517:L1519" si="2213">IF(E1517="M"," ",H1517/G1517)</f>
        <v>0.60000000000000009</v>
      </c>
      <c r="M1517" s="109">
        <f t="shared" ref="M1517:M1519" si="2214">IF($E1517="L",$J1517,0)</f>
        <v>0</v>
      </c>
      <c r="N1517" s="109">
        <f t="shared" ref="N1517:N1519" si="2215">IF($E1517="M",$J1517,0)</f>
        <v>0</v>
      </c>
      <c r="O1517" s="109">
        <f t="shared" ref="O1517:O1519" si="2216">IF($E1517="P",$J1517,0)</f>
        <v>81.000000000000014</v>
      </c>
      <c r="P1517" s="109">
        <f t="shared" ref="P1517:P1519" si="2217">IF($E1517="S",$J1517,0)</f>
        <v>0</v>
      </c>
      <c r="Q1517" s="109">
        <f t="shared" ref="Q1517:Q1519" si="2218">SUM(M1517:P1517)</f>
        <v>81.000000000000014</v>
      </c>
      <c r="R1517" s="121">
        <v>71</v>
      </c>
      <c r="T1517" s="188"/>
    </row>
    <row r="1518" spans="1:20" x14ac:dyDescent="0.25">
      <c r="A1518" s="100"/>
      <c r="B1518" s="3">
        <v>8</v>
      </c>
      <c r="C1518" s="5" t="s">
        <v>173</v>
      </c>
      <c r="D1518" s="3" t="s">
        <v>48</v>
      </c>
      <c r="E1518" s="100" t="str">
        <f>IFERROR(VLOOKUP(C1518,Resources!B:D,3,FALSE)," ")</f>
        <v>P</v>
      </c>
      <c r="F1518" s="8">
        <v>1</v>
      </c>
      <c r="G1518" s="8">
        <f>G1517</f>
        <v>11</v>
      </c>
      <c r="H1518" s="8">
        <f>H1517</f>
        <v>6.6000000000000005</v>
      </c>
      <c r="I1518" s="109">
        <f>IFERROR(VLOOKUP(C1518,Resources!B:G,6,FALSE)," ")</f>
        <v>95</v>
      </c>
      <c r="J1518" s="109">
        <f t="shared" si="2211"/>
        <v>57.000000000000007</v>
      </c>
      <c r="K1518" s="8">
        <f t="shared" si="2212"/>
        <v>0.60000000000000009</v>
      </c>
      <c r="L1518" s="8">
        <f t="shared" si="2213"/>
        <v>0.60000000000000009</v>
      </c>
      <c r="M1518" s="109">
        <f t="shared" si="2214"/>
        <v>0</v>
      </c>
      <c r="N1518" s="109">
        <f t="shared" si="2215"/>
        <v>0</v>
      </c>
      <c r="O1518" s="109">
        <f t="shared" si="2216"/>
        <v>57.000000000000007</v>
      </c>
      <c r="P1518" s="109">
        <f t="shared" si="2217"/>
        <v>0</v>
      </c>
      <c r="Q1518" s="109">
        <f t="shared" si="2218"/>
        <v>57.000000000000007</v>
      </c>
      <c r="R1518" s="121">
        <v>71</v>
      </c>
      <c r="T1518" s="188"/>
    </row>
    <row r="1519" spans="1:20" x14ac:dyDescent="0.25">
      <c r="A1519" s="100"/>
      <c r="B1519" s="3">
        <v>9</v>
      </c>
      <c r="C1519" s="5" t="s">
        <v>8</v>
      </c>
      <c r="D1519" s="3" t="s">
        <v>48</v>
      </c>
      <c r="E1519" s="100" t="str">
        <f>IFERROR(VLOOKUP(C1519,Resources!B:D,3,FALSE)," ")</f>
        <v>L</v>
      </c>
      <c r="F1519" s="8">
        <v>1</v>
      </c>
      <c r="G1519" s="8">
        <f>G1517</f>
        <v>11</v>
      </c>
      <c r="H1519" s="8">
        <f>H1517</f>
        <v>6.6000000000000005</v>
      </c>
      <c r="I1519" s="109">
        <f>IFERROR(VLOOKUP(C1519,Resources!B:G,6,FALSE)," ")</f>
        <v>42</v>
      </c>
      <c r="J1519" s="109">
        <f t="shared" si="2211"/>
        <v>25.200000000000003</v>
      </c>
      <c r="K1519" s="8">
        <f t="shared" si="2212"/>
        <v>0.60000000000000009</v>
      </c>
      <c r="L1519" s="8">
        <f t="shared" si="2213"/>
        <v>0.60000000000000009</v>
      </c>
      <c r="M1519" s="109">
        <f t="shared" si="2214"/>
        <v>25.200000000000003</v>
      </c>
      <c r="N1519" s="109">
        <f t="shared" si="2215"/>
        <v>0</v>
      </c>
      <c r="O1519" s="109">
        <f t="shared" si="2216"/>
        <v>0</v>
      </c>
      <c r="P1519" s="109">
        <f t="shared" si="2217"/>
        <v>0</v>
      </c>
      <c r="Q1519" s="109">
        <f t="shared" si="2218"/>
        <v>25.200000000000003</v>
      </c>
      <c r="R1519" s="121">
        <v>71</v>
      </c>
      <c r="T1519" s="188"/>
    </row>
    <row r="1520" spans="1:20" x14ac:dyDescent="0.25">
      <c r="A1520" s="101"/>
      <c r="B1520" s="4">
        <v>10</v>
      </c>
      <c r="C1520" s="6" t="s">
        <v>192</v>
      </c>
      <c r="D1520" s="4"/>
      <c r="E1520" s="101" t="str">
        <f>IFERROR(VLOOKUP(C1520,Resources!B:D,3,FALSE)," ")</f>
        <v xml:space="preserve"> </v>
      </c>
      <c r="F1520" s="9"/>
      <c r="G1520" s="9"/>
      <c r="H1520" s="9"/>
      <c r="I1520" s="38" t="str">
        <f>IFERROR(VLOOKUP(C1520,Resources!B:G,6,FALSE)," ")</f>
        <v xml:space="preserve"> </v>
      </c>
      <c r="J1520" s="38"/>
      <c r="K1520" s="9"/>
      <c r="L1520" s="9"/>
      <c r="M1520" s="38"/>
      <c r="N1520" s="38"/>
      <c r="O1520" s="38"/>
      <c r="P1520" s="38"/>
      <c r="Q1520" s="38"/>
      <c r="R1520" s="122"/>
      <c r="T1520" s="188"/>
    </row>
    <row r="1521" spans="1:20" x14ac:dyDescent="0.25">
      <c r="A1521" s="100"/>
      <c r="B1521" s="3">
        <v>11</v>
      </c>
      <c r="C1521" s="5" t="s">
        <v>84</v>
      </c>
      <c r="D1521" s="3" t="s">
        <v>29</v>
      </c>
      <c r="E1521" s="100" t="str">
        <f>IFERROR(VLOOKUP(C1521,Resources!B:D,3,FALSE)," ")</f>
        <v>M</v>
      </c>
      <c r="F1521" s="8">
        <v>1</v>
      </c>
      <c r="G1521" s="8">
        <v>1</v>
      </c>
      <c r="H1521" s="8">
        <f>H1510*6/0.9</f>
        <v>73.333333333333329</v>
      </c>
      <c r="I1521" s="109">
        <f>IFERROR(VLOOKUP(C1521,Resources!B:G,6,FALSE)," ")</f>
        <v>0.8</v>
      </c>
      <c r="J1521" s="109">
        <f t="shared" ref="J1521:J1522" si="2219">(H1521/(G1521/F1521))*I1521</f>
        <v>58.666666666666664</v>
      </c>
      <c r="K1521" s="8"/>
      <c r="L1521" s="8" t="str">
        <f t="shared" ref="L1521" si="2220">IF(E1521="M"," ",H1521/G1521)</f>
        <v xml:space="preserve"> </v>
      </c>
      <c r="M1521" s="109">
        <f t="shared" ref="M1521:M1522" si="2221">IF($E1521="L",$J1521,0)</f>
        <v>0</v>
      </c>
      <c r="N1521" s="109">
        <f t="shared" ref="N1521:N1522" si="2222">IF($E1521="M",$J1521,0)</f>
        <v>58.666666666666664</v>
      </c>
      <c r="O1521" s="109">
        <f t="shared" ref="O1521:O1522" si="2223">IF($E1521="P",$J1521,0)</f>
        <v>0</v>
      </c>
      <c r="P1521" s="109">
        <f t="shared" ref="P1521:P1522" si="2224">IF($E1521="S",$J1521,0)</f>
        <v>0</v>
      </c>
      <c r="Q1521" s="109">
        <f t="shared" ref="Q1521:Q1522" si="2225">SUM(M1521:P1521)</f>
        <v>58.666666666666664</v>
      </c>
      <c r="R1521" s="121" t="s">
        <v>2343</v>
      </c>
      <c r="T1521" s="188"/>
    </row>
    <row r="1522" spans="1:20" x14ac:dyDescent="0.25">
      <c r="A1522" s="100"/>
      <c r="B1522" s="3">
        <v>12</v>
      </c>
      <c r="C1522" s="5" t="s">
        <v>193</v>
      </c>
      <c r="D1522" s="3" t="s">
        <v>83</v>
      </c>
      <c r="E1522" s="100" t="str">
        <f>IFERROR(VLOOKUP(C1522,Resources!B:D,3,FALSE)," ")</f>
        <v>S</v>
      </c>
      <c r="F1522" s="8">
        <v>1</v>
      </c>
      <c r="G1522" s="8">
        <v>1</v>
      </c>
      <c r="H1522" s="8">
        <f>H1510*6</f>
        <v>66</v>
      </c>
      <c r="I1522" s="109">
        <f>IFERROR(VLOOKUP(C1522,Resources!B:G,6,FALSE)," ")</f>
        <v>32</v>
      </c>
      <c r="J1522" s="109">
        <f t="shared" si="2219"/>
        <v>2112</v>
      </c>
      <c r="K1522" s="8"/>
      <c r="L1522" s="8">
        <f>H1510/2</f>
        <v>5.5</v>
      </c>
      <c r="M1522" s="109">
        <f t="shared" si="2221"/>
        <v>0</v>
      </c>
      <c r="N1522" s="109">
        <f t="shared" si="2222"/>
        <v>0</v>
      </c>
      <c r="O1522" s="109">
        <f t="shared" si="2223"/>
        <v>0</v>
      </c>
      <c r="P1522" s="109">
        <f t="shared" si="2224"/>
        <v>2112</v>
      </c>
      <c r="Q1522" s="109">
        <f t="shared" si="2225"/>
        <v>2112</v>
      </c>
      <c r="R1522" s="121">
        <v>71</v>
      </c>
      <c r="T1522" s="188"/>
    </row>
    <row r="1523" spans="1:20" x14ac:dyDescent="0.25">
      <c r="A1523" s="101"/>
      <c r="B1523" s="4"/>
      <c r="C1523" s="6"/>
      <c r="D1523" s="4"/>
      <c r="E1523" s="101" t="str">
        <f>IFERROR(VLOOKUP(C1523,Resources!B:D,3,FALSE)," ")</f>
        <v xml:space="preserve"> </v>
      </c>
      <c r="F1523" s="9"/>
      <c r="G1523" s="9"/>
      <c r="H1523" s="9"/>
      <c r="I1523" s="38" t="str">
        <f>IFERROR(VLOOKUP(C1523,Resources!B:G,6,FALSE)," ")</f>
        <v xml:space="preserve"> </v>
      </c>
      <c r="J1523" s="38"/>
      <c r="K1523" s="9"/>
      <c r="L1523" s="9"/>
      <c r="M1523" s="38"/>
      <c r="N1523" s="38"/>
      <c r="O1523" s="38"/>
      <c r="P1523" s="38"/>
      <c r="Q1523" s="38"/>
      <c r="R1523" s="122"/>
      <c r="T1523" s="188"/>
    </row>
    <row r="1524" spans="1:20" ht="30" x14ac:dyDescent="0.25">
      <c r="A1524" s="114">
        <v>201</v>
      </c>
      <c r="B1524" s="1" t="s">
        <v>678</v>
      </c>
      <c r="C1524" s="1" t="s">
        <v>679</v>
      </c>
      <c r="D1524" s="2" t="s">
        <v>107</v>
      </c>
      <c r="E1524" s="99" t="str">
        <f>IFERROR(VLOOKUP(C1524,Resources!B:D,3,FALSE)," ")</f>
        <v xml:space="preserve"> </v>
      </c>
      <c r="F1524" s="7"/>
      <c r="G1524" s="7"/>
      <c r="H1524" s="103">
        <f>VLOOKUP($A1524,'Model Inputs'!$A:$D,4,FALSE)</f>
        <v>93</v>
      </c>
      <c r="I1524" s="108" t="str">
        <f>IFERROR(VLOOKUP(C1524,Resources!B:G,6,FALSE)," ")</f>
        <v xml:space="preserve"> </v>
      </c>
      <c r="J1524" s="108">
        <f>SUBTOTAL(9,J1526:J1536)</f>
        <v>6624.2866666666669</v>
      </c>
      <c r="K1524" s="7"/>
      <c r="L1524" s="7">
        <f>ROUNDUP(L1536,0)+2</f>
        <v>4</v>
      </c>
      <c r="M1524" s="108">
        <f t="shared" ref="M1524:Q1524" si="2226">SUBTOTAL(9,M1526:M1536)</f>
        <v>39.06</v>
      </c>
      <c r="N1524" s="108">
        <f t="shared" si="2226"/>
        <v>3395.3266666666668</v>
      </c>
      <c r="O1524" s="108">
        <f t="shared" si="2226"/>
        <v>213.90000000000003</v>
      </c>
      <c r="P1524" s="108">
        <f t="shared" si="2226"/>
        <v>2976</v>
      </c>
      <c r="Q1524" s="108">
        <f t="shared" si="2226"/>
        <v>6624.2866666666669</v>
      </c>
      <c r="R1524" s="120"/>
      <c r="T1524" s="188"/>
    </row>
    <row r="1525" spans="1:20" x14ac:dyDescent="0.25">
      <c r="A1525" s="101"/>
      <c r="B1525" s="4">
        <v>1</v>
      </c>
      <c r="C1525" s="6" t="s">
        <v>187</v>
      </c>
      <c r="D1525" s="4"/>
      <c r="E1525" s="101" t="str">
        <f>IFERROR(VLOOKUP(C1525,Resources!B:D,3,FALSE)," ")</f>
        <v xml:space="preserve"> </v>
      </c>
      <c r="F1525" s="9"/>
      <c r="G1525" s="9"/>
      <c r="H1525" s="9"/>
      <c r="I1525" s="38" t="str">
        <f>IFERROR(VLOOKUP(C1525,Resources!B:G,6,FALSE)," ")</f>
        <v xml:space="preserve"> </v>
      </c>
      <c r="J1525" s="38"/>
      <c r="K1525" s="9"/>
      <c r="L1525" s="9"/>
      <c r="M1525" s="38"/>
      <c r="N1525" s="38"/>
      <c r="O1525" s="38"/>
      <c r="P1525" s="38"/>
      <c r="Q1525" s="38"/>
      <c r="R1525" s="122"/>
      <c r="T1525" s="188"/>
    </row>
    <row r="1526" spans="1:20" x14ac:dyDescent="0.25">
      <c r="A1526" s="100"/>
      <c r="B1526" s="3">
        <v>2</v>
      </c>
      <c r="C1526" s="5" t="s">
        <v>188</v>
      </c>
      <c r="D1526" s="3" t="s">
        <v>86</v>
      </c>
      <c r="E1526" s="100" t="str">
        <f>IFERROR(VLOOKUP(C1526,Resources!B:D,3,FALSE)," ")</f>
        <v>M</v>
      </c>
      <c r="F1526" s="8">
        <v>1</v>
      </c>
      <c r="G1526" s="8">
        <v>1</v>
      </c>
      <c r="H1526" s="8">
        <f>H1524*0.1*1.1</f>
        <v>10.230000000000002</v>
      </c>
      <c r="I1526" s="109">
        <f>IFERROR(VLOOKUP(C1526,Resources!B:G,6,FALSE)," ")</f>
        <v>170</v>
      </c>
      <c r="J1526" s="109">
        <f t="shared" ref="J1526:J1529" si="2227">(H1526/(G1526/F1526))*I1526</f>
        <v>1739.1000000000004</v>
      </c>
      <c r="K1526" s="8"/>
      <c r="L1526" s="8" t="str">
        <f t="shared" ref="L1526:L1529" si="2228">IF(E1526="M"," ",H1526/G1526)</f>
        <v xml:space="preserve"> </v>
      </c>
      <c r="M1526" s="109">
        <f t="shared" ref="M1526:M1529" si="2229">IF($E1526="L",$J1526,0)</f>
        <v>0</v>
      </c>
      <c r="N1526" s="109">
        <f t="shared" ref="N1526:N1529" si="2230">IF($E1526="M",$J1526,0)</f>
        <v>1739.1000000000004</v>
      </c>
      <c r="O1526" s="109">
        <f t="shared" ref="O1526:O1529" si="2231">IF($E1526="P",$J1526,0)</f>
        <v>0</v>
      </c>
      <c r="P1526" s="109">
        <f t="shared" ref="P1526:P1529" si="2232">IF($E1526="S",$J1526,0)</f>
        <v>0</v>
      </c>
      <c r="Q1526" s="109">
        <f t="shared" ref="Q1526:Q1529" si="2233">SUM(M1526:P1526)</f>
        <v>1739.1000000000004</v>
      </c>
      <c r="R1526" s="121" t="s">
        <v>2334</v>
      </c>
      <c r="T1526" s="188"/>
    </row>
    <row r="1527" spans="1:20" x14ac:dyDescent="0.25">
      <c r="A1527" s="100"/>
      <c r="B1527" s="3">
        <v>3</v>
      </c>
      <c r="C1527" s="5" t="s">
        <v>81</v>
      </c>
      <c r="D1527" s="3" t="s">
        <v>82</v>
      </c>
      <c r="E1527" s="100" t="str">
        <f>IFERROR(VLOOKUP(C1527,Resources!B:D,3,FALSE)," ")</f>
        <v>M</v>
      </c>
      <c r="F1527" s="8">
        <v>1</v>
      </c>
      <c r="G1527" s="8">
        <v>1</v>
      </c>
      <c r="H1527" s="8">
        <f>H1524*0.1*1.5</f>
        <v>13.950000000000001</v>
      </c>
      <c r="I1527" s="109">
        <f>IFERROR(VLOOKUP(C1527,Resources!B:G,6,FALSE)," ")</f>
        <v>24</v>
      </c>
      <c r="J1527" s="109">
        <f t="shared" si="2227"/>
        <v>334.8</v>
      </c>
      <c r="K1527" s="8"/>
      <c r="L1527" s="8" t="str">
        <f t="shared" si="2228"/>
        <v xml:space="preserve"> </v>
      </c>
      <c r="M1527" s="109">
        <f t="shared" si="2229"/>
        <v>0</v>
      </c>
      <c r="N1527" s="109">
        <f t="shared" si="2230"/>
        <v>334.8</v>
      </c>
      <c r="O1527" s="109">
        <f t="shared" si="2231"/>
        <v>0</v>
      </c>
      <c r="P1527" s="109">
        <f t="shared" si="2232"/>
        <v>0</v>
      </c>
      <c r="Q1527" s="109">
        <f t="shared" si="2233"/>
        <v>334.8</v>
      </c>
      <c r="R1527" s="121" t="s">
        <v>2341</v>
      </c>
      <c r="T1527" s="188"/>
    </row>
    <row r="1528" spans="1:20" x14ac:dyDescent="0.25">
      <c r="A1528" s="100"/>
      <c r="B1528" s="3">
        <v>4</v>
      </c>
      <c r="C1528" s="5" t="s">
        <v>189</v>
      </c>
      <c r="D1528" s="3" t="s">
        <v>83</v>
      </c>
      <c r="E1528" s="100" t="str">
        <f>IFERROR(VLOOKUP(C1528,Resources!B:D,3,FALSE)," ")</f>
        <v>M</v>
      </c>
      <c r="F1528" s="8">
        <v>1</v>
      </c>
      <c r="G1528" s="8">
        <v>1</v>
      </c>
      <c r="H1528" s="8">
        <f>H1524*1.2</f>
        <v>111.6</v>
      </c>
      <c r="I1528" s="109">
        <f>IFERROR(VLOOKUP(C1528,Resources!B:G,6,FALSE)," ")</f>
        <v>9.1</v>
      </c>
      <c r="J1528" s="109">
        <f t="shared" si="2227"/>
        <v>1015.56</v>
      </c>
      <c r="K1528" s="8"/>
      <c r="L1528" s="8" t="str">
        <f t="shared" si="2228"/>
        <v xml:space="preserve"> </v>
      </c>
      <c r="M1528" s="109">
        <f t="shared" si="2229"/>
        <v>0</v>
      </c>
      <c r="N1528" s="109">
        <f t="shared" si="2230"/>
        <v>1015.56</v>
      </c>
      <c r="O1528" s="109">
        <f t="shared" si="2231"/>
        <v>0</v>
      </c>
      <c r="P1528" s="109">
        <f t="shared" si="2232"/>
        <v>0</v>
      </c>
      <c r="Q1528" s="109">
        <f t="shared" si="2233"/>
        <v>1015.56</v>
      </c>
      <c r="R1528" s="121" t="s">
        <v>2343</v>
      </c>
      <c r="T1528" s="188"/>
    </row>
    <row r="1529" spans="1:20" x14ac:dyDescent="0.25">
      <c r="A1529" s="100"/>
      <c r="B1529" s="3">
        <v>5</v>
      </c>
      <c r="C1529" s="5" t="s">
        <v>190</v>
      </c>
      <c r="D1529" s="3" t="s">
        <v>89</v>
      </c>
      <c r="E1529" s="100" t="str">
        <f>IFERROR(VLOOKUP(C1529,Resources!B:D,3,FALSE)," ")</f>
        <v>M</v>
      </c>
      <c r="F1529" s="8">
        <v>1</v>
      </c>
      <c r="G1529" s="8">
        <v>1</v>
      </c>
      <c r="H1529" s="8">
        <f>H1524*1.2/1.5</f>
        <v>74.399999999999991</v>
      </c>
      <c r="I1529" s="109">
        <f>IFERROR(VLOOKUP(C1529,Resources!B:G,6,FALSE)," ")</f>
        <v>3</v>
      </c>
      <c r="J1529" s="109">
        <f t="shared" si="2227"/>
        <v>223.2</v>
      </c>
      <c r="K1529" s="8"/>
      <c r="L1529" s="8" t="str">
        <f t="shared" si="2228"/>
        <v xml:space="preserve"> </v>
      </c>
      <c r="M1529" s="109">
        <f t="shared" si="2229"/>
        <v>0</v>
      </c>
      <c r="N1529" s="109">
        <f t="shared" si="2230"/>
        <v>223.2</v>
      </c>
      <c r="O1529" s="109">
        <f t="shared" si="2231"/>
        <v>0</v>
      </c>
      <c r="P1529" s="109">
        <f t="shared" si="2232"/>
        <v>0</v>
      </c>
      <c r="Q1529" s="109">
        <f t="shared" si="2233"/>
        <v>223.2</v>
      </c>
      <c r="R1529" s="121" t="s">
        <v>2343</v>
      </c>
      <c r="T1529" s="188"/>
    </row>
    <row r="1530" spans="1:20" x14ac:dyDescent="0.25">
      <c r="A1530" s="101"/>
      <c r="B1530" s="4">
        <v>6</v>
      </c>
      <c r="C1530" s="6" t="s">
        <v>191</v>
      </c>
      <c r="D1530" s="4"/>
      <c r="E1530" s="101" t="str">
        <f>IFERROR(VLOOKUP(C1530,Resources!B:D,3,FALSE)," ")</f>
        <v xml:space="preserve"> </v>
      </c>
      <c r="F1530" s="9"/>
      <c r="G1530" s="9"/>
      <c r="H1530" s="9"/>
      <c r="I1530" s="38" t="str">
        <f>IFERROR(VLOOKUP(C1530,Resources!B:G,6,FALSE)," ")</f>
        <v xml:space="preserve"> </v>
      </c>
      <c r="J1530" s="38"/>
      <c r="K1530" s="9"/>
      <c r="L1530" s="9"/>
      <c r="M1530" s="38"/>
      <c r="N1530" s="38"/>
      <c r="O1530" s="38"/>
      <c r="P1530" s="38"/>
      <c r="Q1530" s="38"/>
      <c r="R1530" s="122"/>
      <c r="T1530" s="188"/>
    </row>
    <row r="1531" spans="1:20" x14ac:dyDescent="0.25">
      <c r="A1531" s="100">
        <v>201.1</v>
      </c>
      <c r="B1531" s="3">
        <v>7</v>
      </c>
      <c r="C1531" s="5" t="s">
        <v>63</v>
      </c>
      <c r="D1531" s="3" t="s">
        <v>48</v>
      </c>
      <c r="E1531" s="100" t="str">
        <f>IFERROR(VLOOKUP(C1531,Resources!B:D,3,FALSE)," ")</f>
        <v>P</v>
      </c>
      <c r="F1531" s="8">
        <v>1</v>
      </c>
      <c r="G1531" s="103">
        <f>VLOOKUP($A1531,'Model Inputs'!$A:$D,4,FALSE)</f>
        <v>10</v>
      </c>
      <c r="H1531" s="8">
        <f>H1524*0.1</f>
        <v>9.3000000000000007</v>
      </c>
      <c r="I1531" s="109">
        <f>IFERROR(VLOOKUP(C1531,Resources!B:G,6,FALSE)," ")</f>
        <v>135</v>
      </c>
      <c r="J1531" s="109">
        <f t="shared" ref="J1531:J1533" si="2234">(H1531/(G1531/F1531))*I1531</f>
        <v>125.55000000000001</v>
      </c>
      <c r="K1531" s="8">
        <f t="shared" ref="K1531:K1533" si="2235">L1531*F1531</f>
        <v>0.93</v>
      </c>
      <c r="L1531" s="8">
        <f t="shared" ref="L1531:L1533" si="2236">IF(E1531="M"," ",H1531/G1531)</f>
        <v>0.93</v>
      </c>
      <c r="M1531" s="109">
        <f t="shared" ref="M1531:M1533" si="2237">IF($E1531="L",$J1531,0)</f>
        <v>0</v>
      </c>
      <c r="N1531" s="109">
        <f t="shared" ref="N1531:N1533" si="2238">IF($E1531="M",$J1531,0)</f>
        <v>0</v>
      </c>
      <c r="O1531" s="109">
        <f t="shared" ref="O1531:O1533" si="2239">IF($E1531="P",$J1531,0)</f>
        <v>125.55000000000001</v>
      </c>
      <c r="P1531" s="109">
        <f t="shared" ref="P1531:P1533" si="2240">IF($E1531="S",$J1531,0)</f>
        <v>0</v>
      </c>
      <c r="Q1531" s="109">
        <f t="shared" ref="Q1531:Q1533" si="2241">SUM(M1531:P1531)</f>
        <v>125.55000000000001</v>
      </c>
      <c r="R1531" s="121">
        <v>71</v>
      </c>
      <c r="T1531" s="188"/>
    </row>
    <row r="1532" spans="1:20" x14ac:dyDescent="0.25">
      <c r="A1532" s="100"/>
      <c r="B1532" s="3">
        <v>8</v>
      </c>
      <c r="C1532" s="5" t="s">
        <v>173</v>
      </c>
      <c r="D1532" s="3" t="s">
        <v>48</v>
      </c>
      <c r="E1532" s="100" t="str">
        <f>IFERROR(VLOOKUP(C1532,Resources!B:D,3,FALSE)," ")</f>
        <v>P</v>
      </c>
      <c r="F1532" s="8">
        <v>1</v>
      </c>
      <c r="G1532" s="8">
        <f>G1531</f>
        <v>10</v>
      </c>
      <c r="H1532" s="8">
        <f>H1531</f>
        <v>9.3000000000000007</v>
      </c>
      <c r="I1532" s="109">
        <f>IFERROR(VLOOKUP(C1532,Resources!B:G,6,FALSE)," ")</f>
        <v>95</v>
      </c>
      <c r="J1532" s="109">
        <f t="shared" si="2234"/>
        <v>88.350000000000009</v>
      </c>
      <c r="K1532" s="8">
        <f t="shared" si="2235"/>
        <v>0.93</v>
      </c>
      <c r="L1532" s="8">
        <f t="shared" si="2236"/>
        <v>0.93</v>
      </c>
      <c r="M1532" s="109">
        <f t="shared" si="2237"/>
        <v>0</v>
      </c>
      <c r="N1532" s="109">
        <f t="shared" si="2238"/>
        <v>0</v>
      </c>
      <c r="O1532" s="109">
        <f t="shared" si="2239"/>
        <v>88.350000000000009</v>
      </c>
      <c r="P1532" s="109">
        <f t="shared" si="2240"/>
        <v>0</v>
      </c>
      <c r="Q1532" s="109">
        <f t="shared" si="2241"/>
        <v>88.350000000000009</v>
      </c>
      <c r="R1532" s="121">
        <v>71</v>
      </c>
      <c r="T1532" s="188"/>
    </row>
    <row r="1533" spans="1:20" x14ac:dyDescent="0.25">
      <c r="A1533" s="100"/>
      <c r="B1533" s="3">
        <v>9</v>
      </c>
      <c r="C1533" s="5" t="s">
        <v>8</v>
      </c>
      <c r="D1533" s="3" t="s">
        <v>48</v>
      </c>
      <c r="E1533" s="100" t="str">
        <f>IFERROR(VLOOKUP(C1533,Resources!B:D,3,FALSE)," ")</f>
        <v>L</v>
      </c>
      <c r="F1533" s="8">
        <v>1</v>
      </c>
      <c r="G1533" s="8">
        <f>G1531</f>
        <v>10</v>
      </c>
      <c r="H1533" s="8">
        <f>H1531</f>
        <v>9.3000000000000007</v>
      </c>
      <c r="I1533" s="109">
        <f>IFERROR(VLOOKUP(C1533,Resources!B:G,6,FALSE)," ")</f>
        <v>42</v>
      </c>
      <c r="J1533" s="109">
        <f t="shared" si="2234"/>
        <v>39.06</v>
      </c>
      <c r="K1533" s="8">
        <f t="shared" si="2235"/>
        <v>0.93</v>
      </c>
      <c r="L1533" s="8">
        <f t="shared" si="2236"/>
        <v>0.93</v>
      </c>
      <c r="M1533" s="109">
        <f t="shared" si="2237"/>
        <v>39.06</v>
      </c>
      <c r="N1533" s="109">
        <f t="shared" si="2238"/>
        <v>0</v>
      </c>
      <c r="O1533" s="109">
        <f t="shared" si="2239"/>
        <v>0</v>
      </c>
      <c r="P1533" s="109">
        <f t="shared" si="2240"/>
        <v>0</v>
      </c>
      <c r="Q1533" s="109">
        <f t="shared" si="2241"/>
        <v>39.06</v>
      </c>
      <c r="R1533" s="121">
        <v>71</v>
      </c>
      <c r="T1533" s="188"/>
    </row>
    <row r="1534" spans="1:20" x14ac:dyDescent="0.25">
      <c r="A1534" s="101"/>
      <c r="B1534" s="4">
        <v>10</v>
      </c>
      <c r="C1534" s="6" t="s">
        <v>192</v>
      </c>
      <c r="D1534" s="4"/>
      <c r="E1534" s="101" t="str">
        <f>IFERROR(VLOOKUP(C1534,Resources!B:D,3,FALSE)," ")</f>
        <v xml:space="preserve"> </v>
      </c>
      <c r="F1534" s="9"/>
      <c r="G1534" s="9"/>
      <c r="H1534" s="9"/>
      <c r="I1534" s="38" t="str">
        <f>IFERROR(VLOOKUP(C1534,Resources!B:G,6,FALSE)," ")</f>
        <v xml:space="preserve"> </v>
      </c>
      <c r="J1534" s="38"/>
      <c r="K1534" s="9"/>
      <c r="L1534" s="9"/>
      <c r="M1534" s="38"/>
      <c r="N1534" s="38"/>
      <c r="O1534" s="38"/>
      <c r="P1534" s="38"/>
      <c r="Q1534" s="38"/>
      <c r="R1534" s="122"/>
      <c r="T1534" s="188"/>
    </row>
    <row r="1535" spans="1:20" x14ac:dyDescent="0.25">
      <c r="A1535" s="100"/>
      <c r="B1535" s="3">
        <v>11</v>
      </c>
      <c r="C1535" s="5" t="s">
        <v>84</v>
      </c>
      <c r="D1535" s="3" t="s">
        <v>29</v>
      </c>
      <c r="E1535" s="100" t="str">
        <f>IFERROR(VLOOKUP(C1535,Resources!B:D,3,FALSE)," ")</f>
        <v>M</v>
      </c>
      <c r="F1535" s="8">
        <v>1</v>
      </c>
      <c r="G1535" s="8">
        <v>1</v>
      </c>
      <c r="H1535" s="8">
        <f>H1524/0.9</f>
        <v>103.33333333333333</v>
      </c>
      <c r="I1535" s="109">
        <f>IFERROR(VLOOKUP(C1535,Resources!B:G,6,FALSE)," ")</f>
        <v>0.8</v>
      </c>
      <c r="J1535" s="109">
        <f t="shared" ref="J1535:J1536" si="2242">(H1535/(G1535/F1535))*I1535</f>
        <v>82.666666666666671</v>
      </c>
      <c r="K1535" s="8"/>
      <c r="L1535" s="8" t="str">
        <f t="shared" ref="L1535" si="2243">IF(E1535="M"," ",H1535/G1535)</f>
        <v xml:space="preserve"> </v>
      </c>
      <c r="M1535" s="109">
        <f t="shared" ref="M1535:M1536" si="2244">IF($E1535="L",$J1535,0)</f>
        <v>0</v>
      </c>
      <c r="N1535" s="109">
        <f t="shared" ref="N1535:N1536" si="2245">IF($E1535="M",$J1535,0)</f>
        <v>82.666666666666671</v>
      </c>
      <c r="O1535" s="109">
        <f t="shared" ref="O1535:O1536" si="2246">IF($E1535="P",$J1535,0)</f>
        <v>0</v>
      </c>
      <c r="P1535" s="109">
        <f t="shared" ref="P1535:P1536" si="2247">IF($E1535="S",$J1535,0)</f>
        <v>0</v>
      </c>
      <c r="Q1535" s="109">
        <f t="shared" ref="Q1535:Q1536" si="2248">SUM(M1535:P1535)</f>
        <v>82.666666666666671</v>
      </c>
      <c r="R1535" s="121" t="s">
        <v>2343</v>
      </c>
      <c r="T1535" s="188"/>
    </row>
    <row r="1536" spans="1:20" x14ac:dyDescent="0.25">
      <c r="A1536" s="100"/>
      <c r="B1536" s="3">
        <v>12</v>
      </c>
      <c r="C1536" s="5" t="s">
        <v>193</v>
      </c>
      <c r="D1536" s="3" t="s">
        <v>83</v>
      </c>
      <c r="E1536" s="100" t="str">
        <f>IFERROR(VLOOKUP(C1536,Resources!B:D,3,FALSE)," ")</f>
        <v>S</v>
      </c>
      <c r="F1536" s="8">
        <v>1</v>
      </c>
      <c r="G1536" s="8">
        <v>1</v>
      </c>
      <c r="H1536" s="8">
        <f>H1524</f>
        <v>93</v>
      </c>
      <c r="I1536" s="109">
        <f>IFERROR(VLOOKUP(C1536,Resources!B:G,6,FALSE)," ")</f>
        <v>32</v>
      </c>
      <c r="J1536" s="109">
        <f t="shared" si="2242"/>
        <v>2976</v>
      </c>
      <c r="K1536" s="8"/>
      <c r="L1536" s="8">
        <f>H1524/50</f>
        <v>1.86</v>
      </c>
      <c r="M1536" s="109">
        <f t="shared" si="2244"/>
        <v>0</v>
      </c>
      <c r="N1536" s="109">
        <f t="shared" si="2245"/>
        <v>0</v>
      </c>
      <c r="O1536" s="109">
        <f t="shared" si="2246"/>
        <v>0</v>
      </c>
      <c r="P1536" s="109">
        <f t="shared" si="2247"/>
        <v>2976</v>
      </c>
      <c r="Q1536" s="109">
        <f t="shared" si="2248"/>
        <v>2976</v>
      </c>
      <c r="R1536" s="121">
        <v>71</v>
      </c>
      <c r="T1536" s="188"/>
    </row>
    <row r="1537" spans="1:20" x14ac:dyDescent="0.25">
      <c r="A1537" s="101"/>
      <c r="B1537" s="4"/>
      <c r="C1537" s="6"/>
      <c r="D1537" s="4"/>
      <c r="E1537" s="101" t="str">
        <f>IFERROR(VLOOKUP(C1537,Resources!B:D,3,FALSE)," ")</f>
        <v xml:space="preserve"> </v>
      </c>
      <c r="F1537" s="9"/>
      <c r="G1537" s="9"/>
      <c r="H1537" s="9"/>
      <c r="I1537" s="38" t="str">
        <f>IFERROR(VLOOKUP(C1537,Resources!B:G,6,FALSE)," ")</f>
        <v xml:space="preserve"> </v>
      </c>
      <c r="J1537" s="38"/>
      <c r="K1537" s="9"/>
      <c r="L1537" s="9"/>
      <c r="M1537" s="38"/>
      <c r="N1537" s="38"/>
      <c r="O1537" s="38"/>
      <c r="P1537" s="38"/>
      <c r="Q1537" s="38"/>
      <c r="R1537" s="122"/>
      <c r="T1537" s="188"/>
    </row>
    <row r="1538" spans="1:20" ht="30" x14ac:dyDescent="0.25">
      <c r="A1538" s="114"/>
      <c r="B1538" s="1" t="s">
        <v>680</v>
      </c>
      <c r="C1538" s="1" t="s">
        <v>138</v>
      </c>
      <c r="D1538" s="2"/>
      <c r="E1538" s="99" t="str">
        <f>IFERROR(VLOOKUP(C1538,Resources!B:D,3,FALSE)," ")</f>
        <v xml:space="preserve"> </v>
      </c>
      <c r="F1538" s="7"/>
      <c r="G1538" s="7"/>
      <c r="H1538" s="7"/>
      <c r="I1538" s="108" t="str">
        <f>IFERROR(VLOOKUP(C1538,Resources!B:G,6,FALSE)," ")</f>
        <v xml:space="preserve"> </v>
      </c>
      <c r="J1538" s="108"/>
      <c r="K1538" s="7"/>
      <c r="L1538" s="7"/>
      <c r="M1538" s="108"/>
      <c r="N1538" s="108"/>
      <c r="O1538" s="108"/>
      <c r="P1538" s="108"/>
      <c r="Q1538" s="108"/>
      <c r="R1538" s="120"/>
      <c r="T1538" s="188"/>
    </row>
    <row r="1539" spans="1:20" ht="30" x14ac:dyDescent="0.25">
      <c r="A1539" s="114"/>
      <c r="B1539" s="1" t="s">
        <v>681</v>
      </c>
      <c r="C1539" s="1" t="s">
        <v>140</v>
      </c>
      <c r="D1539" s="2"/>
      <c r="E1539" s="99" t="str">
        <f>IFERROR(VLOOKUP(C1539,Resources!B:D,3,FALSE)," ")</f>
        <v xml:space="preserve"> </v>
      </c>
      <c r="F1539" s="7"/>
      <c r="G1539" s="7"/>
      <c r="H1539" s="7"/>
      <c r="I1539" s="108" t="str">
        <f>IFERROR(VLOOKUP(C1539,Resources!B:G,6,FALSE)," ")</f>
        <v xml:space="preserve"> </v>
      </c>
      <c r="J1539" s="108"/>
      <c r="K1539" s="7"/>
      <c r="L1539" s="7"/>
      <c r="M1539" s="108"/>
      <c r="N1539" s="108"/>
      <c r="O1539" s="108"/>
      <c r="P1539" s="108"/>
      <c r="Q1539" s="108"/>
      <c r="R1539" s="120"/>
      <c r="T1539" s="188"/>
    </row>
    <row r="1540" spans="1:20" ht="30" x14ac:dyDescent="0.25">
      <c r="A1540" s="114">
        <v>202</v>
      </c>
      <c r="B1540" s="1" t="s">
        <v>682</v>
      </c>
      <c r="C1540" s="1" t="s">
        <v>142</v>
      </c>
      <c r="D1540" s="2" t="s">
        <v>107</v>
      </c>
      <c r="E1540" s="99" t="str">
        <f>IFERROR(VLOOKUP(C1540,Resources!B:D,3,FALSE)," ")</f>
        <v xml:space="preserve"> </v>
      </c>
      <c r="F1540" s="7"/>
      <c r="G1540" s="7"/>
      <c r="H1540" s="103">
        <f>VLOOKUP($A1540,'Model Inputs'!$A:$D,4,FALSE)</f>
        <v>905</v>
      </c>
      <c r="I1540" s="108" t="str">
        <f>IFERROR(VLOOKUP(C1540,Resources!B:G,6,FALSE)," ")</f>
        <v xml:space="preserve"> </v>
      </c>
      <c r="J1540" s="108">
        <f>SUBTOTAL(9,J1541)</f>
        <v>2438.9750000000004</v>
      </c>
      <c r="K1540" s="7"/>
      <c r="L1540" s="7">
        <f>ROUNDUP(L1541,0)</f>
        <v>1</v>
      </c>
      <c r="M1540" s="108">
        <f t="shared" ref="M1540:Q1540" si="2249">SUBTOTAL(9,M1541)</f>
        <v>0</v>
      </c>
      <c r="N1540" s="108">
        <f t="shared" si="2249"/>
        <v>0</v>
      </c>
      <c r="O1540" s="108">
        <f t="shared" si="2249"/>
        <v>0</v>
      </c>
      <c r="P1540" s="108">
        <f t="shared" si="2249"/>
        <v>2438.9750000000004</v>
      </c>
      <c r="Q1540" s="108">
        <f t="shared" si="2249"/>
        <v>2438.9750000000004</v>
      </c>
      <c r="R1540" s="120"/>
      <c r="T1540" s="188"/>
    </row>
    <row r="1541" spans="1:20" x14ac:dyDescent="0.25">
      <c r="A1541" s="100"/>
      <c r="B1541" s="3">
        <v>1</v>
      </c>
      <c r="C1541" s="5" t="s">
        <v>143</v>
      </c>
      <c r="D1541" s="3" t="s">
        <v>83</v>
      </c>
      <c r="E1541" s="100" t="str">
        <f>IFERROR(VLOOKUP(C1541,Resources!B:D,3,FALSE)," ")</f>
        <v>S</v>
      </c>
      <c r="F1541" s="8">
        <v>1</v>
      </c>
      <c r="G1541" s="8">
        <v>1</v>
      </c>
      <c r="H1541" s="8">
        <f>H1540*1.1</f>
        <v>995.50000000000011</v>
      </c>
      <c r="I1541" s="109">
        <f>IFERROR(VLOOKUP(C1541,Resources!B:G,6,FALSE)," ")</f>
        <v>2.4500000000000002</v>
      </c>
      <c r="J1541" s="109">
        <f t="shared" ref="J1541" si="2250">(H1541/(G1541/F1541))*I1541</f>
        <v>2438.9750000000004</v>
      </c>
      <c r="K1541" s="8"/>
      <c r="L1541" s="8">
        <f>H1541/10000</f>
        <v>9.9550000000000013E-2</v>
      </c>
      <c r="M1541" s="109">
        <f t="shared" ref="M1541" si="2251">IF($E1541="L",$J1541,0)</f>
        <v>0</v>
      </c>
      <c r="N1541" s="109">
        <f t="shared" ref="N1541" si="2252">IF($E1541="M",$J1541,0)</f>
        <v>0</v>
      </c>
      <c r="O1541" s="109">
        <f t="shared" ref="O1541" si="2253">IF($E1541="P",$J1541,0)</f>
        <v>0</v>
      </c>
      <c r="P1541" s="109">
        <f t="shared" ref="P1541" si="2254">IF($E1541="S",$J1541,0)</f>
        <v>2438.9750000000004</v>
      </c>
      <c r="Q1541" s="109">
        <f t="shared" ref="Q1541" si="2255">SUM(M1541:P1541)</f>
        <v>2438.9750000000004</v>
      </c>
      <c r="R1541" s="121">
        <v>121</v>
      </c>
      <c r="T1541" s="188"/>
    </row>
    <row r="1542" spans="1:20" x14ac:dyDescent="0.25">
      <c r="A1542" s="101"/>
      <c r="B1542" s="4"/>
      <c r="C1542" s="6"/>
      <c r="D1542" s="4"/>
      <c r="E1542" s="101" t="str">
        <f>IFERROR(VLOOKUP(C1542,Resources!B:D,3,FALSE)," ")</f>
        <v xml:space="preserve"> </v>
      </c>
      <c r="F1542" s="9"/>
      <c r="G1542" s="9"/>
      <c r="H1542" s="9"/>
      <c r="I1542" s="38" t="str">
        <f>IFERROR(VLOOKUP(C1542,Resources!B:G,6,FALSE)," ")</f>
        <v xml:space="preserve"> </v>
      </c>
      <c r="J1542" s="38"/>
      <c r="K1542" s="9"/>
      <c r="L1542" s="9"/>
      <c r="M1542" s="38"/>
      <c r="N1542" s="38"/>
      <c r="O1542" s="38"/>
      <c r="P1542" s="38"/>
      <c r="Q1542" s="38"/>
      <c r="R1542" s="122"/>
      <c r="T1542" s="188"/>
    </row>
    <row r="1543" spans="1:20" ht="30" x14ac:dyDescent="0.25">
      <c r="A1543" s="114"/>
      <c r="B1543" s="1" t="s">
        <v>683</v>
      </c>
      <c r="C1543" s="1" t="s">
        <v>418</v>
      </c>
      <c r="D1543" s="2"/>
      <c r="E1543" s="99" t="str">
        <f>IFERROR(VLOOKUP(C1543,Resources!B:D,3,FALSE)," ")</f>
        <v xml:space="preserve"> </v>
      </c>
      <c r="F1543" s="7"/>
      <c r="G1543" s="7"/>
      <c r="H1543" s="7"/>
      <c r="I1543" s="108" t="str">
        <f>IFERROR(VLOOKUP(C1543,Resources!B:G,6,FALSE)," ")</f>
        <v xml:space="preserve"> </v>
      </c>
      <c r="J1543" s="108"/>
      <c r="K1543" s="7"/>
      <c r="L1543" s="7"/>
      <c r="M1543" s="108"/>
      <c r="N1543" s="108"/>
      <c r="O1543" s="108"/>
      <c r="P1543" s="108"/>
      <c r="Q1543" s="108"/>
      <c r="R1543" s="120"/>
      <c r="T1543" s="188"/>
    </row>
    <row r="1544" spans="1:20" ht="30" x14ac:dyDescent="0.25">
      <c r="A1544" s="114"/>
      <c r="B1544" s="1" t="s">
        <v>684</v>
      </c>
      <c r="C1544" s="1" t="s">
        <v>420</v>
      </c>
      <c r="D1544" s="2"/>
      <c r="E1544" s="99" t="str">
        <f>IFERROR(VLOOKUP(C1544,Resources!B:D,3,FALSE)," ")</f>
        <v xml:space="preserve"> </v>
      </c>
      <c r="F1544" s="7"/>
      <c r="G1544" s="7"/>
      <c r="H1544" s="7"/>
      <c r="I1544" s="108" t="str">
        <f>IFERROR(VLOOKUP(C1544,Resources!B:G,6,FALSE)," ")</f>
        <v xml:space="preserve"> </v>
      </c>
      <c r="J1544" s="108"/>
      <c r="K1544" s="7"/>
      <c r="L1544" s="7"/>
      <c r="M1544" s="108"/>
      <c r="N1544" s="108"/>
      <c r="O1544" s="108"/>
      <c r="P1544" s="108"/>
      <c r="Q1544" s="108"/>
      <c r="R1544" s="120"/>
      <c r="T1544" s="188"/>
    </row>
    <row r="1545" spans="1:20" ht="30" x14ac:dyDescent="0.25">
      <c r="A1545" s="114">
        <v>203</v>
      </c>
      <c r="B1545" s="1" t="s">
        <v>685</v>
      </c>
      <c r="C1545" s="1" t="s">
        <v>686</v>
      </c>
      <c r="D1545" s="2" t="s">
        <v>20</v>
      </c>
      <c r="E1545" s="99" t="str">
        <f>IFERROR(VLOOKUP(C1545,Resources!B:D,3,FALSE)," ")</f>
        <v xml:space="preserve"> </v>
      </c>
      <c r="F1545" s="7"/>
      <c r="G1545" s="7"/>
      <c r="H1545" s="103">
        <f>VLOOKUP($A1545,'Model Inputs'!$A:$D,4,FALSE)</f>
        <v>1</v>
      </c>
      <c r="I1545" s="108" t="str">
        <f>IFERROR(VLOOKUP(C1545,Resources!B:G,6,FALSE)," ")</f>
        <v xml:space="preserve"> </v>
      </c>
      <c r="J1545" s="108">
        <f>SUBTOTAL(9,J1546)</f>
        <v>9200</v>
      </c>
      <c r="K1545" s="7"/>
      <c r="L1545" s="7">
        <f>ROUNDUP(L1546,0)</f>
        <v>2</v>
      </c>
      <c r="M1545" s="108">
        <f t="shared" ref="M1545" si="2256">SUBTOTAL(9,M1546)</f>
        <v>0</v>
      </c>
      <c r="N1545" s="108">
        <f t="shared" ref="N1545" si="2257">SUBTOTAL(9,N1546)</f>
        <v>0</v>
      </c>
      <c r="O1545" s="108">
        <f t="shared" ref="O1545" si="2258">SUBTOTAL(9,O1546)</f>
        <v>0</v>
      </c>
      <c r="P1545" s="108">
        <f t="shared" ref="P1545" si="2259">SUBTOTAL(9,P1546)</f>
        <v>9200</v>
      </c>
      <c r="Q1545" s="108">
        <f t="shared" ref="Q1545" si="2260">SUBTOTAL(9,Q1546)</f>
        <v>9200</v>
      </c>
      <c r="R1545" s="120"/>
      <c r="T1545" s="188"/>
    </row>
    <row r="1546" spans="1:20" x14ac:dyDescent="0.25">
      <c r="A1546" s="100"/>
      <c r="B1546" s="3">
        <v>1</v>
      </c>
      <c r="C1546" s="5" t="s">
        <v>306</v>
      </c>
      <c r="D1546" s="3" t="s">
        <v>33</v>
      </c>
      <c r="E1546" s="100" t="str">
        <f>IFERROR(VLOOKUP(C1546,Resources!B:D,3,FALSE)," ")</f>
        <v>S</v>
      </c>
      <c r="F1546" s="8">
        <v>1</v>
      </c>
      <c r="G1546" s="8">
        <v>1</v>
      </c>
      <c r="H1546" s="8">
        <f>H1545*9200</f>
        <v>9200</v>
      </c>
      <c r="I1546" s="109">
        <f>IFERROR(VLOOKUP(C1546,Resources!B:G,6,FALSE)," ")</f>
        <v>1</v>
      </c>
      <c r="J1546" s="109">
        <f t="shared" ref="J1546" si="2261">(H1546/(G1546/F1546))*I1546</f>
        <v>9200</v>
      </c>
      <c r="K1546" s="8"/>
      <c r="L1546" s="8">
        <f>H1545*2</f>
        <v>2</v>
      </c>
      <c r="M1546" s="109">
        <f t="shared" ref="M1546" si="2262">IF($E1546="L",$J1546,0)</f>
        <v>0</v>
      </c>
      <c r="N1546" s="109">
        <f t="shared" ref="N1546" si="2263">IF($E1546="M",$J1546,0)</f>
        <v>0</v>
      </c>
      <c r="O1546" s="109">
        <f t="shared" ref="O1546" si="2264">IF($E1546="P",$J1546,0)</f>
        <v>0</v>
      </c>
      <c r="P1546" s="109">
        <f t="shared" ref="P1546" si="2265">IF($E1546="S",$J1546,0)</f>
        <v>9200</v>
      </c>
      <c r="Q1546" s="109">
        <f t="shared" ref="Q1546" si="2266">SUM(M1546:P1546)</f>
        <v>9200</v>
      </c>
      <c r="R1546" s="121">
        <v>103</v>
      </c>
      <c r="T1546" s="188"/>
    </row>
    <row r="1547" spans="1:20" x14ac:dyDescent="0.25">
      <c r="A1547" s="101"/>
      <c r="B1547" s="4"/>
      <c r="C1547" s="6"/>
      <c r="D1547" s="4"/>
      <c r="E1547" s="101" t="str">
        <f>IFERROR(VLOOKUP(C1547,Resources!B:D,3,FALSE)," ")</f>
        <v xml:space="preserve"> </v>
      </c>
      <c r="F1547" s="9"/>
      <c r="G1547" s="9"/>
      <c r="H1547" s="9"/>
      <c r="I1547" s="38" t="str">
        <f>IFERROR(VLOOKUP(C1547,Resources!B:G,6,FALSE)," ")</f>
        <v xml:space="preserve"> </v>
      </c>
      <c r="J1547" s="38"/>
      <c r="K1547" s="9"/>
      <c r="L1547" s="9"/>
      <c r="M1547" s="38"/>
      <c r="N1547" s="38"/>
      <c r="O1547" s="38"/>
      <c r="P1547" s="38"/>
      <c r="Q1547" s="38"/>
      <c r="R1547" s="122"/>
      <c r="T1547" s="188"/>
    </row>
    <row r="1548" spans="1:20" ht="30" x14ac:dyDescent="0.25">
      <c r="A1548" s="114"/>
      <c r="B1548" s="1" t="s">
        <v>687</v>
      </c>
      <c r="C1548" s="1" t="s">
        <v>145</v>
      </c>
      <c r="D1548" s="2"/>
      <c r="E1548" s="99" t="str">
        <f>IFERROR(VLOOKUP(C1548,Resources!B:D,3,FALSE)," ")</f>
        <v xml:space="preserve"> </v>
      </c>
      <c r="F1548" s="7"/>
      <c r="G1548" s="7"/>
      <c r="H1548" s="7"/>
      <c r="I1548" s="108" t="str">
        <f>IFERROR(VLOOKUP(C1548,Resources!B:G,6,FALSE)," ")</f>
        <v xml:space="preserve"> </v>
      </c>
      <c r="J1548" s="108"/>
      <c r="K1548" s="7"/>
      <c r="L1548" s="7"/>
      <c r="M1548" s="108"/>
      <c r="N1548" s="108"/>
      <c r="O1548" s="108"/>
      <c r="P1548" s="108"/>
      <c r="Q1548" s="108"/>
      <c r="R1548" s="120"/>
      <c r="T1548" s="188"/>
    </row>
    <row r="1549" spans="1:20" ht="30" x14ac:dyDescent="0.25">
      <c r="A1549" s="114">
        <v>204</v>
      </c>
      <c r="B1549" s="1" t="s">
        <v>688</v>
      </c>
      <c r="C1549" s="1" t="s">
        <v>147</v>
      </c>
      <c r="D1549" s="2" t="s">
        <v>20</v>
      </c>
      <c r="E1549" s="99" t="str">
        <f>IFERROR(VLOOKUP(C1549,Resources!B:D,3,FALSE)," ")</f>
        <v xml:space="preserve"> </v>
      </c>
      <c r="F1549" s="7"/>
      <c r="G1549" s="7"/>
      <c r="H1549" s="103">
        <f>VLOOKUP($A1549,'Model Inputs'!$A:$D,4,FALSE)</f>
        <v>1</v>
      </c>
      <c r="I1549" s="108" t="str">
        <f>IFERROR(VLOOKUP(C1549,Resources!B:G,6,FALSE)," ")</f>
        <v xml:space="preserve"> </v>
      </c>
      <c r="J1549" s="108">
        <f>SUBTOTAL(9,J1550)</f>
        <v>2400</v>
      </c>
      <c r="K1549" s="7"/>
      <c r="L1549" s="7">
        <f>ROUNDUP(L1550/Workhrs,0)</f>
        <v>3</v>
      </c>
      <c r="M1549" s="108">
        <f t="shared" ref="M1549" si="2267">SUBTOTAL(9,M1550)</f>
        <v>0</v>
      </c>
      <c r="N1549" s="108">
        <f t="shared" ref="N1549" si="2268">SUBTOTAL(9,N1550)</f>
        <v>0</v>
      </c>
      <c r="O1549" s="108">
        <f t="shared" ref="O1549" si="2269">SUBTOTAL(9,O1550)</f>
        <v>0</v>
      </c>
      <c r="P1549" s="108">
        <f t="shared" ref="P1549" si="2270">SUBTOTAL(9,P1550)</f>
        <v>2400</v>
      </c>
      <c r="Q1549" s="108">
        <f t="shared" ref="Q1549" si="2271">SUBTOTAL(9,Q1550)</f>
        <v>2400</v>
      </c>
      <c r="R1549" s="120"/>
      <c r="T1549" s="188"/>
    </row>
    <row r="1550" spans="1:20" x14ac:dyDescent="0.25">
      <c r="A1550" s="100"/>
      <c r="B1550" s="3">
        <v>1</v>
      </c>
      <c r="C1550" s="5" t="s">
        <v>148</v>
      </c>
      <c r="D1550" s="3" t="s">
        <v>33</v>
      </c>
      <c r="E1550" s="100" t="str">
        <f>IFERROR(VLOOKUP(C1550,Resources!B:D,3,FALSE)," ")</f>
        <v>S</v>
      </c>
      <c r="F1550" s="8">
        <v>1</v>
      </c>
      <c r="G1550" s="8">
        <v>1</v>
      </c>
      <c r="H1550" s="8">
        <f>H1549*2400</f>
        <v>2400</v>
      </c>
      <c r="I1550" s="109">
        <f>IFERROR(VLOOKUP(C1550,Resources!B:G,6,FALSE)," ")</f>
        <v>1</v>
      </c>
      <c r="J1550" s="109">
        <f t="shared" ref="J1550" si="2272">(H1550/(G1550/F1550))*I1550</f>
        <v>2400</v>
      </c>
      <c r="K1550" s="8"/>
      <c r="L1550" s="8">
        <f>H1550/125</f>
        <v>19.2</v>
      </c>
      <c r="M1550" s="109">
        <f t="shared" ref="M1550" si="2273">IF($E1550="L",$J1550,0)</f>
        <v>0</v>
      </c>
      <c r="N1550" s="109">
        <f t="shared" ref="N1550" si="2274">IF($E1550="M",$J1550,0)</f>
        <v>0</v>
      </c>
      <c r="O1550" s="109">
        <f t="shared" ref="O1550" si="2275">IF($E1550="P",$J1550,0)</f>
        <v>0</v>
      </c>
      <c r="P1550" s="109">
        <f t="shared" ref="P1550" si="2276">IF($E1550="S",$J1550,0)</f>
        <v>2400</v>
      </c>
      <c r="Q1550" s="109">
        <f t="shared" ref="Q1550" si="2277">SUM(M1550:P1550)</f>
        <v>2400</v>
      </c>
      <c r="R1550" s="121">
        <v>12</v>
      </c>
      <c r="T1550" s="188"/>
    </row>
    <row r="1551" spans="1:20" x14ac:dyDescent="0.25">
      <c r="A1551" s="101"/>
      <c r="B1551" s="4"/>
      <c r="C1551" s="6"/>
      <c r="D1551" s="4"/>
      <c r="E1551" s="101" t="str">
        <f>IFERROR(VLOOKUP(C1551,Resources!B:D,3,FALSE)," ")</f>
        <v xml:space="preserve"> </v>
      </c>
      <c r="F1551" s="9"/>
      <c r="G1551" s="9"/>
      <c r="H1551" s="9"/>
      <c r="I1551" s="38" t="str">
        <f>IFERROR(VLOOKUP(C1551,Resources!B:G,6,FALSE)," ")</f>
        <v xml:space="preserve"> </v>
      </c>
      <c r="J1551" s="38"/>
      <c r="K1551" s="9"/>
      <c r="L1551" s="9"/>
      <c r="M1551" s="38"/>
      <c r="N1551" s="38"/>
      <c r="O1551" s="38"/>
      <c r="P1551" s="38"/>
      <c r="Q1551" s="38"/>
      <c r="R1551" s="122"/>
      <c r="T1551" s="188"/>
    </row>
    <row r="1552" spans="1:20" ht="30" x14ac:dyDescent="0.25">
      <c r="A1552" s="114">
        <v>900</v>
      </c>
      <c r="B1552" s="1" t="s">
        <v>689</v>
      </c>
      <c r="C1552" s="1" t="s">
        <v>690</v>
      </c>
      <c r="D1552" s="2"/>
      <c r="E1552" s="99" t="str">
        <f>IFERROR(VLOOKUP(C1552,Resources!B:D,3,FALSE)," ")</f>
        <v xml:space="preserve"> </v>
      </c>
      <c r="F1552" s="7"/>
      <c r="G1552" s="7"/>
      <c r="H1552" s="7"/>
      <c r="I1552" s="108" t="str">
        <f>IFERROR(VLOOKUP(C1552,Resources!B:G,6,FALSE)," ")</f>
        <v xml:space="preserve"> </v>
      </c>
      <c r="J1552" s="108"/>
      <c r="K1552" s="7"/>
      <c r="L1552" s="7"/>
      <c r="M1552" s="108"/>
      <c r="N1552" s="108"/>
      <c r="O1552" s="108"/>
      <c r="P1552" s="108"/>
      <c r="Q1552" s="108"/>
      <c r="R1552" s="120"/>
      <c r="T1552" s="188"/>
    </row>
    <row r="1553" spans="1:20" ht="30" x14ac:dyDescent="0.25">
      <c r="A1553" s="114"/>
      <c r="B1553" s="1" t="s">
        <v>691</v>
      </c>
      <c r="C1553" s="1" t="s">
        <v>17</v>
      </c>
      <c r="D1553" s="2"/>
      <c r="E1553" s="99" t="str">
        <f>IFERROR(VLOOKUP(C1553,Resources!B:D,3,FALSE)," ")</f>
        <v xml:space="preserve"> </v>
      </c>
      <c r="F1553" s="7"/>
      <c r="G1553" s="7"/>
      <c r="H1553" s="7"/>
      <c r="I1553" s="108" t="str">
        <f>IFERROR(VLOOKUP(C1553,Resources!B:G,6,FALSE)," ")</f>
        <v xml:space="preserve"> </v>
      </c>
      <c r="J1553" s="108"/>
      <c r="K1553" s="7"/>
      <c r="L1553" s="7"/>
      <c r="M1553" s="108"/>
      <c r="N1553" s="108"/>
      <c r="O1553" s="108"/>
      <c r="P1553" s="108"/>
      <c r="Q1553" s="108"/>
      <c r="R1553" s="120"/>
      <c r="T1553" s="188"/>
    </row>
    <row r="1554" spans="1:20" ht="30" x14ac:dyDescent="0.25">
      <c r="A1554" s="114"/>
      <c r="B1554" s="1" t="s">
        <v>692</v>
      </c>
      <c r="C1554" s="1" t="s">
        <v>25</v>
      </c>
      <c r="D1554" s="2"/>
      <c r="E1554" s="99" t="str">
        <f>IFERROR(VLOOKUP(C1554,Resources!B:D,3,FALSE)," ")</f>
        <v xml:space="preserve"> </v>
      </c>
      <c r="F1554" s="7"/>
      <c r="G1554" s="7"/>
      <c r="H1554" s="7"/>
      <c r="I1554" s="108" t="str">
        <f>IFERROR(VLOOKUP(C1554,Resources!B:G,6,FALSE)," ")</f>
        <v xml:space="preserve"> </v>
      </c>
      <c r="J1554" s="108"/>
      <c r="K1554" s="7"/>
      <c r="L1554" s="7"/>
      <c r="M1554" s="108"/>
      <c r="N1554" s="108"/>
      <c r="O1554" s="108"/>
      <c r="P1554" s="108"/>
      <c r="Q1554" s="108"/>
      <c r="R1554" s="120"/>
      <c r="T1554" s="188"/>
    </row>
    <row r="1555" spans="1:20" ht="30" x14ac:dyDescent="0.25">
      <c r="A1555" s="114">
        <v>205</v>
      </c>
      <c r="B1555" s="1" t="s">
        <v>693</v>
      </c>
      <c r="C1555" s="1" t="s">
        <v>27</v>
      </c>
      <c r="D1555" s="2" t="s">
        <v>20</v>
      </c>
      <c r="E1555" s="99" t="str">
        <f>IFERROR(VLOOKUP(C1555,Resources!B:D,3,FALSE)," ")</f>
        <v xml:space="preserve"> </v>
      </c>
      <c r="F1555" s="7"/>
      <c r="G1555" s="7"/>
      <c r="H1555" s="103">
        <f>VLOOKUP($A1555,'Model Inputs'!$A:$D,4,FALSE)</f>
        <v>1</v>
      </c>
      <c r="I1555" s="108" t="str">
        <f>IFERROR(VLOOKUP(C1555,Resources!B:G,6,FALSE)," ")</f>
        <v xml:space="preserve"> </v>
      </c>
      <c r="J1555" s="108">
        <f>SUBTOTAL(9,J1556:J1562)</f>
        <v>10350</v>
      </c>
      <c r="K1555" s="7"/>
      <c r="L1555" s="7">
        <v>0</v>
      </c>
      <c r="M1555" s="108">
        <f t="shared" ref="M1555:Q1555" si="2278">SUBTOTAL(9,M1556:M1562)</f>
        <v>3250</v>
      </c>
      <c r="N1555" s="108">
        <f t="shared" si="2278"/>
        <v>0</v>
      </c>
      <c r="O1555" s="108">
        <f t="shared" si="2278"/>
        <v>0</v>
      </c>
      <c r="P1555" s="108">
        <f t="shared" si="2278"/>
        <v>7100</v>
      </c>
      <c r="Q1555" s="108">
        <f t="shared" si="2278"/>
        <v>10350</v>
      </c>
      <c r="R1555" s="120"/>
      <c r="T1555" s="188"/>
    </row>
    <row r="1556" spans="1:20" x14ac:dyDescent="0.25">
      <c r="A1556" s="100"/>
      <c r="B1556" s="3">
        <v>1</v>
      </c>
      <c r="C1556" s="5" t="s">
        <v>21</v>
      </c>
      <c r="D1556" s="3" t="s">
        <v>22</v>
      </c>
      <c r="E1556" s="100" t="str">
        <f>IFERROR(VLOOKUP(C1556,Resources!B:D,3,FALSE)," ")</f>
        <v>L</v>
      </c>
      <c r="F1556" s="8">
        <v>1</v>
      </c>
      <c r="G1556" s="8">
        <v>1</v>
      </c>
      <c r="H1556" s="8">
        <f>H1555</f>
        <v>1</v>
      </c>
      <c r="I1556" s="109">
        <f>IFERROR(VLOOKUP(C1556,Resources!B:G,6,FALSE)," ")</f>
        <v>3250</v>
      </c>
      <c r="J1556" s="109">
        <f t="shared" ref="J1556" si="2279">(H1556/(G1556/F1556))*I1556</f>
        <v>3250</v>
      </c>
      <c r="K1556" s="8"/>
      <c r="L1556" s="8"/>
      <c r="M1556" s="109">
        <f t="shared" ref="M1556" si="2280">IF($E1556="L",$J1556,0)</f>
        <v>3250</v>
      </c>
      <c r="N1556" s="109">
        <f t="shared" ref="N1556" si="2281">IF($E1556="M",$J1556,0)</f>
        <v>0</v>
      </c>
      <c r="O1556" s="109">
        <f t="shared" ref="O1556" si="2282">IF($E1556="P",$J1556,0)</f>
        <v>0</v>
      </c>
      <c r="P1556" s="109">
        <f t="shared" ref="P1556" si="2283">IF($E1556="S",$J1556,0)</f>
        <v>0</v>
      </c>
      <c r="Q1556" s="109">
        <f t="shared" ref="Q1556" si="2284">SUM(M1556:P1556)</f>
        <v>3250</v>
      </c>
      <c r="R1556" s="121">
        <v>901</v>
      </c>
      <c r="T1556" s="188"/>
    </row>
    <row r="1557" spans="1:20" x14ac:dyDescent="0.25">
      <c r="A1557" s="100">
        <v>205.1</v>
      </c>
      <c r="B1557" s="3">
        <v>2</v>
      </c>
      <c r="C1557" s="5" t="s">
        <v>2392</v>
      </c>
      <c r="D1557" s="3"/>
      <c r="E1557" s="100" t="str">
        <f>IFERROR(VLOOKUP(C1557,Resources!B:D,3,FALSE)," ")</f>
        <v xml:space="preserve"> </v>
      </c>
      <c r="F1557" s="8"/>
      <c r="G1557" s="8"/>
      <c r="H1557" s="8">
        <f>H1555*24</f>
        <v>24</v>
      </c>
      <c r="I1557" s="109" t="str">
        <f>IFERROR(VLOOKUP(C1557,Resources!B:G,6,FALSE)," ")</f>
        <v xml:space="preserve"> </v>
      </c>
      <c r="J1557" s="109"/>
      <c r="K1557" s="8"/>
      <c r="L1557" s="8"/>
      <c r="M1557" s="109"/>
      <c r="N1557" s="109"/>
      <c r="O1557" s="109"/>
      <c r="P1557" s="109"/>
      <c r="Q1557" s="109"/>
      <c r="R1557" s="121"/>
      <c r="T1557" s="188"/>
    </row>
    <row r="1558" spans="1:20" x14ac:dyDescent="0.25">
      <c r="A1558" s="100">
        <v>205.2</v>
      </c>
      <c r="B1558" s="3">
        <v>3</v>
      </c>
      <c r="C1558" s="5" t="s">
        <v>2363</v>
      </c>
      <c r="D1558" s="3"/>
      <c r="E1558" s="100" t="str">
        <f>IFERROR(VLOOKUP(C1558,Resources!B:D,3,FALSE)," ")</f>
        <v xml:space="preserve"> </v>
      </c>
      <c r="F1558" s="8"/>
      <c r="G1558" s="8"/>
      <c r="H1558" s="8">
        <f>H1555*6</f>
        <v>6</v>
      </c>
      <c r="I1558" s="109" t="str">
        <f>IFERROR(VLOOKUP(C1558,Resources!B:G,6,FALSE)," ")</f>
        <v xml:space="preserve"> </v>
      </c>
      <c r="J1558" s="109"/>
      <c r="K1558" s="8"/>
      <c r="L1558" s="8"/>
      <c r="M1558" s="109"/>
      <c r="N1558" s="109"/>
      <c r="O1558" s="109"/>
      <c r="P1558" s="109"/>
      <c r="Q1558" s="109"/>
      <c r="R1558" s="121"/>
      <c r="T1558" s="188"/>
    </row>
    <row r="1559" spans="1:20" x14ac:dyDescent="0.25">
      <c r="A1559" s="100"/>
      <c r="B1559" s="3">
        <v>4</v>
      </c>
      <c r="C1559" s="5" t="s">
        <v>28</v>
      </c>
      <c r="D1559" s="3" t="s">
        <v>29</v>
      </c>
      <c r="E1559" s="100" t="str">
        <f>IFERROR(VLOOKUP(C1559,Resources!B:D,3,FALSE)," ")</f>
        <v>S</v>
      </c>
      <c r="F1559" s="8">
        <v>1</v>
      </c>
      <c r="G1559" s="8">
        <v>1</v>
      </c>
      <c r="H1559" s="8">
        <f>H1557</f>
        <v>24</v>
      </c>
      <c r="I1559" s="109">
        <f>IFERROR(VLOOKUP(C1559,Resources!B:G,6,FALSE)," ")</f>
        <v>45</v>
      </c>
      <c r="J1559" s="109">
        <f t="shared" ref="J1559:J1561" si="2285">(H1559/(G1559/F1559))*I1559</f>
        <v>1080</v>
      </c>
      <c r="K1559" s="8"/>
      <c r="L1559" s="8"/>
      <c r="M1559" s="109">
        <f t="shared" ref="M1559:M1562" si="2286">IF($E1559="L",$J1559,0)</f>
        <v>0</v>
      </c>
      <c r="N1559" s="109">
        <f t="shared" ref="N1559:N1562" si="2287">IF($E1559="M",$J1559,0)</f>
        <v>0</v>
      </c>
      <c r="O1559" s="109">
        <f t="shared" ref="O1559:O1562" si="2288">IF($E1559="P",$J1559,0)</f>
        <v>0</v>
      </c>
      <c r="P1559" s="109">
        <f t="shared" ref="P1559:P1562" si="2289">IF($E1559="S",$J1559,0)</f>
        <v>1080</v>
      </c>
      <c r="Q1559" s="109">
        <f t="shared" ref="Q1559:Q1562" si="2290">SUM(M1559:P1559)</f>
        <v>1080</v>
      </c>
      <c r="R1559" s="121">
        <v>13</v>
      </c>
      <c r="T1559" s="188"/>
    </row>
    <row r="1560" spans="1:20" x14ac:dyDescent="0.25">
      <c r="A1560" s="100"/>
      <c r="B1560" s="3">
        <v>5</v>
      </c>
      <c r="C1560" s="5" t="s">
        <v>30</v>
      </c>
      <c r="D1560" s="3" t="s">
        <v>29</v>
      </c>
      <c r="E1560" s="100" t="str">
        <f>IFERROR(VLOOKUP(C1560,Resources!B:D,3,FALSE)," ")</f>
        <v>S</v>
      </c>
      <c r="F1560" s="8">
        <v>1</v>
      </c>
      <c r="G1560" s="8">
        <v>1</v>
      </c>
      <c r="H1560" s="8">
        <v>3</v>
      </c>
      <c r="I1560" s="109">
        <f>IFERROR(VLOOKUP(C1560,Resources!B:G,6,FALSE)," ")</f>
        <v>390</v>
      </c>
      <c r="J1560" s="109">
        <f t="shared" si="2285"/>
        <v>1170</v>
      </c>
      <c r="K1560" s="8"/>
      <c r="L1560" s="8"/>
      <c r="M1560" s="109">
        <f t="shared" si="2286"/>
        <v>0</v>
      </c>
      <c r="N1560" s="109">
        <f t="shared" si="2287"/>
        <v>0</v>
      </c>
      <c r="O1560" s="109">
        <f t="shared" si="2288"/>
        <v>0</v>
      </c>
      <c r="P1560" s="109">
        <f t="shared" si="2289"/>
        <v>1170</v>
      </c>
      <c r="Q1560" s="109">
        <f t="shared" si="2290"/>
        <v>1170</v>
      </c>
      <c r="R1560" s="121">
        <v>13</v>
      </c>
      <c r="T1560" s="188"/>
    </row>
    <row r="1561" spans="1:20" x14ac:dyDescent="0.25">
      <c r="A1561" s="100"/>
      <c r="B1561" s="3">
        <v>6</v>
      </c>
      <c r="C1561" s="5" t="s">
        <v>31</v>
      </c>
      <c r="D1561" s="3" t="s">
        <v>29</v>
      </c>
      <c r="E1561" s="100" t="str">
        <f>IFERROR(VLOOKUP(C1561,Resources!B:D,3,FALSE)," ")</f>
        <v>S</v>
      </c>
      <c r="F1561" s="8">
        <v>1</v>
      </c>
      <c r="G1561" s="8">
        <v>1</v>
      </c>
      <c r="H1561" s="8">
        <f>H1558</f>
        <v>6</v>
      </c>
      <c r="I1561" s="109">
        <f>IFERROR(VLOOKUP(C1561,Resources!B:G,6,FALSE)," ")</f>
        <v>150</v>
      </c>
      <c r="J1561" s="109">
        <f t="shared" si="2285"/>
        <v>900</v>
      </c>
      <c r="K1561" s="8"/>
      <c r="L1561" s="8"/>
      <c r="M1561" s="109">
        <f t="shared" si="2286"/>
        <v>0</v>
      </c>
      <c r="N1561" s="109">
        <f t="shared" si="2287"/>
        <v>0</v>
      </c>
      <c r="O1561" s="109">
        <f t="shared" si="2288"/>
        <v>0</v>
      </c>
      <c r="P1561" s="109">
        <f t="shared" si="2289"/>
        <v>900</v>
      </c>
      <c r="Q1561" s="109">
        <f t="shared" si="2290"/>
        <v>900</v>
      </c>
      <c r="R1561" s="121">
        <v>13</v>
      </c>
      <c r="T1561" s="188"/>
    </row>
    <row r="1562" spans="1:20" x14ac:dyDescent="0.25">
      <c r="A1562" s="100">
        <v>205.3</v>
      </c>
      <c r="B1562" s="3">
        <v>7</v>
      </c>
      <c r="C1562" s="5" t="s">
        <v>148</v>
      </c>
      <c r="D1562" s="3" t="s">
        <v>33</v>
      </c>
      <c r="E1562" s="100" t="str">
        <f>IFERROR(VLOOKUP(C1562,Resources!B:D,3,FALSE)," ")</f>
        <v>S</v>
      </c>
      <c r="F1562" s="8">
        <v>3950</v>
      </c>
      <c r="G1562" s="8">
        <v>1</v>
      </c>
      <c r="H1562" s="8">
        <f>H1555*F1562</f>
        <v>3950</v>
      </c>
      <c r="I1562" s="109">
        <f>IFERROR(VLOOKUP(C1562,Resources!B:G,6,FALSE)," ")</f>
        <v>1</v>
      </c>
      <c r="J1562" s="109">
        <f>I1562*H1562</f>
        <v>3950</v>
      </c>
      <c r="K1562" s="8"/>
      <c r="L1562" s="8"/>
      <c r="M1562" s="109">
        <f t="shared" si="2286"/>
        <v>0</v>
      </c>
      <c r="N1562" s="109">
        <f t="shared" si="2287"/>
        <v>0</v>
      </c>
      <c r="O1562" s="109">
        <f t="shared" si="2288"/>
        <v>0</v>
      </c>
      <c r="P1562" s="109">
        <f t="shared" si="2289"/>
        <v>3950</v>
      </c>
      <c r="Q1562" s="109">
        <f t="shared" si="2290"/>
        <v>3950</v>
      </c>
      <c r="R1562" s="121">
        <v>11</v>
      </c>
      <c r="T1562" s="188"/>
    </row>
    <row r="1563" spans="1:20" x14ac:dyDescent="0.25">
      <c r="A1563" s="101"/>
      <c r="B1563" s="4"/>
      <c r="C1563" s="6"/>
      <c r="D1563" s="4"/>
      <c r="E1563" s="101" t="str">
        <f>IFERROR(VLOOKUP(C1563,Resources!B:D,3,FALSE)," ")</f>
        <v xml:space="preserve"> </v>
      </c>
      <c r="F1563" s="9"/>
      <c r="G1563" s="9"/>
      <c r="H1563" s="9"/>
      <c r="I1563" s="38" t="str">
        <f>IFERROR(VLOOKUP(C1563,Resources!B:G,6,FALSE)," ")</f>
        <v xml:space="preserve"> </v>
      </c>
      <c r="J1563" s="38"/>
      <c r="K1563" s="9"/>
      <c r="L1563" s="9"/>
      <c r="M1563" s="38"/>
      <c r="N1563" s="38"/>
      <c r="O1563" s="38"/>
      <c r="P1563" s="38"/>
      <c r="Q1563" s="38"/>
      <c r="R1563" s="122"/>
      <c r="T1563" s="188"/>
    </row>
    <row r="1564" spans="1:20" ht="30" x14ac:dyDescent="0.25">
      <c r="A1564" s="114"/>
      <c r="B1564" s="1" t="s">
        <v>694</v>
      </c>
      <c r="C1564" s="1" t="s">
        <v>35</v>
      </c>
      <c r="D1564" s="2"/>
      <c r="E1564" s="99" t="str">
        <f>IFERROR(VLOOKUP(C1564,Resources!B:D,3,FALSE)," ")</f>
        <v xml:space="preserve"> </v>
      </c>
      <c r="F1564" s="7"/>
      <c r="G1564" s="7"/>
      <c r="H1564" s="7"/>
      <c r="I1564" s="108" t="str">
        <f>IFERROR(VLOOKUP(C1564,Resources!B:G,6,FALSE)," ")</f>
        <v xml:space="preserve"> </v>
      </c>
      <c r="J1564" s="108"/>
      <c r="K1564" s="7"/>
      <c r="L1564" s="7"/>
      <c r="M1564" s="108"/>
      <c r="N1564" s="108"/>
      <c r="O1564" s="108"/>
      <c r="P1564" s="108"/>
      <c r="Q1564" s="108"/>
      <c r="R1564" s="120"/>
      <c r="T1564" s="188"/>
    </row>
    <row r="1565" spans="1:20" ht="30" x14ac:dyDescent="0.25">
      <c r="A1565" s="114"/>
      <c r="B1565" s="1" t="s">
        <v>695</v>
      </c>
      <c r="C1565" s="1" t="s">
        <v>36</v>
      </c>
      <c r="D1565" s="2"/>
      <c r="E1565" s="99" t="str">
        <f>IFERROR(VLOOKUP(C1565,Resources!B:D,3,FALSE)," ")</f>
        <v xml:space="preserve"> </v>
      </c>
      <c r="F1565" s="7"/>
      <c r="G1565" s="7"/>
      <c r="H1565" s="7"/>
      <c r="I1565" s="108" t="str">
        <f>IFERROR(VLOOKUP(C1565,Resources!B:G,6,FALSE)," ")</f>
        <v xml:space="preserve"> </v>
      </c>
      <c r="J1565" s="108"/>
      <c r="K1565" s="7"/>
      <c r="L1565" s="7"/>
      <c r="M1565" s="108"/>
      <c r="N1565" s="108"/>
      <c r="O1565" s="108"/>
      <c r="P1565" s="108"/>
      <c r="Q1565" s="108"/>
      <c r="R1565" s="120"/>
      <c r="T1565" s="188"/>
    </row>
    <row r="1566" spans="1:20" ht="30" x14ac:dyDescent="0.25">
      <c r="A1566" s="114"/>
      <c r="B1566" s="1" t="s">
        <v>696</v>
      </c>
      <c r="C1566" s="1" t="s">
        <v>38</v>
      </c>
      <c r="D1566" s="2" t="s">
        <v>20</v>
      </c>
      <c r="E1566" s="99" t="str">
        <f>IFERROR(VLOOKUP(C1566,Resources!B:D,3,FALSE)," ")</f>
        <v xml:space="preserve"> </v>
      </c>
      <c r="F1566" s="7"/>
      <c r="G1566" s="7"/>
      <c r="H1566" s="7">
        <v>1</v>
      </c>
      <c r="I1566" s="108" t="str">
        <f>IFERROR(VLOOKUP(C1566,Resources!B:G,6,FALSE)," ")</f>
        <v xml:space="preserve"> </v>
      </c>
      <c r="J1566" s="108"/>
      <c r="K1566" s="7"/>
      <c r="L1566" s="7"/>
      <c r="M1566" s="108"/>
      <c r="N1566" s="108"/>
      <c r="O1566" s="108"/>
      <c r="P1566" s="108"/>
      <c r="Q1566" s="108"/>
      <c r="R1566" s="120"/>
      <c r="T1566" s="188"/>
    </row>
    <row r="1567" spans="1:20" x14ac:dyDescent="0.25">
      <c r="A1567" s="101"/>
      <c r="B1567" s="4"/>
      <c r="C1567" s="6"/>
      <c r="D1567" s="4"/>
      <c r="E1567" s="101" t="str">
        <f>IFERROR(VLOOKUP(C1567,Resources!B:D,3,FALSE)," ")</f>
        <v xml:space="preserve"> </v>
      </c>
      <c r="F1567" s="9"/>
      <c r="G1567" s="9"/>
      <c r="H1567" s="9"/>
      <c r="I1567" s="38" t="str">
        <f>IFERROR(VLOOKUP(C1567,Resources!B:G,6,FALSE)," ")</f>
        <v xml:space="preserve"> </v>
      </c>
      <c r="J1567" s="38"/>
      <c r="K1567" s="9"/>
      <c r="L1567" s="9"/>
      <c r="M1567" s="38"/>
      <c r="N1567" s="38"/>
      <c r="O1567" s="38"/>
      <c r="P1567" s="38"/>
      <c r="Q1567" s="38"/>
      <c r="R1567" s="122"/>
      <c r="T1567" s="188"/>
    </row>
    <row r="1568" spans="1:20" ht="30" x14ac:dyDescent="0.25">
      <c r="A1568" s="114"/>
      <c r="B1568" s="1" t="s">
        <v>697</v>
      </c>
      <c r="C1568" s="1" t="s">
        <v>50</v>
      </c>
      <c r="D1568" s="2"/>
      <c r="E1568" s="99" t="str">
        <f>IFERROR(VLOOKUP(C1568,Resources!B:D,3,FALSE)," ")</f>
        <v xml:space="preserve"> </v>
      </c>
      <c r="F1568" s="7"/>
      <c r="G1568" s="7"/>
      <c r="H1568" s="7"/>
      <c r="I1568" s="108" t="str">
        <f>IFERROR(VLOOKUP(C1568,Resources!B:G,6,FALSE)," ")</f>
        <v xml:space="preserve"> </v>
      </c>
      <c r="J1568" s="108"/>
      <c r="K1568" s="7"/>
      <c r="L1568" s="7"/>
      <c r="M1568" s="108"/>
      <c r="N1568" s="108"/>
      <c r="O1568" s="108"/>
      <c r="P1568" s="108"/>
      <c r="Q1568" s="108"/>
      <c r="R1568" s="120"/>
      <c r="T1568" s="188"/>
    </row>
    <row r="1569" spans="1:20" ht="30" x14ac:dyDescent="0.25">
      <c r="A1569" s="114"/>
      <c r="B1569" s="1" t="s">
        <v>698</v>
      </c>
      <c r="C1569" s="1" t="s">
        <v>52</v>
      </c>
      <c r="D1569" s="2"/>
      <c r="E1569" s="99" t="str">
        <f>IFERROR(VLOOKUP(C1569,Resources!B:D,3,FALSE)," ")</f>
        <v xml:space="preserve"> </v>
      </c>
      <c r="F1569" s="7"/>
      <c r="G1569" s="7"/>
      <c r="H1569" s="7"/>
      <c r="I1569" s="108" t="str">
        <f>IFERROR(VLOOKUP(C1569,Resources!B:G,6,FALSE)," ")</f>
        <v xml:space="preserve"> </v>
      </c>
      <c r="J1569" s="108"/>
      <c r="K1569" s="7"/>
      <c r="L1569" s="7"/>
      <c r="M1569" s="108"/>
      <c r="N1569" s="108"/>
      <c r="O1569" s="108"/>
      <c r="P1569" s="108"/>
      <c r="Q1569" s="108"/>
      <c r="R1569" s="120"/>
      <c r="T1569" s="188"/>
    </row>
    <row r="1570" spans="1:20" ht="30" x14ac:dyDescent="0.25">
      <c r="A1570" s="114">
        <v>206</v>
      </c>
      <c r="B1570" s="1" t="s">
        <v>699</v>
      </c>
      <c r="C1570" s="1" t="s">
        <v>54</v>
      </c>
      <c r="D1570" s="2" t="s">
        <v>20</v>
      </c>
      <c r="E1570" s="99" t="str">
        <f>IFERROR(VLOOKUP(C1570,Resources!B:D,3,FALSE)," ")</f>
        <v xml:space="preserve"> </v>
      </c>
      <c r="F1570" s="7"/>
      <c r="G1570" s="7"/>
      <c r="H1570" s="103">
        <f>VLOOKUP($A1570,'Model Inputs'!$A:$D,4,FALSE)</f>
        <v>1</v>
      </c>
      <c r="I1570" s="108" t="str">
        <f>IFERROR(VLOOKUP(C1570,Resources!B:G,6,FALSE)," ")</f>
        <v xml:space="preserve"> </v>
      </c>
      <c r="J1570" s="108">
        <f>SUBTOTAL(9,J1572)</f>
        <v>29115.599999999999</v>
      </c>
      <c r="K1570" s="7"/>
      <c r="L1570" s="7">
        <f>ROUNDUP(L1572,0)</f>
        <v>25</v>
      </c>
      <c r="M1570" s="108">
        <f t="shared" ref="M1570:Q1570" si="2291">SUBTOTAL(9,M1572)</f>
        <v>0</v>
      </c>
      <c r="N1570" s="108">
        <f t="shared" si="2291"/>
        <v>0</v>
      </c>
      <c r="O1570" s="108">
        <f t="shared" si="2291"/>
        <v>0</v>
      </c>
      <c r="P1570" s="108">
        <f t="shared" si="2291"/>
        <v>29115.599999999999</v>
      </c>
      <c r="Q1570" s="108">
        <f t="shared" si="2291"/>
        <v>29115.599999999999</v>
      </c>
      <c r="R1570" s="120"/>
      <c r="T1570" s="188"/>
    </row>
    <row r="1571" spans="1:20" ht="30" x14ac:dyDescent="0.25">
      <c r="A1571" s="100"/>
      <c r="B1571" s="3">
        <v>1</v>
      </c>
      <c r="C1571" s="5" t="s">
        <v>2393</v>
      </c>
      <c r="D1571" s="3"/>
      <c r="E1571" s="100" t="str">
        <f>IFERROR(VLOOKUP(C1571,Resources!B:D,3,FALSE)," ")</f>
        <v xml:space="preserve"> </v>
      </c>
      <c r="F1571" s="8"/>
      <c r="G1571" s="8"/>
      <c r="H1571" s="8">
        <f>H1570*5</f>
        <v>5</v>
      </c>
      <c r="I1571" s="109" t="str">
        <f>IFERROR(VLOOKUP(C1571,Resources!B:G,6,FALSE)," ")</f>
        <v xml:space="preserve"> </v>
      </c>
      <c r="J1571" s="109"/>
      <c r="K1571" s="8"/>
      <c r="L1571" s="8"/>
      <c r="M1571" s="109"/>
      <c r="N1571" s="109"/>
      <c r="O1571" s="109"/>
      <c r="P1571" s="109"/>
      <c r="Q1571" s="109"/>
      <c r="R1571" s="121"/>
      <c r="T1571" s="188"/>
    </row>
    <row r="1572" spans="1:20" x14ac:dyDescent="0.25">
      <c r="A1572" s="100">
        <v>206.1</v>
      </c>
      <c r="B1572" s="3">
        <v>2</v>
      </c>
      <c r="C1572" s="5" t="s">
        <v>55</v>
      </c>
      <c r="D1572" s="3" t="s">
        <v>48</v>
      </c>
      <c r="E1572" s="100" t="str">
        <f>IFERROR(VLOOKUP(C1572,Resources!B:D,3,FALSE)," ")</f>
        <v>S</v>
      </c>
      <c r="F1572" s="103">
        <f>VLOOKUP($A1572,'Model Inputs'!$A:$D,4,FALSE)</f>
        <v>6</v>
      </c>
      <c r="G1572" s="8">
        <v>1</v>
      </c>
      <c r="H1572" s="8">
        <v>285</v>
      </c>
      <c r="I1572" s="109">
        <f>IFERROR(VLOOKUP(C1572,Resources!B:G,6,FALSE)," ")</f>
        <v>102.16</v>
      </c>
      <c r="J1572" s="109">
        <f>I1572*H1572</f>
        <v>29115.599999999999</v>
      </c>
      <c r="K1572" s="8"/>
      <c r="L1572" s="8">
        <f>H1571*5</f>
        <v>25</v>
      </c>
      <c r="M1572" s="109">
        <f t="shared" ref="M1572" si="2292">IF($E1572="L",$J1572,0)</f>
        <v>0</v>
      </c>
      <c r="N1572" s="109">
        <f t="shared" ref="N1572" si="2293">IF($E1572="M",$J1572,0)</f>
        <v>0</v>
      </c>
      <c r="O1572" s="109">
        <f t="shared" ref="O1572" si="2294">IF($E1572="P",$J1572,0)</f>
        <v>0</v>
      </c>
      <c r="P1572" s="109">
        <f t="shared" ref="P1572" si="2295">IF($E1572="S",$J1572,0)</f>
        <v>29115.599999999999</v>
      </c>
      <c r="Q1572" s="109">
        <f t="shared" ref="Q1572" si="2296">SUM(M1572:P1572)</f>
        <v>29115.599999999999</v>
      </c>
      <c r="R1572" s="121">
        <v>141</v>
      </c>
      <c r="T1572" s="188"/>
    </row>
    <row r="1573" spans="1:20" x14ac:dyDescent="0.25">
      <c r="A1573" s="101"/>
      <c r="B1573" s="4"/>
      <c r="C1573" s="6"/>
      <c r="D1573" s="4"/>
      <c r="E1573" s="101" t="str">
        <f>IFERROR(VLOOKUP(C1573,Resources!B:D,3,FALSE)," ")</f>
        <v xml:space="preserve"> </v>
      </c>
      <c r="F1573" s="9"/>
      <c r="G1573" s="9"/>
      <c r="H1573" s="9"/>
      <c r="I1573" s="38" t="str">
        <f>IFERROR(VLOOKUP(C1573,Resources!B:G,6,FALSE)," ")</f>
        <v xml:space="preserve"> </v>
      </c>
      <c r="J1573" s="38"/>
      <c r="K1573" s="9"/>
      <c r="L1573" s="9"/>
      <c r="M1573" s="38"/>
      <c r="N1573" s="38"/>
      <c r="O1573" s="38"/>
      <c r="P1573" s="38"/>
      <c r="Q1573" s="38"/>
      <c r="R1573" s="122"/>
      <c r="T1573" s="188"/>
    </row>
    <row r="1574" spans="1:20" ht="30" x14ac:dyDescent="0.25">
      <c r="A1574" s="114"/>
      <c r="B1574" s="1" t="s">
        <v>700</v>
      </c>
      <c r="C1574" s="1" t="s">
        <v>161</v>
      </c>
      <c r="D1574" s="2"/>
      <c r="E1574" s="99" t="str">
        <f>IFERROR(VLOOKUP(C1574,Resources!B:D,3,FALSE)," ")</f>
        <v xml:space="preserve"> </v>
      </c>
      <c r="F1574" s="7"/>
      <c r="G1574" s="7"/>
      <c r="H1574" s="7"/>
      <c r="I1574" s="108" t="str">
        <f>IFERROR(VLOOKUP(C1574,Resources!B:G,6,FALSE)," ")</f>
        <v xml:space="preserve"> </v>
      </c>
      <c r="J1574" s="108"/>
      <c r="K1574" s="7"/>
      <c r="L1574" s="7"/>
      <c r="M1574" s="108"/>
      <c r="N1574" s="108"/>
      <c r="O1574" s="108"/>
      <c r="P1574" s="108"/>
      <c r="Q1574" s="108"/>
      <c r="R1574" s="120"/>
      <c r="T1574" s="188"/>
    </row>
    <row r="1575" spans="1:20" ht="45" x14ac:dyDescent="0.25">
      <c r="A1575" s="114">
        <v>207</v>
      </c>
      <c r="B1575" s="1" t="s">
        <v>701</v>
      </c>
      <c r="C1575" s="1" t="s">
        <v>163</v>
      </c>
      <c r="D1575" s="2" t="s">
        <v>20</v>
      </c>
      <c r="E1575" s="99" t="str">
        <f>IFERROR(VLOOKUP(C1575,Resources!B:D,3,FALSE)," ")</f>
        <v xml:space="preserve"> </v>
      </c>
      <c r="F1575" s="7"/>
      <c r="G1575" s="7"/>
      <c r="H1575" s="103">
        <f>VLOOKUP($A1575,'Model Inputs'!$A:$D,4,FALSE)</f>
        <v>1</v>
      </c>
      <c r="I1575" s="108" t="str">
        <f>IFERROR(VLOOKUP(C1575,Resources!B:G,6,FALSE)," ")</f>
        <v xml:space="preserve"> </v>
      </c>
      <c r="J1575" s="108">
        <f>SUBTOTAL(9,J1576:J1577)</f>
        <v>11050</v>
      </c>
      <c r="K1575" s="7"/>
      <c r="L1575" s="7">
        <f>ROUNDUP(MAX(L1576:L1577)/Workhrs,0)</f>
        <v>6</v>
      </c>
      <c r="M1575" s="108">
        <f t="shared" ref="M1575:Q1575" si="2297">SUBTOTAL(9,M1576:M1577)</f>
        <v>6300</v>
      </c>
      <c r="N1575" s="108">
        <f t="shared" si="2297"/>
        <v>0</v>
      </c>
      <c r="O1575" s="108">
        <f t="shared" si="2297"/>
        <v>4750</v>
      </c>
      <c r="P1575" s="108">
        <f t="shared" si="2297"/>
        <v>0</v>
      </c>
      <c r="Q1575" s="108">
        <f t="shared" si="2297"/>
        <v>11050</v>
      </c>
      <c r="R1575" s="120"/>
      <c r="T1575" s="188"/>
    </row>
    <row r="1576" spans="1:20" x14ac:dyDescent="0.25">
      <c r="A1576" s="100"/>
      <c r="B1576" s="3">
        <v>1</v>
      </c>
      <c r="C1576" s="5" t="s">
        <v>8</v>
      </c>
      <c r="D1576" s="3" t="s">
        <v>48</v>
      </c>
      <c r="E1576" s="100" t="str">
        <f>IFERROR(VLOOKUP(C1576,Resources!B:D,3,FALSE)," ")</f>
        <v>L</v>
      </c>
      <c r="F1576" s="8">
        <v>3</v>
      </c>
      <c r="G1576" s="8">
        <v>1</v>
      </c>
      <c r="H1576" s="8">
        <f>H1575*50</f>
        <v>50</v>
      </c>
      <c r="I1576" s="109">
        <f>IFERROR(VLOOKUP(C1576,Resources!B:G,6,FALSE)," ")</f>
        <v>42</v>
      </c>
      <c r="J1576" s="109">
        <f t="shared" ref="J1576:J1577" si="2298">(H1576/(G1576/F1576))*I1576</f>
        <v>6300</v>
      </c>
      <c r="K1576" s="8">
        <f t="shared" ref="K1576:K1577" si="2299">L1576*F1576</f>
        <v>150</v>
      </c>
      <c r="L1576" s="8">
        <f t="shared" ref="L1576:L1577" si="2300">IF(E1576="M"," ",H1576/G1576)</f>
        <v>50</v>
      </c>
      <c r="M1576" s="109">
        <f t="shared" ref="M1576:M1577" si="2301">IF($E1576="L",$J1576,0)</f>
        <v>6300</v>
      </c>
      <c r="N1576" s="109">
        <f t="shared" ref="N1576:N1577" si="2302">IF($E1576="M",$J1576,0)</f>
        <v>0</v>
      </c>
      <c r="O1576" s="109">
        <f t="shared" ref="O1576:O1577" si="2303">IF($E1576="P",$J1576,0)</f>
        <v>0</v>
      </c>
      <c r="P1576" s="109">
        <f t="shared" ref="P1576:P1577" si="2304">IF($E1576="S",$J1576,0)</f>
        <v>0</v>
      </c>
      <c r="Q1576" s="109">
        <f t="shared" ref="Q1576:Q1577" si="2305">SUM(M1576:P1576)</f>
        <v>6300</v>
      </c>
      <c r="R1576" s="121">
        <v>151</v>
      </c>
      <c r="T1576" s="188"/>
    </row>
    <row r="1577" spans="1:20" x14ac:dyDescent="0.25">
      <c r="A1577" s="100"/>
      <c r="B1577" s="3">
        <v>2</v>
      </c>
      <c r="C1577" s="5" t="s">
        <v>45</v>
      </c>
      <c r="D1577" s="3" t="s">
        <v>48</v>
      </c>
      <c r="E1577" s="100" t="str">
        <f>IFERROR(VLOOKUP(C1577,Resources!B:D,3,FALSE)," ")</f>
        <v>P</v>
      </c>
      <c r="F1577" s="8">
        <v>1</v>
      </c>
      <c r="G1577" s="8">
        <v>1</v>
      </c>
      <c r="H1577" s="8">
        <f>H1576</f>
        <v>50</v>
      </c>
      <c r="I1577" s="109">
        <f>IFERROR(VLOOKUP(C1577,Resources!B:G,6,FALSE)," ")</f>
        <v>95</v>
      </c>
      <c r="J1577" s="109">
        <f t="shared" si="2298"/>
        <v>4750</v>
      </c>
      <c r="K1577" s="8">
        <f t="shared" si="2299"/>
        <v>50</v>
      </c>
      <c r="L1577" s="8">
        <f t="shared" si="2300"/>
        <v>50</v>
      </c>
      <c r="M1577" s="109">
        <f t="shared" si="2301"/>
        <v>0</v>
      </c>
      <c r="N1577" s="109">
        <f t="shared" si="2302"/>
        <v>0</v>
      </c>
      <c r="O1577" s="109">
        <f t="shared" si="2303"/>
        <v>4750</v>
      </c>
      <c r="P1577" s="109">
        <f t="shared" si="2304"/>
        <v>0</v>
      </c>
      <c r="Q1577" s="109">
        <f t="shared" si="2305"/>
        <v>4750</v>
      </c>
      <c r="R1577" s="121">
        <v>151</v>
      </c>
      <c r="T1577" s="188"/>
    </row>
    <row r="1578" spans="1:20" x14ac:dyDescent="0.25">
      <c r="A1578" s="101"/>
      <c r="B1578" s="4"/>
      <c r="C1578" s="6"/>
      <c r="D1578" s="4"/>
      <c r="E1578" s="101" t="str">
        <f>IFERROR(VLOOKUP(C1578,Resources!B:D,3,FALSE)," ")</f>
        <v xml:space="preserve"> </v>
      </c>
      <c r="F1578" s="9"/>
      <c r="G1578" s="9"/>
      <c r="H1578" s="9"/>
      <c r="I1578" s="38" t="str">
        <f>IFERROR(VLOOKUP(C1578,Resources!B:G,6,FALSE)," ")</f>
        <v xml:space="preserve"> </v>
      </c>
      <c r="J1578" s="38"/>
      <c r="K1578" s="9"/>
      <c r="L1578" s="9"/>
      <c r="M1578" s="38"/>
      <c r="N1578" s="38"/>
      <c r="O1578" s="38"/>
      <c r="P1578" s="38"/>
      <c r="Q1578" s="38"/>
      <c r="R1578" s="122"/>
      <c r="T1578" s="188"/>
    </row>
    <row r="1579" spans="1:20" ht="30" x14ac:dyDescent="0.25">
      <c r="A1579" s="114"/>
      <c r="B1579" s="1" t="s">
        <v>702</v>
      </c>
      <c r="C1579" s="1" t="s">
        <v>362</v>
      </c>
      <c r="D1579" s="2"/>
      <c r="E1579" s="99" t="str">
        <f>IFERROR(VLOOKUP(C1579,Resources!B:D,3,FALSE)," ")</f>
        <v xml:space="preserve"> </v>
      </c>
      <c r="F1579" s="7"/>
      <c r="G1579" s="7"/>
      <c r="H1579" s="7"/>
      <c r="I1579" s="108" t="str">
        <f>IFERROR(VLOOKUP(C1579,Resources!B:G,6,FALSE)," ")</f>
        <v xml:space="preserve"> </v>
      </c>
      <c r="J1579" s="108"/>
      <c r="K1579" s="7"/>
      <c r="L1579" s="7"/>
      <c r="M1579" s="108"/>
      <c r="N1579" s="108"/>
      <c r="O1579" s="108"/>
      <c r="P1579" s="108"/>
      <c r="Q1579" s="108"/>
      <c r="R1579" s="120"/>
      <c r="T1579" s="188"/>
    </row>
    <row r="1580" spans="1:20" ht="30" x14ac:dyDescent="0.25">
      <c r="A1580" s="114">
        <v>208</v>
      </c>
      <c r="B1580" s="1" t="s">
        <v>703</v>
      </c>
      <c r="C1580" s="1" t="s">
        <v>364</v>
      </c>
      <c r="D1580" s="2" t="s">
        <v>20</v>
      </c>
      <c r="E1580" s="99" t="str">
        <f>IFERROR(VLOOKUP(C1580,Resources!B:D,3,FALSE)," ")</f>
        <v xml:space="preserve"> </v>
      </c>
      <c r="F1580" s="7"/>
      <c r="G1580" s="7"/>
      <c r="H1580" s="103">
        <f>VLOOKUP($A1580,'Model Inputs'!$A:$D,4,FALSE)</f>
        <v>1</v>
      </c>
      <c r="I1580" s="108" t="str">
        <f>IFERROR(VLOOKUP(C1580,Resources!B:G,6,FALSE)," ")</f>
        <v xml:space="preserve"> </v>
      </c>
      <c r="J1580" s="108">
        <f>SUBTOTAL(9,J1581:J1584)</f>
        <v>10066.666666666666</v>
      </c>
      <c r="K1580" s="7"/>
      <c r="L1580" s="7">
        <f>ROUNDUP(MAX(L1581:L1584)/Workhrs,0)</f>
        <v>2</v>
      </c>
      <c r="M1580" s="108">
        <f t="shared" ref="M1580:Q1580" si="2306">SUBTOTAL(9,M1581:M1584)</f>
        <v>1400</v>
      </c>
      <c r="N1580" s="108">
        <f t="shared" si="2306"/>
        <v>0</v>
      </c>
      <c r="O1580" s="108">
        <f t="shared" si="2306"/>
        <v>8666.6666666666661</v>
      </c>
      <c r="P1580" s="108">
        <f t="shared" si="2306"/>
        <v>0</v>
      </c>
      <c r="Q1580" s="108">
        <f t="shared" si="2306"/>
        <v>10066.666666666666</v>
      </c>
      <c r="R1580" s="120"/>
      <c r="T1580" s="188"/>
    </row>
    <row r="1581" spans="1:20" x14ac:dyDescent="0.25">
      <c r="A1581" s="100">
        <v>208.1</v>
      </c>
      <c r="B1581" s="3">
        <v>1</v>
      </c>
      <c r="C1581" s="5" t="s">
        <v>63</v>
      </c>
      <c r="D1581" s="3" t="s">
        <v>48</v>
      </c>
      <c r="E1581" s="100" t="str">
        <f>IFERROR(VLOOKUP(C1581,Resources!B:D,3,FALSE)," ")</f>
        <v>P</v>
      </c>
      <c r="F1581" s="8">
        <v>1</v>
      </c>
      <c r="G1581" s="103">
        <f>VLOOKUP($A1581,'Model Inputs'!$A:$D,4,FALSE)</f>
        <v>0.06</v>
      </c>
      <c r="H1581" s="8">
        <f>H1580</f>
        <v>1</v>
      </c>
      <c r="I1581" s="109">
        <f>IFERROR(VLOOKUP(C1581,Resources!B:G,6,FALSE)," ")</f>
        <v>135</v>
      </c>
      <c r="J1581" s="109">
        <f t="shared" ref="J1581:J1584" si="2307">(H1581/(G1581/F1581))*I1581</f>
        <v>2250</v>
      </c>
      <c r="K1581" s="8">
        <f t="shared" ref="K1581:K1584" si="2308">L1581*F1581</f>
        <v>16.666666666666668</v>
      </c>
      <c r="L1581" s="8">
        <f t="shared" ref="L1581:L1584" si="2309">IF(E1581="M"," ",H1581/G1581)</f>
        <v>16.666666666666668</v>
      </c>
      <c r="M1581" s="109">
        <f t="shared" ref="M1581:M1584" si="2310">IF($E1581="L",$J1581,0)</f>
        <v>0</v>
      </c>
      <c r="N1581" s="109">
        <f t="shared" ref="N1581:N1584" si="2311">IF($E1581="M",$J1581,0)</f>
        <v>0</v>
      </c>
      <c r="O1581" s="109">
        <f t="shared" ref="O1581:O1584" si="2312">IF($E1581="P",$J1581,0)</f>
        <v>2250</v>
      </c>
      <c r="P1581" s="109">
        <f t="shared" ref="P1581:P1584" si="2313">IF($E1581="S",$J1581,0)</f>
        <v>0</v>
      </c>
      <c r="Q1581" s="109">
        <f t="shared" ref="Q1581:Q1584" si="2314">SUM(M1581:P1581)</f>
        <v>2250</v>
      </c>
      <c r="R1581" s="121">
        <v>41</v>
      </c>
      <c r="T1581" s="188"/>
    </row>
    <row r="1582" spans="1:20" x14ac:dyDescent="0.25">
      <c r="A1582" s="100"/>
      <c r="B1582" s="3">
        <v>2</v>
      </c>
      <c r="C1582" s="5" t="s">
        <v>173</v>
      </c>
      <c r="D1582" s="3" t="s">
        <v>48</v>
      </c>
      <c r="E1582" s="100" t="str">
        <f>IFERROR(VLOOKUP(C1582,Resources!B:D,3,FALSE)," ")</f>
        <v>P</v>
      </c>
      <c r="F1582" s="8">
        <v>3</v>
      </c>
      <c r="G1582" s="8">
        <f>G1581</f>
        <v>0.06</v>
      </c>
      <c r="H1582" s="8">
        <f>H1580</f>
        <v>1</v>
      </c>
      <c r="I1582" s="109">
        <f>IFERROR(VLOOKUP(C1582,Resources!B:G,6,FALSE)," ")</f>
        <v>95</v>
      </c>
      <c r="J1582" s="109">
        <f t="shared" si="2307"/>
        <v>4750</v>
      </c>
      <c r="K1582" s="8">
        <f t="shared" si="2308"/>
        <v>50</v>
      </c>
      <c r="L1582" s="8">
        <f t="shared" si="2309"/>
        <v>16.666666666666668</v>
      </c>
      <c r="M1582" s="109">
        <f t="shared" si="2310"/>
        <v>0</v>
      </c>
      <c r="N1582" s="109">
        <f t="shared" si="2311"/>
        <v>0</v>
      </c>
      <c r="O1582" s="109">
        <f t="shared" si="2312"/>
        <v>4750</v>
      </c>
      <c r="P1582" s="109">
        <f t="shared" si="2313"/>
        <v>0</v>
      </c>
      <c r="Q1582" s="109">
        <f t="shared" si="2314"/>
        <v>4750</v>
      </c>
      <c r="R1582" s="121">
        <v>41</v>
      </c>
      <c r="T1582" s="188"/>
    </row>
    <row r="1583" spans="1:20" x14ac:dyDescent="0.25">
      <c r="A1583" s="100"/>
      <c r="B1583" s="3">
        <v>3</v>
      </c>
      <c r="C1583" s="5" t="s">
        <v>64</v>
      </c>
      <c r="D1583" s="3" t="s">
        <v>48</v>
      </c>
      <c r="E1583" s="100" t="str">
        <f>IFERROR(VLOOKUP(C1583,Resources!B:D,3,FALSE)," ")</f>
        <v>P</v>
      </c>
      <c r="F1583" s="8">
        <v>1</v>
      </c>
      <c r="G1583" s="8">
        <f>G1581</f>
        <v>0.06</v>
      </c>
      <c r="H1583" s="8">
        <f>H1580</f>
        <v>1</v>
      </c>
      <c r="I1583" s="109">
        <f>IFERROR(VLOOKUP(C1583,Resources!B:G,6,FALSE)," ")</f>
        <v>100</v>
      </c>
      <c r="J1583" s="109">
        <f t="shared" si="2307"/>
        <v>1666.6666666666667</v>
      </c>
      <c r="K1583" s="8">
        <f t="shared" si="2308"/>
        <v>16.666666666666668</v>
      </c>
      <c r="L1583" s="8">
        <f t="shared" si="2309"/>
        <v>16.666666666666668</v>
      </c>
      <c r="M1583" s="109">
        <f t="shared" si="2310"/>
        <v>0</v>
      </c>
      <c r="N1583" s="109">
        <f t="shared" si="2311"/>
        <v>0</v>
      </c>
      <c r="O1583" s="109">
        <f t="shared" si="2312"/>
        <v>1666.6666666666667</v>
      </c>
      <c r="P1583" s="109">
        <f t="shared" si="2313"/>
        <v>0</v>
      </c>
      <c r="Q1583" s="109">
        <f t="shared" si="2314"/>
        <v>1666.6666666666667</v>
      </c>
      <c r="R1583" s="121">
        <v>41</v>
      </c>
      <c r="T1583" s="188"/>
    </row>
    <row r="1584" spans="1:20" x14ac:dyDescent="0.25">
      <c r="A1584" s="100"/>
      <c r="B1584" s="3">
        <v>4</v>
      </c>
      <c r="C1584" s="5" t="s">
        <v>8</v>
      </c>
      <c r="D1584" s="3" t="s">
        <v>48</v>
      </c>
      <c r="E1584" s="100" t="str">
        <f>IFERROR(VLOOKUP(C1584,Resources!B:D,3,FALSE)," ")</f>
        <v>L</v>
      </c>
      <c r="F1584" s="8">
        <v>2</v>
      </c>
      <c r="G1584" s="8">
        <f>G1581</f>
        <v>0.06</v>
      </c>
      <c r="H1584" s="8">
        <f>H1580</f>
        <v>1</v>
      </c>
      <c r="I1584" s="109">
        <f>IFERROR(VLOOKUP(C1584,Resources!B:G,6,FALSE)," ")</f>
        <v>42</v>
      </c>
      <c r="J1584" s="109">
        <f t="shared" si="2307"/>
        <v>1400</v>
      </c>
      <c r="K1584" s="8">
        <f t="shared" si="2308"/>
        <v>33.333333333333336</v>
      </c>
      <c r="L1584" s="8">
        <f t="shared" si="2309"/>
        <v>16.666666666666668</v>
      </c>
      <c r="M1584" s="109">
        <f t="shared" si="2310"/>
        <v>1400</v>
      </c>
      <c r="N1584" s="109">
        <f t="shared" si="2311"/>
        <v>0</v>
      </c>
      <c r="O1584" s="109">
        <f t="shared" si="2312"/>
        <v>0</v>
      </c>
      <c r="P1584" s="109">
        <f t="shared" si="2313"/>
        <v>0</v>
      </c>
      <c r="Q1584" s="109">
        <f t="shared" si="2314"/>
        <v>1400</v>
      </c>
      <c r="R1584" s="121">
        <v>41</v>
      </c>
      <c r="T1584" s="188"/>
    </row>
    <row r="1585" spans="1:20" x14ac:dyDescent="0.25">
      <c r="A1585" s="101"/>
      <c r="B1585" s="4"/>
      <c r="C1585" s="6"/>
      <c r="D1585" s="4"/>
      <c r="E1585" s="101" t="str">
        <f>IFERROR(VLOOKUP(C1585,Resources!B:D,3,FALSE)," ")</f>
        <v xml:space="preserve"> </v>
      </c>
      <c r="F1585" s="9"/>
      <c r="G1585" s="9"/>
      <c r="H1585" s="9"/>
      <c r="I1585" s="38" t="str">
        <f>IFERROR(VLOOKUP(C1585,Resources!B:G,6,FALSE)," ")</f>
        <v xml:space="preserve"> </v>
      </c>
      <c r="J1585" s="38"/>
      <c r="K1585" s="9"/>
      <c r="L1585" s="9"/>
      <c r="M1585" s="38"/>
      <c r="N1585" s="38"/>
      <c r="O1585" s="38"/>
      <c r="P1585" s="38"/>
      <c r="Q1585" s="38"/>
      <c r="R1585" s="122"/>
      <c r="T1585" s="188"/>
    </row>
    <row r="1586" spans="1:20" ht="30" x14ac:dyDescent="0.25">
      <c r="A1586" s="114"/>
      <c r="B1586" s="1" t="s">
        <v>704</v>
      </c>
      <c r="C1586" s="1" t="s">
        <v>59</v>
      </c>
      <c r="D1586" s="2"/>
      <c r="E1586" s="99" t="str">
        <f>IFERROR(VLOOKUP(C1586,Resources!B:D,3,FALSE)," ")</f>
        <v xml:space="preserve"> </v>
      </c>
      <c r="F1586" s="7"/>
      <c r="G1586" s="7"/>
      <c r="H1586" s="7"/>
      <c r="I1586" s="108" t="str">
        <f>IFERROR(VLOOKUP(C1586,Resources!B:G,6,FALSE)," ")</f>
        <v xml:space="preserve"> </v>
      </c>
      <c r="J1586" s="108"/>
      <c r="K1586" s="7"/>
      <c r="L1586" s="7"/>
      <c r="M1586" s="108"/>
      <c r="N1586" s="108"/>
      <c r="O1586" s="108"/>
      <c r="P1586" s="108"/>
      <c r="Q1586" s="108"/>
      <c r="R1586" s="120"/>
      <c r="T1586" s="188"/>
    </row>
    <row r="1587" spans="1:20" ht="30" x14ac:dyDescent="0.25">
      <c r="A1587" s="114">
        <v>209</v>
      </c>
      <c r="B1587" s="1" t="s">
        <v>705</v>
      </c>
      <c r="C1587" s="1" t="s">
        <v>61</v>
      </c>
      <c r="D1587" s="2" t="s">
        <v>62</v>
      </c>
      <c r="E1587" s="99" t="str">
        <f>IFERROR(VLOOKUP(C1587,Resources!B:D,3,FALSE)," ")</f>
        <v xml:space="preserve"> </v>
      </c>
      <c r="F1587" s="7"/>
      <c r="G1587" s="7"/>
      <c r="H1587" s="103">
        <f>VLOOKUP($A1587,'Model Inputs'!$A:$D,4,FALSE)</f>
        <v>1700</v>
      </c>
      <c r="I1587" s="108" t="str">
        <f>IFERROR(VLOOKUP(C1587,Resources!B:G,6,FALSE)," ")</f>
        <v xml:space="preserve"> </v>
      </c>
      <c r="J1587" s="108">
        <f>SUBTOTAL(9,J1588:J1596)</f>
        <v>34970.243902439026</v>
      </c>
      <c r="K1587" s="7"/>
      <c r="L1587" s="7">
        <f>ROUNDUP((MAX(L1588:L1591)+MAX(L1593:L1596))/Workhrs,0)</f>
        <v>6</v>
      </c>
      <c r="M1587" s="108">
        <f t="shared" ref="M1587:Q1587" si="2315">SUBTOTAL(9,M1588:M1596)</f>
        <v>3178.1707317073174</v>
      </c>
      <c r="N1587" s="108">
        <f t="shared" si="2315"/>
        <v>0</v>
      </c>
      <c r="O1587" s="108">
        <f t="shared" si="2315"/>
        <v>31792.073170731706</v>
      </c>
      <c r="P1587" s="108">
        <f t="shared" si="2315"/>
        <v>0</v>
      </c>
      <c r="Q1587" s="108">
        <f t="shared" si="2315"/>
        <v>34970.243902439026</v>
      </c>
      <c r="R1587" s="120"/>
      <c r="T1587" s="188"/>
    </row>
    <row r="1588" spans="1:20" x14ac:dyDescent="0.25">
      <c r="A1588" s="100">
        <v>209.1</v>
      </c>
      <c r="B1588" s="3">
        <v>1</v>
      </c>
      <c r="C1588" s="5" t="s">
        <v>63</v>
      </c>
      <c r="D1588" s="3" t="s">
        <v>48</v>
      </c>
      <c r="E1588" s="100" t="str">
        <f>IFERROR(VLOOKUP(C1588,Resources!B:D,3,FALSE)," ")</f>
        <v>P</v>
      </c>
      <c r="F1588" s="8">
        <v>1</v>
      </c>
      <c r="G1588" s="103">
        <f>VLOOKUP($A1588,'Model Inputs'!$A:$D,4,FALSE)</f>
        <v>40</v>
      </c>
      <c r="H1588" s="8">
        <f>H1587</f>
        <v>1700</v>
      </c>
      <c r="I1588" s="109">
        <f>IFERROR(VLOOKUP(C1588,Resources!B:G,6,FALSE)," ")</f>
        <v>135</v>
      </c>
      <c r="J1588" s="109">
        <f t="shared" ref="J1588:J1591" si="2316">(H1588/(G1588/F1588))*I1588</f>
        <v>5737.5</v>
      </c>
      <c r="K1588" s="8">
        <f t="shared" ref="K1588:K1591" si="2317">L1588*F1588</f>
        <v>42.5</v>
      </c>
      <c r="L1588" s="8">
        <f t="shared" ref="L1588:L1591" si="2318">IF(E1588="M"," ",H1588/G1588)</f>
        <v>42.5</v>
      </c>
      <c r="M1588" s="109">
        <f t="shared" ref="M1588:M1591" si="2319">IF($E1588="L",$J1588,0)</f>
        <v>0</v>
      </c>
      <c r="N1588" s="109">
        <f t="shared" ref="N1588:N1591" si="2320">IF($E1588="M",$J1588,0)</f>
        <v>0</v>
      </c>
      <c r="O1588" s="109">
        <f t="shared" ref="O1588:O1591" si="2321">IF($E1588="P",$J1588,0)</f>
        <v>5737.5</v>
      </c>
      <c r="P1588" s="109">
        <f t="shared" ref="P1588:P1591" si="2322">IF($E1588="S",$J1588,0)</f>
        <v>0</v>
      </c>
      <c r="Q1588" s="109">
        <f t="shared" ref="Q1588:Q1591" si="2323">SUM(M1588:P1588)</f>
        <v>5737.5</v>
      </c>
      <c r="R1588" s="121">
        <v>53</v>
      </c>
      <c r="T1588" s="188"/>
    </row>
    <row r="1589" spans="1:20" x14ac:dyDescent="0.25">
      <c r="A1589" s="100">
        <v>209.2</v>
      </c>
      <c r="B1589" s="3">
        <v>2</v>
      </c>
      <c r="C1589" s="5" t="s">
        <v>44</v>
      </c>
      <c r="D1589" s="3" t="s">
        <v>48</v>
      </c>
      <c r="E1589" s="100" t="str">
        <f>IFERROR(VLOOKUP(C1589,Resources!B:D,3,FALSE)," ")</f>
        <v>P</v>
      </c>
      <c r="F1589" s="103">
        <f>VLOOKUP($A1589,'Model Inputs'!$A:$D,4,FALSE)</f>
        <v>3</v>
      </c>
      <c r="G1589" s="8">
        <f>G1588</f>
        <v>40</v>
      </c>
      <c r="H1589" s="8">
        <f>H1587</f>
        <v>1700</v>
      </c>
      <c r="I1589" s="109">
        <f>IFERROR(VLOOKUP(C1589,Resources!B:G,6,FALSE)," ")</f>
        <v>145</v>
      </c>
      <c r="J1589" s="109">
        <f t="shared" si="2316"/>
        <v>18487.5</v>
      </c>
      <c r="K1589" s="8">
        <f t="shared" si="2317"/>
        <v>127.5</v>
      </c>
      <c r="L1589" s="8">
        <f t="shared" si="2318"/>
        <v>42.5</v>
      </c>
      <c r="M1589" s="109">
        <f t="shared" si="2319"/>
        <v>0</v>
      </c>
      <c r="N1589" s="109">
        <f t="shared" si="2320"/>
        <v>0</v>
      </c>
      <c r="O1589" s="109">
        <f t="shared" si="2321"/>
        <v>18487.5</v>
      </c>
      <c r="P1589" s="109">
        <f t="shared" si="2322"/>
        <v>0</v>
      </c>
      <c r="Q1589" s="109">
        <f t="shared" si="2323"/>
        <v>18487.5</v>
      </c>
      <c r="R1589" s="121">
        <v>53</v>
      </c>
      <c r="T1589" s="188"/>
    </row>
    <row r="1590" spans="1:20" x14ac:dyDescent="0.25">
      <c r="A1590" s="100"/>
      <c r="B1590" s="3">
        <v>3</v>
      </c>
      <c r="C1590" s="5" t="s">
        <v>64</v>
      </c>
      <c r="D1590" s="3" t="s">
        <v>48</v>
      </c>
      <c r="E1590" s="100" t="str">
        <f>IFERROR(VLOOKUP(C1590,Resources!B:D,3,FALSE)," ")</f>
        <v>P</v>
      </c>
      <c r="F1590" s="8">
        <v>1</v>
      </c>
      <c r="G1590" s="8">
        <f>G1588</f>
        <v>40</v>
      </c>
      <c r="H1590" s="8">
        <f>H1587</f>
        <v>1700</v>
      </c>
      <c r="I1590" s="109">
        <f>IFERROR(VLOOKUP(C1590,Resources!B:G,6,FALSE)," ")</f>
        <v>100</v>
      </c>
      <c r="J1590" s="109">
        <f t="shared" si="2316"/>
        <v>4250</v>
      </c>
      <c r="K1590" s="8">
        <f t="shared" si="2317"/>
        <v>42.5</v>
      </c>
      <c r="L1590" s="8">
        <f t="shared" si="2318"/>
        <v>42.5</v>
      </c>
      <c r="M1590" s="109">
        <f t="shared" si="2319"/>
        <v>0</v>
      </c>
      <c r="N1590" s="109">
        <f t="shared" si="2320"/>
        <v>0</v>
      </c>
      <c r="O1590" s="109">
        <f t="shared" si="2321"/>
        <v>4250</v>
      </c>
      <c r="P1590" s="109">
        <f t="shared" si="2322"/>
        <v>0</v>
      </c>
      <c r="Q1590" s="109">
        <f t="shared" si="2323"/>
        <v>4250</v>
      </c>
      <c r="R1590" s="121">
        <v>53</v>
      </c>
      <c r="T1590" s="188"/>
    </row>
    <row r="1591" spans="1:20" x14ac:dyDescent="0.25">
      <c r="A1591" s="100"/>
      <c r="B1591" s="3">
        <v>4</v>
      </c>
      <c r="C1591" s="5" t="s">
        <v>8</v>
      </c>
      <c r="D1591" s="3" t="s">
        <v>48</v>
      </c>
      <c r="E1591" s="100" t="str">
        <f>IFERROR(VLOOKUP(C1591,Resources!B:D,3,FALSE)," ")</f>
        <v>L</v>
      </c>
      <c r="F1591" s="8">
        <v>1</v>
      </c>
      <c r="G1591" s="8">
        <f>G1588</f>
        <v>40</v>
      </c>
      <c r="H1591" s="8">
        <f>H1587</f>
        <v>1700</v>
      </c>
      <c r="I1591" s="109">
        <f>IFERROR(VLOOKUP(C1591,Resources!B:G,6,FALSE)," ")</f>
        <v>42</v>
      </c>
      <c r="J1591" s="109">
        <f t="shared" si="2316"/>
        <v>1785</v>
      </c>
      <c r="K1591" s="8">
        <f t="shared" si="2317"/>
        <v>42.5</v>
      </c>
      <c r="L1591" s="8">
        <f t="shared" si="2318"/>
        <v>42.5</v>
      </c>
      <c r="M1591" s="109">
        <f t="shared" si="2319"/>
        <v>1785</v>
      </c>
      <c r="N1591" s="109">
        <f t="shared" si="2320"/>
        <v>0</v>
      </c>
      <c r="O1591" s="109">
        <f t="shared" si="2321"/>
        <v>0</v>
      </c>
      <c r="P1591" s="109">
        <f t="shared" si="2322"/>
        <v>0</v>
      </c>
      <c r="Q1591" s="109">
        <f t="shared" si="2323"/>
        <v>1785</v>
      </c>
      <c r="R1591" s="121">
        <v>53</v>
      </c>
      <c r="T1591" s="188"/>
    </row>
    <row r="1592" spans="1:20" x14ac:dyDescent="0.25">
      <c r="A1592" s="101"/>
      <c r="B1592" s="4">
        <v>5</v>
      </c>
      <c r="C1592" s="6" t="s">
        <v>65</v>
      </c>
      <c r="D1592" s="4"/>
      <c r="E1592" s="101" t="str">
        <f>IFERROR(VLOOKUP(C1592,Resources!B:D,3,FALSE)," ")</f>
        <v xml:space="preserve"> </v>
      </c>
      <c r="F1592" s="9"/>
      <c r="G1592" s="9"/>
      <c r="H1592" s="9"/>
      <c r="I1592" s="38" t="str">
        <f>IFERROR(VLOOKUP(C1592,Resources!B:G,6,FALSE)," ")</f>
        <v xml:space="preserve"> </v>
      </c>
      <c r="J1592" s="38"/>
      <c r="K1592" s="9"/>
      <c r="L1592" s="9"/>
      <c r="M1592" s="38"/>
      <c r="N1592" s="38"/>
      <c r="O1592" s="38"/>
      <c r="P1592" s="38"/>
      <c r="Q1592" s="38"/>
      <c r="R1592" s="122"/>
      <c r="T1592" s="188"/>
    </row>
    <row r="1593" spans="1:20" x14ac:dyDescent="0.25">
      <c r="A1593" s="100">
        <v>209.3</v>
      </c>
      <c r="B1593" s="3">
        <v>6</v>
      </c>
      <c r="C1593" s="5" t="s">
        <v>39</v>
      </c>
      <c r="D1593" s="3" t="s">
        <v>48</v>
      </c>
      <c r="E1593" s="100" t="str">
        <f>IFERROR(VLOOKUP(C1593,Resources!B:D,3,FALSE)," ")</f>
        <v>P</v>
      </c>
      <c r="F1593" s="8">
        <v>1</v>
      </c>
      <c r="G1593" s="103">
        <f>VLOOKUP($A1593,'Model Inputs'!$A:$D,4,FALSE)</f>
        <v>250</v>
      </c>
      <c r="H1593" s="8">
        <f>H1587/0.615</f>
        <v>2764.227642276423</v>
      </c>
      <c r="I1593" s="109">
        <f>IFERROR(VLOOKUP(C1593,Resources!B:G,6,FALSE)," ")</f>
        <v>145</v>
      </c>
      <c r="J1593" s="109">
        <f t="shared" ref="J1593:J1596" si="2324">(H1593/(G1593/F1593))*I1593</f>
        <v>1603.2520325203254</v>
      </c>
      <c r="K1593" s="8">
        <f t="shared" ref="K1593:K1596" si="2325">L1593*F1593</f>
        <v>11.056910569105693</v>
      </c>
      <c r="L1593" s="8">
        <f t="shared" ref="L1593:L1596" si="2326">IF(E1593="M"," ",H1593/G1593)</f>
        <v>11.056910569105693</v>
      </c>
      <c r="M1593" s="109">
        <f t="shared" ref="M1593:M1596" si="2327">IF($E1593="L",$J1593,0)</f>
        <v>0</v>
      </c>
      <c r="N1593" s="109">
        <f t="shared" ref="N1593:N1596" si="2328">IF($E1593="M",$J1593,0)</f>
        <v>0</v>
      </c>
      <c r="O1593" s="109">
        <f t="shared" ref="O1593:O1596" si="2329">IF($E1593="P",$J1593,0)</f>
        <v>1603.2520325203254</v>
      </c>
      <c r="P1593" s="109">
        <f t="shared" ref="P1593:P1596" si="2330">IF($E1593="S",$J1593,0)</f>
        <v>0</v>
      </c>
      <c r="Q1593" s="109">
        <f t="shared" ref="Q1593:Q1596" si="2331">SUM(M1593:P1593)</f>
        <v>1603.2520325203254</v>
      </c>
      <c r="R1593" s="121">
        <v>61</v>
      </c>
      <c r="T1593" s="188"/>
    </row>
    <row r="1594" spans="1:20" x14ac:dyDescent="0.25">
      <c r="A1594" s="100"/>
      <c r="B1594" s="3">
        <v>7</v>
      </c>
      <c r="C1594" s="5" t="s">
        <v>64</v>
      </c>
      <c r="D1594" s="3" t="s">
        <v>48</v>
      </c>
      <c r="E1594" s="100" t="str">
        <f>IFERROR(VLOOKUP(C1594,Resources!B:D,3,FALSE)," ")</f>
        <v>P</v>
      </c>
      <c r="F1594" s="8">
        <v>1</v>
      </c>
      <c r="G1594" s="8">
        <f>G1593</f>
        <v>250</v>
      </c>
      <c r="H1594" s="8">
        <f>H1593</f>
        <v>2764.227642276423</v>
      </c>
      <c r="I1594" s="109">
        <f>IFERROR(VLOOKUP(C1594,Resources!B:G,6,FALSE)," ")</f>
        <v>100</v>
      </c>
      <c r="J1594" s="109">
        <f t="shared" si="2324"/>
        <v>1105.6910569105692</v>
      </c>
      <c r="K1594" s="8">
        <f t="shared" si="2325"/>
        <v>11.056910569105693</v>
      </c>
      <c r="L1594" s="8">
        <f t="shared" si="2326"/>
        <v>11.056910569105693</v>
      </c>
      <c r="M1594" s="109">
        <f t="shared" si="2327"/>
        <v>0</v>
      </c>
      <c r="N1594" s="109">
        <f t="shared" si="2328"/>
        <v>0</v>
      </c>
      <c r="O1594" s="109">
        <f t="shared" si="2329"/>
        <v>1105.6910569105692</v>
      </c>
      <c r="P1594" s="109">
        <f t="shared" si="2330"/>
        <v>0</v>
      </c>
      <c r="Q1594" s="109">
        <f t="shared" si="2331"/>
        <v>1105.6910569105692</v>
      </c>
      <c r="R1594" s="121">
        <v>61</v>
      </c>
      <c r="T1594" s="188"/>
    </row>
    <row r="1595" spans="1:20" x14ac:dyDescent="0.25">
      <c r="A1595" s="100"/>
      <c r="B1595" s="3">
        <v>8</v>
      </c>
      <c r="C1595" s="5" t="s">
        <v>69</v>
      </c>
      <c r="D1595" s="3" t="s">
        <v>48</v>
      </c>
      <c r="E1595" s="100" t="str">
        <f>IFERROR(VLOOKUP(C1595,Resources!B:D,3,FALSE)," ")</f>
        <v>P</v>
      </c>
      <c r="F1595" s="8">
        <v>1</v>
      </c>
      <c r="G1595" s="8">
        <f>G1593</f>
        <v>250</v>
      </c>
      <c r="H1595" s="8">
        <f>H1593</f>
        <v>2764.227642276423</v>
      </c>
      <c r="I1595" s="109">
        <f>IFERROR(VLOOKUP(C1595,Resources!B:G,6,FALSE)," ")</f>
        <v>55</v>
      </c>
      <c r="J1595" s="109">
        <f t="shared" si="2324"/>
        <v>608.13008130081312</v>
      </c>
      <c r="K1595" s="8">
        <f t="shared" si="2325"/>
        <v>11.056910569105693</v>
      </c>
      <c r="L1595" s="8">
        <f t="shared" si="2326"/>
        <v>11.056910569105693</v>
      </c>
      <c r="M1595" s="109">
        <f t="shared" si="2327"/>
        <v>0</v>
      </c>
      <c r="N1595" s="109">
        <f t="shared" si="2328"/>
        <v>0</v>
      </c>
      <c r="O1595" s="109">
        <f t="shared" si="2329"/>
        <v>608.13008130081312</v>
      </c>
      <c r="P1595" s="109">
        <f t="shared" si="2330"/>
        <v>0</v>
      </c>
      <c r="Q1595" s="109">
        <f t="shared" si="2331"/>
        <v>608.13008130081312</v>
      </c>
      <c r="R1595" s="121">
        <v>61</v>
      </c>
      <c r="T1595" s="188"/>
    </row>
    <row r="1596" spans="1:20" x14ac:dyDescent="0.25">
      <c r="A1596" s="100"/>
      <c r="B1596" s="3">
        <v>9</v>
      </c>
      <c r="C1596" s="5" t="s">
        <v>8</v>
      </c>
      <c r="D1596" s="3" t="s">
        <v>48</v>
      </c>
      <c r="E1596" s="100" t="str">
        <f>IFERROR(VLOOKUP(C1596,Resources!B:D,3,FALSE)," ")</f>
        <v>L</v>
      </c>
      <c r="F1596" s="8">
        <v>3</v>
      </c>
      <c r="G1596" s="8">
        <f>G1593</f>
        <v>250</v>
      </c>
      <c r="H1596" s="8">
        <f>H1593</f>
        <v>2764.227642276423</v>
      </c>
      <c r="I1596" s="109">
        <f>IFERROR(VLOOKUP(C1596,Resources!B:G,6,FALSE)," ")</f>
        <v>42</v>
      </c>
      <c r="J1596" s="109">
        <f t="shared" si="2324"/>
        <v>1393.1707317073174</v>
      </c>
      <c r="K1596" s="8">
        <f t="shared" si="2325"/>
        <v>33.170731707317074</v>
      </c>
      <c r="L1596" s="8">
        <f t="shared" si="2326"/>
        <v>11.056910569105693</v>
      </c>
      <c r="M1596" s="109">
        <f t="shared" si="2327"/>
        <v>1393.1707317073174</v>
      </c>
      <c r="N1596" s="109">
        <f t="shared" si="2328"/>
        <v>0</v>
      </c>
      <c r="O1596" s="109">
        <f t="shared" si="2329"/>
        <v>0</v>
      </c>
      <c r="P1596" s="109">
        <f t="shared" si="2330"/>
        <v>0</v>
      </c>
      <c r="Q1596" s="109">
        <f t="shared" si="2331"/>
        <v>1393.1707317073174</v>
      </c>
      <c r="R1596" s="121">
        <v>61</v>
      </c>
      <c r="T1596" s="188"/>
    </row>
    <row r="1597" spans="1:20" x14ac:dyDescent="0.25">
      <c r="A1597" s="101"/>
      <c r="B1597" s="4"/>
      <c r="C1597" s="6"/>
      <c r="D1597" s="4"/>
      <c r="E1597" s="101" t="str">
        <f>IFERROR(VLOOKUP(C1597,Resources!B:D,3,FALSE)," ")</f>
        <v xml:space="preserve"> </v>
      </c>
      <c r="F1597" s="9"/>
      <c r="G1597" s="9"/>
      <c r="H1597" s="9"/>
      <c r="I1597" s="38" t="str">
        <f>IFERROR(VLOOKUP(C1597,Resources!B:G,6,FALSE)," ")</f>
        <v xml:space="preserve"> </v>
      </c>
      <c r="J1597" s="38"/>
      <c r="K1597" s="9"/>
      <c r="L1597" s="9"/>
      <c r="M1597" s="38"/>
      <c r="N1597" s="38"/>
      <c r="O1597" s="38"/>
      <c r="P1597" s="38"/>
      <c r="Q1597" s="38"/>
      <c r="R1597" s="122"/>
      <c r="T1597" s="188"/>
    </row>
    <row r="1598" spans="1:20" ht="30" x14ac:dyDescent="0.25">
      <c r="A1598" s="114"/>
      <c r="B1598" s="1" t="s">
        <v>706</v>
      </c>
      <c r="C1598" s="1" t="s">
        <v>71</v>
      </c>
      <c r="D1598" s="2"/>
      <c r="E1598" s="99" t="str">
        <f>IFERROR(VLOOKUP(C1598,Resources!B:D,3,FALSE)," ")</f>
        <v xml:space="preserve"> </v>
      </c>
      <c r="F1598" s="7"/>
      <c r="G1598" s="7"/>
      <c r="H1598" s="7"/>
      <c r="I1598" s="108" t="str">
        <f>IFERROR(VLOOKUP(C1598,Resources!B:G,6,FALSE)," ")</f>
        <v xml:space="preserve"> </v>
      </c>
      <c r="J1598" s="108"/>
      <c r="K1598" s="7"/>
      <c r="L1598" s="7"/>
      <c r="M1598" s="108"/>
      <c r="N1598" s="108"/>
      <c r="O1598" s="108"/>
      <c r="P1598" s="108"/>
      <c r="Q1598" s="108"/>
      <c r="R1598" s="120"/>
      <c r="T1598" s="188"/>
    </row>
    <row r="1599" spans="1:20" ht="30" x14ac:dyDescent="0.25">
      <c r="A1599" s="114"/>
      <c r="B1599" s="1" t="s">
        <v>707</v>
      </c>
      <c r="C1599" s="1" t="s">
        <v>170</v>
      </c>
      <c r="D1599" s="2"/>
      <c r="E1599" s="99" t="str">
        <f>IFERROR(VLOOKUP(C1599,Resources!B:D,3,FALSE)," ")</f>
        <v xml:space="preserve"> </v>
      </c>
      <c r="F1599" s="7"/>
      <c r="G1599" s="7"/>
      <c r="H1599" s="7"/>
      <c r="I1599" s="108" t="str">
        <f>IFERROR(VLOOKUP(C1599,Resources!B:G,6,FALSE)," ")</f>
        <v xml:space="preserve"> </v>
      </c>
      <c r="J1599" s="108"/>
      <c r="K1599" s="7"/>
      <c r="L1599" s="7"/>
      <c r="M1599" s="108"/>
      <c r="N1599" s="108"/>
      <c r="O1599" s="108"/>
      <c r="P1599" s="108"/>
      <c r="Q1599" s="108"/>
      <c r="R1599" s="120"/>
      <c r="T1599" s="188"/>
    </row>
    <row r="1600" spans="1:20" ht="30" x14ac:dyDescent="0.25">
      <c r="A1600" s="114">
        <v>210</v>
      </c>
      <c r="B1600" s="1" t="s">
        <v>708</v>
      </c>
      <c r="C1600" s="1" t="s">
        <v>172</v>
      </c>
      <c r="D1600" s="2" t="s">
        <v>20</v>
      </c>
      <c r="E1600" s="99" t="str">
        <f>IFERROR(VLOOKUP(C1600,Resources!B:D,3,FALSE)," ")</f>
        <v xml:space="preserve"> </v>
      </c>
      <c r="F1600" s="7"/>
      <c r="G1600" s="7"/>
      <c r="H1600" s="103">
        <f>VLOOKUP($A1600,'Model Inputs'!$A:$D,4,FALSE)</f>
        <v>1</v>
      </c>
      <c r="I1600" s="108" t="str">
        <f>IFERROR(VLOOKUP(C1600,Resources!B:G,6,FALSE)," ")</f>
        <v xml:space="preserve"> </v>
      </c>
      <c r="J1600" s="108">
        <f>SUBTOTAL(9,J1601:J1604)</f>
        <v>5490.9090909090919</v>
      </c>
      <c r="K1600" s="7"/>
      <c r="L1600" s="7">
        <f>ROUNDUP(MAX(L1601:L1604)/Workhrs,0)</f>
        <v>2</v>
      </c>
      <c r="M1600" s="108">
        <f t="shared" ref="M1600:Q1600" si="2332">SUBTOTAL(9,M1601:M1604)</f>
        <v>763.63636363636374</v>
      </c>
      <c r="N1600" s="108">
        <f t="shared" si="2332"/>
        <v>0</v>
      </c>
      <c r="O1600" s="108">
        <f t="shared" si="2332"/>
        <v>4727.2727272727279</v>
      </c>
      <c r="P1600" s="108">
        <f t="shared" si="2332"/>
        <v>0</v>
      </c>
      <c r="Q1600" s="108">
        <f t="shared" si="2332"/>
        <v>5490.9090909090919</v>
      </c>
      <c r="R1600" s="120"/>
      <c r="T1600" s="188"/>
    </row>
    <row r="1601" spans="1:20" x14ac:dyDescent="0.25">
      <c r="A1601" s="100">
        <v>210.1</v>
      </c>
      <c r="B1601" s="3">
        <v>1</v>
      </c>
      <c r="C1601" s="5" t="s">
        <v>63</v>
      </c>
      <c r="D1601" s="3" t="s">
        <v>48</v>
      </c>
      <c r="E1601" s="100" t="str">
        <f>IFERROR(VLOOKUP(C1601,Resources!B:D,3,FALSE)," ")</f>
        <v>P</v>
      </c>
      <c r="F1601" s="8">
        <v>1</v>
      </c>
      <c r="G1601" s="103">
        <f>VLOOKUP($A1601,'Model Inputs'!$A:$D,4,FALSE)</f>
        <v>0.11</v>
      </c>
      <c r="H1601" s="8">
        <f>H1600</f>
        <v>1</v>
      </c>
      <c r="I1601" s="109">
        <f>IFERROR(VLOOKUP(C1601,Resources!B:G,6,FALSE)," ")</f>
        <v>135</v>
      </c>
      <c r="J1601" s="109">
        <f t="shared" ref="J1601:J1604" si="2333">(H1601/(G1601/F1601))*I1601</f>
        <v>1227.2727272727275</v>
      </c>
      <c r="K1601" s="8">
        <f t="shared" ref="K1601:K1604" si="2334">L1601*F1601</f>
        <v>9.0909090909090917</v>
      </c>
      <c r="L1601" s="8">
        <f t="shared" ref="L1601:L1604" si="2335">IF(E1601="M"," ",H1601/G1601)</f>
        <v>9.0909090909090917</v>
      </c>
      <c r="M1601" s="109">
        <f t="shared" ref="M1601:M1604" si="2336">IF($E1601="L",$J1601,0)</f>
        <v>0</v>
      </c>
      <c r="N1601" s="109">
        <f t="shared" ref="N1601:N1604" si="2337">IF($E1601="M",$J1601,0)</f>
        <v>0</v>
      </c>
      <c r="O1601" s="109">
        <f t="shared" ref="O1601:O1604" si="2338">IF($E1601="P",$J1601,0)</f>
        <v>1227.2727272727275</v>
      </c>
      <c r="P1601" s="109">
        <f t="shared" ref="P1601:P1604" si="2339">IF($E1601="S",$J1601,0)</f>
        <v>0</v>
      </c>
      <c r="Q1601" s="109">
        <f t="shared" ref="Q1601:Q1604" si="2340">SUM(M1601:P1601)</f>
        <v>1227.2727272727275</v>
      </c>
      <c r="R1601" s="121">
        <v>41</v>
      </c>
      <c r="T1601" s="188"/>
    </row>
    <row r="1602" spans="1:20" x14ac:dyDescent="0.25">
      <c r="A1602" s="100">
        <v>210.2</v>
      </c>
      <c r="B1602" s="3">
        <v>2</v>
      </c>
      <c r="C1602" s="5" t="s">
        <v>173</v>
      </c>
      <c r="D1602" s="3" t="s">
        <v>48</v>
      </c>
      <c r="E1602" s="100" t="str">
        <f>IFERROR(VLOOKUP(C1602,Resources!B:D,3,FALSE)," ")</f>
        <v>P</v>
      </c>
      <c r="F1602" s="103">
        <f>VLOOKUP($A1602,'Model Inputs'!$A:$D,4,FALSE)</f>
        <v>3</v>
      </c>
      <c r="G1602" s="8">
        <f>G1601</f>
        <v>0.11</v>
      </c>
      <c r="H1602" s="8">
        <f>H1600</f>
        <v>1</v>
      </c>
      <c r="I1602" s="109">
        <f>IFERROR(VLOOKUP(C1602,Resources!B:G,6,FALSE)," ")</f>
        <v>95</v>
      </c>
      <c r="J1602" s="109">
        <f t="shared" si="2333"/>
        <v>2590.909090909091</v>
      </c>
      <c r="K1602" s="8">
        <f t="shared" si="2334"/>
        <v>27.272727272727273</v>
      </c>
      <c r="L1602" s="8">
        <f t="shared" si="2335"/>
        <v>9.0909090909090917</v>
      </c>
      <c r="M1602" s="109">
        <f t="shared" si="2336"/>
        <v>0</v>
      </c>
      <c r="N1602" s="109">
        <f t="shared" si="2337"/>
        <v>0</v>
      </c>
      <c r="O1602" s="109">
        <f t="shared" si="2338"/>
        <v>2590.909090909091</v>
      </c>
      <c r="P1602" s="109">
        <f t="shared" si="2339"/>
        <v>0</v>
      </c>
      <c r="Q1602" s="109">
        <f t="shared" si="2340"/>
        <v>2590.909090909091</v>
      </c>
      <c r="R1602" s="121">
        <v>41</v>
      </c>
      <c r="T1602" s="188"/>
    </row>
    <row r="1603" spans="1:20" x14ac:dyDescent="0.25">
      <c r="A1603" s="100"/>
      <c r="B1603" s="3">
        <v>3</v>
      </c>
      <c r="C1603" s="5" t="s">
        <v>64</v>
      </c>
      <c r="D1603" s="3" t="s">
        <v>48</v>
      </c>
      <c r="E1603" s="100" t="str">
        <f>IFERROR(VLOOKUP(C1603,Resources!B:D,3,FALSE)," ")</f>
        <v>P</v>
      </c>
      <c r="F1603" s="8">
        <v>1</v>
      </c>
      <c r="G1603" s="8">
        <f>G1601</f>
        <v>0.11</v>
      </c>
      <c r="H1603" s="8">
        <f>H1600</f>
        <v>1</v>
      </c>
      <c r="I1603" s="109">
        <f>IFERROR(VLOOKUP(C1603,Resources!B:G,6,FALSE)," ")</f>
        <v>100</v>
      </c>
      <c r="J1603" s="109">
        <f t="shared" si="2333"/>
        <v>909.09090909090912</v>
      </c>
      <c r="K1603" s="8">
        <f t="shared" si="2334"/>
        <v>9.0909090909090917</v>
      </c>
      <c r="L1603" s="8">
        <f t="shared" si="2335"/>
        <v>9.0909090909090917</v>
      </c>
      <c r="M1603" s="109">
        <f t="shared" si="2336"/>
        <v>0</v>
      </c>
      <c r="N1603" s="109">
        <f t="shared" si="2337"/>
        <v>0</v>
      </c>
      <c r="O1603" s="109">
        <f t="shared" si="2338"/>
        <v>909.09090909090912</v>
      </c>
      <c r="P1603" s="109">
        <f t="shared" si="2339"/>
        <v>0</v>
      </c>
      <c r="Q1603" s="109">
        <f t="shared" si="2340"/>
        <v>909.09090909090912</v>
      </c>
      <c r="R1603" s="121">
        <v>41</v>
      </c>
      <c r="T1603" s="188"/>
    </row>
    <row r="1604" spans="1:20" x14ac:dyDescent="0.25">
      <c r="A1604" s="100"/>
      <c r="B1604" s="3">
        <v>4</v>
      </c>
      <c r="C1604" s="5" t="s">
        <v>8</v>
      </c>
      <c r="D1604" s="3" t="s">
        <v>48</v>
      </c>
      <c r="E1604" s="100" t="str">
        <f>IFERROR(VLOOKUP(C1604,Resources!B:D,3,FALSE)," ")</f>
        <v>L</v>
      </c>
      <c r="F1604" s="8">
        <v>2</v>
      </c>
      <c r="G1604" s="8">
        <f>G1601</f>
        <v>0.11</v>
      </c>
      <c r="H1604" s="8">
        <f>H1600</f>
        <v>1</v>
      </c>
      <c r="I1604" s="109">
        <f>IFERROR(VLOOKUP(C1604,Resources!B:G,6,FALSE)," ")</f>
        <v>42</v>
      </c>
      <c r="J1604" s="109">
        <f t="shared" si="2333"/>
        <v>763.63636363636374</v>
      </c>
      <c r="K1604" s="8">
        <f t="shared" si="2334"/>
        <v>18.181818181818183</v>
      </c>
      <c r="L1604" s="8">
        <f t="shared" si="2335"/>
        <v>9.0909090909090917</v>
      </c>
      <c r="M1604" s="109">
        <f t="shared" si="2336"/>
        <v>763.63636363636374</v>
      </c>
      <c r="N1604" s="109">
        <f t="shared" si="2337"/>
        <v>0</v>
      </c>
      <c r="O1604" s="109">
        <f t="shared" si="2338"/>
        <v>0</v>
      </c>
      <c r="P1604" s="109">
        <f t="shared" si="2339"/>
        <v>0</v>
      </c>
      <c r="Q1604" s="109">
        <f t="shared" si="2340"/>
        <v>763.63636363636374</v>
      </c>
      <c r="R1604" s="121">
        <v>41</v>
      </c>
      <c r="T1604" s="188"/>
    </row>
    <row r="1605" spans="1:20" x14ac:dyDescent="0.25">
      <c r="A1605" s="101"/>
      <c r="B1605" s="4"/>
      <c r="C1605" s="6"/>
      <c r="D1605" s="4"/>
      <c r="E1605" s="101" t="str">
        <f>IFERROR(VLOOKUP(C1605,Resources!B:D,3,FALSE)," ")</f>
        <v xml:space="preserve"> </v>
      </c>
      <c r="F1605" s="9"/>
      <c r="G1605" s="9"/>
      <c r="H1605" s="9"/>
      <c r="I1605" s="38" t="str">
        <f>IFERROR(VLOOKUP(C1605,Resources!B:G,6,FALSE)," ")</f>
        <v xml:space="preserve"> </v>
      </c>
      <c r="J1605" s="38"/>
      <c r="K1605" s="9"/>
      <c r="L1605" s="9"/>
      <c r="M1605" s="38"/>
      <c r="N1605" s="38"/>
      <c r="O1605" s="38"/>
      <c r="P1605" s="38"/>
      <c r="Q1605" s="38"/>
      <c r="R1605" s="122"/>
      <c r="T1605" s="188"/>
    </row>
    <row r="1606" spans="1:20" ht="30" x14ac:dyDescent="0.25">
      <c r="A1606" s="114">
        <v>211</v>
      </c>
      <c r="B1606" s="1" t="s">
        <v>709</v>
      </c>
      <c r="C1606" s="1" t="s">
        <v>710</v>
      </c>
      <c r="D1606" s="2" t="s">
        <v>20</v>
      </c>
      <c r="E1606" s="99" t="str">
        <f>IFERROR(VLOOKUP(C1606,Resources!B:D,3,FALSE)," ")</f>
        <v xml:space="preserve"> </v>
      </c>
      <c r="F1606" s="7"/>
      <c r="G1606" s="7"/>
      <c r="H1606" s="103">
        <f>VLOOKUP($A1606,'Model Inputs'!$A:$D,4,FALSE)</f>
        <v>1</v>
      </c>
      <c r="I1606" s="108" t="str">
        <f>IFERROR(VLOOKUP(C1606,Resources!B:G,6,FALSE)," ")</f>
        <v xml:space="preserve"> </v>
      </c>
      <c r="J1606" s="108">
        <f>SUBTOTAL(9,J1608:J1610)</f>
        <v>7860</v>
      </c>
      <c r="K1606" s="7"/>
      <c r="L1606" s="7">
        <f>ROUNDUP(L1608,0)</f>
        <v>6</v>
      </c>
      <c r="M1606" s="108">
        <f t="shared" ref="M1606:Q1606" si="2341">SUBTOTAL(9,M1608:M1610)</f>
        <v>1260</v>
      </c>
      <c r="N1606" s="108">
        <f t="shared" si="2341"/>
        <v>3000</v>
      </c>
      <c r="O1606" s="108">
        <f t="shared" si="2341"/>
        <v>0</v>
      </c>
      <c r="P1606" s="108">
        <f t="shared" si="2341"/>
        <v>3600</v>
      </c>
      <c r="Q1606" s="108">
        <f t="shared" si="2341"/>
        <v>7860</v>
      </c>
      <c r="R1606" s="120"/>
      <c r="T1606" s="188"/>
    </row>
    <row r="1607" spans="1:20" x14ac:dyDescent="0.25">
      <c r="A1607" s="101"/>
      <c r="B1607" s="4">
        <v>1</v>
      </c>
      <c r="C1607" s="6" t="s">
        <v>711</v>
      </c>
      <c r="D1607" s="4"/>
      <c r="E1607" s="101" t="str">
        <f>IFERROR(VLOOKUP(C1607,Resources!B:D,3,FALSE)," ")</f>
        <v xml:space="preserve"> </v>
      </c>
      <c r="F1607" s="9"/>
      <c r="G1607" s="9"/>
      <c r="H1607" s="9"/>
      <c r="I1607" s="38" t="str">
        <f>IFERROR(VLOOKUP(C1607,Resources!B:G,6,FALSE)," ")</f>
        <v xml:space="preserve"> </v>
      </c>
      <c r="J1607" s="38"/>
      <c r="K1607" s="9"/>
      <c r="L1607" s="9"/>
      <c r="M1607" s="38"/>
      <c r="N1607" s="38"/>
      <c r="O1607" s="38"/>
      <c r="P1607" s="38"/>
      <c r="Q1607" s="38"/>
      <c r="R1607" s="122"/>
      <c r="T1607" s="188"/>
    </row>
    <row r="1608" spans="1:20" x14ac:dyDescent="0.25">
      <c r="A1608" s="100"/>
      <c r="B1608" s="3">
        <v>2</v>
      </c>
      <c r="C1608" s="5" t="s">
        <v>176</v>
      </c>
      <c r="D1608" s="3" t="s">
        <v>29</v>
      </c>
      <c r="E1608" s="100" t="str">
        <f>IFERROR(VLOOKUP(C1608,Resources!B:D,3,FALSE)," ")</f>
        <v>S</v>
      </c>
      <c r="F1608" s="8">
        <v>1</v>
      </c>
      <c r="G1608" s="8">
        <v>1</v>
      </c>
      <c r="H1608" s="8">
        <f>ROUNDUP(H1606*3,0)</f>
        <v>3</v>
      </c>
      <c r="I1608" s="109">
        <f>IFERROR(VLOOKUP(C1608,Resources!B:G,6,FALSE)," ")</f>
        <v>1200</v>
      </c>
      <c r="J1608" s="109">
        <f t="shared" ref="J1608:J1610" si="2342">(H1608/(G1608/F1608))*I1608</f>
        <v>3600</v>
      </c>
      <c r="K1608" s="8"/>
      <c r="L1608" s="8">
        <f>H1608*2</f>
        <v>6</v>
      </c>
      <c r="M1608" s="109">
        <f t="shared" ref="M1608:M1610" si="2343">IF($E1608="L",$J1608,0)</f>
        <v>0</v>
      </c>
      <c r="N1608" s="109">
        <f t="shared" ref="N1608:N1610" si="2344">IF($E1608="M",$J1608,0)</f>
        <v>0</v>
      </c>
      <c r="O1608" s="109">
        <f t="shared" ref="O1608:O1610" si="2345">IF($E1608="P",$J1608,0)</f>
        <v>0</v>
      </c>
      <c r="P1608" s="109">
        <f t="shared" ref="P1608:P1610" si="2346">IF($E1608="S",$J1608,0)</f>
        <v>3600</v>
      </c>
      <c r="Q1608" s="109">
        <f t="shared" ref="Q1608:Q1610" si="2347">SUM(M1608:P1608)</f>
        <v>3600</v>
      </c>
      <c r="R1608" s="121">
        <v>85</v>
      </c>
      <c r="T1608" s="188"/>
    </row>
    <row r="1609" spans="1:20" x14ac:dyDescent="0.25">
      <c r="A1609" s="100"/>
      <c r="B1609" s="3">
        <v>3</v>
      </c>
      <c r="C1609" s="5" t="s">
        <v>712</v>
      </c>
      <c r="D1609" s="3" t="s">
        <v>29</v>
      </c>
      <c r="E1609" s="100" t="str">
        <f>IFERROR(VLOOKUP(C1609,Resources!B:D,3,FALSE)," ")</f>
        <v>M</v>
      </c>
      <c r="F1609" s="8">
        <v>1</v>
      </c>
      <c r="G1609" s="8">
        <v>1</v>
      </c>
      <c r="H1609" s="8">
        <f>H1608*2</f>
        <v>6</v>
      </c>
      <c r="I1609" s="109">
        <f>IFERROR(VLOOKUP(C1609,Resources!B:G,6,FALSE)," ")</f>
        <v>500</v>
      </c>
      <c r="J1609" s="109">
        <f t="shared" si="2342"/>
        <v>3000</v>
      </c>
      <c r="K1609" s="8"/>
      <c r="L1609" s="8" t="str">
        <f t="shared" ref="L1609:L1610" si="2348">IF(E1609="M"," ",H1609/G1609)</f>
        <v xml:space="preserve"> </v>
      </c>
      <c r="M1609" s="109">
        <f t="shared" si="2343"/>
        <v>0</v>
      </c>
      <c r="N1609" s="109">
        <f t="shared" si="2344"/>
        <v>3000</v>
      </c>
      <c r="O1609" s="109">
        <f t="shared" si="2345"/>
        <v>0</v>
      </c>
      <c r="P1609" s="109">
        <f t="shared" si="2346"/>
        <v>0</v>
      </c>
      <c r="Q1609" s="109">
        <f t="shared" si="2347"/>
        <v>3000</v>
      </c>
      <c r="R1609" s="121" t="s">
        <v>2345</v>
      </c>
      <c r="T1609" s="188"/>
    </row>
    <row r="1610" spans="1:20" x14ac:dyDescent="0.25">
      <c r="A1610" s="100"/>
      <c r="B1610" s="3">
        <v>4</v>
      </c>
      <c r="C1610" s="5" t="s">
        <v>8</v>
      </c>
      <c r="D1610" s="3" t="s">
        <v>48</v>
      </c>
      <c r="E1610" s="100" t="str">
        <f>IFERROR(VLOOKUP(C1610,Resources!B:D,3,FALSE)," ")</f>
        <v>L</v>
      </c>
      <c r="F1610" s="8">
        <v>1</v>
      </c>
      <c r="G1610" s="8">
        <v>1</v>
      </c>
      <c r="H1610" s="8">
        <f>H1608*10</f>
        <v>30</v>
      </c>
      <c r="I1610" s="109">
        <f>IFERROR(VLOOKUP(C1610,Resources!B:G,6,FALSE)," ")</f>
        <v>42</v>
      </c>
      <c r="J1610" s="109">
        <f t="shared" si="2342"/>
        <v>1260</v>
      </c>
      <c r="K1610" s="8">
        <f t="shared" ref="K1610" si="2349">L1610*F1610</f>
        <v>30</v>
      </c>
      <c r="L1610" s="8">
        <f t="shared" si="2348"/>
        <v>30</v>
      </c>
      <c r="M1610" s="109">
        <f t="shared" si="2343"/>
        <v>1260</v>
      </c>
      <c r="N1610" s="109">
        <f t="shared" si="2344"/>
        <v>0</v>
      </c>
      <c r="O1610" s="109">
        <f t="shared" si="2345"/>
        <v>0</v>
      </c>
      <c r="P1610" s="109">
        <f t="shared" si="2346"/>
        <v>0</v>
      </c>
      <c r="Q1610" s="109">
        <f t="shared" si="2347"/>
        <v>1260</v>
      </c>
      <c r="R1610" s="121">
        <v>85</v>
      </c>
      <c r="T1610" s="188"/>
    </row>
    <row r="1611" spans="1:20" x14ac:dyDescent="0.25">
      <c r="A1611" s="101"/>
      <c r="B1611" s="4"/>
      <c r="C1611" s="6"/>
      <c r="D1611" s="4"/>
      <c r="E1611" s="101" t="str">
        <f>IFERROR(VLOOKUP(C1611,Resources!B:D,3,FALSE)," ")</f>
        <v xml:space="preserve"> </v>
      </c>
      <c r="F1611" s="9"/>
      <c r="G1611" s="9"/>
      <c r="H1611" s="9"/>
      <c r="I1611" s="38" t="str">
        <f>IFERROR(VLOOKUP(C1611,Resources!B:G,6,FALSE)," ")</f>
        <v xml:space="preserve"> </v>
      </c>
      <c r="J1611" s="38"/>
      <c r="K1611" s="9"/>
      <c r="L1611" s="9"/>
      <c r="M1611" s="38"/>
      <c r="N1611" s="38"/>
      <c r="O1611" s="38"/>
      <c r="P1611" s="38"/>
      <c r="Q1611" s="38"/>
      <c r="R1611" s="122"/>
      <c r="T1611" s="188"/>
    </row>
    <row r="1612" spans="1:20" ht="30" x14ac:dyDescent="0.25">
      <c r="A1612" s="114"/>
      <c r="B1612" s="1" t="s">
        <v>713</v>
      </c>
      <c r="C1612" s="1" t="s">
        <v>73</v>
      </c>
      <c r="D1612" s="2"/>
      <c r="E1612" s="99" t="str">
        <f>IFERROR(VLOOKUP(C1612,Resources!B:D,3,FALSE)," ")</f>
        <v xml:space="preserve"> </v>
      </c>
      <c r="F1612" s="7"/>
      <c r="G1612" s="7"/>
      <c r="H1612" s="7"/>
      <c r="I1612" s="108" t="str">
        <f>IFERROR(VLOOKUP(C1612,Resources!B:G,6,FALSE)," ")</f>
        <v xml:space="preserve"> </v>
      </c>
      <c r="J1612" s="108"/>
      <c r="K1612" s="7"/>
      <c r="L1612" s="7"/>
      <c r="M1612" s="108"/>
      <c r="N1612" s="108"/>
      <c r="O1612" s="108"/>
      <c r="P1612" s="108"/>
      <c r="Q1612" s="108"/>
      <c r="R1612" s="120"/>
      <c r="T1612" s="188"/>
    </row>
    <row r="1613" spans="1:20" ht="30" x14ac:dyDescent="0.25">
      <c r="A1613" s="114">
        <v>212</v>
      </c>
      <c r="B1613" s="1" t="s">
        <v>714</v>
      </c>
      <c r="C1613" s="1" t="s">
        <v>265</v>
      </c>
      <c r="D1613" s="2" t="s">
        <v>20</v>
      </c>
      <c r="E1613" s="99" t="str">
        <f>IFERROR(VLOOKUP(C1613,Resources!B:D,3,FALSE)," ")</f>
        <v xml:space="preserve"> </v>
      </c>
      <c r="F1613" s="7"/>
      <c r="G1613" s="7"/>
      <c r="H1613" s="103">
        <f>VLOOKUP($A1613,'Model Inputs'!$A:$D,4,FALSE)</f>
        <v>1</v>
      </c>
      <c r="I1613" s="108" t="str">
        <f>IFERROR(VLOOKUP(C1613,Resources!B:G,6,FALSE)," ")</f>
        <v xml:space="preserve"> </v>
      </c>
      <c r="J1613" s="108">
        <f>SUBTOTAL(9,J1615:J1617)</f>
        <v>6715</v>
      </c>
      <c r="K1613" s="7"/>
      <c r="L1613" s="7">
        <f>ROUNDUP(L1617/Workhrs,0)</f>
        <v>4</v>
      </c>
      <c r="M1613" s="108">
        <f t="shared" ref="M1613:Q1613" si="2350">SUBTOTAL(9,M1615:M1617)</f>
        <v>0</v>
      </c>
      <c r="N1613" s="108">
        <f t="shared" si="2350"/>
        <v>3825</v>
      </c>
      <c r="O1613" s="108">
        <f t="shared" si="2350"/>
        <v>0</v>
      </c>
      <c r="P1613" s="108">
        <f t="shared" si="2350"/>
        <v>2890</v>
      </c>
      <c r="Q1613" s="108">
        <f t="shared" si="2350"/>
        <v>6715</v>
      </c>
      <c r="R1613" s="120"/>
      <c r="T1613" s="188"/>
    </row>
    <row r="1614" spans="1:20" x14ac:dyDescent="0.25">
      <c r="A1614" s="100"/>
      <c r="B1614" s="3">
        <v>1</v>
      </c>
      <c r="C1614" s="5" t="s">
        <v>2394</v>
      </c>
      <c r="D1614" s="3"/>
      <c r="E1614" s="100" t="str">
        <f>IFERROR(VLOOKUP(C1614,Resources!B:D,3,FALSE)," ")</f>
        <v xml:space="preserve"> </v>
      </c>
      <c r="F1614" s="8"/>
      <c r="G1614" s="8"/>
      <c r="H1614" s="8">
        <f>ROUNDUP(H1613*17,0)</f>
        <v>17</v>
      </c>
      <c r="I1614" s="109" t="str">
        <f>IFERROR(VLOOKUP(C1614,Resources!B:G,6,FALSE)," ")</f>
        <v xml:space="preserve"> </v>
      </c>
      <c r="J1614" s="109"/>
      <c r="K1614" s="8"/>
      <c r="L1614" s="8"/>
      <c r="M1614" s="109"/>
      <c r="N1614" s="109"/>
      <c r="O1614" s="109"/>
      <c r="P1614" s="109"/>
      <c r="Q1614" s="109"/>
      <c r="R1614" s="121"/>
      <c r="T1614" s="188"/>
    </row>
    <row r="1615" spans="1:20" x14ac:dyDescent="0.25">
      <c r="A1615" s="100"/>
      <c r="B1615" s="3">
        <v>2</v>
      </c>
      <c r="C1615" s="5" t="s">
        <v>266</v>
      </c>
      <c r="D1615" s="3" t="s">
        <v>89</v>
      </c>
      <c r="E1615" s="100" t="str">
        <f>IFERROR(VLOOKUP(C1615,Resources!B:D,3,FALSE)," ")</f>
        <v>M</v>
      </c>
      <c r="F1615" s="8">
        <v>1</v>
      </c>
      <c r="G1615" s="8">
        <v>1</v>
      </c>
      <c r="H1615" s="8">
        <f>H1614*6</f>
        <v>102</v>
      </c>
      <c r="I1615" s="109">
        <f>IFERROR(VLOOKUP(C1615,Resources!B:G,6,FALSE)," ")</f>
        <v>25</v>
      </c>
      <c r="J1615" s="109">
        <f t="shared" ref="J1615:J1617" si="2351">(H1615/(G1615/F1615))*I1615</f>
        <v>2550</v>
      </c>
      <c r="K1615" s="8"/>
      <c r="L1615" s="8" t="str">
        <f t="shared" ref="L1615:L1617" si="2352">IF(E1615="M"," ",H1615/G1615)</f>
        <v xml:space="preserve"> </v>
      </c>
      <c r="M1615" s="109">
        <f t="shared" ref="M1615:M1617" si="2353">IF($E1615="L",$J1615,0)</f>
        <v>0</v>
      </c>
      <c r="N1615" s="109">
        <f t="shared" ref="N1615:N1617" si="2354">IF($E1615="M",$J1615,0)</f>
        <v>2550</v>
      </c>
      <c r="O1615" s="109">
        <f t="shared" ref="O1615:O1617" si="2355">IF($E1615="P",$J1615,0)</f>
        <v>0</v>
      </c>
      <c r="P1615" s="109">
        <f t="shared" ref="P1615:P1617" si="2356">IF($E1615="S",$J1615,0)</f>
        <v>0</v>
      </c>
      <c r="Q1615" s="109">
        <f t="shared" ref="Q1615:Q1617" si="2357">SUM(M1615:P1615)</f>
        <v>2550</v>
      </c>
      <c r="R1615" s="121" t="s">
        <v>2346</v>
      </c>
      <c r="T1615" s="188"/>
    </row>
    <row r="1616" spans="1:20" x14ac:dyDescent="0.25">
      <c r="A1616" s="100"/>
      <c r="B1616" s="3">
        <v>3</v>
      </c>
      <c r="C1616" s="5" t="s">
        <v>267</v>
      </c>
      <c r="D1616" s="3" t="s">
        <v>29</v>
      </c>
      <c r="E1616" s="100" t="str">
        <f>IFERROR(VLOOKUP(C1616,Resources!B:D,3,FALSE)," ")</f>
        <v>M</v>
      </c>
      <c r="F1616" s="8">
        <v>1</v>
      </c>
      <c r="G1616" s="8">
        <v>1</v>
      </c>
      <c r="H1616" s="8">
        <f>H1614</f>
        <v>17</v>
      </c>
      <c r="I1616" s="109">
        <f>IFERROR(VLOOKUP(C1616,Resources!B:G,6,FALSE)," ")</f>
        <v>75</v>
      </c>
      <c r="J1616" s="109">
        <f t="shared" si="2351"/>
        <v>1275</v>
      </c>
      <c r="K1616" s="8"/>
      <c r="L1616" s="8" t="str">
        <f t="shared" si="2352"/>
        <v xml:space="preserve"> </v>
      </c>
      <c r="M1616" s="109">
        <f t="shared" si="2353"/>
        <v>0</v>
      </c>
      <c r="N1616" s="109">
        <f t="shared" si="2354"/>
        <v>1275</v>
      </c>
      <c r="O1616" s="109">
        <f t="shared" si="2355"/>
        <v>0</v>
      </c>
      <c r="P1616" s="109">
        <f t="shared" si="2356"/>
        <v>0</v>
      </c>
      <c r="Q1616" s="109">
        <f t="shared" si="2357"/>
        <v>1275</v>
      </c>
      <c r="R1616" s="121" t="s">
        <v>2346</v>
      </c>
      <c r="T1616" s="188"/>
    </row>
    <row r="1617" spans="1:20" x14ac:dyDescent="0.25">
      <c r="A1617" s="100">
        <v>212.1</v>
      </c>
      <c r="B1617" s="3">
        <v>4</v>
      </c>
      <c r="C1617" s="5" t="s">
        <v>268</v>
      </c>
      <c r="D1617" s="3" t="s">
        <v>48</v>
      </c>
      <c r="E1617" s="100" t="str">
        <f>IFERROR(VLOOKUP(C1617,Resources!B:D,3,FALSE)," ")</f>
        <v>S</v>
      </c>
      <c r="F1617" s="8">
        <v>1</v>
      </c>
      <c r="G1617" s="103">
        <f>VLOOKUP($A1617,'Model Inputs'!$A:$D,4,FALSE)</f>
        <v>0.5</v>
      </c>
      <c r="H1617" s="8">
        <f>H1614</f>
        <v>17</v>
      </c>
      <c r="I1617" s="109">
        <f>IFERROR(VLOOKUP(C1617,Resources!B:G,6,FALSE)," ")</f>
        <v>85</v>
      </c>
      <c r="J1617" s="109">
        <f t="shared" si="2351"/>
        <v>2890</v>
      </c>
      <c r="K1617" s="8">
        <f t="shared" ref="K1617" si="2358">L1617*F1617</f>
        <v>34</v>
      </c>
      <c r="L1617" s="8">
        <f t="shared" si="2352"/>
        <v>34</v>
      </c>
      <c r="M1617" s="109">
        <f t="shared" si="2353"/>
        <v>0</v>
      </c>
      <c r="N1617" s="109">
        <f t="shared" si="2354"/>
        <v>0</v>
      </c>
      <c r="O1617" s="109">
        <f t="shared" si="2355"/>
        <v>0</v>
      </c>
      <c r="P1617" s="109">
        <f t="shared" si="2356"/>
        <v>2890</v>
      </c>
      <c r="Q1617" s="109">
        <f t="shared" si="2357"/>
        <v>2890</v>
      </c>
      <c r="R1617" s="121">
        <v>81</v>
      </c>
      <c r="T1617" s="188"/>
    </row>
    <row r="1618" spans="1:20" x14ac:dyDescent="0.25">
      <c r="A1618" s="101"/>
      <c r="B1618" s="4"/>
      <c r="C1618" s="6"/>
      <c r="D1618" s="4"/>
      <c r="E1618" s="101" t="str">
        <f>IFERROR(VLOOKUP(C1618,Resources!B:D,3,FALSE)," ")</f>
        <v xml:space="preserve"> </v>
      </c>
      <c r="F1618" s="9"/>
      <c r="G1618" s="9"/>
      <c r="H1618" s="9"/>
      <c r="I1618" s="38" t="str">
        <f>IFERROR(VLOOKUP(C1618,Resources!B:G,6,FALSE)," ")</f>
        <v xml:space="preserve"> </v>
      </c>
      <c r="J1618" s="38"/>
      <c r="K1618" s="9"/>
      <c r="L1618" s="9"/>
      <c r="M1618" s="38"/>
      <c r="N1618" s="38"/>
      <c r="O1618" s="38"/>
      <c r="P1618" s="38"/>
      <c r="Q1618" s="38"/>
      <c r="R1618" s="122"/>
      <c r="T1618" s="188"/>
    </row>
    <row r="1619" spans="1:20" ht="30" x14ac:dyDescent="0.25">
      <c r="A1619" s="114"/>
      <c r="B1619" s="1" t="s">
        <v>715</v>
      </c>
      <c r="C1619" s="1" t="s">
        <v>77</v>
      </c>
      <c r="D1619" s="2"/>
      <c r="E1619" s="99" t="str">
        <f>IFERROR(VLOOKUP(C1619,Resources!B:D,3,FALSE)," ")</f>
        <v xml:space="preserve"> </v>
      </c>
      <c r="F1619" s="7"/>
      <c r="G1619" s="7"/>
      <c r="H1619" s="7"/>
      <c r="I1619" s="108" t="str">
        <f>IFERROR(VLOOKUP(C1619,Resources!B:G,6,FALSE)," ")</f>
        <v xml:space="preserve"> </v>
      </c>
      <c r="J1619" s="108"/>
      <c r="K1619" s="7"/>
      <c r="L1619" s="7"/>
      <c r="M1619" s="108"/>
      <c r="N1619" s="108"/>
      <c r="O1619" s="108"/>
      <c r="P1619" s="108"/>
      <c r="Q1619" s="108"/>
      <c r="R1619" s="120"/>
      <c r="T1619" s="188"/>
    </row>
    <row r="1620" spans="1:20" ht="30" x14ac:dyDescent="0.25">
      <c r="A1620" s="114">
        <v>213</v>
      </c>
      <c r="B1620" s="1" t="s">
        <v>716</v>
      </c>
      <c r="C1620" s="1" t="s">
        <v>79</v>
      </c>
      <c r="D1620" s="2" t="s">
        <v>62</v>
      </c>
      <c r="E1620" s="99" t="str">
        <f>IFERROR(VLOOKUP(C1620,Resources!B:D,3,FALSE)," ")</f>
        <v xml:space="preserve"> </v>
      </c>
      <c r="F1620" s="7"/>
      <c r="G1620" s="7"/>
      <c r="H1620" s="103">
        <f>VLOOKUP($A1620,'Model Inputs'!$A:$D,4,FALSE)</f>
        <v>7</v>
      </c>
      <c r="I1620" s="108" t="str">
        <f>IFERROR(VLOOKUP(C1620,Resources!B:G,6,FALSE)," ")</f>
        <v xml:space="preserve"> </v>
      </c>
      <c r="J1620" s="108">
        <f>SUBTOTAL(9,J1622:J1626)</f>
        <v>4557.3111111111111</v>
      </c>
      <c r="K1620" s="7"/>
      <c r="L1620" s="7">
        <f>ROUNDUP(L1626,0)+2</f>
        <v>3</v>
      </c>
      <c r="M1620" s="108">
        <f t="shared" ref="M1620:Q1620" si="2359">SUBTOTAL(9,M1622:M1626)</f>
        <v>0</v>
      </c>
      <c r="N1620" s="108">
        <f t="shared" si="2359"/>
        <v>2282.3111111111111</v>
      </c>
      <c r="O1620" s="108">
        <f t="shared" si="2359"/>
        <v>0</v>
      </c>
      <c r="P1620" s="108">
        <f t="shared" si="2359"/>
        <v>2275</v>
      </c>
      <c r="Q1620" s="108">
        <f t="shared" si="2359"/>
        <v>4557.3111111111111</v>
      </c>
      <c r="R1620" s="120"/>
      <c r="T1620" s="188"/>
    </row>
    <row r="1621" spans="1:20" x14ac:dyDescent="0.25">
      <c r="A1621" s="100"/>
      <c r="B1621" s="3">
        <v>1</v>
      </c>
      <c r="C1621" s="5" t="s">
        <v>2391</v>
      </c>
      <c r="D1621" s="3"/>
      <c r="E1621" s="100" t="str">
        <f>IFERROR(VLOOKUP(C1621,Resources!B:D,3,FALSE)," ")</f>
        <v xml:space="preserve"> </v>
      </c>
      <c r="F1621" s="8"/>
      <c r="G1621" s="8"/>
      <c r="H1621" s="8">
        <f>H1620/0.2</f>
        <v>35</v>
      </c>
      <c r="I1621" s="109" t="str">
        <f>IFERROR(VLOOKUP(C1621,Resources!B:G,6,FALSE)," ")</f>
        <v xml:space="preserve"> </v>
      </c>
      <c r="J1621" s="109"/>
      <c r="K1621" s="8"/>
      <c r="L1621" s="8"/>
      <c r="M1621" s="109"/>
      <c r="N1621" s="109"/>
      <c r="O1621" s="109"/>
      <c r="P1621" s="109"/>
      <c r="Q1621" s="109"/>
      <c r="R1621" s="121"/>
      <c r="T1621" s="188"/>
    </row>
    <row r="1622" spans="1:20" x14ac:dyDescent="0.25">
      <c r="A1622" s="100"/>
      <c r="B1622" s="3">
        <v>2</v>
      </c>
      <c r="C1622" s="5" t="s">
        <v>81</v>
      </c>
      <c r="D1622" s="3" t="s">
        <v>82</v>
      </c>
      <c r="E1622" s="100" t="str">
        <f>IFERROR(VLOOKUP(C1622,Resources!B:D,3,FALSE)," ")</f>
        <v>M</v>
      </c>
      <c r="F1622" s="8">
        <v>1</v>
      </c>
      <c r="G1622" s="8">
        <v>1</v>
      </c>
      <c r="H1622" s="8">
        <f>H1621*0.1</f>
        <v>3.5</v>
      </c>
      <c r="I1622" s="109">
        <f>IFERROR(VLOOKUP(C1622,Resources!B:G,6,FALSE)," ")</f>
        <v>24</v>
      </c>
      <c r="J1622" s="109">
        <f t="shared" ref="J1622:J1626" si="2360">(H1622/(G1622/F1622))*I1622</f>
        <v>84</v>
      </c>
      <c r="K1622" s="8"/>
      <c r="L1622" s="8" t="str">
        <f t="shared" ref="L1622:L1625" si="2361">IF(E1622="M"," ",H1622/G1622)</f>
        <v xml:space="preserve"> </v>
      </c>
      <c r="M1622" s="109">
        <f t="shared" ref="M1622:M1626" si="2362">IF($E1622="L",$J1622,0)</f>
        <v>0</v>
      </c>
      <c r="N1622" s="109">
        <f t="shared" ref="N1622:N1626" si="2363">IF($E1622="M",$J1622,0)</f>
        <v>84</v>
      </c>
      <c r="O1622" s="109">
        <f t="shared" ref="O1622:O1626" si="2364">IF($E1622="P",$J1622,0)</f>
        <v>0</v>
      </c>
      <c r="P1622" s="109">
        <f t="shared" ref="P1622:P1626" si="2365">IF($E1622="S",$J1622,0)</f>
        <v>0</v>
      </c>
      <c r="Q1622" s="109">
        <f t="shared" ref="Q1622:Q1626" si="2366">SUM(M1622:P1622)</f>
        <v>84</v>
      </c>
      <c r="R1622" s="121" t="s">
        <v>2341</v>
      </c>
      <c r="T1622" s="188"/>
    </row>
    <row r="1623" spans="1:20" x14ac:dyDescent="0.25">
      <c r="A1623" s="100"/>
      <c r="B1623" s="3">
        <v>3</v>
      </c>
      <c r="C1623" s="5" t="s">
        <v>2168</v>
      </c>
      <c r="D1623" s="3" t="s">
        <v>83</v>
      </c>
      <c r="E1623" s="100" t="str">
        <f>IFERROR(VLOOKUP(C1623,Resources!B:D,3,FALSE)," ")</f>
        <v>M</v>
      </c>
      <c r="F1623" s="8">
        <v>1</v>
      </c>
      <c r="G1623" s="8">
        <v>1</v>
      </c>
      <c r="H1623" s="8">
        <f>H1621*1.2</f>
        <v>42</v>
      </c>
      <c r="I1623" s="109">
        <f>IFERROR(VLOOKUP(C1623,Resources!B:G,6,FALSE)," ")</f>
        <v>18</v>
      </c>
      <c r="J1623" s="109">
        <f t="shared" si="2360"/>
        <v>756</v>
      </c>
      <c r="K1623" s="8"/>
      <c r="L1623" s="8" t="str">
        <f t="shared" si="2361"/>
        <v xml:space="preserve"> </v>
      </c>
      <c r="M1623" s="109">
        <f t="shared" si="2362"/>
        <v>0</v>
      </c>
      <c r="N1623" s="109">
        <f t="shared" si="2363"/>
        <v>756</v>
      </c>
      <c r="O1623" s="109">
        <f t="shared" si="2364"/>
        <v>0</v>
      </c>
      <c r="P1623" s="109">
        <f t="shared" si="2365"/>
        <v>0</v>
      </c>
      <c r="Q1623" s="109">
        <f t="shared" si="2366"/>
        <v>756</v>
      </c>
      <c r="R1623" s="121" t="s">
        <v>2343</v>
      </c>
      <c r="T1623" s="188"/>
    </row>
    <row r="1624" spans="1:20" x14ac:dyDescent="0.25">
      <c r="A1624" s="100"/>
      <c r="B1624" s="3">
        <v>4</v>
      </c>
      <c r="C1624" s="5" t="s">
        <v>84</v>
      </c>
      <c r="D1624" s="3" t="s">
        <v>29</v>
      </c>
      <c r="E1624" s="100" t="str">
        <f>IFERROR(VLOOKUP(C1624,Resources!B:D,3,FALSE)," ")</f>
        <v>M</v>
      </c>
      <c r="F1624" s="8">
        <v>1</v>
      </c>
      <c r="G1624" s="8">
        <v>1</v>
      </c>
      <c r="H1624" s="8">
        <f>H1621/0.9</f>
        <v>38.888888888888886</v>
      </c>
      <c r="I1624" s="109">
        <f>IFERROR(VLOOKUP(C1624,Resources!B:G,6,FALSE)," ")</f>
        <v>0.8</v>
      </c>
      <c r="J1624" s="109">
        <f t="shared" si="2360"/>
        <v>31.111111111111111</v>
      </c>
      <c r="K1624" s="8"/>
      <c r="L1624" s="8" t="str">
        <f t="shared" si="2361"/>
        <v xml:space="preserve"> </v>
      </c>
      <c r="M1624" s="109">
        <f t="shared" si="2362"/>
        <v>0</v>
      </c>
      <c r="N1624" s="109">
        <f t="shared" si="2363"/>
        <v>31.111111111111111</v>
      </c>
      <c r="O1624" s="109">
        <f t="shared" si="2364"/>
        <v>0</v>
      </c>
      <c r="P1624" s="109">
        <f t="shared" si="2365"/>
        <v>0</v>
      </c>
      <c r="Q1624" s="109">
        <f t="shared" si="2366"/>
        <v>31.111111111111111</v>
      </c>
      <c r="R1624" s="121" t="s">
        <v>2343</v>
      </c>
      <c r="T1624" s="188"/>
    </row>
    <row r="1625" spans="1:20" x14ac:dyDescent="0.25">
      <c r="A1625" s="100"/>
      <c r="B1625" s="3">
        <v>5</v>
      </c>
      <c r="C1625" s="5" t="s">
        <v>85</v>
      </c>
      <c r="D1625" s="3" t="s">
        <v>86</v>
      </c>
      <c r="E1625" s="100" t="str">
        <f>IFERROR(VLOOKUP(C1625,Resources!B:D,3,FALSE)," ")</f>
        <v>M</v>
      </c>
      <c r="F1625" s="8">
        <v>1</v>
      </c>
      <c r="G1625" s="8">
        <v>1</v>
      </c>
      <c r="H1625" s="8">
        <f>H1620*1.05</f>
        <v>7.3500000000000005</v>
      </c>
      <c r="I1625" s="109">
        <f>IFERROR(VLOOKUP(C1625,Resources!B:G,6,FALSE)," ")</f>
        <v>192</v>
      </c>
      <c r="J1625" s="109">
        <f t="shared" si="2360"/>
        <v>1411.2</v>
      </c>
      <c r="K1625" s="8"/>
      <c r="L1625" s="8" t="str">
        <f t="shared" si="2361"/>
        <v xml:space="preserve"> </v>
      </c>
      <c r="M1625" s="109">
        <f t="shared" si="2362"/>
        <v>0</v>
      </c>
      <c r="N1625" s="109">
        <f t="shared" si="2363"/>
        <v>1411.2</v>
      </c>
      <c r="O1625" s="109">
        <f t="shared" si="2364"/>
        <v>0</v>
      </c>
      <c r="P1625" s="109">
        <f t="shared" si="2365"/>
        <v>0</v>
      </c>
      <c r="Q1625" s="109">
        <f t="shared" si="2366"/>
        <v>1411.2</v>
      </c>
      <c r="R1625" s="121" t="s">
        <v>2335</v>
      </c>
      <c r="T1625" s="188"/>
    </row>
    <row r="1626" spans="1:20" x14ac:dyDescent="0.25">
      <c r="A1626" s="100"/>
      <c r="B1626" s="3">
        <v>6</v>
      </c>
      <c r="C1626" s="5" t="s">
        <v>2259</v>
      </c>
      <c r="D1626" s="3" t="s">
        <v>83</v>
      </c>
      <c r="E1626" s="100" t="str">
        <f>IFERROR(VLOOKUP(C1626,Resources!B:D,3,FALSE)," ")</f>
        <v>S</v>
      </c>
      <c r="F1626" s="8">
        <v>1</v>
      </c>
      <c r="G1626" s="8">
        <v>1</v>
      </c>
      <c r="H1626" s="8">
        <f>H1621</f>
        <v>35</v>
      </c>
      <c r="I1626" s="109">
        <f>IFERROR(VLOOKUP(C1626,Resources!B:G,6,FALSE)," ")</f>
        <v>65</v>
      </c>
      <c r="J1626" s="109">
        <f t="shared" si="2360"/>
        <v>2275</v>
      </c>
      <c r="K1626" s="8"/>
      <c r="L1626" s="8">
        <f>H1626/50</f>
        <v>0.7</v>
      </c>
      <c r="M1626" s="109">
        <f t="shared" si="2362"/>
        <v>0</v>
      </c>
      <c r="N1626" s="109">
        <f t="shared" si="2363"/>
        <v>0</v>
      </c>
      <c r="O1626" s="109">
        <f t="shared" si="2364"/>
        <v>0</v>
      </c>
      <c r="P1626" s="109">
        <f t="shared" si="2365"/>
        <v>2275</v>
      </c>
      <c r="Q1626" s="109">
        <f t="shared" si="2366"/>
        <v>2275</v>
      </c>
      <c r="R1626" s="121">
        <v>72</v>
      </c>
      <c r="T1626" s="188"/>
    </row>
    <row r="1627" spans="1:20" x14ac:dyDescent="0.25">
      <c r="A1627" s="101"/>
      <c r="B1627" s="4"/>
      <c r="C1627" s="6"/>
      <c r="D1627" s="4"/>
      <c r="E1627" s="101" t="str">
        <f>IFERROR(VLOOKUP(C1627,Resources!B:D,3,FALSE)," ")</f>
        <v xml:space="preserve"> </v>
      </c>
      <c r="F1627" s="9"/>
      <c r="G1627" s="9"/>
      <c r="H1627" s="9"/>
      <c r="I1627" s="38" t="str">
        <f>IFERROR(VLOOKUP(C1627,Resources!B:G,6,FALSE)," ")</f>
        <v xml:space="preserve"> </v>
      </c>
      <c r="J1627" s="38"/>
      <c r="K1627" s="9"/>
      <c r="L1627" s="9"/>
      <c r="M1627" s="38"/>
      <c r="N1627" s="38"/>
      <c r="O1627" s="38"/>
      <c r="P1627" s="38"/>
      <c r="Q1627" s="38"/>
      <c r="R1627" s="122"/>
      <c r="T1627" s="188"/>
    </row>
    <row r="1628" spans="1:20" ht="30" x14ac:dyDescent="0.25">
      <c r="A1628" s="114">
        <v>214</v>
      </c>
      <c r="B1628" s="1" t="s">
        <v>717</v>
      </c>
      <c r="C1628" s="1" t="s">
        <v>643</v>
      </c>
      <c r="D1628" s="2" t="s">
        <v>89</v>
      </c>
      <c r="E1628" s="99" t="str">
        <f>IFERROR(VLOOKUP(C1628,Resources!B:D,3,FALSE)," ")</f>
        <v xml:space="preserve"> </v>
      </c>
      <c r="F1628" s="7"/>
      <c r="G1628" s="7"/>
      <c r="H1628" s="103">
        <f>VLOOKUP($A1628,'Model Inputs'!$A:$D,4,FALSE)</f>
        <v>35</v>
      </c>
      <c r="I1628" s="108" t="str">
        <f>IFERROR(VLOOKUP(C1628,Resources!B:G,6,FALSE)," ")</f>
        <v xml:space="preserve"> </v>
      </c>
      <c r="J1628" s="108">
        <f>SUBTOTAL(9,J1631:J1638)</f>
        <v>12883.646666666666</v>
      </c>
      <c r="K1628" s="7"/>
      <c r="L1628" s="7">
        <f>ROUNDUP((MAX(L1632:L1633)+MAX(L1635:L1638))/Workhrs,0)</f>
        <v>3</v>
      </c>
      <c r="M1628" s="108">
        <f t="shared" ref="M1628:Q1628" si="2367">SUBTOTAL(9,M1631:M1638)</f>
        <v>2940</v>
      </c>
      <c r="N1628" s="108">
        <f t="shared" si="2367"/>
        <v>6264.4800000000005</v>
      </c>
      <c r="O1628" s="108">
        <f t="shared" si="2367"/>
        <v>3679.166666666667</v>
      </c>
      <c r="P1628" s="108">
        <f t="shared" si="2367"/>
        <v>0</v>
      </c>
      <c r="Q1628" s="108">
        <f t="shared" si="2367"/>
        <v>12883.646666666666</v>
      </c>
      <c r="R1628" s="120"/>
      <c r="T1628" s="188"/>
    </row>
    <row r="1629" spans="1:20" x14ac:dyDescent="0.25">
      <c r="A1629" s="100"/>
      <c r="B1629" s="3">
        <v>1</v>
      </c>
      <c r="C1629" s="5" t="s">
        <v>2395</v>
      </c>
      <c r="D1629" s="3"/>
      <c r="E1629" s="100" t="str">
        <f>IFERROR(VLOOKUP(C1629,Resources!B:D,3,FALSE)," ")</f>
        <v xml:space="preserve"> </v>
      </c>
      <c r="F1629" s="8"/>
      <c r="G1629" s="8"/>
      <c r="H1629" s="8">
        <f>ROUNDUP(H1628/1.2,0)</f>
        <v>30</v>
      </c>
      <c r="I1629" s="109" t="str">
        <f>IFERROR(VLOOKUP(C1629,Resources!B:G,6,FALSE)," ")</f>
        <v xml:space="preserve"> </v>
      </c>
      <c r="J1629" s="109"/>
      <c r="K1629" s="8"/>
      <c r="L1629" s="8"/>
      <c r="M1629" s="109"/>
      <c r="N1629" s="109"/>
      <c r="O1629" s="109"/>
      <c r="P1629" s="109"/>
      <c r="Q1629" s="109"/>
      <c r="R1629" s="121"/>
      <c r="T1629" s="188"/>
    </row>
    <row r="1630" spans="1:20" x14ac:dyDescent="0.25">
      <c r="A1630" s="100"/>
      <c r="B1630" s="3">
        <v>2</v>
      </c>
      <c r="C1630" s="5" t="s">
        <v>718</v>
      </c>
      <c r="D1630" s="3"/>
      <c r="E1630" s="100" t="str">
        <f>IFERROR(VLOOKUP(C1630,Resources!B:D,3,FALSE)," ")</f>
        <v xml:space="preserve"> </v>
      </c>
      <c r="F1630" s="8"/>
      <c r="G1630" s="8"/>
      <c r="H1630" s="8">
        <f>H1628/1.4</f>
        <v>25</v>
      </c>
      <c r="I1630" s="109" t="str">
        <f>IFERROR(VLOOKUP(C1630,Resources!B:G,6,FALSE)," ")</f>
        <v xml:space="preserve"> </v>
      </c>
      <c r="J1630" s="109"/>
      <c r="K1630" s="8"/>
      <c r="L1630" s="8"/>
      <c r="M1630" s="109"/>
      <c r="N1630" s="109"/>
      <c r="O1630" s="109"/>
      <c r="P1630" s="109"/>
      <c r="Q1630" s="109"/>
      <c r="R1630" s="121"/>
      <c r="T1630" s="188"/>
    </row>
    <row r="1631" spans="1:20" x14ac:dyDescent="0.25">
      <c r="A1631" s="100"/>
      <c r="B1631" s="3">
        <v>3</v>
      </c>
      <c r="C1631" s="5" t="s">
        <v>2165</v>
      </c>
      <c r="D1631" s="3" t="s">
        <v>89</v>
      </c>
      <c r="E1631" s="100" t="str">
        <f>IFERROR(VLOOKUP(C1631,Resources!B:D,3,FALSE)," ")</f>
        <v>M</v>
      </c>
      <c r="F1631" s="8">
        <v>1</v>
      </c>
      <c r="G1631" s="8">
        <v>1</v>
      </c>
      <c r="H1631" s="8">
        <f>H1629*1.2</f>
        <v>36</v>
      </c>
      <c r="I1631" s="109">
        <f>IFERROR(VLOOKUP(C1631,Resources!B:G,6,FALSE)," ")</f>
        <v>159.43</v>
      </c>
      <c r="J1631" s="109">
        <f t="shared" ref="J1631:J1638" si="2368">(H1631/(G1631/F1631))*I1631</f>
        <v>5739.4800000000005</v>
      </c>
      <c r="K1631" s="8"/>
      <c r="L1631" s="8" t="str">
        <f t="shared" ref="L1631:L1638" si="2369">IF(E1631="M"," ",H1631/G1631)</f>
        <v xml:space="preserve"> </v>
      </c>
      <c r="M1631" s="109">
        <f t="shared" ref="M1631:M1638" si="2370">IF($E1631="L",$J1631,0)</f>
        <v>0</v>
      </c>
      <c r="N1631" s="109">
        <f t="shared" ref="N1631:N1638" si="2371">IF($E1631="M",$J1631,0)</f>
        <v>5739.4800000000005</v>
      </c>
      <c r="O1631" s="109">
        <f t="shared" ref="O1631:O1638" si="2372">IF($E1631="P",$J1631,0)</f>
        <v>0</v>
      </c>
      <c r="P1631" s="109">
        <f t="shared" ref="P1631:P1638" si="2373">IF($E1631="S",$J1631,0)</f>
        <v>0</v>
      </c>
      <c r="Q1631" s="109">
        <f t="shared" ref="Q1631:Q1638" si="2374">SUM(M1631:P1631)</f>
        <v>5739.4800000000005</v>
      </c>
      <c r="R1631" s="121" t="s">
        <v>2344</v>
      </c>
      <c r="T1631" s="188"/>
    </row>
    <row r="1632" spans="1:20" x14ac:dyDescent="0.25">
      <c r="A1632" s="100">
        <v>214.1</v>
      </c>
      <c r="B1632" s="3">
        <v>4</v>
      </c>
      <c r="C1632" s="5" t="s">
        <v>63</v>
      </c>
      <c r="D1632" s="3" t="s">
        <v>48</v>
      </c>
      <c r="E1632" s="100" t="str">
        <f>IFERROR(VLOOKUP(C1632,Resources!B:D,3,FALSE)," ")</f>
        <v>P</v>
      </c>
      <c r="F1632" s="8">
        <v>1</v>
      </c>
      <c r="G1632" s="103">
        <f>VLOOKUP($A1632,'Model Inputs'!$A:$D,4,FALSE)</f>
        <v>2</v>
      </c>
      <c r="H1632" s="8">
        <f>H1629</f>
        <v>30</v>
      </c>
      <c r="I1632" s="109">
        <f>IFERROR(VLOOKUP(C1632,Resources!B:G,6,FALSE)," ")</f>
        <v>135</v>
      </c>
      <c r="J1632" s="109">
        <f t="shared" si="2368"/>
        <v>2025</v>
      </c>
      <c r="K1632" s="8">
        <f t="shared" ref="K1632:K1638" si="2375">L1632*F1632</f>
        <v>15</v>
      </c>
      <c r="L1632" s="8">
        <f t="shared" si="2369"/>
        <v>15</v>
      </c>
      <c r="M1632" s="109">
        <f t="shared" si="2370"/>
        <v>0</v>
      </c>
      <c r="N1632" s="109">
        <f t="shared" si="2371"/>
        <v>0</v>
      </c>
      <c r="O1632" s="109">
        <f t="shared" si="2372"/>
        <v>2025</v>
      </c>
      <c r="P1632" s="109">
        <f t="shared" si="2373"/>
        <v>0</v>
      </c>
      <c r="Q1632" s="109">
        <f t="shared" si="2374"/>
        <v>2025</v>
      </c>
      <c r="R1632" s="121">
        <v>181</v>
      </c>
      <c r="T1632" s="188"/>
    </row>
    <row r="1633" spans="1:20" x14ac:dyDescent="0.25">
      <c r="A1633" s="100">
        <v>214.2</v>
      </c>
      <c r="B1633" s="3">
        <v>5</v>
      </c>
      <c r="C1633" s="5" t="s">
        <v>8</v>
      </c>
      <c r="D1633" s="3" t="s">
        <v>48</v>
      </c>
      <c r="E1633" s="100" t="str">
        <f>IFERROR(VLOOKUP(C1633,Resources!B:D,3,FALSE)," ")</f>
        <v>L</v>
      </c>
      <c r="F1633" s="103">
        <f>VLOOKUP($A1633,'Model Inputs'!$A:$D,4,FALSE)</f>
        <v>3</v>
      </c>
      <c r="G1633" s="8">
        <f>G1632</f>
        <v>2</v>
      </c>
      <c r="H1633" s="8">
        <f>H1629</f>
        <v>30</v>
      </c>
      <c r="I1633" s="109">
        <f>IFERROR(VLOOKUP(C1633,Resources!B:G,6,FALSE)," ")</f>
        <v>42</v>
      </c>
      <c r="J1633" s="109">
        <f t="shared" si="2368"/>
        <v>1890</v>
      </c>
      <c r="K1633" s="8">
        <f t="shared" si="2375"/>
        <v>45</v>
      </c>
      <c r="L1633" s="8">
        <f t="shared" si="2369"/>
        <v>15</v>
      </c>
      <c r="M1633" s="109">
        <f t="shared" si="2370"/>
        <v>1890</v>
      </c>
      <c r="N1633" s="109">
        <f t="shared" si="2371"/>
        <v>0</v>
      </c>
      <c r="O1633" s="109">
        <f t="shared" si="2372"/>
        <v>0</v>
      </c>
      <c r="P1633" s="109">
        <f t="shared" si="2373"/>
        <v>0</v>
      </c>
      <c r="Q1633" s="109">
        <f t="shared" si="2374"/>
        <v>1890</v>
      </c>
      <c r="R1633" s="121">
        <v>181</v>
      </c>
      <c r="T1633" s="188"/>
    </row>
    <row r="1634" spans="1:20" x14ac:dyDescent="0.25">
      <c r="A1634" s="100"/>
      <c r="B1634" s="3">
        <v>6</v>
      </c>
      <c r="C1634" s="5" t="s">
        <v>91</v>
      </c>
      <c r="D1634" s="3" t="s">
        <v>89</v>
      </c>
      <c r="E1634" s="100" t="str">
        <f>IFERROR(VLOOKUP(C1634,Resources!B:D,3,FALSE)," ")</f>
        <v>M</v>
      </c>
      <c r="F1634" s="8">
        <v>1</v>
      </c>
      <c r="G1634" s="8">
        <v>1</v>
      </c>
      <c r="H1634" s="8">
        <f>H1629*3.5</f>
        <v>105</v>
      </c>
      <c r="I1634" s="109">
        <f>IFERROR(VLOOKUP(C1634,Resources!B:G,6,FALSE)," ")</f>
        <v>5</v>
      </c>
      <c r="J1634" s="109">
        <f t="shared" si="2368"/>
        <v>525</v>
      </c>
      <c r="K1634" s="8"/>
      <c r="L1634" s="8" t="str">
        <f t="shared" si="2369"/>
        <v xml:space="preserve"> </v>
      </c>
      <c r="M1634" s="109">
        <f t="shared" si="2370"/>
        <v>0</v>
      </c>
      <c r="N1634" s="109">
        <f t="shared" si="2371"/>
        <v>525</v>
      </c>
      <c r="O1634" s="109">
        <f t="shared" si="2372"/>
        <v>0</v>
      </c>
      <c r="P1634" s="109">
        <f t="shared" si="2373"/>
        <v>0</v>
      </c>
      <c r="Q1634" s="109">
        <f t="shared" si="2374"/>
        <v>525</v>
      </c>
      <c r="R1634" s="121">
        <v>181</v>
      </c>
      <c r="T1634" s="188"/>
    </row>
    <row r="1635" spans="1:20" x14ac:dyDescent="0.25">
      <c r="A1635" s="100">
        <v>214.3</v>
      </c>
      <c r="B1635" s="3">
        <v>7</v>
      </c>
      <c r="C1635" s="5" t="s">
        <v>45</v>
      </c>
      <c r="D1635" s="3" t="s">
        <v>48</v>
      </c>
      <c r="E1635" s="100" t="str">
        <f>IFERROR(VLOOKUP(C1635,Resources!B:D,3,FALSE)," ")</f>
        <v>P</v>
      </c>
      <c r="F1635" s="8">
        <v>1</v>
      </c>
      <c r="G1635" s="103">
        <f>VLOOKUP($A1635,'Model Inputs'!$A:$D,4,FALSE)</f>
        <v>3</v>
      </c>
      <c r="H1635" s="8">
        <f>H1630</f>
        <v>25</v>
      </c>
      <c r="I1635" s="109">
        <f>IFERROR(VLOOKUP(C1635,Resources!B:G,6,FALSE)," ")</f>
        <v>95</v>
      </c>
      <c r="J1635" s="109">
        <f t="shared" si="2368"/>
        <v>791.66666666666674</v>
      </c>
      <c r="K1635" s="8">
        <f t="shared" si="2375"/>
        <v>8.3333333333333339</v>
      </c>
      <c r="L1635" s="8">
        <f t="shared" si="2369"/>
        <v>8.3333333333333339</v>
      </c>
      <c r="M1635" s="109">
        <f t="shared" si="2370"/>
        <v>0</v>
      </c>
      <c r="N1635" s="109">
        <f t="shared" si="2371"/>
        <v>0</v>
      </c>
      <c r="O1635" s="109">
        <f t="shared" si="2372"/>
        <v>791.66666666666674</v>
      </c>
      <c r="P1635" s="109">
        <f t="shared" si="2373"/>
        <v>0</v>
      </c>
      <c r="Q1635" s="109">
        <f t="shared" si="2374"/>
        <v>791.66666666666674</v>
      </c>
      <c r="R1635" s="121">
        <v>181</v>
      </c>
      <c r="T1635" s="188"/>
    </row>
    <row r="1636" spans="1:20" x14ac:dyDescent="0.25">
      <c r="A1636" s="100">
        <v>214.4</v>
      </c>
      <c r="B1636" s="3">
        <v>8</v>
      </c>
      <c r="C1636" s="5" t="s">
        <v>8</v>
      </c>
      <c r="D1636" s="3" t="s">
        <v>48</v>
      </c>
      <c r="E1636" s="100" t="str">
        <f>IFERROR(VLOOKUP(C1636,Resources!B:D,3,FALSE)," ")</f>
        <v>L</v>
      </c>
      <c r="F1636" s="103">
        <f>VLOOKUP($A1636,'Model Inputs'!$A:$D,4,FALSE)</f>
        <v>3</v>
      </c>
      <c r="G1636" s="8">
        <f>G1635</f>
        <v>3</v>
      </c>
      <c r="H1636" s="8">
        <f>H1630</f>
        <v>25</v>
      </c>
      <c r="I1636" s="109">
        <f>IFERROR(VLOOKUP(C1636,Resources!B:G,6,FALSE)," ")</f>
        <v>42</v>
      </c>
      <c r="J1636" s="109">
        <f t="shared" si="2368"/>
        <v>1050</v>
      </c>
      <c r="K1636" s="8">
        <f t="shared" si="2375"/>
        <v>25</v>
      </c>
      <c r="L1636" s="8">
        <f t="shared" si="2369"/>
        <v>8.3333333333333339</v>
      </c>
      <c r="M1636" s="109">
        <f t="shared" si="2370"/>
        <v>1050</v>
      </c>
      <c r="N1636" s="109">
        <f t="shared" si="2371"/>
        <v>0</v>
      </c>
      <c r="O1636" s="109">
        <f t="shared" si="2372"/>
        <v>0</v>
      </c>
      <c r="P1636" s="109">
        <f t="shared" si="2373"/>
        <v>0</v>
      </c>
      <c r="Q1636" s="109">
        <f t="shared" si="2374"/>
        <v>1050</v>
      </c>
      <c r="R1636" s="121">
        <v>181</v>
      </c>
      <c r="T1636" s="188"/>
    </row>
    <row r="1637" spans="1:20" x14ac:dyDescent="0.25">
      <c r="A1637" s="100"/>
      <c r="B1637" s="3">
        <v>9</v>
      </c>
      <c r="C1637" s="5" t="s">
        <v>92</v>
      </c>
      <c r="D1637" s="3" t="s">
        <v>48</v>
      </c>
      <c r="E1637" s="100" t="str">
        <f>IFERROR(VLOOKUP(C1637,Resources!B:D,3,FALSE)," ")</f>
        <v>P</v>
      </c>
      <c r="F1637" s="8">
        <v>1</v>
      </c>
      <c r="G1637" s="8">
        <f>G1635</f>
        <v>3</v>
      </c>
      <c r="H1637" s="8">
        <f>H1630</f>
        <v>25</v>
      </c>
      <c r="I1637" s="109">
        <f>IFERROR(VLOOKUP(C1637,Resources!B:G,6,FALSE)," ")</f>
        <v>3.5</v>
      </c>
      <c r="J1637" s="109">
        <f t="shared" si="2368"/>
        <v>29.166666666666668</v>
      </c>
      <c r="K1637" s="8">
        <f t="shared" si="2375"/>
        <v>8.3333333333333339</v>
      </c>
      <c r="L1637" s="8">
        <f t="shared" si="2369"/>
        <v>8.3333333333333339</v>
      </c>
      <c r="M1637" s="109">
        <f t="shared" si="2370"/>
        <v>0</v>
      </c>
      <c r="N1637" s="109">
        <f t="shared" si="2371"/>
        <v>0</v>
      </c>
      <c r="O1637" s="109">
        <f t="shared" si="2372"/>
        <v>29.166666666666668</v>
      </c>
      <c r="P1637" s="109">
        <f t="shared" si="2373"/>
        <v>0</v>
      </c>
      <c r="Q1637" s="109">
        <f t="shared" si="2374"/>
        <v>29.166666666666668</v>
      </c>
      <c r="R1637" s="121">
        <v>181</v>
      </c>
      <c r="T1637" s="188"/>
    </row>
    <row r="1638" spans="1:20" x14ac:dyDescent="0.25">
      <c r="A1638" s="100"/>
      <c r="B1638" s="3">
        <v>10</v>
      </c>
      <c r="C1638" s="5" t="s">
        <v>64</v>
      </c>
      <c r="D1638" s="3" t="s">
        <v>48</v>
      </c>
      <c r="E1638" s="100" t="str">
        <f>IFERROR(VLOOKUP(C1638,Resources!B:D,3,FALSE)," ")</f>
        <v>P</v>
      </c>
      <c r="F1638" s="8">
        <v>1</v>
      </c>
      <c r="G1638" s="8">
        <f>G1635</f>
        <v>3</v>
      </c>
      <c r="H1638" s="8">
        <f>H1630</f>
        <v>25</v>
      </c>
      <c r="I1638" s="109">
        <f>IFERROR(VLOOKUP(C1638,Resources!B:G,6,FALSE)," ")</f>
        <v>100</v>
      </c>
      <c r="J1638" s="109">
        <f t="shared" si="2368"/>
        <v>833.33333333333337</v>
      </c>
      <c r="K1638" s="8">
        <f t="shared" si="2375"/>
        <v>8.3333333333333339</v>
      </c>
      <c r="L1638" s="8">
        <f t="shared" si="2369"/>
        <v>8.3333333333333339</v>
      </c>
      <c r="M1638" s="109">
        <f t="shared" si="2370"/>
        <v>0</v>
      </c>
      <c r="N1638" s="109">
        <f t="shared" si="2371"/>
        <v>0</v>
      </c>
      <c r="O1638" s="109">
        <f t="shared" si="2372"/>
        <v>833.33333333333337</v>
      </c>
      <c r="P1638" s="109">
        <f t="shared" si="2373"/>
        <v>0</v>
      </c>
      <c r="Q1638" s="109">
        <f t="shared" si="2374"/>
        <v>833.33333333333337</v>
      </c>
      <c r="R1638" s="121">
        <v>181</v>
      </c>
      <c r="T1638" s="188"/>
    </row>
    <row r="1639" spans="1:20" x14ac:dyDescent="0.25">
      <c r="A1639" s="101"/>
      <c r="B1639" s="4"/>
      <c r="C1639" s="6"/>
      <c r="D1639" s="4"/>
      <c r="E1639" s="101" t="str">
        <f>IFERROR(VLOOKUP(C1639,Resources!B:D,3,FALSE)," ")</f>
        <v xml:space="preserve"> </v>
      </c>
      <c r="F1639" s="9"/>
      <c r="G1639" s="9"/>
      <c r="H1639" s="9"/>
      <c r="I1639" s="38" t="str">
        <f>IFERROR(VLOOKUP(C1639,Resources!B:G,6,FALSE)," ")</f>
        <v xml:space="preserve"> </v>
      </c>
      <c r="J1639" s="38"/>
      <c r="K1639" s="9"/>
      <c r="L1639" s="9"/>
      <c r="M1639" s="38"/>
      <c r="N1639" s="38"/>
      <c r="O1639" s="38"/>
      <c r="P1639" s="38"/>
      <c r="Q1639" s="38"/>
      <c r="R1639" s="122"/>
      <c r="T1639" s="188"/>
    </row>
    <row r="1640" spans="1:20" ht="30" x14ac:dyDescent="0.25">
      <c r="A1640" s="114"/>
      <c r="B1640" s="1" t="s">
        <v>719</v>
      </c>
      <c r="C1640" s="1" t="s">
        <v>94</v>
      </c>
      <c r="D1640" s="2"/>
      <c r="E1640" s="99" t="str">
        <f>IFERROR(VLOOKUP(C1640,Resources!B:D,3,FALSE)," ")</f>
        <v xml:space="preserve"> </v>
      </c>
      <c r="F1640" s="7"/>
      <c r="G1640" s="7"/>
      <c r="H1640" s="7"/>
      <c r="I1640" s="108" t="str">
        <f>IFERROR(VLOOKUP(C1640,Resources!B:G,6,FALSE)," ")</f>
        <v xml:space="preserve"> </v>
      </c>
      <c r="J1640" s="108"/>
      <c r="K1640" s="7"/>
      <c r="L1640" s="7"/>
      <c r="M1640" s="108"/>
      <c r="N1640" s="108"/>
      <c r="O1640" s="108"/>
      <c r="P1640" s="108"/>
      <c r="Q1640" s="108"/>
      <c r="R1640" s="120"/>
      <c r="T1640" s="188"/>
    </row>
    <row r="1641" spans="1:20" ht="30" x14ac:dyDescent="0.25">
      <c r="A1641" s="114">
        <v>215</v>
      </c>
      <c r="B1641" s="1" t="s">
        <v>720</v>
      </c>
      <c r="C1641" s="1" t="s">
        <v>382</v>
      </c>
      <c r="D1641" s="2" t="s">
        <v>29</v>
      </c>
      <c r="E1641" s="99" t="str">
        <f>IFERROR(VLOOKUP(C1641,Resources!B:D,3,FALSE)," ")</f>
        <v xml:space="preserve"> </v>
      </c>
      <c r="F1641" s="7"/>
      <c r="G1641" s="7"/>
      <c r="H1641" s="103">
        <f>VLOOKUP($A1641,'Model Inputs'!$A:$D,4,FALSE)</f>
        <v>1</v>
      </c>
      <c r="I1641" s="108" t="str">
        <f>IFERROR(VLOOKUP(C1641,Resources!B:G,6,FALSE)," ")</f>
        <v xml:space="preserve"> </v>
      </c>
      <c r="J1641" s="108">
        <f>SUBTOTAL(9,J1642:J1644)</f>
        <v>3505</v>
      </c>
      <c r="K1641" s="7"/>
      <c r="L1641" s="7">
        <f>ROUNDUP(L1642,0)+1</f>
        <v>2</v>
      </c>
      <c r="M1641" s="108">
        <f t="shared" ref="M1641:Q1641" si="2376">SUBTOTAL(9,M1642:M1644)</f>
        <v>340</v>
      </c>
      <c r="N1641" s="108">
        <f t="shared" si="2376"/>
        <v>1290</v>
      </c>
      <c r="O1641" s="108">
        <f t="shared" si="2376"/>
        <v>0</v>
      </c>
      <c r="P1641" s="108">
        <f t="shared" si="2376"/>
        <v>1875</v>
      </c>
      <c r="Q1641" s="108">
        <f t="shared" si="2376"/>
        <v>3505</v>
      </c>
      <c r="R1641" s="120"/>
      <c r="T1641" s="188"/>
    </row>
    <row r="1642" spans="1:20" x14ac:dyDescent="0.25">
      <c r="A1642" s="100"/>
      <c r="B1642" s="3">
        <v>1</v>
      </c>
      <c r="C1642" s="5" t="s">
        <v>183</v>
      </c>
      <c r="D1642" s="3" t="s">
        <v>29</v>
      </c>
      <c r="E1642" s="100" t="str">
        <f>IFERROR(VLOOKUP(C1642,Resources!B:D,3,FALSE)," ")</f>
        <v>S</v>
      </c>
      <c r="F1642" s="8">
        <v>1</v>
      </c>
      <c r="G1642" s="8">
        <v>2</v>
      </c>
      <c r="H1642" s="8">
        <f>H1641</f>
        <v>1</v>
      </c>
      <c r="I1642" s="109">
        <f>IFERROR(VLOOKUP(C1642,Resources!B:G,6,FALSE)," ")</f>
        <v>3750</v>
      </c>
      <c r="J1642" s="109">
        <f t="shared" ref="J1642:J1644" si="2377">(H1642/(G1642/F1642))*I1642</f>
        <v>1875</v>
      </c>
      <c r="K1642" s="8"/>
      <c r="L1642" s="8">
        <f t="shared" ref="L1642:L1644" si="2378">IF(E1642="M"," ",H1642/G1642)</f>
        <v>0.5</v>
      </c>
      <c r="M1642" s="109">
        <f t="shared" ref="M1642:M1644" si="2379">IF($E1642="L",$J1642,0)</f>
        <v>0</v>
      </c>
      <c r="N1642" s="109">
        <f t="shared" ref="N1642:N1644" si="2380">IF($E1642="M",$J1642,0)</f>
        <v>0</v>
      </c>
      <c r="O1642" s="109">
        <f t="shared" ref="O1642:O1644" si="2381">IF($E1642="P",$J1642,0)</f>
        <v>0</v>
      </c>
      <c r="P1642" s="109">
        <f t="shared" ref="P1642:P1644" si="2382">IF($E1642="S",$J1642,0)</f>
        <v>1875</v>
      </c>
      <c r="Q1642" s="109">
        <f t="shared" ref="Q1642:Q1644" si="2383">SUM(M1642:P1642)</f>
        <v>1875</v>
      </c>
      <c r="R1642" s="121">
        <v>85</v>
      </c>
      <c r="T1642" s="188"/>
    </row>
    <row r="1643" spans="1:20" x14ac:dyDescent="0.25">
      <c r="A1643" s="100"/>
      <c r="B1643" s="3">
        <v>2</v>
      </c>
      <c r="C1643" s="5" t="s">
        <v>383</v>
      </c>
      <c r="D1643" s="3" t="s">
        <v>29</v>
      </c>
      <c r="E1643" s="100" t="str">
        <f>IFERROR(VLOOKUP(C1643,Resources!B:D,3,FALSE)," ")</f>
        <v>M</v>
      </c>
      <c r="F1643" s="8">
        <v>1</v>
      </c>
      <c r="G1643" s="8">
        <v>1</v>
      </c>
      <c r="H1643" s="8">
        <f>H1641</f>
        <v>1</v>
      </c>
      <c r="I1643" s="109">
        <f>IFERROR(VLOOKUP(C1643,Resources!B:G,6,FALSE)," ")</f>
        <v>1290</v>
      </c>
      <c r="J1643" s="109">
        <f t="shared" si="2377"/>
        <v>1290</v>
      </c>
      <c r="K1643" s="8"/>
      <c r="L1643" s="8" t="str">
        <f t="shared" si="2378"/>
        <v xml:space="preserve"> </v>
      </c>
      <c r="M1643" s="109">
        <f t="shared" si="2379"/>
        <v>0</v>
      </c>
      <c r="N1643" s="109">
        <f t="shared" si="2380"/>
        <v>1290</v>
      </c>
      <c r="O1643" s="109">
        <f t="shared" si="2381"/>
        <v>0</v>
      </c>
      <c r="P1643" s="109">
        <f t="shared" si="2382"/>
        <v>0</v>
      </c>
      <c r="Q1643" s="109">
        <f t="shared" si="2383"/>
        <v>1290</v>
      </c>
      <c r="R1643" s="121" t="s">
        <v>2347</v>
      </c>
      <c r="T1643" s="188"/>
    </row>
    <row r="1644" spans="1:20" x14ac:dyDescent="0.25">
      <c r="A1644" s="100"/>
      <c r="B1644" s="3">
        <v>3</v>
      </c>
      <c r="C1644" s="5" t="s">
        <v>384</v>
      </c>
      <c r="D1644" s="3" t="s">
        <v>48</v>
      </c>
      <c r="E1644" s="100" t="str">
        <f>IFERROR(VLOOKUP(C1644,Resources!B:D,3,FALSE)," ")</f>
        <v>L</v>
      </c>
      <c r="F1644" s="8">
        <v>1</v>
      </c>
      <c r="G1644" s="8">
        <v>1</v>
      </c>
      <c r="H1644" s="8">
        <f>H1641*4</f>
        <v>4</v>
      </c>
      <c r="I1644" s="109">
        <f>IFERROR(VLOOKUP(C1644,Resources!B:G,6,FALSE)," ")</f>
        <v>85</v>
      </c>
      <c r="J1644" s="109">
        <f t="shared" si="2377"/>
        <v>340</v>
      </c>
      <c r="K1644" s="8">
        <f t="shared" ref="K1644" si="2384">L1644*F1644</f>
        <v>4</v>
      </c>
      <c r="L1644" s="8">
        <f t="shared" si="2378"/>
        <v>4</v>
      </c>
      <c r="M1644" s="109">
        <f t="shared" si="2379"/>
        <v>340</v>
      </c>
      <c r="N1644" s="109">
        <f t="shared" si="2380"/>
        <v>0</v>
      </c>
      <c r="O1644" s="109">
        <f t="shared" si="2381"/>
        <v>0</v>
      </c>
      <c r="P1644" s="109">
        <f t="shared" si="2382"/>
        <v>0</v>
      </c>
      <c r="Q1644" s="109">
        <f t="shared" si="2383"/>
        <v>340</v>
      </c>
      <c r="R1644" s="121">
        <v>85</v>
      </c>
      <c r="T1644" s="188"/>
    </row>
    <row r="1645" spans="1:20" x14ac:dyDescent="0.25">
      <c r="A1645" s="101"/>
      <c r="B1645" s="4"/>
      <c r="C1645" s="6"/>
      <c r="D1645" s="4"/>
      <c r="E1645" s="101" t="str">
        <f>IFERROR(VLOOKUP(C1645,Resources!B:D,3,FALSE)," ")</f>
        <v xml:space="preserve"> </v>
      </c>
      <c r="F1645" s="9"/>
      <c r="G1645" s="9"/>
      <c r="H1645" s="9"/>
      <c r="I1645" s="38" t="str">
        <f>IFERROR(VLOOKUP(C1645,Resources!B:G,6,FALSE)," ")</f>
        <v xml:space="preserve"> </v>
      </c>
      <c r="J1645" s="38"/>
      <c r="K1645" s="9"/>
      <c r="L1645" s="9"/>
      <c r="M1645" s="38"/>
      <c r="N1645" s="38"/>
      <c r="O1645" s="38"/>
      <c r="P1645" s="38"/>
      <c r="Q1645" s="38"/>
      <c r="R1645" s="122"/>
      <c r="T1645" s="188"/>
    </row>
    <row r="1646" spans="1:20" ht="30" x14ac:dyDescent="0.25">
      <c r="A1646" s="114"/>
      <c r="B1646" s="1" t="s">
        <v>721</v>
      </c>
      <c r="C1646" s="1" t="s">
        <v>98</v>
      </c>
      <c r="D1646" s="2"/>
      <c r="E1646" s="99" t="str">
        <f>IFERROR(VLOOKUP(C1646,Resources!B:D,3,FALSE)," ")</f>
        <v xml:space="preserve"> </v>
      </c>
      <c r="F1646" s="7"/>
      <c r="G1646" s="7"/>
      <c r="H1646" s="7"/>
      <c r="I1646" s="108" t="str">
        <f>IFERROR(VLOOKUP(C1646,Resources!B:G,6,FALSE)," ")</f>
        <v xml:space="preserve"> </v>
      </c>
      <c r="J1646" s="108"/>
      <c r="K1646" s="7"/>
      <c r="L1646" s="7"/>
      <c r="M1646" s="108"/>
      <c r="N1646" s="108"/>
      <c r="O1646" s="108"/>
      <c r="P1646" s="108"/>
      <c r="Q1646" s="108"/>
      <c r="R1646" s="120"/>
      <c r="T1646" s="188"/>
    </row>
    <row r="1647" spans="1:20" ht="30" x14ac:dyDescent="0.25">
      <c r="A1647" s="114">
        <v>216</v>
      </c>
      <c r="B1647" s="1" t="s">
        <v>722</v>
      </c>
      <c r="C1647" s="1" t="s">
        <v>195</v>
      </c>
      <c r="D1647" s="2" t="s">
        <v>89</v>
      </c>
      <c r="E1647" s="99" t="str">
        <f>IFERROR(VLOOKUP(C1647,Resources!B:D,3,FALSE)," ")</f>
        <v xml:space="preserve"> </v>
      </c>
      <c r="F1647" s="7"/>
      <c r="G1647" s="7"/>
      <c r="H1647" s="103">
        <f>VLOOKUP($A1647,'Model Inputs'!$A:$D,4,FALSE)</f>
        <v>140</v>
      </c>
      <c r="I1647" s="108" t="str">
        <f>IFERROR(VLOOKUP(C1647,Resources!B:G,6,FALSE)," ")</f>
        <v xml:space="preserve"> </v>
      </c>
      <c r="J1647" s="108">
        <f>SUBTOTAL(9,J1649:J1652)</f>
        <v>7442.8232558139534</v>
      </c>
      <c r="K1647" s="7"/>
      <c r="L1647" s="7">
        <f>ROUNDUP(L1652,0)</f>
        <v>1</v>
      </c>
      <c r="M1647" s="108">
        <f t="shared" ref="M1647:Q1647" si="2385">SUBTOTAL(9,M1649:M1652)</f>
        <v>0</v>
      </c>
      <c r="N1647" s="108">
        <f t="shared" si="2385"/>
        <v>3242.8232558139539</v>
      </c>
      <c r="O1647" s="108">
        <f t="shared" si="2385"/>
        <v>0</v>
      </c>
      <c r="P1647" s="108">
        <f t="shared" si="2385"/>
        <v>4200</v>
      </c>
      <c r="Q1647" s="108">
        <f t="shared" si="2385"/>
        <v>7442.8232558139534</v>
      </c>
      <c r="R1647" s="120"/>
      <c r="T1647" s="188"/>
    </row>
    <row r="1648" spans="1:20" ht="30" x14ac:dyDescent="0.25">
      <c r="A1648" s="101"/>
      <c r="B1648" s="4">
        <v>1</v>
      </c>
      <c r="C1648" s="6" t="s">
        <v>196</v>
      </c>
      <c r="D1648" s="4"/>
      <c r="E1648" s="101" t="str">
        <f>IFERROR(VLOOKUP(C1648,Resources!B:D,3,FALSE)," ")</f>
        <v xml:space="preserve"> </v>
      </c>
      <c r="F1648" s="9"/>
      <c r="G1648" s="9"/>
      <c r="H1648" s="9"/>
      <c r="I1648" s="38" t="str">
        <f>IFERROR(VLOOKUP(C1648,Resources!B:G,6,FALSE)," ")</f>
        <v xml:space="preserve"> </v>
      </c>
      <c r="J1648" s="38"/>
      <c r="K1648" s="9"/>
      <c r="L1648" s="9"/>
      <c r="M1648" s="38"/>
      <c r="N1648" s="38"/>
      <c r="O1648" s="38"/>
      <c r="P1648" s="38"/>
      <c r="Q1648" s="38"/>
      <c r="R1648" s="122"/>
      <c r="T1648" s="188"/>
    </row>
    <row r="1649" spans="1:20" x14ac:dyDescent="0.25">
      <c r="A1649" s="100"/>
      <c r="B1649" s="3">
        <v>2</v>
      </c>
      <c r="C1649" s="5" t="s">
        <v>197</v>
      </c>
      <c r="D1649" s="3" t="s">
        <v>86</v>
      </c>
      <c r="E1649" s="100" t="str">
        <f>IFERROR(VLOOKUP(C1649,Resources!B:D,3,FALSE)," ")</f>
        <v>M</v>
      </c>
      <c r="F1649" s="8">
        <v>1</v>
      </c>
      <c r="G1649" s="8">
        <v>1</v>
      </c>
      <c r="H1649" s="8">
        <f>H1647/8.6</f>
        <v>16.279069767441861</v>
      </c>
      <c r="I1649" s="109">
        <f>IFERROR(VLOOKUP(C1649,Resources!B:G,6,FALSE)," ")</f>
        <v>190</v>
      </c>
      <c r="J1649" s="109">
        <f t="shared" ref="J1649:J1652" si="2386">(H1649/(G1649/F1649))*I1649</f>
        <v>3093.0232558139537</v>
      </c>
      <c r="K1649" s="8"/>
      <c r="L1649" s="8" t="str">
        <f t="shared" ref="L1649:L1651" si="2387">IF(E1649="M"," ",H1649/G1649)</f>
        <v xml:space="preserve"> </v>
      </c>
      <c r="M1649" s="109">
        <f t="shared" ref="M1649:M1652" si="2388">IF($E1649="L",$J1649,0)</f>
        <v>0</v>
      </c>
      <c r="N1649" s="109">
        <f t="shared" ref="N1649:N1652" si="2389">IF($E1649="M",$J1649,0)</f>
        <v>3093.0232558139537</v>
      </c>
      <c r="O1649" s="109">
        <f t="shared" ref="O1649:O1652" si="2390">IF($E1649="P",$J1649,0)</f>
        <v>0</v>
      </c>
      <c r="P1649" s="109">
        <f t="shared" ref="P1649:P1652" si="2391">IF($E1649="S",$J1649,0)</f>
        <v>0</v>
      </c>
      <c r="Q1649" s="109">
        <f t="shared" ref="Q1649:Q1652" si="2392">SUM(M1649:P1649)</f>
        <v>3093.0232558139537</v>
      </c>
      <c r="R1649" s="121" t="s">
        <v>2337</v>
      </c>
      <c r="T1649" s="188"/>
    </row>
    <row r="1650" spans="1:20" x14ac:dyDescent="0.25">
      <c r="A1650" s="100"/>
      <c r="B1650" s="3">
        <v>3</v>
      </c>
      <c r="C1650" s="5" t="s">
        <v>81</v>
      </c>
      <c r="D1650" s="3" t="s">
        <v>82</v>
      </c>
      <c r="E1650" s="100" t="str">
        <f>IFERROR(VLOOKUP(C1650,Resources!B:D,3,FALSE)," ")</f>
        <v>M</v>
      </c>
      <c r="F1650" s="8">
        <v>1</v>
      </c>
      <c r="G1650" s="8">
        <v>1</v>
      </c>
      <c r="H1650" s="8">
        <f>H1647/75</f>
        <v>1.8666666666666667</v>
      </c>
      <c r="I1650" s="109">
        <f>IFERROR(VLOOKUP(C1650,Resources!B:G,6,FALSE)," ")</f>
        <v>24</v>
      </c>
      <c r="J1650" s="109">
        <f t="shared" si="2386"/>
        <v>44.8</v>
      </c>
      <c r="K1650" s="8"/>
      <c r="L1650" s="8" t="str">
        <f t="shared" si="2387"/>
        <v xml:space="preserve"> </v>
      </c>
      <c r="M1650" s="109">
        <f t="shared" si="2388"/>
        <v>0</v>
      </c>
      <c r="N1650" s="109">
        <f t="shared" si="2389"/>
        <v>44.8</v>
      </c>
      <c r="O1650" s="109">
        <f t="shared" si="2390"/>
        <v>0</v>
      </c>
      <c r="P1650" s="109">
        <f t="shared" si="2391"/>
        <v>0</v>
      </c>
      <c r="Q1650" s="109">
        <f t="shared" si="2392"/>
        <v>44.8</v>
      </c>
      <c r="R1650" s="121" t="s">
        <v>2341</v>
      </c>
      <c r="T1650" s="188"/>
    </row>
    <row r="1651" spans="1:20" x14ac:dyDescent="0.25">
      <c r="A1651" s="100"/>
      <c r="B1651" s="3">
        <v>4</v>
      </c>
      <c r="C1651" s="5" t="s">
        <v>109</v>
      </c>
      <c r="D1651" s="3" t="s">
        <v>82</v>
      </c>
      <c r="E1651" s="100" t="str">
        <f>IFERROR(VLOOKUP(C1651,Resources!B:D,3,FALSE)," ")</f>
        <v>M</v>
      </c>
      <c r="F1651" s="8">
        <v>1</v>
      </c>
      <c r="G1651" s="8">
        <v>1</v>
      </c>
      <c r="H1651" s="8">
        <f>H1650/8</f>
        <v>0.23333333333333334</v>
      </c>
      <c r="I1651" s="109">
        <f>IFERROR(VLOOKUP(C1651,Resources!B:G,6,FALSE)," ")</f>
        <v>450</v>
      </c>
      <c r="J1651" s="109">
        <f t="shared" si="2386"/>
        <v>105</v>
      </c>
      <c r="K1651" s="8"/>
      <c r="L1651" s="8" t="str">
        <f t="shared" si="2387"/>
        <v xml:space="preserve"> </v>
      </c>
      <c r="M1651" s="109">
        <f t="shared" si="2388"/>
        <v>0</v>
      </c>
      <c r="N1651" s="109">
        <f t="shared" si="2389"/>
        <v>105</v>
      </c>
      <c r="O1651" s="109">
        <f t="shared" si="2390"/>
        <v>0</v>
      </c>
      <c r="P1651" s="109">
        <f t="shared" si="2391"/>
        <v>0</v>
      </c>
      <c r="Q1651" s="109">
        <f t="shared" si="2392"/>
        <v>105</v>
      </c>
      <c r="R1651" s="121" t="s">
        <v>2338</v>
      </c>
      <c r="T1651" s="188"/>
    </row>
    <row r="1652" spans="1:20" x14ac:dyDescent="0.25">
      <c r="A1652" s="100"/>
      <c r="B1652" s="3">
        <v>5</v>
      </c>
      <c r="C1652" s="5" t="s">
        <v>198</v>
      </c>
      <c r="D1652" s="3" t="s">
        <v>89</v>
      </c>
      <c r="E1652" s="100" t="str">
        <f>IFERROR(VLOOKUP(C1652,Resources!B:D,3,FALSE)," ")</f>
        <v>S</v>
      </c>
      <c r="F1652" s="8">
        <v>1</v>
      </c>
      <c r="G1652" s="8">
        <v>1</v>
      </c>
      <c r="H1652" s="8">
        <f>H1647</f>
        <v>140</v>
      </c>
      <c r="I1652" s="109">
        <f>IFERROR(VLOOKUP(C1652,Resources!B:G,6,FALSE)," ")</f>
        <v>30</v>
      </c>
      <c r="J1652" s="109">
        <f t="shared" si="2386"/>
        <v>4200</v>
      </c>
      <c r="K1652" s="8"/>
      <c r="L1652" s="8">
        <f>H1652/200</f>
        <v>0.7</v>
      </c>
      <c r="M1652" s="109">
        <f t="shared" si="2388"/>
        <v>0</v>
      </c>
      <c r="N1652" s="109">
        <f t="shared" si="2389"/>
        <v>0</v>
      </c>
      <c r="O1652" s="109">
        <f t="shared" si="2390"/>
        <v>0</v>
      </c>
      <c r="P1652" s="109">
        <f t="shared" si="2391"/>
        <v>4200</v>
      </c>
      <c r="Q1652" s="109">
        <f t="shared" si="2392"/>
        <v>4200</v>
      </c>
      <c r="R1652" s="121">
        <v>71</v>
      </c>
      <c r="T1652" s="188"/>
    </row>
    <row r="1653" spans="1:20" x14ac:dyDescent="0.25">
      <c r="A1653" s="101"/>
      <c r="B1653" s="4"/>
      <c r="C1653" s="6"/>
      <c r="D1653" s="4"/>
      <c r="E1653" s="101" t="str">
        <f>IFERROR(VLOOKUP(C1653,Resources!B:D,3,FALSE)," ")</f>
        <v xml:space="preserve"> </v>
      </c>
      <c r="F1653" s="9"/>
      <c r="G1653" s="9"/>
      <c r="H1653" s="9"/>
      <c r="I1653" s="38" t="str">
        <f>IFERROR(VLOOKUP(C1653,Resources!B:G,6,FALSE)," ")</f>
        <v xml:space="preserve"> </v>
      </c>
      <c r="J1653" s="38"/>
      <c r="K1653" s="9"/>
      <c r="L1653" s="9"/>
      <c r="M1653" s="38"/>
      <c r="N1653" s="38"/>
      <c r="O1653" s="38"/>
      <c r="P1653" s="38"/>
      <c r="Q1653" s="38"/>
      <c r="R1653" s="122"/>
      <c r="T1653" s="188"/>
    </row>
    <row r="1654" spans="1:20" ht="30" x14ac:dyDescent="0.25">
      <c r="A1654" s="114"/>
      <c r="B1654" s="1" t="s">
        <v>723</v>
      </c>
      <c r="C1654" s="1" t="s">
        <v>204</v>
      </c>
      <c r="D1654" s="2"/>
      <c r="E1654" s="99" t="str">
        <f>IFERROR(VLOOKUP(C1654,Resources!B:D,3,FALSE)," ")</f>
        <v xml:space="preserve"> </v>
      </c>
      <c r="F1654" s="7"/>
      <c r="G1654" s="7"/>
      <c r="H1654" s="7"/>
      <c r="I1654" s="108" t="str">
        <f>IFERROR(VLOOKUP(C1654,Resources!B:G,6,FALSE)," ")</f>
        <v xml:space="preserve"> </v>
      </c>
      <c r="J1654" s="108"/>
      <c r="K1654" s="7"/>
      <c r="L1654" s="7"/>
      <c r="M1654" s="108"/>
      <c r="N1654" s="108"/>
      <c r="O1654" s="108"/>
      <c r="P1654" s="108"/>
      <c r="Q1654" s="108"/>
      <c r="R1654" s="120"/>
      <c r="T1654" s="188"/>
    </row>
    <row r="1655" spans="1:20" ht="30" x14ac:dyDescent="0.25">
      <c r="A1655" s="114"/>
      <c r="B1655" s="1" t="s">
        <v>724</v>
      </c>
      <c r="C1655" s="1" t="s">
        <v>391</v>
      </c>
      <c r="D1655" s="2"/>
      <c r="E1655" s="99" t="str">
        <f>IFERROR(VLOOKUP(C1655,Resources!B:D,3,FALSE)," ")</f>
        <v xml:space="preserve"> </v>
      </c>
      <c r="F1655" s="7"/>
      <c r="G1655" s="7"/>
      <c r="H1655" s="7"/>
      <c r="I1655" s="108" t="str">
        <f>IFERROR(VLOOKUP(C1655,Resources!B:G,6,FALSE)," ")</f>
        <v xml:space="preserve"> </v>
      </c>
      <c r="J1655" s="108"/>
      <c r="K1655" s="7"/>
      <c r="L1655" s="7"/>
      <c r="M1655" s="108"/>
      <c r="N1655" s="108"/>
      <c r="O1655" s="108"/>
      <c r="P1655" s="108"/>
      <c r="Q1655" s="108"/>
      <c r="R1655" s="120"/>
      <c r="T1655" s="188"/>
    </row>
    <row r="1656" spans="1:20" ht="45" x14ac:dyDescent="0.25">
      <c r="A1656" s="114">
        <v>217</v>
      </c>
      <c r="B1656" s="1" t="s">
        <v>725</v>
      </c>
      <c r="C1656" s="1" t="s">
        <v>563</v>
      </c>
      <c r="D1656" s="2" t="s">
        <v>89</v>
      </c>
      <c r="E1656" s="99" t="str">
        <f>IFERROR(VLOOKUP(C1656,Resources!B:D,3,FALSE)," ")</f>
        <v xml:space="preserve"> </v>
      </c>
      <c r="F1656" s="7"/>
      <c r="G1656" s="7"/>
      <c r="H1656" s="103">
        <f>VLOOKUP($A1656,'Model Inputs'!$A:$D,4,FALSE)</f>
        <v>420</v>
      </c>
      <c r="I1656" s="108" t="str">
        <f>IFERROR(VLOOKUP(C1656,Resources!B:G,6,FALSE)," ")</f>
        <v xml:space="preserve"> </v>
      </c>
      <c r="J1656" s="108">
        <f>SUBTOTAL(9,J1658:J1664)</f>
        <v>17338.539045904588</v>
      </c>
      <c r="K1656" s="7"/>
      <c r="L1656" s="7">
        <f>ROUNDUP((MAX(L1661:L1664)+L1659)/Workhrs,0)</f>
        <v>6</v>
      </c>
      <c r="M1656" s="108">
        <f t="shared" ref="M1656:Q1656" si="2393">SUBTOTAL(9,M1658:M1664)</f>
        <v>4763.2763276327632</v>
      </c>
      <c r="N1656" s="108">
        <f t="shared" si="2393"/>
        <v>2546.88</v>
      </c>
      <c r="O1656" s="108">
        <f t="shared" si="2393"/>
        <v>8827.182718271828</v>
      </c>
      <c r="P1656" s="108">
        <f t="shared" si="2393"/>
        <v>1201.2</v>
      </c>
      <c r="Q1656" s="108">
        <f t="shared" si="2393"/>
        <v>17338.539045904588</v>
      </c>
      <c r="R1656" s="120"/>
      <c r="T1656" s="188"/>
    </row>
    <row r="1657" spans="1:20" ht="45" x14ac:dyDescent="0.25">
      <c r="A1657" s="101"/>
      <c r="B1657" s="4">
        <v>1</v>
      </c>
      <c r="C1657" s="6" t="s">
        <v>209</v>
      </c>
      <c r="D1657" s="4"/>
      <c r="E1657" s="101" t="str">
        <f>IFERROR(VLOOKUP(C1657,Resources!B:D,3,FALSE)," ")</f>
        <v xml:space="preserve"> </v>
      </c>
      <c r="F1657" s="9"/>
      <c r="G1657" s="9"/>
      <c r="H1657" s="9"/>
      <c r="I1657" s="38" t="str">
        <f>IFERROR(VLOOKUP(C1657,Resources!B:G,6,FALSE)," ")</f>
        <v xml:space="preserve"> </v>
      </c>
      <c r="J1657" s="38"/>
      <c r="K1657" s="9"/>
      <c r="L1657" s="9"/>
      <c r="M1657" s="38"/>
      <c r="N1657" s="38"/>
      <c r="O1657" s="38"/>
      <c r="P1657" s="38"/>
      <c r="Q1657" s="38"/>
      <c r="R1657" s="122"/>
      <c r="T1657" s="188"/>
    </row>
    <row r="1658" spans="1:20" x14ac:dyDescent="0.25">
      <c r="A1658" s="100"/>
      <c r="B1658" s="3">
        <v>2</v>
      </c>
      <c r="C1658" s="5" t="s">
        <v>210</v>
      </c>
      <c r="D1658" s="3" t="s">
        <v>89</v>
      </c>
      <c r="E1658" s="100" t="str">
        <f>IFERROR(VLOOKUP(C1658,Resources!B:D,3,FALSE)," ")</f>
        <v>M</v>
      </c>
      <c r="F1658" s="8">
        <v>1</v>
      </c>
      <c r="G1658" s="8">
        <v>1</v>
      </c>
      <c r="H1658" s="8">
        <f>H1656</f>
        <v>420</v>
      </c>
      <c r="I1658" s="109">
        <f>IFERROR(VLOOKUP(C1658,Resources!B:G,6,FALSE)," ")</f>
        <v>2.5</v>
      </c>
      <c r="J1658" s="109">
        <f t="shared" ref="J1658:J1664" si="2394">(H1658/(G1658/F1658))*I1658</f>
        <v>1050</v>
      </c>
      <c r="K1658" s="8"/>
      <c r="L1658" s="8" t="str">
        <f t="shared" ref="L1658:L1664" si="2395">IF(E1658="M"," ",H1658/G1658)</f>
        <v xml:space="preserve"> </v>
      </c>
      <c r="M1658" s="109">
        <f t="shared" ref="M1658:M1664" si="2396">IF($E1658="L",$J1658,0)</f>
        <v>0</v>
      </c>
      <c r="N1658" s="109">
        <f t="shared" ref="N1658:N1664" si="2397">IF($E1658="M",$J1658,0)</f>
        <v>1050</v>
      </c>
      <c r="O1658" s="109">
        <f t="shared" ref="O1658:O1664" si="2398">IF($E1658="P",$J1658,0)</f>
        <v>0</v>
      </c>
      <c r="P1658" s="109">
        <f t="shared" ref="P1658:P1664" si="2399">IF($E1658="S",$J1658,0)</f>
        <v>0</v>
      </c>
      <c r="Q1658" s="109">
        <f t="shared" ref="Q1658:Q1664" si="2400">SUM(M1658:P1658)</f>
        <v>1050</v>
      </c>
      <c r="R1658" s="121">
        <v>87</v>
      </c>
      <c r="T1658" s="188"/>
    </row>
    <row r="1659" spans="1:20" x14ac:dyDescent="0.25">
      <c r="A1659" s="100"/>
      <c r="B1659" s="3">
        <v>3</v>
      </c>
      <c r="C1659" s="5" t="s">
        <v>211</v>
      </c>
      <c r="D1659" s="3" t="s">
        <v>29</v>
      </c>
      <c r="E1659" s="100" t="str">
        <f>IFERROR(VLOOKUP(C1659,Resources!B:D,3,FALSE)," ")</f>
        <v>S</v>
      </c>
      <c r="F1659" s="8">
        <v>1</v>
      </c>
      <c r="G1659" s="8">
        <v>1</v>
      </c>
      <c r="H1659" s="8">
        <f>H1656/50</f>
        <v>8.4</v>
      </c>
      <c r="I1659" s="109">
        <f>IFERROR(VLOOKUP(C1659,Resources!B:G,6,FALSE)," ")</f>
        <v>143</v>
      </c>
      <c r="J1659" s="109">
        <f t="shared" si="2394"/>
        <v>1201.2</v>
      </c>
      <c r="K1659" s="8">
        <f t="shared" ref="K1659:K1664" si="2401">L1659*F1659</f>
        <v>8.4</v>
      </c>
      <c r="L1659" s="8">
        <f t="shared" si="2395"/>
        <v>8.4</v>
      </c>
      <c r="M1659" s="109">
        <f t="shared" si="2396"/>
        <v>0</v>
      </c>
      <c r="N1659" s="109">
        <f t="shared" si="2397"/>
        <v>0</v>
      </c>
      <c r="O1659" s="109">
        <f t="shared" si="2398"/>
        <v>0</v>
      </c>
      <c r="P1659" s="109">
        <f t="shared" si="2399"/>
        <v>1201.2</v>
      </c>
      <c r="Q1659" s="109">
        <f t="shared" si="2400"/>
        <v>1201.2</v>
      </c>
      <c r="R1659" s="121">
        <v>87</v>
      </c>
      <c r="T1659" s="188"/>
    </row>
    <row r="1660" spans="1:20" x14ac:dyDescent="0.25">
      <c r="A1660" s="100"/>
      <c r="B1660" s="3">
        <v>4</v>
      </c>
      <c r="C1660" s="5" t="s">
        <v>81</v>
      </c>
      <c r="D1660" s="3" t="s">
        <v>82</v>
      </c>
      <c r="E1660" s="100" t="str">
        <f>IFERROR(VLOOKUP(C1660,Resources!B:D,3,FALSE)," ")</f>
        <v>M</v>
      </c>
      <c r="F1660" s="8">
        <v>1</v>
      </c>
      <c r="G1660" s="8">
        <v>1</v>
      </c>
      <c r="H1660" s="8">
        <f>H1656*0.3*0.3*1.5*1.1</f>
        <v>62.37</v>
      </c>
      <c r="I1660" s="109">
        <f>IFERROR(VLOOKUP(C1660,Resources!B:G,6,FALSE)," ")</f>
        <v>24</v>
      </c>
      <c r="J1660" s="109">
        <f t="shared" si="2394"/>
        <v>1496.8799999999999</v>
      </c>
      <c r="K1660" s="8"/>
      <c r="L1660" s="8" t="str">
        <f t="shared" si="2395"/>
        <v xml:space="preserve"> </v>
      </c>
      <c r="M1660" s="109">
        <f t="shared" si="2396"/>
        <v>0</v>
      </c>
      <c r="N1660" s="109">
        <f t="shared" si="2397"/>
        <v>1496.8799999999999</v>
      </c>
      <c r="O1660" s="109">
        <f t="shared" si="2398"/>
        <v>0</v>
      </c>
      <c r="P1660" s="109">
        <f t="shared" si="2399"/>
        <v>0</v>
      </c>
      <c r="Q1660" s="109">
        <f t="shared" si="2400"/>
        <v>1496.8799999999999</v>
      </c>
      <c r="R1660" s="121" t="s">
        <v>2341</v>
      </c>
      <c r="T1660" s="188"/>
    </row>
    <row r="1661" spans="1:20" x14ac:dyDescent="0.25">
      <c r="A1661" s="100">
        <v>217.1</v>
      </c>
      <c r="B1661" s="3">
        <v>5</v>
      </c>
      <c r="C1661" s="5" t="s">
        <v>63</v>
      </c>
      <c r="D1661" s="3" t="s">
        <v>48</v>
      </c>
      <c r="E1661" s="100" t="str">
        <f>IFERROR(VLOOKUP(C1661,Resources!B:D,3,FALSE)," ")</f>
        <v>P</v>
      </c>
      <c r="F1661" s="8">
        <v>1</v>
      </c>
      <c r="G1661" s="103">
        <f>VLOOKUP($A1661,'Model Inputs'!$A:$D,4,FALSE)</f>
        <v>11.11</v>
      </c>
      <c r="H1661" s="8">
        <f>H1656</f>
        <v>420</v>
      </c>
      <c r="I1661" s="109">
        <f>IFERROR(VLOOKUP(C1661,Resources!B:G,6,FALSE)," ")</f>
        <v>135</v>
      </c>
      <c r="J1661" s="109">
        <f t="shared" si="2394"/>
        <v>5103.5103510351037</v>
      </c>
      <c r="K1661" s="8">
        <f t="shared" si="2401"/>
        <v>37.803780378037807</v>
      </c>
      <c r="L1661" s="8">
        <f t="shared" si="2395"/>
        <v>37.803780378037807</v>
      </c>
      <c r="M1661" s="109">
        <f t="shared" si="2396"/>
        <v>0</v>
      </c>
      <c r="N1661" s="109">
        <f t="shared" si="2397"/>
        <v>0</v>
      </c>
      <c r="O1661" s="109">
        <f t="shared" si="2398"/>
        <v>5103.5103510351037</v>
      </c>
      <c r="P1661" s="109">
        <f t="shared" si="2399"/>
        <v>0</v>
      </c>
      <c r="Q1661" s="109">
        <f t="shared" si="2400"/>
        <v>5103.5103510351037</v>
      </c>
      <c r="R1661" s="121">
        <v>87</v>
      </c>
      <c r="T1661" s="188"/>
    </row>
    <row r="1662" spans="1:20" x14ac:dyDescent="0.25">
      <c r="A1662" s="100"/>
      <c r="B1662" s="3">
        <v>6</v>
      </c>
      <c r="C1662" s="5" t="s">
        <v>8</v>
      </c>
      <c r="D1662" s="3" t="s">
        <v>48</v>
      </c>
      <c r="E1662" s="100" t="str">
        <f>IFERROR(VLOOKUP(C1662,Resources!B:D,3,FALSE)," ")</f>
        <v>L</v>
      </c>
      <c r="F1662" s="8">
        <v>3</v>
      </c>
      <c r="G1662" s="8">
        <f>G1661</f>
        <v>11.11</v>
      </c>
      <c r="H1662" s="8">
        <f>H1656</f>
        <v>420</v>
      </c>
      <c r="I1662" s="109">
        <f>IFERROR(VLOOKUP(C1662,Resources!B:G,6,FALSE)," ")</f>
        <v>42</v>
      </c>
      <c r="J1662" s="109">
        <f t="shared" si="2394"/>
        <v>4763.2763276327632</v>
      </c>
      <c r="K1662" s="8">
        <f t="shared" si="2401"/>
        <v>113.41134113411343</v>
      </c>
      <c r="L1662" s="8">
        <f t="shared" si="2395"/>
        <v>37.803780378037807</v>
      </c>
      <c r="M1662" s="109">
        <f t="shared" si="2396"/>
        <v>4763.2763276327632</v>
      </c>
      <c r="N1662" s="109">
        <f t="shared" si="2397"/>
        <v>0</v>
      </c>
      <c r="O1662" s="109">
        <f t="shared" si="2398"/>
        <v>0</v>
      </c>
      <c r="P1662" s="109">
        <f t="shared" si="2399"/>
        <v>0</v>
      </c>
      <c r="Q1662" s="109">
        <f t="shared" si="2400"/>
        <v>4763.2763276327632</v>
      </c>
      <c r="R1662" s="121">
        <v>87</v>
      </c>
      <c r="T1662" s="188"/>
    </row>
    <row r="1663" spans="1:20" x14ac:dyDescent="0.25">
      <c r="A1663" s="100"/>
      <c r="B1663" s="3">
        <v>7</v>
      </c>
      <c r="C1663" s="5" t="s">
        <v>45</v>
      </c>
      <c r="D1663" s="3" t="s">
        <v>48</v>
      </c>
      <c r="E1663" s="100" t="str">
        <f>IFERROR(VLOOKUP(C1663,Resources!B:D,3,FALSE)," ")</f>
        <v>P</v>
      </c>
      <c r="F1663" s="8">
        <v>1</v>
      </c>
      <c r="G1663" s="8">
        <f>G1661</f>
        <v>11.11</v>
      </c>
      <c r="H1663" s="8">
        <f>H1656</f>
        <v>420</v>
      </c>
      <c r="I1663" s="109">
        <f>IFERROR(VLOOKUP(C1663,Resources!B:G,6,FALSE)," ")</f>
        <v>95</v>
      </c>
      <c r="J1663" s="109">
        <f t="shared" si="2394"/>
        <v>3591.3591359135917</v>
      </c>
      <c r="K1663" s="8">
        <f t="shared" si="2401"/>
        <v>37.803780378037807</v>
      </c>
      <c r="L1663" s="8">
        <f t="shared" si="2395"/>
        <v>37.803780378037807</v>
      </c>
      <c r="M1663" s="109">
        <f t="shared" si="2396"/>
        <v>0</v>
      </c>
      <c r="N1663" s="109">
        <f t="shared" si="2397"/>
        <v>0</v>
      </c>
      <c r="O1663" s="109">
        <f t="shared" si="2398"/>
        <v>3591.3591359135917</v>
      </c>
      <c r="P1663" s="109">
        <f t="shared" si="2399"/>
        <v>0</v>
      </c>
      <c r="Q1663" s="109">
        <f t="shared" si="2400"/>
        <v>3591.3591359135917</v>
      </c>
      <c r="R1663" s="121">
        <v>87</v>
      </c>
      <c r="T1663" s="188"/>
    </row>
    <row r="1664" spans="1:20" x14ac:dyDescent="0.25">
      <c r="A1664" s="100"/>
      <c r="B1664" s="3">
        <v>8</v>
      </c>
      <c r="C1664" s="5" t="s">
        <v>92</v>
      </c>
      <c r="D1664" s="3" t="s">
        <v>48</v>
      </c>
      <c r="E1664" s="100" t="str">
        <f>IFERROR(VLOOKUP(C1664,Resources!B:D,3,FALSE)," ")</f>
        <v>P</v>
      </c>
      <c r="F1664" s="8">
        <v>1</v>
      </c>
      <c r="G1664" s="8">
        <f>G1661</f>
        <v>11.11</v>
      </c>
      <c r="H1664" s="8">
        <f>H1656</f>
        <v>420</v>
      </c>
      <c r="I1664" s="109">
        <f>IFERROR(VLOOKUP(C1664,Resources!B:G,6,FALSE)," ")</f>
        <v>3.5</v>
      </c>
      <c r="J1664" s="109">
        <f t="shared" si="2394"/>
        <v>132.31323132313233</v>
      </c>
      <c r="K1664" s="8">
        <f t="shared" si="2401"/>
        <v>37.803780378037807</v>
      </c>
      <c r="L1664" s="8">
        <f t="shared" si="2395"/>
        <v>37.803780378037807</v>
      </c>
      <c r="M1664" s="109">
        <f t="shared" si="2396"/>
        <v>0</v>
      </c>
      <c r="N1664" s="109">
        <f t="shared" si="2397"/>
        <v>0</v>
      </c>
      <c r="O1664" s="109">
        <f t="shared" si="2398"/>
        <v>132.31323132313233</v>
      </c>
      <c r="P1664" s="109">
        <f t="shared" si="2399"/>
        <v>0</v>
      </c>
      <c r="Q1664" s="109">
        <f t="shared" si="2400"/>
        <v>132.31323132313233</v>
      </c>
      <c r="R1664" s="121">
        <v>87</v>
      </c>
      <c r="T1664" s="188"/>
    </row>
    <row r="1665" spans="1:20" x14ac:dyDescent="0.25">
      <c r="A1665" s="101"/>
      <c r="B1665" s="4"/>
      <c r="C1665" s="6"/>
      <c r="D1665" s="4"/>
      <c r="E1665" s="101" t="str">
        <f>IFERROR(VLOOKUP(C1665,Resources!B:D,3,FALSE)," ")</f>
        <v xml:space="preserve"> </v>
      </c>
      <c r="F1665" s="9"/>
      <c r="G1665" s="9"/>
      <c r="H1665" s="9"/>
      <c r="I1665" s="38" t="str">
        <f>IFERROR(VLOOKUP(C1665,Resources!B:G,6,FALSE)," ")</f>
        <v xml:space="preserve"> </v>
      </c>
      <c r="J1665" s="38"/>
      <c r="K1665" s="9"/>
      <c r="L1665" s="9"/>
      <c r="M1665" s="38"/>
      <c r="N1665" s="38"/>
      <c r="O1665" s="38"/>
      <c r="P1665" s="38"/>
      <c r="Q1665" s="38"/>
      <c r="R1665" s="122"/>
      <c r="T1665" s="188"/>
    </row>
    <row r="1666" spans="1:20" ht="30" x14ac:dyDescent="0.25">
      <c r="A1666" s="114">
        <v>218</v>
      </c>
      <c r="B1666" s="1" t="s">
        <v>726</v>
      </c>
      <c r="C1666" s="1" t="s">
        <v>213</v>
      </c>
      <c r="D1666" s="2" t="s">
        <v>29</v>
      </c>
      <c r="E1666" s="99" t="str">
        <f>IFERROR(VLOOKUP(C1666,Resources!B:D,3,FALSE)," ")</f>
        <v xml:space="preserve"> </v>
      </c>
      <c r="F1666" s="7"/>
      <c r="G1666" s="7"/>
      <c r="H1666" s="103">
        <f>VLOOKUP($A1666,'Model Inputs'!$A:$D,4,FALSE)</f>
        <v>12</v>
      </c>
      <c r="I1666" s="108" t="str">
        <f>IFERROR(VLOOKUP(C1666,Resources!B:G,6,FALSE)," ")</f>
        <v xml:space="preserve"> </v>
      </c>
      <c r="J1666" s="108">
        <f>SUBTOTAL(9,J1667)</f>
        <v>1716</v>
      </c>
      <c r="K1666" s="7"/>
      <c r="L1666" s="7">
        <f>ROUNDUP(L1667/Workhrs,0)</f>
        <v>2</v>
      </c>
      <c r="M1666" s="108">
        <f t="shared" ref="M1666:Q1666" si="2402">SUBTOTAL(9,M1667)</f>
        <v>0</v>
      </c>
      <c r="N1666" s="108">
        <f t="shared" si="2402"/>
        <v>0</v>
      </c>
      <c r="O1666" s="108">
        <f t="shared" si="2402"/>
        <v>0</v>
      </c>
      <c r="P1666" s="108">
        <f t="shared" si="2402"/>
        <v>1716</v>
      </c>
      <c r="Q1666" s="108">
        <f t="shared" si="2402"/>
        <v>1716</v>
      </c>
      <c r="R1666" s="120"/>
      <c r="T1666" s="188"/>
    </row>
    <row r="1667" spans="1:20" x14ac:dyDescent="0.25">
      <c r="A1667" s="100"/>
      <c r="B1667" s="3">
        <v>1</v>
      </c>
      <c r="C1667" s="5" t="s">
        <v>211</v>
      </c>
      <c r="D1667" s="3" t="s">
        <v>29</v>
      </c>
      <c r="E1667" s="100" t="str">
        <f>IFERROR(VLOOKUP(C1667,Resources!B:D,3,FALSE)," ")</f>
        <v>S</v>
      </c>
      <c r="F1667" s="8">
        <v>1</v>
      </c>
      <c r="G1667" s="8">
        <v>1</v>
      </c>
      <c r="H1667" s="8">
        <f>H1666</f>
        <v>12</v>
      </c>
      <c r="I1667" s="109">
        <f>IFERROR(VLOOKUP(C1667,Resources!B:G,6,FALSE)," ")</f>
        <v>143</v>
      </c>
      <c r="J1667" s="109">
        <f t="shared" ref="J1667" si="2403">(H1667/(G1667/F1667))*I1667</f>
        <v>1716</v>
      </c>
      <c r="K1667" s="8">
        <f t="shared" ref="K1667" si="2404">L1667*F1667</f>
        <v>12</v>
      </c>
      <c r="L1667" s="8">
        <f t="shared" ref="L1667" si="2405">IF(E1667="M"," ",H1667/G1667)</f>
        <v>12</v>
      </c>
      <c r="M1667" s="109">
        <f t="shared" ref="M1667" si="2406">IF($E1667="L",$J1667,0)</f>
        <v>0</v>
      </c>
      <c r="N1667" s="109">
        <f t="shared" ref="N1667" si="2407">IF($E1667="M",$J1667,0)</f>
        <v>0</v>
      </c>
      <c r="O1667" s="109">
        <f t="shared" ref="O1667" si="2408">IF($E1667="P",$J1667,0)</f>
        <v>0</v>
      </c>
      <c r="P1667" s="109">
        <f t="shared" ref="P1667" si="2409">IF($E1667="S",$J1667,0)</f>
        <v>1716</v>
      </c>
      <c r="Q1667" s="109">
        <f t="shared" ref="Q1667" si="2410">SUM(M1667:P1667)</f>
        <v>1716</v>
      </c>
      <c r="R1667" s="121">
        <v>87</v>
      </c>
      <c r="T1667" s="188"/>
    </row>
    <row r="1668" spans="1:20" x14ac:dyDescent="0.25">
      <c r="A1668" s="101"/>
      <c r="B1668" s="4"/>
      <c r="C1668" s="6"/>
      <c r="D1668" s="4"/>
      <c r="E1668" s="101" t="str">
        <f>IFERROR(VLOOKUP(C1668,Resources!B:D,3,FALSE)," ")</f>
        <v xml:space="preserve"> </v>
      </c>
      <c r="F1668" s="9"/>
      <c r="G1668" s="9"/>
      <c r="H1668" s="9"/>
      <c r="I1668" s="38" t="str">
        <f>IFERROR(VLOOKUP(C1668,Resources!B:G,6,FALSE)," ")</f>
        <v xml:space="preserve"> </v>
      </c>
      <c r="J1668" s="38"/>
      <c r="K1668" s="9"/>
      <c r="L1668" s="9"/>
      <c r="M1668" s="38"/>
      <c r="N1668" s="38"/>
      <c r="O1668" s="38"/>
      <c r="P1668" s="38"/>
      <c r="Q1668" s="38"/>
      <c r="R1668" s="122"/>
      <c r="T1668" s="188"/>
    </row>
    <row r="1669" spans="1:20" ht="30" x14ac:dyDescent="0.25">
      <c r="A1669" s="114"/>
      <c r="B1669" s="1" t="s">
        <v>727</v>
      </c>
      <c r="C1669" s="1" t="s">
        <v>102</v>
      </c>
      <c r="D1669" s="2"/>
      <c r="E1669" s="99" t="str">
        <f>IFERROR(VLOOKUP(C1669,Resources!B:D,3,FALSE)," ")</f>
        <v xml:space="preserve"> </v>
      </c>
      <c r="F1669" s="7"/>
      <c r="G1669" s="7"/>
      <c r="H1669" s="7"/>
      <c r="I1669" s="108" t="str">
        <f>IFERROR(VLOOKUP(C1669,Resources!B:G,6,FALSE)," ")</f>
        <v xml:space="preserve"> </v>
      </c>
      <c r="J1669" s="108"/>
      <c r="K1669" s="7"/>
      <c r="L1669" s="7"/>
      <c r="M1669" s="108"/>
      <c r="N1669" s="108"/>
      <c r="O1669" s="108"/>
      <c r="P1669" s="108"/>
      <c r="Q1669" s="108"/>
      <c r="R1669" s="120"/>
      <c r="T1669" s="188"/>
    </row>
    <row r="1670" spans="1:20" ht="30" x14ac:dyDescent="0.25">
      <c r="A1670" s="114"/>
      <c r="B1670" s="1" t="s">
        <v>728</v>
      </c>
      <c r="C1670" s="1" t="s">
        <v>111</v>
      </c>
      <c r="D1670" s="2"/>
      <c r="E1670" s="99" t="str">
        <f>IFERROR(VLOOKUP(C1670,Resources!B:D,3,FALSE)," ")</f>
        <v xml:space="preserve"> </v>
      </c>
      <c r="F1670" s="7"/>
      <c r="G1670" s="7"/>
      <c r="H1670" s="7"/>
      <c r="I1670" s="108" t="str">
        <f>IFERROR(VLOOKUP(C1670,Resources!B:G,6,FALSE)," ")</f>
        <v xml:space="preserve"> </v>
      </c>
      <c r="J1670" s="108"/>
      <c r="K1670" s="7"/>
      <c r="L1670" s="7"/>
      <c r="M1670" s="108"/>
      <c r="N1670" s="108"/>
      <c r="O1670" s="108"/>
      <c r="P1670" s="108"/>
      <c r="Q1670" s="108"/>
      <c r="R1670" s="120"/>
      <c r="T1670" s="188"/>
    </row>
    <row r="1671" spans="1:20" ht="30" x14ac:dyDescent="0.25">
      <c r="A1671" s="114">
        <v>219</v>
      </c>
      <c r="B1671" s="1" t="s">
        <v>729</v>
      </c>
      <c r="C1671" s="1" t="s">
        <v>217</v>
      </c>
      <c r="D1671" s="2" t="s">
        <v>62</v>
      </c>
      <c r="E1671" s="99" t="str">
        <f>IFERROR(VLOOKUP(C1671,Resources!B:D,3,FALSE)," ")</f>
        <v xml:space="preserve"> </v>
      </c>
      <c r="F1671" s="7"/>
      <c r="G1671" s="7"/>
      <c r="H1671" s="103">
        <f>VLOOKUP($A1671,'Model Inputs'!$A:$D,4,FALSE)</f>
        <v>415</v>
      </c>
      <c r="I1671" s="108" t="str">
        <f>IFERROR(VLOOKUP(C1671,Resources!B:G,6,FALSE)," ")</f>
        <v xml:space="preserve"> </v>
      </c>
      <c r="J1671" s="108">
        <f>SUBTOTAL(9,J1673:J1679)</f>
        <v>23498.568613618118</v>
      </c>
      <c r="K1671" s="7"/>
      <c r="L1671" s="7">
        <f>ROUNDUP((MAX((L1673+4),L1675:L1679))/Workhrs,0)</f>
        <v>4</v>
      </c>
      <c r="M1671" s="108">
        <f t="shared" ref="M1671:Q1671" si="2411">SUBTOTAL(9,M1673:M1679)</f>
        <v>2823.9423942394237</v>
      </c>
      <c r="N1671" s="108">
        <f t="shared" si="2411"/>
        <v>0</v>
      </c>
      <c r="O1671" s="108">
        <f t="shared" si="2411"/>
        <v>20674.626219378693</v>
      </c>
      <c r="P1671" s="108">
        <f t="shared" si="2411"/>
        <v>0</v>
      </c>
      <c r="Q1671" s="108">
        <f t="shared" si="2411"/>
        <v>23498.568613618118</v>
      </c>
      <c r="R1671" s="120"/>
      <c r="T1671" s="188"/>
    </row>
    <row r="1672" spans="1:20" x14ac:dyDescent="0.25">
      <c r="A1672" s="100">
        <v>219.1</v>
      </c>
      <c r="B1672" s="3">
        <v>1</v>
      </c>
      <c r="C1672" s="5" t="s">
        <v>2389</v>
      </c>
      <c r="D1672" s="3"/>
      <c r="E1672" s="100" t="str">
        <f>IFERROR(VLOOKUP(C1672,Resources!B:D,3,FALSE)," ")</f>
        <v xml:space="preserve"> </v>
      </c>
      <c r="F1672" s="103">
        <f>VLOOKUP($A1672,'Model Inputs'!$A:$D,4,FALSE)</f>
        <v>2.4</v>
      </c>
      <c r="G1672" s="8"/>
      <c r="H1672" s="8">
        <f>H1671*F1672</f>
        <v>996</v>
      </c>
      <c r="I1672" s="109" t="str">
        <f>IFERROR(VLOOKUP(C1672,Resources!B:G,6,FALSE)," ")</f>
        <v xml:space="preserve"> </v>
      </c>
      <c r="J1672" s="109"/>
      <c r="K1672" s="8"/>
      <c r="L1672" s="8"/>
      <c r="M1672" s="109"/>
      <c r="N1672" s="109"/>
      <c r="O1672" s="109"/>
      <c r="P1672" s="109"/>
      <c r="Q1672" s="109"/>
      <c r="R1672" s="121"/>
      <c r="T1672" s="188"/>
    </row>
    <row r="1673" spans="1:20" x14ac:dyDescent="0.25">
      <c r="A1673" s="100">
        <v>219.2</v>
      </c>
      <c r="B1673" s="3">
        <v>2</v>
      </c>
      <c r="C1673" s="5" t="s">
        <v>44</v>
      </c>
      <c r="D1673" s="3" t="s">
        <v>48</v>
      </c>
      <c r="E1673" s="100" t="str">
        <f>IFERROR(VLOOKUP(C1673,Resources!B:D,3,FALSE)," ")</f>
        <v>P</v>
      </c>
      <c r="F1673" s="103">
        <f>VLOOKUP($A1673,'Model Inputs'!$A:$D,4,FALSE)</f>
        <v>3</v>
      </c>
      <c r="G1673" s="8">
        <v>37</v>
      </c>
      <c r="H1673" s="8">
        <f>H1672</f>
        <v>996</v>
      </c>
      <c r="I1673" s="109">
        <f>IFERROR(VLOOKUP(C1673,Resources!B:G,6,FALSE)," ")</f>
        <v>145</v>
      </c>
      <c r="J1673" s="109">
        <f t="shared" ref="J1673" si="2412">(H1673/(G1673/F1673))*I1673</f>
        <v>11709.72972972973</v>
      </c>
      <c r="K1673" s="8">
        <f t="shared" ref="K1673" si="2413">L1673*F1673</f>
        <v>80.756756756756758</v>
      </c>
      <c r="L1673" s="8">
        <f t="shared" ref="L1673" si="2414">IF(E1673="M"," ",H1673/G1673)</f>
        <v>26.918918918918919</v>
      </c>
      <c r="M1673" s="109">
        <f t="shared" ref="M1673" si="2415">IF($E1673="L",$J1673,0)</f>
        <v>0</v>
      </c>
      <c r="N1673" s="109">
        <f t="shared" ref="N1673" si="2416">IF($E1673="M",$J1673,0)</f>
        <v>0</v>
      </c>
      <c r="O1673" s="109">
        <f t="shared" ref="O1673" si="2417">IF($E1673="P",$J1673,0)</f>
        <v>11709.72972972973</v>
      </c>
      <c r="P1673" s="109">
        <f t="shared" ref="P1673" si="2418">IF($E1673="S",$J1673,0)</f>
        <v>0</v>
      </c>
      <c r="Q1673" s="109">
        <f t="shared" ref="Q1673" si="2419">SUM(M1673:P1673)</f>
        <v>11709.72972972973</v>
      </c>
      <c r="R1673" s="121">
        <v>62</v>
      </c>
      <c r="T1673" s="188"/>
    </row>
    <row r="1674" spans="1:20" x14ac:dyDescent="0.25">
      <c r="A1674" s="101"/>
      <c r="B1674" s="4">
        <v>3</v>
      </c>
      <c r="C1674" s="6" t="s">
        <v>114</v>
      </c>
      <c r="D1674" s="4"/>
      <c r="E1674" s="101" t="str">
        <f>IFERROR(VLOOKUP(C1674,Resources!B:D,3,FALSE)," ")</f>
        <v xml:space="preserve"> </v>
      </c>
      <c r="F1674" s="9"/>
      <c r="G1674" s="9"/>
      <c r="H1674" s="9"/>
      <c r="I1674" s="38" t="str">
        <f>IFERROR(VLOOKUP(C1674,Resources!B:G,6,FALSE)," ")</f>
        <v xml:space="preserve"> </v>
      </c>
      <c r="J1674" s="38"/>
      <c r="K1674" s="9"/>
      <c r="L1674" s="9"/>
      <c r="M1674" s="38"/>
      <c r="N1674" s="38"/>
      <c r="O1674" s="38"/>
      <c r="P1674" s="38"/>
      <c r="Q1674" s="38"/>
      <c r="R1674" s="122"/>
      <c r="T1674" s="188"/>
    </row>
    <row r="1675" spans="1:20" x14ac:dyDescent="0.25">
      <c r="A1675" s="100">
        <v>219.3</v>
      </c>
      <c r="B1675" s="3">
        <v>4</v>
      </c>
      <c r="C1675" s="5" t="s">
        <v>39</v>
      </c>
      <c r="D1675" s="3" t="s">
        <v>48</v>
      </c>
      <c r="E1675" s="100" t="str">
        <f>IFERROR(VLOOKUP(C1675,Resources!B:D,3,FALSE)," ")</f>
        <v>P</v>
      </c>
      <c r="F1675" s="8">
        <v>1</v>
      </c>
      <c r="G1675" s="103">
        <f>VLOOKUP($A1675,'Model Inputs'!$A:$D,4,FALSE)</f>
        <v>44.44</v>
      </c>
      <c r="H1675" s="8">
        <f>H1672</f>
        <v>996</v>
      </c>
      <c r="I1675" s="109">
        <f>IFERROR(VLOOKUP(C1675,Resources!B:G,6,FALSE)," ")</f>
        <v>145</v>
      </c>
      <c r="J1675" s="109">
        <f t="shared" ref="J1675:J1679" si="2420">(H1675/(G1675/F1675))*I1675</f>
        <v>3249.7749774977501</v>
      </c>
      <c r="K1675" s="8">
        <f t="shared" ref="K1675:K1679" si="2421">L1675*F1675</f>
        <v>22.412241224122415</v>
      </c>
      <c r="L1675" s="8">
        <f t="shared" ref="L1675:L1679" si="2422">IF(E1675="M"," ",H1675/G1675)</f>
        <v>22.412241224122415</v>
      </c>
      <c r="M1675" s="109">
        <f t="shared" ref="M1675:M1679" si="2423">IF($E1675="L",$J1675,0)</f>
        <v>0</v>
      </c>
      <c r="N1675" s="109">
        <f t="shared" ref="N1675:N1679" si="2424">IF($E1675="M",$J1675,0)</f>
        <v>0</v>
      </c>
      <c r="O1675" s="109">
        <f t="shared" ref="O1675:O1679" si="2425">IF($E1675="P",$J1675,0)</f>
        <v>3249.7749774977501</v>
      </c>
      <c r="P1675" s="109">
        <f t="shared" ref="P1675:P1679" si="2426">IF($E1675="S",$J1675,0)</f>
        <v>0</v>
      </c>
      <c r="Q1675" s="109">
        <f t="shared" ref="Q1675:Q1679" si="2427">SUM(M1675:P1675)</f>
        <v>3249.7749774977501</v>
      </c>
      <c r="R1675" s="121">
        <v>62</v>
      </c>
      <c r="T1675" s="188"/>
    </row>
    <row r="1676" spans="1:20" x14ac:dyDescent="0.25">
      <c r="A1676" s="100"/>
      <c r="B1676" s="3">
        <v>5</v>
      </c>
      <c r="C1676" s="5" t="s">
        <v>64</v>
      </c>
      <c r="D1676" s="3" t="s">
        <v>48</v>
      </c>
      <c r="E1676" s="100" t="str">
        <f>IFERROR(VLOOKUP(C1676,Resources!B:D,3,FALSE)," ")</f>
        <v>P</v>
      </c>
      <c r="F1676" s="8">
        <v>1</v>
      </c>
      <c r="G1676" s="8">
        <f>G1675</f>
        <v>44.44</v>
      </c>
      <c r="H1676" s="8">
        <f>H1672</f>
        <v>996</v>
      </c>
      <c r="I1676" s="109">
        <f>IFERROR(VLOOKUP(C1676,Resources!B:G,6,FALSE)," ")</f>
        <v>100</v>
      </c>
      <c r="J1676" s="109">
        <f t="shared" si="2420"/>
        <v>2241.2241224122413</v>
      </c>
      <c r="K1676" s="8">
        <f t="shared" si="2421"/>
        <v>22.412241224122415</v>
      </c>
      <c r="L1676" s="8">
        <f t="shared" si="2422"/>
        <v>22.412241224122415</v>
      </c>
      <c r="M1676" s="109">
        <f t="shared" si="2423"/>
        <v>0</v>
      </c>
      <c r="N1676" s="109">
        <f t="shared" si="2424"/>
        <v>0</v>
      </c>
      <c r="O1676" s="109">
        <f t="shared" si="2425"/>
        <v>2241.2241224122413</v>
      </c>
      <c r="P1676" s="109">
        <f t="shared" si="2426"/>
        <v>0</v>
      </c>
      <c r="Q1676" s="109">
        <f t="shared" si="2427"/>
        <v>2241.2241224122413</v>
      </c>
      <c r="R1676" s="121">
        <v>62</v>
      </c>
      <c r="T1676" s="188"/>
    </row>
    <row r="1677" spans="1:20" x14ac:dyDescent="0.25">
      <c r="A1677" s="100"/>
      <c r="B1677" s="3">
        <v>6</v>
      </c>
      <c r="C1677" s="5" t="s">
        <v>69</v>
      </c>
      <c r="D1677" s="3" t="s">
        <v>48</v>
      </c>
      <c r="E1677" s="100" t="str">
        <f>IFERROR(VLOOKUP(C1677,Resources!B:D,3,FALSE)," ")</f>
        <v>P</v>
      </c>
      <c r="F1677" s="8">
        <v>1</v>
      </c>
      <c r="G1677" s="8">
        <f>G1675</f>
        <v>44.44</v>
      </c>
      <c r="H1677" s="8">
        <f>H1672</f>
        <v>996</v>
      </c>
      <c r="I1677" s="109">
        <f>IFERROR(VLOOKUP(C1677,Resources!B:G,6,FALSE)," ")</f>
        <v>55</v>
      </c>
      <c r="J1677" s="109">
        <f t="shared" si="2420"/>
        <v>1232.6732673267329</v>
      </c>
      <c r="K1677" s="8">
        <f t="shared" si="2421"/>
        <v>22.412241224122415</v>
      </c>
      <c r="L1677" s="8">
        <f t="shared" si="2422"/>
        <v>22.412241224122415</v>
      </c>
      <c r="M1677" s="109">
        <f t="shared" si="2423"/>
        <v>0</v>
      </c>
      <c r="N1677" s="109">
        <f t="shared" si="2424"/>
        <v>0</v>
      </c>
      <c r="O1677" s="109">
        <f t="shared" si="2425"/>
        <v>1232.6732673267329</v>
      </c>
      <c r="P1677" s="109">
        <f t="shared" si="2426"/>
        <v>0</v>
      </c>
      <c r="Q1677" s="109">
        <f t="shared" si="2427"/>
        <v>1232.6732673267329</v>
      </c>
      <c r="R1677" s="121">
        <v>62</v>
      </c>
      <c r="T1677" s="188"/>
    </row>
    <row r="1678" spans="1:20" x14ac:dyDescent="0.25">
      <c r="A1678" s="100"/>
      <c r="B1678" s="3">
        <v>7</v>
      </c>
      <c r="C1678" s="5" t="s">
        <v>8</v>
      </c>
      <c r="D1678" s="3" t="s">
        <v>48</v>
      </c>
      <c r="E1678" s="100" t="str">
        <f>IFERROR(VLOOKUP(C1678,Resources!B:D,3,FALSE)," ")</f>
        <v>L</v>
      </c>
      <c r="F1678" s="8">
        <v>3</v>
      </c>
      <c r="G1678" s="8">
        <f>G1675</f>
        <v>44.44</v>
      </c>
      <c r="H1678" s="8">
        <f>H1672</f>
        <v>996</v>
      </c>
      <c r="I1678" s="109">
        <f>IFERROR(VLOOKUP(C1678,Resources!B:G,6,FALSE)," ")</f>
        <v>42</v>
      </c>
      <c r="J1678" s="109">
        <f t="shared" si="2420"/>
        <v>2823.9423942394237</v>
      </c>
      <c r="K1678" s="8">
        <f t="shared" si="2421"/>
        <v>67.236723672367248</v>
      </c>
      <c r="L1678" s="8">
        <f t="shared" si="2422"/>
        <v>22.412241224122415</v>
      </c>
      <c r="M1678" s="109">
        <f t="shared" si="2423"/>
        <v>2823.9423942394237</v>
      </c>
      <c r="N1678" s="109">
        <f t="shared" si="2424"/>
        <v>0</v>
      </c>
      <c r="O1678" s="109">
        <f t="shared" si="2425"/>
        <v>0</v>
      </c>
      <c r="P1678" s="109">
        <f t="shared" si="2426"/>
        <v>0</v>
      </c>
      <c r="Q1678" s="109">
        <f t="shared" si="2427"/>
        <v>2823.9423942394237</v>
      </c>
      <c r="R1678" s="121">
        <v>62</v>
      </c>
      <c r="T1678" s="188"/>
    </row>
    <row r="1679" spans="1:20" x14ac:dyDescent="0.25">
      <c r="A1679" s="100"/>
      <c r="B1679" s="3">
        <v>8</v>
      </c>
      <c r="C1679" s="5" t="s">
        <v>115</v>
      </c>
      <c r="D1679" s="3" t="s">
        <v>48</v>
      </c>
      <c r="E1679" s="100" t="str">
        <f>IFERROR(VLOOKUP(C1679,Resources!B:D,3,FALSE)," ")</f>
        <v>P</v>
      </c>
      <c r="F1679" s="8">
        <v>1</v>
      </c>
      <c r="G1679" s="8">
        <f>G1675</f>
        <v>44.44</v>
      </c>
      <c r="H1679" s="8">
        <f>H1672</f>
        <v>996</v>
      </c>
      <c r="I1679" s="109">
        <f>IFERROR(VLOOKUP(C1679,Resources!B:G,6,FALSE)," ")</f>
        <v>100</v>
      </c>
      <c r="J1679" s="109">
        <f t="shared" si="2420"/>
        <v>2241.2241224122413</v>
      </c>
      <c r="K1679" s="8">
        <f t="shared" si="2421"/>
        <v>22.412241224122415</v>
      </c>
      <c r="L1679" s="8">
        <f t="shared" si="2422"/>
        <v>22.412241224122415</v>
      </c>
      <c r="M1679" s="109">
        <f t="shared" si="2423"/>
        <v>0</v>
      </c>
      <c r="N1679" s="109">
        <f t="shared" si="2424"/>
        <v>0</v>
      </c>
      <c r="O1679" s="109">
        <f t="shared" si="2425"/>
        <v>2241.2241224122413</v>
      </c>
      <c r="P1679" s="109">
        <f t="shared" si="2426"/>
        <v>0</v>
      </c>
      <c r="Q1679" s="109">
        <f t="shared" si="2427"/>
        <v>2241.2241224122413</v>
      </c>
      <c r="R1679" s="121">
        <v>62</v>
      </c>
      <c r="T1679" s="188"/>
    </row>
    <row r="1680" spans="1:20" x14ac:dyDescent="0.25">
      <c r="A1680" s="101"/>
      <c r="B1680" s="4"/>
      <c r="C1680" s="6"/>
      <c r="D1680" s="4"/>
      <c r="E1680" s="101" t="str">
        <f>IFERROR(VLOOKUP(C1680,Resources!B:D,3,FALSE)," ")</f>
        <v xml:space="preserve"> </v>
      </c>
      <c r="F1680" s="9"/>
      <c r="G1680" s="9"/>
      <c r="H1680" s="9"/>
      <c r="I1680" s="38" t="str">
        <f>IFERROR(VLOOKUP(C1680,Resources!B:G,6,FALSE)," ")</f>
        <v xml:space="preserve"> </v>
      </c>
      <c r="J1680" s="38"/>
      <c r="K1680" s="9"/>
      <c r="L1680" s="9"/>
      <c r="M1680" s="38"/>
      <c r="N1680" s="38"/>
      <c r="O1680" s="38"/>
      <c r="P1680" s="38"/>
      <c r="Q1680" s="38"/>
      <c r="R1680" s="122"/>
      <c r="T1680" s="188"/>
    </row>
    <row r="1681" spans="1:20" ht="30" x14ac:dyDescent="0.25">
      <c r="A1681" s="114">
        <v>220</v>
      </c>
      <c r="B1681" s="1" t="s">
        <v>730</v>
      </c>
      <c r="C1681" s="1" t="s">
        <v>731</v>
      </c>
      <c r="D1681" s="2" t="s">
        <v>62</v>
      </c>
      <c r="E1681" s="99" t="str">
        <f>IFERROR(VLOOKUP(C1681,Resources!B:D,3,FALSE)," ")</f>
        <v xml:space="preserve"> </v>
      </c>
      <c r="F1681" s="7"/>
      <c r="G1681" s="7"/>
      <c r="H1681" s="103">
        <f>VLOOKUP($A1681,'Model Inputs'!$A:$D,4,FALSE)</f>
        <v>555</v>
      </c>
      <c r="I1681" s="108" t="str">
        <f>IFERROR(VLOOKUP(C1681,Resources!B:G,6,FALSE)," ")</f>
        <v xml:space="preserve"> </v>
      </c>
      <c r="J1681" s="108">
        <f>SUBTOTAL(9,J1683:J1689)</f>
        <v>31425.796579657967</v>
      </c>
      <c r="K1681" s="7"/>
      <c r="L1681" s="7">
        <f>ROUNDUP((MAX((L1683+4),L1685:L1689))/Workhrs,0)</f>
        <v>5</v>
      </c>
      <c r="M1681" s="108">
        <f t="shared" ref="M1681:Q1681" si="2428">SUBTOTAL(9,M1683:M1689)</f>
        <v>3776.5976597659765</v>
      </c>
      <c r="N1681" s="108">
        <f t="shared" si="2428"/>
        <v>0</v>
      </c>
      <c r="O1681" s="108">
        <f t="shared" si="2428"/>
        <v>27649.198919891991</v>
      </c>
      <c r="P1681" s="108">
        <f t="shared" si="2428"/>
        <v>0</v>
      </c>
      <c r="Q1681" s="108">
        <f t="shared" si="2428"/>
        <v>31425.796579657967</v>
      </c>
      <c r="R1681" s="120"/>
      <c r="T1681" s="188"/>
    </row>
    <row r="1682" spans="1:20" x14ac:dyDescent="0.25">
      <c r="A1682" s="100">
        <v>220.1</v>
      </c>
      <c r="B1682" s="3">
        <v>1</v>
      </c>
      <c r="C1682" s="5" t="s">
        <v>2389</v>
      </c>
      <c r="D1682" s="3"/>
      <c r="E1682" s="100" t="str">
        <f>IFERROR(VLOOKUP(C1682,Resources!B:D,3,FALSE)," ")</f>
        <v xml:space="preserve"> </v>
      </c>
      <c r="F1682" s="103">
        <f>VLOOKUP($A1682,'Model Inputs'!$A:$D,4,FALSE)</f>
        <v>2.4</v>
      </c>
      <c r="G1682" s="8"/>
      <c r="H1682" s="8">
        <f>H1681*F1682</f>
        <v>1332</v>
      </c>
      <c r="I1682" s="109" t="str">
        <f>IFERROR(VLOOKUP(C1682,Resources!B:G,6,FALSE)," ")</f>
        <v xml:space="preserve"> </v>
      </c>
      <c r="J1682" s="109"/>
      <c r="K1682" s="8"/>
      <c r="L1682" s="8"/>
      <c r="M1682" s="109"/>
      <c r="N1682" s="109"/>
      <c r="O1682" s="109"/>
      <c r="P1682" s="109"/>
      <c r="Q1682" s="109"/>
      <c r="R1682" s="121"/>
      <c r="T1682" s="188"/>
    </row>
    <row r="1683" spans="1:20" x14ac:dyDescent="0.25">
      <c r="A1683" s="100">
        <v>220.2</v>
      </c>
      <c r="B1683" s="3">
        <v>2</v>
      </c>
      <c r="C1683" s="5" t="s">
        <v>44</v>
      </c>
      <c r="D1683" s="3" t="s">
        <v>48</v>
      </c>
      <c r="E1683" s="100" t="str">
        <f>IFERROR(VLOOKUP(C1683,Resources!B:D,3,FALSE)," ")</f>
        <v>P</v>
      </c>
      <c r="F1683" s="103">
        <f>VLOOKUP($A1683,'Model Inputs'!$A:$D,4,FALSE)</f>
        <v>3</v>
      </c>
      <c r="G1683" s="8">
        <v>37</v>
      </c>
      <c r="H1683" s="8">
        <f>H1682</f>
        <v>1332</v>
      </c>
      <c r="I1683" s="109">
        <f>IFERROR(VLOOKUP(C1683,Resources!B:G,6,FALSE)," ")</f>
        <v>145</v>
      </c>
      <c r="J1683" s="109">
        <f t="shared" ref="J1683" si="2429">(H1683/(G1683/F1683))*I1683</f>
        <v>15660</v>
      </c>
      <c r="K1683" s="8">
        <f t="shared" ref="K1683" si="2430">L1683*F1683</f>
        <v>108</v>
      </c>
      <c r="L1683" s="8">
        <f t="shared" ref="L1683" si="2431">IF(E1683="M"," ",H1683/G1683)</f>
        <v>36</v>
      </c>
      <c r="M1683" s="109">
        <f t="shared" ref="M1683" si="2432">IF($E1683="L",$J1683,0)</f>
        <v>0</v>
      </c>
      <c r="N1683" s="109">
        <f t="shared" ref="N1683" si="2433">IF($E1683="M",$J1683,0)</f>
        <v>0</v>
      </c>
      <c r="O1683" s="109">
        <f t="shared" ref="O1683" si="2434">IF($E1683="P",$J1683,0)</f>
        <v>15660</v>
      </c>
      <c r="P1683" s="109">
        <f t="shared" ref="P1683" si="2435">IF($E1683="S",$J1683,0)</f>
        <v>0</v>
      </c>
      <c r="Q1683" s="109">
        <f t="shared" ref="Q1683" si="2436">SUM(M1683:P1683)</f>
        <v>15660</v>
      </c>
      <c r="R1683" s="121">
        <v>62</v>
      </c>
      <c r="T1683" s="188"/>
    </row>
    <row r="1684" spans="1:20" x14ac:dyDescent="0.25">
      <c r="A1684" s="101"/>
      <c r="B1684" s="4">
        <v>3</v>
      </c>
      <c r="C1684" s="6" t="s">
        <v>114</v>
      </c>
      <c r="D1684" s="4"/>
      <c r="E1684" s="101" t="str">
        <f>IFERROR(VLOOKUP(C1684,Resources!B:D,3,FALSE)," ")</f>
        <v xml:space="preserve"> </v>
      </c>
      <c r="F1684" s="9"/>
      <c r="G1684" s="9"/>
      <c r="H1684" s="9"/>
      <c r="I1684" s="38" t="str">
        <f>IFERROR(VLOOKUP(C1684,Resources!B:G,6,FALSE)," ")</f>
        <v xml:space="preserve"> </v>
      </c>
      <c r="J1684" s="38"/>
      <c r="K1684" s="9"/>
      <c r="L1684" s="9"/>
      <c r="M1684" s="38"/>
      <c r="N1684" s="38"/>
      <c r="O1684" s="38"/>
      <c r="P1684" s="38"/>
      <c r="Q1684" s="38"/>
      <c r="R1684" s="122"/>
      <c r="T1684" s="188"/>
    </row>
    <row r="1685" spans="1:20" x14ac:dyDescent="0.25">
      <c r="A1685" s="100">
        <v>220.3</v>
      </c>
      <c r="B1685" s="3">
        <v>4</v>
      </c>
      <c r="C1685" s="5" t="s">
        <v>39</v>
      </c>
      <c r="D1685" s="3" t="s">
        <v>48</v>
      </c>
      <c r="E1685" s="100" t="str">
        <f>IFERROR(VLOOKUP(C1685,Resources!B:D,3,FALSE)," ")</f>
        <v>P</v>
      </c>
      <c r="F1685" s="8">
        <v>1</v>
      </c>
      <c r="G1685" s="103">
        <f>VLOOKUP($A1685,'Model Inputs'!$A:$D,4,FALSE)</f>
        <v>44.44</v>
      </c>
      <c r="H1685" s="8">
        <f>H1682</f>
        <v>1332</v>
      </c>
      <c r="I1685" s="109">
        <f>IFERROR(VLOOKUP(C1685,Resources!B:G,6,FALSE)," ")</f>
        <v>145</v>
      </c>
      <c r="J1685" s="109">
        <f t="shared" ref="J1685:J1689" si="2437">(H1685/(G1685/F1685))*I1685</f>
        <v>4346.0846084608465</v>
      </c>
      <c r="K1685" s="8">
        <f t="shared" ref="K1685:K1689" si="2438">L1685*F1685</f>
        <v>29.972997299729975</v>
      </c>
      <c r="L1685" s="8">
        <f t="shared" ref="L1685:L1689" si="2439">IF(E1685="M"," ",H1685/G1685)</f>
        <v>29.972997299729975</v>
      </c>
      <c r="M1685" s="109">
        <f t="shared" ref="M1685:M1689" si="2440">IF($E1685="L",$J1685,0)</f>
        <v>0</v>
      </c>
      <c r="N1685" s="109">
        <f t="shared" ref="N1685:N1689" si="2441">IF($E1685="M",$J1685,0)</f>
        <v>0</v>
      </c>
      <c r="O1685" s="109">
        <f t="shared" ref="O1685:O1689" si="2442">IF($E1685="P",$J1685,0)</f>
        <v>4346.0846084608465</v>
      </c>
      <c r="P1685" s="109">
        <f t="shared" ref="P1685:P1689" si="2443">IF($E1685="S",$J1685,0)</f>
        <v>0</v>
      </c>
      <c r="Q1685" s="109">
        <f t="shared" ref="Q1685:Q1689" si="2444">SUM(M1685:P1685)</f>
        <v>4346.0846084608465</v>
      </c>
      <c r="R1685" s="121">
        <v>62</v>
      </c>
      <c r="T1685" s="188"/>
    </row>
    <row r="1686" spans="1:20" x14ac:dyDescent="0.25">
      <c r="A1686" s="100"/>
      <c r="B1686" s="3">
        <v>5</v>
      </c>
      <c r="C1686" s="5" t="s">
        <v>64</v>
      </c>
      <c r="D1686" s="3" t="s">
        <v>48</v>
      </c>
      <c r="E1686" s="100" t="str">
        <f>IFERROR(VLOOKUP(C1686,Resources!B:D,3,FALSE)," ")</f>
        <v>P</v>
      </c>
      <c r="F1686" s="8">
        <v>1</v>
      </c>
      <c r="G1686" s="8">
        <f>G1685</f>
        <v>44.44</v>
      </c>
      <c r="H1686" s="8">
        <f>H1682</f>
        <v>1332</v>
      </c>
      <c r="I1686" s="109">
        <f>IFERROR(VLOOKUP(C1686,Resources!B:G,6,FALSE)," ")</f>
        <v>100</v>
      </c>
      <c r="J1686" s="109">
        <f t="shared" si="2437"/>
        <v>2997.2997299729977</v>
      </c>
      <c r="K1686" s="8">
        <f t="shared" si="2438"/>
        <v>29.972997299729975</v>
      </c>
      <c r="L1686" s="8">
        <f t="shared" si="2439"/>
        <v>29.972997299729975</v>
      </c>
      <c r="M1686" s="109">
        <f t="shared" si="2440"/>
        <v>0</v>
      </c>
      <c r="N1686" s="109">
        <f t="shared" si="2441"/>
        <v>0</v>
      </c>
      <c r="O1686" s="109">
        <f t="shared" si="2442"/>
        <v>2997.2997299729977</v>
      </c>
      <c r="P1686" s="109">
        <f t="shared" si="2443"/>
        <v>0</v>
      </c>
      <c r="Q1686" s="109">
        <f t="shared" si="2444"/>
        <v>2997.2997299729977</v>
      </c>
      <c r="R1686" s="121">
        <v>62</v>
      </c>
      <c r="T1686" s="188"/>
    </row>
    <row r="1687" spans="1:20" x14ac:dyDescent="0.25">
      <c r="A1687" s="100"/>
      <c r="B1687" s="3">
        <v>6</v>
      </c>
      <c r="C1687" s="5" t="s">
        <v>69</v>
      </c>
      <c r="D1687" s="3" t="s">
        <v>48</v>
      </c>
      <c r="E1687" s="100" t="str">
        <f>IFERROR(VLOOKUP(C1687,Resources!B:D,3,FALSE)," ")</f>
        <v>P</v>
      </c>
      <c r="F1687" s="8">
        <v>1</v>
      </c>
      <c r="G1687" s="8">
        <f>G1685</f>
        <v>44.44</v>
      </c>
      <c r="H1687" s="8">
        <f>H1682</f>
        <v>1332</v>
      </c>
      <c r="I1687" s="109">
        <f>IFERROR(VLOOKUP(C1687,Resources!B:G,6,FALSE)," ")</f>
        <v>55</v>
      </c>
      <c r="J1687" s="109">
        <f t="shared" si="2437"/>
        <v>1648.5148514851487</v>
      </c>
      <c r="K1687" s="8">
        <f t="shared" si="2438"/>
        <v>29.972997299729975</v>
      </c>
      <c r="L1687" s="8">
        <f t="shared" si="2439"/>
        <v>29.972997299729975</v>
      </c>
      <c r="M1687" s="109">
        <f t="shared" si="2440"/>
        <v>0</v>
      </c>
      <c r="N1687" s="109">
        <f t="shared" si="2441"/>
        <v>0</v>
      </c>
      <c r="O1687" s="109">
        <f t="shared" si="2442"/>
        <v>1648.5148514851487</v>
      </c>
      <c r="P1687" s="109">
        <f t="shared" si="2443"/>
        <v>0</v>
      </c>
      <c r="Q1687" s="109">
        <f t="shared" si="2444"/>
        <v>1648.5148514851487</v>
      </c>
      <c r="R1687" s="121">
        <v>62</v>
      </c>
      <c r="T1687" s="188"/>
    </row>
    <row r="1688" spans="1:20" x14ac:dyDescent="0.25">
      <c r="A1688" s="100"/>
      <c r="B1688" s="3">
        <v>7</v>
      </c>
      <c r="C1688" s="5" t="s">
        <v>8</v>
      </c>
      <c r="D1688" s="3" t="s">
        <v>48</v>
      </c>
      <c r="E1688" s="100" t="str">
        <f>IFERROR(VLOOKUP(C1688,Resources!B:D,3,FALSE)," ")</f>
        <v>L</v>
      </c>
      <c r="F1688" s="8">
        <v>3</v>
      </c>
      <c r="G1688" s="8">
        <f>G1685</f>
        <v>44.44</v>
      </c>
      <c r="H1688" s="8">
        <f>H1682</f>
        <v>1332</v>
      </c>
      <c r="I1688" s="109">
        <f>IFERROR(VLOOKUP(C1688,Resources!B:G,6,FALSE)," ")</f>
        <v>42</v>
      </c>
      <c r="J1688" s="109">
        <f t="shared" si="2437"/>
        <v>3776.5976597659765</v>
      </c>
      <c r="K1688" s="8">
        <f t="shared" si="2438"/>
        <v>89.918991899189933</v>
      </c>
      <c r="L1688" s="8">
        <f t="shared" si="2439"/>
        <v>29.972997299729975</v>
      </c>
      <c r="M1688" s="109">
        <f t="shared" si="2440"/>
        <v>3776.5976597659765</v>
      </c>
      <c r="N1688" s="109">
        <f t="shared" si="2441"/>
        <v>0</v>
      </c>
      <c r="O1688" s="109">
        <f t="shared" si="2442"/>
        <v>0</v>
      </c>
      <c r="P1688" s="109">
        <f t="shared" si="2443"/>
        <v>0</v>
      </c>
      <c r="Q1688" s="109">
        <f t="shared" si="2444"/>
        <v>3776.5976597659765</v>
      </c>
      <c r="R1688" s="121">
        <v>62</v>
      </c>
      <c r="T1688" s="188"/>
    </row>
    <row r="1689" spans="1:20" x14ac:dyDescent="0.25">
      <c r="A1689" s="100"/>
      <c r="B1689" s="3">
        <v>8</v>
      </c>
      <c r="C1689" s="5" t="s">
        <v>115</v>
      </c>
      <c r="D1689" s="3" t="s">
        <v>48</v>
      </c>
      <c r="E1689" s="100" t="str">
        <f>IFERROR(VLOOKUP(C1689,Resources!B:D,3,FALSE)," ")</f>
        <v>P</v>
      </c>
      <c r="F1689" s="8">
        <v>1</v>
      </c>
      <c r="G1689" s="8">
        <f>G1685</f>
        <v>44.44</v>
      </c>
      <c r="H1689" s="8">
        <f>H1682</f>
        <v>1332</v>
      </c>
      <c r="I1689" s="109">
        <f>IFERROR(VLOOKUP(C1689,Resources!B:G,6,FALSE)," ")</f>
        <v>100</v>
      </c>
      <c r="J1689" s="109">
        <f t="shared" si="2437"/>
        <v>2997.2997299729977</v>
      </c>
      <c r="K1689" s="8">
        <f t="shared" si="2438"/>
        <v>29.972997299729975</v>
      </c>
      <c r="L1689" s="8">
        <f t="shared" si="2439"/>
        <v>29.972997299729975</v>
      </c>
      <c r="M1689" s="109">
        <f t="shared" si="2440"/>
        <v>0</v>
      </c>
      <c r="N1689" s="109">
        <f t="shared" si="2441"/>
        <v>0</v>
      </c>
      <c r="O1689" s="109">
        <f t="shared" si="2442"/>
        <v>2997.2997299729977</v>
      </c>
      <c r="P1689" s="109">
        <f t="shared" si="2443"/>
        <v>0</v>
      </c>
      <c r="Q1689" s="109">
        <f t="shared" si="2444"/>
        <v>2997.2997299729977</v>
      </c>
      <c r="R1689" s="121">
        <v>62</v>
      </c>
      <c r="T1689" s="188"/>
    </row>
    <row r="1690" spans="1:20" x14ac:dyDescent="0.25">
      <c r="A1690" s="101"/>
      <c r="B1690" s="4"/>
      <c r="C1690" s="6"/>
      <c r="D1690" s="4"/>
      <c r="E1690" s="101" t="str">
        <f>IFERROR(VLOOKUP(C1690,Resources!B:D,3,FALSE)," ")</f>
        <v xml:space="preserve"> </v>
      </c>
      <c r="F1690" s="9"/>
      <c r="G1690" s="9"/>
      <c r="H1690" s="9"/>
      <c r="I1690" s="38" t="str">
        <f>IFERROR(VLOOKUP(C1690,Resources!B:G,6,FALSE)," ")</f>
        <v xml:space="preserve"> </v>
      </c>
      <c r="J1690" s="38"/>
      <c r="K1690" s="9"/>
      <c r="L1690" s="9"/>
      <c r="M1690" s="38"/>
      <c r="N1690" s="38"/>
      <c r="O1690" s="38"/>
      <c r="P1690" s="38"/>
      <c r="Q1690" s="38"/>
      <c r="R1690" s="122"/>
      <c r="T1690" s="188"/>
    </row>
    <row r="1691" spans="1:20" ht="30" x14ac:dyDescent="0.25">
      <c r="A1691" s="114">
        <v>221</v>
      </c>
      <c r="B1691" s="1" t="s">
        <v>732</v>
      </c>
      <c r="C1691" s="1" t="s">
        <v>219</v>
      </c>
      <c r="D1691" s="2" t="s">
        <v>62</v>
      </c>
      <c r="E1691" s="99" t="str">
        <f>IFERROR(VLOOKUP(C1691,Resources!B:D,3,FALSE)," ")</f>
        <v xml:space="preserve"> </v>
      </c>
      <c r="F1691" s="7"/>
      <c r="G1691" s="7"/>
      <c r="H1691" s="103">
        <f>VLOOKUP($A1691,'Model Inputs'!$A:$D,4,FALSE)</f>
        <v>405</v>
      </c>
      <c r="I1691" s="108" t="str">
        <f>IFERROR(VLOOKUP(C1691,Resources!B:G,6,FALSE)," ")</f>
        <v xml:space="preserve"> </v>
      </c>
      <c r="J1691" s="108">
        <f>SUBTOTAL(9,J1693:J1704)</f>
        <v>31590.338044615273</v>
      </c>
      <c r="K1691" s="7"/>
      <c r="L1691" s="7">
        <f>ROUNDUP((MAX((L1693+4),L1695:L1699)+MAX(L1701:L1704))/Workhrs,0)</f>
        <v>8</v>
      </c>
      <c r="M1691" s="108">
        <f t="shared" ref="M1691:Q1691" si="2445">SUBTOTAL(9,M1693:M1704)</f>
        <v>5023.8955895589552</v>
      </c>
      <c r="N1691" s="108">
        <f t="shared" si="2445"/>
        <v>0</v>
      </c>
      <c r="O1691" s="108">
        <f t="shared" si="2445"/>
        <v>26566.442455056316</v>
      </c>
      <c r="P1691" s="108">
        <f t="shared" si="2445"/>
        <v>0</v>
      </c>
      <c r="Q1691" s="108">
        <f t="shared" si="2445"/>
        <v>31590.338044615273</v>
      </c>
      <c r="R1691" s="120"/>
      <c r="T1691" s="188"/>
    </row>
    <row r="1692" spans="1:20" x14ac:dyDescent="0.25">
      <c r="A1692" s="100">
        <v>221.1</v>
      </c>
      <c r="B1692" s="3">
        <v>1</v>
      </c>
      <c r="C1692" s="5" t="s">
        <v>2396</v>
      </c>
      <c r="D1692" s="3"/>
      <c r="E1692" s="100" t="str">
        <f>IFERROR(VLOOKUP(C1692,Resources!B:D,3,FALSE)," ")</f>
        <v xml:space="preserve"> </v>
      </c>
      <c r="F1692" s="103">
        <f>VLOOKUP($A1692,'Model Inputs'!$A:$D,4,FALSE)</f>
        <v>2.4</v>
      </c>
      <c r="G1692" s="8"/>
      <c r="H1692" s="8">
        <f>H1691*F1692</f>
        <v>972</v>
      </c>
      <c r="I1692" s="109" t="str">
        <f>IFERROR(VLOOKUP(C1692,Resources!B:G,6,FALSE)," ")</f>
        <v xml:space="preserve"> </v>
      </c>
      <c r="J1692" s="109"/>
      <c r="K1692" s="8"/>
      <c r="L1692" s="8"/>
      <c r="M1692" s="109"/>
      <c r="N1692" s="109"/>
      <c r="O1692" s="109"/>
      <c r="P1692" s="109"/>
      <c r="Q1692" s="109"/>
      <c r="R1692" s="121"/>
      <c r="T1692" s="188"/>
    </row>
    <row r="1693" spans="1:20" x14ac:dyDescent="0.25">
      <c r="A1693" s="100">
        <v>221.2</v>
      </c>
      <c r="B1693" s="3">
        <v>2</v>
      </c>
      <c r="C1693" s="5" t="s">
        <v>44</v>
      </c>
      <c r="D1693" s="3" t="s">
        <v>48</v>
      </c>
      <c r="E1693" s="100" t="str">
        <f>IFERROR(VLOOKUP(C1693,Resources!B:D,3,FALSE)," ")</f>
        <v>P</v>
      </c>
      <c r="F1693" s="103">
        <f>VLOOKUP($A1693,'Model Inputs'!$A:$D,4,FALSE)</f>
        <v>3</v>
      </c>
      <c r="G1693" s="8">
        <v>37</v>
      </c>
      <c r="H1693" s="8">
        <f>H1692</f>
        <v>972</v>
      </c>
      <c r="I1693" s="109">
        <f>IFERROR(VLOOKUP(C1693,Resources!B:G,6,FALSE)," ")</f>
        <v>145</v>
      </c>
      <c r="J1693" s="109">
        <f t="shared" ref="J1693" si="2446">(H1693/(G1693/F1693))*I1693</f>
        <v>11427.567567567567</v>
      </c>
      <c r="K1693" s="8">
        <f t="shared" ref="K1693" si="2447">L1693*F1693</f>
        <v>78.810810810810807</v>
      </c>
      <c r="L1693" s="8">
        <f t="shared" ref="L1693" si="2448">IF(E1693="M"," ",H1693/G1693)</f>
        <v>26.27027027027027</v>
      </c>
      <c r="M1693" s="109">
        <f t="shared" ref="M1693" si="2449">IF($E1693="L",$J1693,0)</f>
        <v>0</v>
      </c>
      <c r="N1693" s="109">
        <f t="shared" ref="N1693" si="2450">IF($E1693="M",$J1693,0)</f>
        <v>0</v>
      </c>
      <c r="O1693" s="109">
        <f t="shared" ref="O1693" si="2451">IF($E1693="P",$J1693,0)</f>
        <v>11427.567567567567</v>
      </c>
      <c r="P1693" s="109">
        <f t="shared" ref="P1693" si="2452">IF($E1693="S",$J1693,0)</f>
        <v>0</v>
      </c>
      <c r="Q1693" s="109">
        <f t="shared" ref="Q1693" si="2453">SUM(M1693:P1693)</f>
        <v>11427.567567567567</v>
      </c>
      <c r="R1693" s="121">
        <v>62</v>
      </c>
      <c r="T1693" s="188"/>
    </row>
    <row r="1694" spans="1:20" x14ac:dyDescent="0.25">
      <c r="A1694" s="101"/>
      <c r="B1694" s="4">
        <v>3</v>
      </c>
      <c r="C1694" s="6" t="s">
        <v>114</v>
      </c>
      <c r="D1694" s="4"/>
      <c r="E1694" s="101" t="str">
        <f>IFERROR(VLOOKUP(C1694,Resources!B:D,3,FALSE)," ")</f>
        <v xml:space="preserve"> </v>
      </c>
      <c r="F1694" s="9"/>
      <c r="G1694" s="9"/>
      <c r="H1694" s="9"/>
      <c r="I1694" s="38" t="str">
        <f>IFERROR(VLOOKUP(C1694,Resources!B:G,6,FALSE)," ")</f>
        <v xml:space="preserve"> </v>
      </c>
      <c r="J1694" s="38"/>
      <c r="K1694" s="9"/>
      <c r="L1694" s="9"/>
      <c r="M1694" s="38"/>
      <c r="N1694" s="38"/>
      <c r="O1694" s="38"/>
      <c r="P1694" s="38"/>
      <c r="Q1694" s="38"/>
      <c r="R1694" s="122"/>
      <c r="T1694" s="188"/>
    </row>
    <row r="1695" spans="1:20" x14ac:dyDescent="0.25">
      <c r="A1695" s="100">
        <v>221.3</v>
      </c>
      <c r="B1695" s="3">
        <v>4</v>
      </c>
      <c r="C1695" s="5" t="s">
        <v>39</v>
      </c>
      <c r="D1695" s="3" t="s">
        <v>48</v>
      </c>
      <c r="E1695" s="100" t="str">
        <f>IFERROR(VLOOKUP(C1695,Resources!B:D,3,FALSE)," ")</f>
        <v>P</v>
      </c>
      <c r="F1695" s="8">
        <v>1</v>
      </c>
      <c r="G1695" s="103">
        <f>VLOOKUP($A1695,'Model Inputs'!$A:$D,4,FALSE)</f>
        <v>44.44</v>
      </c>
      <c r="H1695" s="8">
        <f>H1692</f>
        <v>972</v>
      </c>
      <c r="I1695" s="109">
        <f>IFERROR(VLOOKUP(C1695,Resources!B:G,6,FALSE)," ")</f>
        <v>145</v>
      </c>
      <c r="J1695" s="109">
        <f t="shared" ref="J1695:J1699" si="2454">(H1695/(G1695/F1695))*I1695</f>
        <v>3171.4671467146713</v>
      </c>
      <c r="K1695" s="8">
        <f t="shared" ref="K1695:K1699" si="2455">L1695*F1695</f>
        <v>21.872187218721873</v>
      </c>
      <c r="L1695" s="8">
        <f t="shared" ref="L1695:L1699" si="2456">IF(E1695="M"," ",H1695/G1695)</f>
        <v>21.872187218721873</v>
      </c>
      <c r="M1695" s="109">
        <f t="shared" ref="M1695:M1699" si="2457">IF($E1695="L",$J1695,0)</f>
        <v>0</v>
      </c>
      <c r="N1695" s="109">
        <f t="shared" ref="N1695:N1699" si="2458">IF($E1695="M",$J1695,0)</f>
        <v>0</v>
      </c>
      <c r="O1695" s="109">
        <f t="shared" ref="O1695:O1699" si="2459">IF($E1695="P",$J1695,0)</f>
        <v>3171.4671467146713</v>
      </c>
      <c r="P1695" s="109">
        <f t="shared" ref="P1695:P1699" si="2460">IF($E1695="S",$J1695,0)</f>
        <v>0</v>
      </c>
      <c r="Q1695" s="109">
        <f t="shared" ref="Q1695:Q1699" si="2461">SUM(M1695:P1695)</f>
        <v>3171.4671467146713</v>
      </c>
      <c r="R1695" s="121">
        <v>62</v>
      </c>
      <c r="T1695" s="188"/>
    </row>
    <row r="1696" spans="1:20" x14ac:dyDescent="0.25">
      <c r="A1696" s="100"/>
      <c r="B1696" s="3">
        <v>5</v>
      </c>
      <c r="C1696" s="5" t="s">
        <v>64</v>
      </c>
      <c r="D1696" s="3" t="s">
        <v>48</v>
      </c>
      <c r="E1696" s="100" t="str">
        <f>IFERROR(VLOOKUP(C1696,Resources!B:D,3,FALSE)," ")</f>
        <v>P</v>
      </c>
      <c r="F1696" s="8">
        <v>1</v>
      </c>
      <c r="G1696" s="8">
        <f>G1695</f>
        <v>44.44</v>
      </c>
      <c r="H1696" s="8">
        <f>H1692</f>
        <v>972</v>
      </c>
      <c r="I1696" s="109">
        <f>IFERROR(VLOOKUP(C1696,Resources!B:G,6,FALSE)," ")</f>
        <v>100</v>
      </c>
      <c r="J1696" s="109">
        <f t="shared" si="2454"/>
        <v>2187.2187218721874</v>
      </c>
      <c r="K1696" s="8">
        <f t="shared" si="2455"/>
        <v>21.872187218721873</v>
      </c>
      <c r="L1696" s="8">
        <f t="shared" si="2456"/>
        <v>21.872187218721873</v>
      </c>
      <c r="M1696" s="109">
        <f t="shared" si="2457"/>
        <v>0</v>
      </c>
      <c r="N1696" s="109">
        <f t="shared" si="2458"/>
        <v>0</v>
      </c>
      <c r="O1696" s="109">
        <f t="shared" si="2459"/>
        <v>2187.2187218721874</v>
      </c>
      <c r="P1696" s="109">
        <f t="shared" si="2460"/>
        <v>0</v>
      </c>
      <c r="Q1696" s="109">
        <f t="shared" si="2461"/>
        <v>2187.2187218721874</v>
      </c>
      <c r="R1696" s="121">
        <v>62</v>
      </c>
      <c r="T1696" s="188"/>
    </row>
    <row r="1697" spans="1:20" x14ac:dyDescent="0.25">
      <c r="A1697" s="100"/>
      <c r="B1697" s="3">
        <v>6</v>
      </c>
      <c r="C1697" s="5" t="s">
        <v>69</v>
      </c>
      <c r="D1697" s="3" t="s">
        <v>48</v>
      </c>
      <c r="E1697" s="100" t="str">
        <f>IFERROR(VLOOKUP(C1697,Resources!B:D,3,FALSE)," ")</f>
        <v>P</v>
      </c>
      <c r="F1697" s="8">
        <v>1</v>
      </c>
      <c r="G1697" s="8">
        <f>G1695</f>
        <v>44.44</v>
      </c>
      <c r="H1697" s="8">
        <f>H1692</f>
        <v>972</v>
      </c>
      <c r="I1697" s="109">
        <f>IFERROR(VLOOKUP(C1697,Resources!B:G,6,FALSE)," ")</f>
        <v>55</v>
      </c>
      <c r="J1697" s="109">
        <f t="shared" si="2454"/>
        <v>1202.970297029703</v>
      </c>
      <c r="K1697" s="8">
        <f t="shared" si="2455"/>
        <v>21.872187218721873</v>
      </c>
      <c r="L1697" s="8">
        <f t="shared" si="2456"/>
        <v>21.872187218721873</v>
      </c>
      <c r="M1697" s="109">
        <f t="shared" si="2457"/>
        <v>0</v>
      </c>
      <c r="N1697" s="109">
        <f t="shared" si="2458"/>
        <v>0</v>
      </c>
      <c r="O1697" s="109">
        <f t="shared" si="2459"/>
        <v>1202.970297029703</v>
      </c>
      <c r="P1697" s="109">
        <f t="shared" si="2460"/>
        <v>0</v>
      </c>
      <c r="Q1697" s="109">
        <f t="shared" si="2461"/>
        <v>1202.970297029703</v>
      </c>
      <c r="R1697" s="121">
        <v>62</v>
      </c>
      <c r="T1697" s="188"/>
    </row>
    <row r="1698" spans="1:20" x14ac:dyDescent="0.25">
      <c r="A1698" s="100"/>
      <c r="B1698" s="3">
        <v>7</v>
      </c>
      <c r="C1698" s="5" t="s">
        <v>8</v>
      </c>
      <c r="D1698" s="3" t="s">
        <v>48</v>
      </c>
      <c r="E1698" s="100" t="str">
        <f>IFERROR(VLOOKUP(C1698,Resources!B:D,3,FALSE)," ")</f>
        <v>L</v>
      </c>
      <c r="F1698" s="8">
        <v>3</v>
      </c>
      <c r="G1698" s="8">
        <f>G1695</f>
        <v>44.44</v>
      </c>
      <c r="H1698" s="8">
        <f>H1692</f>
        <v>972</v>
      </c>
      <c r="I1698" s="109">
        <f>IFERROR(VLOOKUP(C1698,Resources!B:G,6,FALSE)," ")</f>
        <v>42</v>
      </c>
      <c r="J1698" s="109">
        <f t="shared" si="2454"/>
        <v>2755.8955895589556</v>
      </c>
      <c r="K1698" s="8">
        <f t="shared" si="2455"/>
        <v>65.616561656165615</v>
      </c>
      <c r="L1698" s="8">
        <f t="shared" si="2456"/>
        <v>21.872187218721873</v>
      </c>
      <c r="M1698" s="109">
        <f t="shared" si="2457"/>
        <v>2755.8955895589556</v>
      </c>
      <c r="N1698" s="109">
        <f t="shared" si="2458"/>
        <v>0</v>
      </c>
      <c r="O1698" s="109">
        <f t="shared" si="2459"/>
        <v>0</v>
      </c>
      <c r="P1698" s="109">
        <f t="shared" si="2460"/>
        <v>0</v>
      </c>
      <c r="Q1698" s="109">
        <f t="shared" si="2461"/>
        <v>2755.8955895589556</v>
      </c>
      <c r="R1698" s="121">
        <v>62</v>
      </c>
      <c r="T1698" s="188"/>
    </row>
    <row r="1699" spans="1:20" x14ac:dyDescent="0.25">
      <c r="A1699" s="100"/>
      <c r="B1699" s="3">
        <v>8</v>
      </c>
      <c r="C1699" s="5" t="s">
        <v>115</v>
      </c>
      <c r="D1699" s="3" t="s">
        <v>48</v>
      </c>
      <c r="E1699" s="100" t="str">
        <f>IFERROR(VLOOKUP(C1699,Resources!B:D,3,FALSE)," ")</f>
        <v>P</v>
      </c>
      <c r="F1699" s="8">
        <v>1</v>
      </c>
      <c r="G1699" s="8">
        <f>G1695</f>
        <v>44.44</v>
      </c>
      <c r="H1699" s="8">
        <f>H1692</f>
        <v>972</v>
      </c>
      <c r="I1699" s="109">
        <f>IFERROR(VLOOKUP(C1699,Resources!B:G,6,FALSE)," ")</f>
        <v>100</v>
      </c>
      <c r="J1699" s="109">
        <f t="shared" si="2454"/>
        <v>2187.2187218721874</v>
      </c>
      <c r="K1699" s="8">
        <f t="shared" si="2455"/>
        <v>21.872187218721873</v>
      </c>
      <c r="L1699" s="8">
        <f t="shared" si="2456"/>
        <v>21.872187218721873</v>
      </c>
      <c r="M1699" s="109">
        <f t="shared" si="2457"/>
        <v>0</v>
      </c>
      <c r="N1699" s="109">
        <f t="shared" si="2458"/>
        <v>0</v>
      </c>
      <c r="O1699" s="109">
        <f t="shared" si="2459"/>
        <v>2187.2187218721874</v>
      </c>
      <c r="P1699" s="109">
        <f t="shared" si="2460"/>
        <v>0</v>
      </c>
      <c r="Q1699" s="109">
        <f t="shared" si="2461"/>
        <v>2187.2187218721874</v>
      </c>
      <c r="R1699" s="121">
        <v>62</v>
      </c>
      <c r="T1699" s="188"/>
    </row>
    <row r="1700" spans="1:20" x14ac:dyDescent="0.25">
      <c r="A1700" s="101"/>
      <c r="B1700" s="4">
        <v>9</v>
      </c>
      <c r="C1700" s="6" t="s">
        <v>116</v>
      </c>
      <c r="D1700" s="4"/>
      <c r="E1700" s="101" t="str">
        <f>IFERROR(VLOOKUP(C1700,Resources!B:D,3,FALSE)," ")</f>
        <v xml:space="preserve"> </v>
      </c>
      <c r="F1700" s="9"/>
      <c r="G1700" s="9"/>
      <c r="H1700" s="9"/>
      <c r="I1700" s="38" t="str">
        <f>IFERROR(VLOOKUP(C1700,Resources!B:G,6,FALSE)," ")</f>
        <v xml:space="preserve"> </v>
      </c>
      <c r="J1700" s="38"/>
      <c r="K1700" s="9"/>
      <c r="L1700" s="9"/>
      <c r="M1700" s="38"/>
      <c r="N1700" s="38"/>
      <c r="O1700" s="38"/>
      <c r="P1700" s="38"/>
      <c r="Q1700" s="38"/>
      <c r="R1700" s="122"/>
      <c r="T1700" s="188"/>
    </row>
    <row r="1701" spans="1:20" x14ac:dyDescent="0.25">
      <c r="A1701" s="100">
        <v>221.4</v>
      </c>
      <c r="B1701" s="3">
        <v>10</v>
      </c>
      <c r="C1701" s="5" t="s">
        <v>39</v>
      </c>
      <c r="D1701" s="3" t="s">
        <v>48</v>
      </c>
      <c r="E1701" s="100" t="str">
        <f>IFERROR(VLOOKUP(C1701,Resources!B:D,3,FALSE)," ")</f>
        <v>P</v>
      </c>
      <c r="F1701" s="8">
        <v>1</v>
      </c>
      <c r="G1701" s="103">
        <f>VLOOKUP($A1701,'Model Inputs'!$A:$D,4,FALSE)</f>
        <v>150</v>
      </c>
      <c r="H1701" s="8">
        <f>H1691/0.15</f>
        <v>2700</v>
      </c>
      <c r="I1701" s="109">
        <f>IFERROR(VLOOKUP(C1701,Resources!B:G,6,FALSE)," ")</f>
        <v>145</v>
      </c>
      <c r="J1701" s="109">
        <f t="shared" ref="J1701:J1704" si="2462">(H1701/(G1701/F1701))*I1701</f>
        <v>2610</v>
      </c>
      <c r="K1701" s="8">
        <f t="shared" ref="K1701:K1704" si="2463">L1701*F1701</f>
        <v>18</v>
      </c>
      <c r="L1701" s="8">
        <f t="shared" ref="L1701:L1704" si="2464">IF(E1701="M"," ",H1701/G1701)</f>
        <v>18</v>
      </c>
      <c r="M1701" s="109">
        <f t="shared" ref="M1701:M1704" si="2465">IF($E1701="L",$J1701,0)</f>
        <v>0</v>
      </c>
      <c r="N1701" s="109">
        <f t="shared" ref="N1701:N1704" si="2466">IF($E1701="M",$J1701,0)</f>
        <v>0</v>
      </c>
      <c r="O1701" s="109">
        <f t="shared" ref="O1701:O1704" si="2467">IF($E1701="P",$J1701,0)</f>
        <v>2610</v>
      </c>
      <c r="P1701" s="109">
        <f t="shared" ref="P1701:P1704" si="2468">IF($E1701="S",$J1701,0)</f>
        <v>0</v>
      </c>
      <c r="Q1701" s="109">
        <f t="shared" ref="Q1701:Q1704" si="2469">SUM(M1701:P1701)</f>
        <v>2610</v>
      </c>
      <c r="R1701" s="121">
        <v>63</v>
      </c>
      <c r="T1701" s="188"/>
    </row>
    <row r="1702" spans="1:20" x14ac:dyDescent="0.25">
      <c r="A1702" s="100"/>
      <c r="B1702" s="3">
        <v>11</v>
      </c>
      <c r="C1702" s="5" t="s">
        <v>64</v>
      </c>
      <c r="D1702" s="3" t="s">
        <v>48</v>
      </c>
      <c r="E1702" s="100" t="str">
        <f>IFERROR(VLOOKUP(C1702,Resources!B:D,3,FALSE)," ")</f>
        <v>P</v>
      </c>
      <c r="F1702" s="8">
        <v>1</v>
      </c>
      <c r="G1702" s="8">
        <f>G1701</f>
        <v>150</v>
      </c>
      <c r="H1702" s="8">
        <f>H1701</f>
        <v>2700</v>
      </c>
      <c r="I1702" s="109">
        <f>IFERROR(VLOOKUP(C1702,Resources!B:G,6,FALSE)," ")</f>
        <v>100</v>
      </c>
      <c r="J1702" s="109">
        <f t="shared" si="2462"/>
        <v>1800</v>
      </c>
      <c r="K1702" s="8">
        <f t="shared" si="2463"/>
        <v>18</v>
      </c>
      <c r="L1702" s="8">
        <f t="shared" si="2464"/>
        <v>18</v>
      </c>
      <c r="M1702" s="109">
        <f t="shared" si="2465"/>
        <v>0</v>
      </c>
      <c r="N1702" s="109">
        <f t="shared" si="2466"/>
        <v>0</v>
      </c>
      <c r="O1702" s="109">
        <f t="shared" si="2467"/>
        <v>1800</v>
      </c>
      <c r="P1702" s="109">
        <f t="shared" si="2468"/>
        <v>0</v>
      </c>
      <c r="Q1702" s="109">
        <f t="shared" si="2469"/>
        <v>1800</v>
      </c>
      <c r="R1702" s="121">
        <v>63</v>
      </c>
      <c r="T1702" s="188"/>
    </row>
    <row r="1703" spans="1:20" x14ac:dyDescent="0.25">
      <c r="A1703" s="100"/>
      <c r="B1703" s="3">
        <v>12</v>
      </c>
      <c r="C1703" s="5" t="s">
        <v>43</v>
      </c>
      <c r="D1703" s="3" t="s">
        <v>48</v>
      </c>
      <c r="E1703" s="100" t="str">
        <f>IFERROR(VLOOKUP(C1703,Resources!B:D,3,FALSE)," ")</f>
        <v>P</v>
      </c>
      <c r="F1703" s="8">
        <v>1</v>
      </c>
      <c r="G1703" s="8">
        <f>G1701/2</f>
        <v>75</v>
      </c>
      <c r="H1703" s="8">
        <f>H1701</f>
        <v>2700</v>
      </c>
      <c r="I1703" s="109">
        <f>IFERROR(VLOOKUP(C1703,Resources!B:G,6,FALSE)," ")</f>
        <v>55</v>
      </c>
      <c r="J1703" s="109">
        <f t="shared" si="2462"/>
        <v>1980</v>
      </c>
      <c r="K1703" s="8">
        <f t="shared" si="2463"/>
        <v>36</v>
      </c>
      <c r="L1703" s="8">
        <f t="shared" si="2464"/>
        <v>36</v>
      </c>
      <c r="M1703" s="109">
        <f t="shared" si="2465"/>
        <v>0</v>
      </c>
      <c r="N1703" s="109">
        <f t="shared" si="2466"/>
        <v>0</v>
      </c>
      <c r="O1703" s="109">
        <f t="shared" si="2467"/>
        <v>1980</v>
      </c>
      <c r="P1703" s="109">
        <f t="shared" si="2468"/>
        <v>0</v>
      </c>
      <c r="Q1703" s="109">
        <f t="shared" si="2469"/>
        <v>1980</v>
      </c>
      <c r="R1703" s="121">
        <v>63</v>
      </c>
      <c r="T1703" s="188"/>
    </row>
    <row r="1704" spans="1:20" x14ac:dyDescent="0.25">
      <c r="A1704" s="100"/>
      <c r="B1704" s="3">
        <v>13</v>
      </c>
      <c r="C1704" s="5" t="s">
        <v>8</v>
      </c>
      <c r="D1704" s="3" t="s">
        <v>48</v>
      </c>
      <c r="E1704" s="100" t="str">
        <f>IFERROR(VLOOKUP(C1704,Resources!B:D,3,FALSE)," ")</f>
        <v>L</v>
      </c>
      <c r="F1704" s="8">
        <v>3</v>
      </c>
      <c r="G1704" s="8">
        <f>G1701</f>
        <v>150</v>
      </c>
      <c r="H1704" s="8">
        <f>H1701</f>
        <v>2700</v>
      </c>
      <c r="I1704" s="109">
        <f>IFERROR(VLOOKUP(C1704,Resources!B:G,6,FALSE)," ")</f>
        <v>42</v>
      </c>
      <c r="J1704" s="109">
        <f t="shared" si="2462"/>
        <v>2268</v>
      </c>
      <c r="K1704" s="8">
        <f t="shared" si="2463"/>
        <v>54</v>
      </c>
      <c r="L1704" s="8">
        <f t="shared" si="2464"/>
        <v>18</v>
      </c>
      <c r="M1704" s="109">
        <f t="shared" si="2465"/>
        <v>2268</v>
      </c>
      <c r="N1704" s="109">
        <f t="shared" si="2466"/>
        <v>0</v>
      </c>
      <c r="O1704" s="109">
        <f t="shared" si="2467"/>
        <v>0</v>
      </c>
      <c r="P1704" s="109">
        <f t="shared" si="2468"/>
        <v>0</v>
      </c>
      <c r="Q1704" s="109">
        <f t="shared" si="2469"/>
        <v>2268</v>
      </c>
      <c r="R1704" s="121">
        <v>63</v>
      </c>
      <c r="T1704" s="188"/>
    </row>
    <row r="1705" spans="1:20" x14ac:dyDescent="0.25">
      <c r="A1705" s="101"/>
      <c r="B1705" s="4"/>
      <c r="C1705" s="6"/>
      <c r="D1705" s="4"/>
      <c r="E1705" s="101" t="str">
        <f>IFERROR(VLOOKUP(C1705,Resources!B:D,3,FALSE)," ")</f>
        <v xml:space="preserve"> </v>
      </c>
      <c r="F1705" s="9"/>
      <c r="G1705" s="9"/>
      <c r="H1705" s="9"/>
      <c r="I1705" s="38" t="str">
        <f>IFERROR(VLOOKUP(C1705,Resources!B:G,6,FALSE)," ")</f>
        <v xml:space="preserve"> </v>
      </c>
      <c r="J1705" s="38"/>
      <c r="K1705" s="9"/>
      <c r="L1705" s="9"/>
      <c r="M1705" s="38"/>
      <c r="N1705" s="38"/>
      <c r="O1705" s="38"/>
      <c r="P1705" s="38"/>
      <c r="Q1705" s="38"/>
      <c r="R1705" s="122"/>
      <c r="T1705" s="188"/>
    </row>
    <row r="1706" spans="1:20" ht="30" x14ac:dyDescent="0.25">
      <c r="A1706" s="114">
        <v>222</v>
      </c>
      <c r="B1706" s="1" t="s">
        <v>733</v>
      </c>
      <c r="C1706" s="1" t="s">
        <v>221</v>
      </c>
      <c r="D1706" s="2" t="s">
        <v>107</v>
      </c>
      <c r="E1706" s="99" t="str">
        <f>IFERROR(VLOOKUP(C1706,Resources!B:D,3,FALSE)," ")</f>
        <v xml:space="preserve"> </v>
      </c>
      <c r="F1706" s="7"/>
      <c r="G1706" s="7"/>
      <c r="H1706" s="103">
        <f>VLOOKUP($A1706,'Model Inputs'!$A:$D,4,FALSE)</f>
        <v>2765</v>
      </c>
      <c r="I1706" s="108" t="str">
        <f>IFERROR(VLOOKUP(C1706,Resources!B:G,6,FALSE)," ")</f>
        <v xml:space="preserve"> </v>
      </c>
      <c r="J1706" s="108">
        <f>SUBTOTAL(9,J1707:J1709)</f>
        <v>16477.993245614038</v>
      </c>
      <c r="K1706" s="7"/>
      <c r="L1706" s="7">
        <f>ROUNDUP(MAX(L1708:L1709)/Workhrs,0)</f>
        <v>1</v>
      </c>
      <c r="M1706" s="108">
        <f t="shared" ref="M1706:Q1706" si="2470">SUBTOTAL(9,M1707:M1709)</f>
        <v>672.33157894736848</v>
      </c>
      <c r="N1706" s="108">
        <f t="shared" si="2470"/>
        <v>15298.745000000003</v>
      </c>
      <c r="O1706" s="108">
        <f t="shared" si="2470"/>
        <v>506.91666666666669</v>
      </c>
      <c r="P1706" s="108">
        <f t="shared" si="2470"/>
        <v>0</v>
      </c>
      <c r="Q1706" s="108">
        <f t="shared" si="2470"/>
        <v>16477.993245614038</v>
      </c>
      <c r="R1706" s="120"/>
      <c r="T1706" s="188"/>
    </row>
    <row r="1707" spans="1:20" x14ac:dyDescent="0.25">
      <c r="A1707" s="100"/>
      <c r="B1707" s="3">
        <v>1</v>
      </c>
      <c r="C1707" s="5" t="s">
        <v>2180</v>
      </c>
      <c r="D1707" s="3" t="s">
        <v>83</v>
      </c>
      <c r="E1707" s="100" t="str">
        <f>IFERROR(VLOOKUP(C1707,Resources!B:D,3,FALSE)," ")</f>
        <v>M</v>
      </c>
      <c r="F1707" s="8">
        <v>1</v>
      </c>
      <c r="G1707" s="8">
        <v>1</v>
      </c>
      <c r="H1707" s="8">
        <f>H1706*1.1</f>
        <v>3041.5000000000005</v>
      </c>
      <c r="I1707" s="109">
        <f>IFERROR(VLOOKUP(C1707,Resources!B:G,6,FALSE)," ")</f>
        <v>5.03</v>
      </c>
      <c r="J1707" s="109">
        <f t="shared" ref="J1707:J1709" si="2471">(H1707/(G1707/F1707))*I1707</f>
        <v>15298.745000000003</v>
      </c>
      <c r="K1707" s="8"/>
      <c r="L1707" s="8" t="str">
        <f t="shared" ref="L1707:L1709" si="2472">IF(E1707="M"," ",H1707/G1707)</f>
        <v xml:space="preserve"> </v>
      </c>
      <c r="M1707" s="109">
        <f t="shared" ref="M1707:M1709" si="2473">IF($E1707="L",$J1707,0)</f>
        <v>0</v>
      </c>
      <c r="N1707" s="109">
        <f t="shared" ref="N1707:N1709" si="2474">IF($E1707="M",$J1707,0)</f>
        <v>15298.745000000003</v>
      </c>
      <c r="O1707" s="109">
        <f t="shared" ref="O1707:O1709" si="2475">IF($E1707="P",$J1707,0)</f>
        <v>0</v>
      </c>
      <c r="P1707" s="109">
        <f t="shared" ref="P1707:P1709" si="2476">IF($E1707="S",$J1707,0)</f>
        <v>0</v>
      </c>
      <c r="Q1707" s="109">
        <f t="shared" ref="Q1707:Q1709" si="2477">SUM(M1707:P1707)</f>
        <v>15298.745000000003</v>
      </c>
      <c r="R1707" s="121">
        <v>222</v>
      </c>
      <c r="T1707" s="188"/>
    </row>
    <row r="1708" spans="1:20" x14ac:dyDescent="0.25">
      <c r="A1708" s="100">
        <v>222.1</v>
      </c>
      <c r="B1708" s="3">
        <v>2</v>
      </c>
      <c r="C1708" s="5" t="s">
        <v>8</v>
      </c>
      <c r="D1708" s="3" t="s">
        <v>48</v>
      </c>
      <c r="E1708" s="100" t="str">
        <f>IFERROR(VLOOKUP(C1708,Resources!B:D,3,FALSE)," ")</f>
        <v>L</v>
      </c>
      <c r="F1708" s="8">
        <v>3</v>
      </c>
      <c r="G1708" s="103">
        <f>VLOOKUP($A1708,'Model Inputs'!$A:$D,4,FALSE)</f>
        <v>570</v>
      </c>
      <c r="H1708" s="8">
        <f>H1707</f>
        <v>3041.5000000000005</v>
      </c>
      <c r="I1708" s="109">
        <f>IFERROR(VLOOKUP(C1708,Resources!B:G,6,FALSE)," ")</f>
        <v>42</v>
      </c>
      <c r="J1708" s="109">
        <f t="shared" si="2471"/>
        <v>672.33157894736848</v>
      </c>
      <c r="K1708" s="8">
        <f t="shared" ref="K1708:K1709" si="2478">L1708*F1708</f>
        <v>16.007894736842108</v>
      </c>
      <c r="L1708" s="8">
        <f t="shared" si="2472"/>
        <v>5.3359649122807022</v>
      </c>
      <c r="M1708" s="109">
        <f t="shared" si="2473"/>
        <v>672.33157894736848</v>
      </c>
      <c r="N1708" s="109">
        <f t="shared" si="2474"/>
        <v>0</v>
      </c>
      <c r="O1708" s="109">
        <f t="shared" si="2475"/>
        <v>0</v>
      </c>
      <c r="P1708" s="109">
        <f t="shared" si="2476"/>
        <v>0</v>
      </c>
      <c r="Q1708" s="109">
        <f t="shared" si="2477"/>
        <v>672.33157894736848</v>
      </c>
      <c r="R1708" s="121">
        <v>222</v>
      </c>
      <c r="T1708" s="188"/>
    </row>
    <row r="1709" spans="1:20" x14ac:dyDescent="0.25">
      <c r="A1709" s="100"/>
      <c r="B1709" s="3">
        <v>3</v>
      </c>
      <c r="C1709" s="5" t="s">
        <v>45</v>
      </c>
      <c r="D1709" s="3" t="s">
        <v>48</v>
      </c>
      <c r="E1709" s="100" t="str">
        <f>IFERROR(VLOOKUP(C1709,Resources!B:D,3,FALSE)," ")</f>
        <v>P</v>
      </c>
      <c r="F1709" s="8">
        <v>1</v>
      </c>
      <c r="G1709" s="8">
        <f>G1708</f>
        <v>570</v>
      </c>
      <c r="H1709" s="8">
        <f>H1707</f>
        <v>3041.5000000000005</v>
      </c>
      <c r="I1709" s="109">
        <f>IFERROR(VLOOKUP(C1709,Resources!B:G,6,FALSE)," ")</f>
        <v>95</v>
      </c>
      <c r="J1709" s="109">
        <f t="shared" si="2471"/>
        <v>506.91666666666669</v>
      </c>
      <c r="K1709" s="8">
        <f t="shared" si="2478"/>
        <v>5.3359649122807022</v>
      </c>
      <c r="L1709" s="8">
        <f t="shared" si="2472"/>
        <v>5.3359649122807022</v>
      </c>
      <c r="M1709" s="109">
        <f t="shared" si="2473"/>
        <v>0</v>
      </c>
      <c r="N1709" s="109">
        <f t="shared" si="2474"/>
        <v>0</v>
      </c>
      <c r="O1709" s="109">
        <f t="shared" si="2475"/>
        <v>506.91666666666669</v>
      </c>
      <c r="P1709" s="109">
        <f t="shared" si="2476"/>
        <v>0</v>
      </c>
      <c r="Q1709" s="109">
        <f t="shared" si="2477"/>
        <v>506.91666666666669</v>
      </c>
      <c r="R1709" s="121">
        <v>222</v>
      </c>
      <c r="T1709" s="188"/>
    </row>
    <row r="1710" spans="1:20" x14ac:dyDescent="0.25">
      <c r="A1710" s="101"/>
      <c r="B1710" s="4"/>
      <c r="C1710" s="6"/>
      <c r="D1710" s="4"/>
      <c r="E1710" s="101" t="str">
        <f>IFERROR(VLOOKUP(C1710,Resources!B:D,3,FALSE)," ")</f>
        <v xml:space="preserve"> </v>
      </c>
      <c r="F1710" s="9"/>
      <c r="G1710" s="9"/>
      <c r="H1710" s="9"/>
      <c r="I1710" s="38" t="str">
        <f>IFERROR(VLOOKUP(C1710,Resources!B:G,6,FALSE)," ")</f>
        <v xml:space="preserve"> </v>
      </c>
      <c r="J1710" s="38"/>
      <c r="K1710" s="9"/>
      <c r="L1710" s="9"/>
      <c r="M1710" s="38"/>
      <c r="N1710" s="38"/>
      <c r="O1710" s="38"/>
      <c r="P1710" s="38"/>
      <c r="Q1710" s="38"/>
      <c r="R1710" s="122"/>
      <c r="T1710" s="188"/>
    </row>
    <row r="1711" spans="1:20" ht="30" x14ac:dyDescent="0.25">
      <c r="A1711" s="114">
        <v>223</v>
      </c>
      <c r="B1711" s="1" t="s">
        <v>734</v>
      </c>
      <c r="C1711" s="1" t="s">
        <v>223</v>
      </c>
      <c r="D1711" s="2" t="s">
        <v>107</v>
      </c>
      <c r="E1711" s="99" t="str">
        <f>IFERROR(VLOOKUP(C1711,Resources!B:D,3,FALSE)," ")</f>
        <v xml:space="preserve"> </v>
      </c>
      <c r="F1711" s="7"/>
      <c r="G1711" s="7"/>
      <c r="H1711" s="7">
        <v>2765</v>
      </c>
      <c r="I1711" s="108" t="str">
        <f>IFERROR(VLOOKUP(C1711,Resources!B:G,6,FALSE)," ")</f>
        <v xml:space="preserve"> </v>
      </c>
      <c r="J1711" s="108">
        <f>SUBTOTAL(9,J1712:J1714)</f>
        <v>4372.8232456140358</v>
      </c>
      <c r="K1711" s="7"/>
      <c r="L1711" s="7">
        <f>ROUNDUP(MAX(L1713:L1714)/Workhrs,0)</f>
        <v>1</v>
      </c>
      <c r="M1711" s="108">
        <f t="shared" ref="M1711" si="2479">SUBTOTAL(9,M1712:M1714)</f>
        <v>672.33157894736848</v>
      </c>
      <c r="N1711" s="108">
        <f t="shared" ref="N1711" si="2480">SUBTOTAL(9,N1712:N1714)</f>
        <v>3193.5750000000007</v>
      </c>
      <c r="O1711" s="108">
        <f t="shared" ref="O1711" si="2481">SUBTOTAL(9,O1712:O1714)</f>
        <v>506.91666666666669</v>
      </c>
      <c r="P1711" s="108">
        <f t="shared" ref="P1711" si="2482">SUBTOTAL(9,P1712:P1714)</f>
        <v>0</v>
      </c>
      <c r="Q1711" s="108">
        <f t="shared" ref="Q1711" si="2483">SUBTOTAL(9,Q1712:Q1714)</f>
        <v>4372.8232456140358</v>
      </c>
      <c r="R1711" s="120"/>
      <c r="T1711" s="188"/>
    </row>
    <row r="1712" spans="1:20" x14ac:dyDescent="0.25">
      <c r="A1712" s="100"/>
      <c r="B1712" s="3">
        <v>1</v>
      </c>
      <c r="C1712" s="5" t="s">
        <v>2088</v>
      </c>
      <c r="D1712" s="3" t="s">
        <v>83</v>
      </c>
      <c r="E1712" s="100" t="str">
        <f>IFERROR(VLOOKUP(C1712,Resources!B:D,3,FALSE)," ")</f>
        <v>M</v>
      </c>
      <c r="F1712" s="8">
        <v>1</v>
      </c>
      <c r="G1712" s="8">
        <v>1</v>
      </c>
      <c r="H1712" s="8">
        <f>H1711*1.1</f>
        <v>3041.5000000000005</v>
      </c>
      <c r="I1712" s="109">
        <f>IFERROR(VLOOKUP(C1712,Resources!B:G,6,FALSE)," ")</f>
        <v>1.05</v>
      </c>
      <c r="J1712" s="109">
        <f t="shared" ref="J1712:J1714" si="2484">(H1712/(G1712/F1712))*I1712</f>
        <v>3193.5750000000007</v>
      </c>
      <c r="K1712" s="8"/>
      <c r="L1712" s="8" t="str">
        <f t="shared" ref="L1712:L1714" si="2485">IF(E1712="M"," ",H1712/G1712)</f>
        <v xml:space="preserve"> </v>
      </c>
      <c r="M1712" s="109">
        <f t="shared" ref="M1712:M1714" si="2486">IF($E1712="L",$J1712,0)</f>
        <v>0</v>
      </c>
      <c r="N1712" s="109">
        <f t="shared" ref="N1712:N1714" si="2487">IF($E1712="M",$J1712,0)</f>
        <v>3193.5750000000007</v>
      </c>
      <c r="O1712" s="109">
        <f t="shared" ref="O1712:O1714" si="2488">IF($E1712="P",$J1712,0)</f>
        <v>0</v>
      </c>
      <c r="P1712" s="109">
        <f t="shared" ref="P1712:P1714" si="2489">IF($E1712="S",$J1712,0)</f>
        <v>0</v>
      </c>
      <c r="Q1712" s="109">
        <f t="shared" ref="Q1712:Q1714" si="2490">SUM(M1712:P1712)</f>
        <v>3193.5750000000007</v>
      </c>
      <c r="R1712" s="121">
        <v>222</v>
      </c>
      <c r="T1712" s="188"/>
    </row>
    <row r="1713" spans="1:20" x14ac:dyDescent="0.25">
      <c r="A1713" s="100">
        <v>223.1</v>
      </c>
      <c r="B1713" s="3">
        <v>2</v>
      </c>
      <c r="C1713" s="5" t="s">
        <v>8</v>
      </c>
      <c r="D1713" s="3" t="s">
        <v>48</v>
      </c>
      <c r="E1713" s="100" t="str">
        <f>IFERROR(VLOOKUP(C1713,Resources!B:D,3,FALSE)," ")</f>
        <v>L</v>
      </c>
      <c r="F1713" s="8">
        <v>3</v>
      </c>
      <c r="G1713" s="103">
        <f>VLOOKUP($A1713,'Model Inputs'!$A:$D,4,FALSE)</f>
        <v>570</v>
      </c>
      <c r="H1713" s="8">
        <f>H1712</f>
        <v>3041.5000000000005</v>
      </c>
      <c r="I1713" s="109">
        <f>IFERROR(VLOOKUP(C1713,Resources!B:G,6,FALSE)," ")</f>
        <v>42</v>
      </c>
      <c r="J1713" s="109">
        <f t="shared" si="2484"/>
        <v>672.33157894736848</v>
      </c>
      <c r="K1713" s="8">
        <f t="shared" ref="K1713:K1714" si="2491">L1713*F1713</f>
        <v>16.007894736842108</v>
      </c>
      <c r="L1713" s="8">
        <f t="shared" si="2485"/>
        <v>5.3359649122807022</v>
      </c>
      <c r="M1713" s="109">
        <f t="shared" si="2486"/>
        <v>672.33157894736848</v>
      </c>
      <c r="N1713" s="109">
        <f t="shared" si="2487"/>
        <v>0</v>
      </c>
      <c r="O1713" s="109">
        <f t="shared" si="2488"/>
        <v>0</v>
      </c>
      <c r="P1713" s="109">
        <f t="shared" si="2489"/>
        <v>0</v>
      </c>
      <c r="Q1713" s="109">
        <f t="shared" si="2490"/>
        <v>672.33157894736848</v>
      </c>
      <c r="R1713" s="121">
        <v>222</v>
      </c>
      <c r="T1713" s="188"/>
    </row>
    <row r="1714" spans="1:20" x14ac:dyDescent="0.25">
      <c r="A1714" s="100"/>
      <c r="B1714" s="3">
        <v>3</v>
      </c>
      <c r="C1714" s="5" t="s">
        <v>45</v>
      </c>
      <c r="D1714" s="3" t="s">
        <v>48</v>
      </c>
      <c r="E1714" s="100" t="str">
        <f>IFERROR(VLOOKUP(C1714,Resources!B:D,3,FALSE)," ")</f>
        <v>P</v>
      </c>
      <c r="F1714" s="8">
        <v>1</v>
      </c>
      <c r="G1714" s="8">
        <f>G1713</f>
        <v>570</v>
      </c>
      <c r="H1714" s="8">
        <f>H1712</f>
        <v>3041.5000000000005</v>
      </c>
      <c r="I1714" s="109">
        <f>IFERROR(VLOOKUP(C1714,Resources!B:G,6,FALSE)," ")</f>
        <v>95</v>
      </c>
      <c r="J1714" s="109">
        <f t="shared" si="2484"/>
        <v>506.91666666666669</v>
      </c>
      <c r="K1714" s="8">
        <f t="shared" si="2491"/>
        <v>5.3359649122807022</v>
      </c>
      <c r="L1714" s="8">
        <f t="shared" si="2485"/>
        <v>5.3359649122807022</v>
      </c>
      <c r="M1714" s="109">
        <f t="shared" si="2486"/>
        <v>0</v>
      </c>
      <c r="N1714" s="109">
        <f t="shared" si="2487"/>
        <v>0</v>
      </c>
      <c r="O1714" s="109">
        <f t="shared" si="2488"/>
        <v>506.91666666666669</v>
      </c>
      <c r="P1714" s="109">
        <f t="shared" si="2489"/>
        <v>0</v>
      </c>
      <c r="Q1714" s="109">
        <f t="shared" si="2490"/>
        <v>506.91666666666669</v>
      </c>
      <c r="R1714" s="121">
        <v>222</v>
      </c>
      <c r="T1714" s="188"/>
    </row>
    <row r="1715" spans="1:20" x14ac:dyDescent="0.25">
      <c r="A1715" s="101"/>
      <c r="B1715" s="4"/>
      <c r="C1715" s="6"/>
      <c r="D1715" s="4"/>
      <c r="E1715" s="101" t="str">
        <f>IFERROR(VLOOKUP(C1715,Resources!B:D,3,FALSE)," ")</f>
        <v xml:space="preserve"> </v>
      </c>
      <c r="F1715" s="9"/>
      <c r="G1715" s="9"/>
      <c r="H1715" s="9"/>
      <c r="I1715" s="38" t="str">
        <f>IFERROR(VLOOKUP(C1715,Resources!B:G,6,FALSE)," ")</f>
        <v xml:space="preserve"> </v>
      </c>
      <c r="J1715" s="38"/>
      <c r="K1715" s="9"/>
      <c r="L1715" s="9"/>
      <c r="M1715" s="38"/>
      <c r="N1715" s="38"/>
      <c r="O1715" s="38"/>
      <c r="P1715" s="38"/>
      <c r="Q1715" s="38"/>
      <c r="R1715" s="122"/>
      <c r="T1715" s="188"/>
    </row>
    <row r="1716" spans="1:20" ht="30" x14ac:dyDescent="0.25">
      <c r="A1716" s="114"/>
      <c r="B1716" s="1" t="s">
        <v>735</v>
      </c>
      <c r="C1716" s="1" t="s">
        <v>403</v>
      </c>
      <c r="D1716" s="2"/>
      <c r="E1716" s="99" t="str">
        <f>IFERROR(VLOOKUP(C1716,Resources!B:D,3,FALSE)," ")</f>
        <v xml:space="preserve"> </v>
      </c>
      <c r="F1716" s="7"/>
      <c r="G1716" s="7"/>
      <c r="H1716" s="7"/>
      <c r="I1716" s="108" t="str">
        <f>IFERROR(VLOOKUP(C1716,Resources!B:G,6,FALSE)," ")</f>
        <v xml:space="preserve"> </v>
      </c>
      <c r="J1716" s="108"/>
      <c r="K1716" s="7"/>
      <c r="L1716" s="7"/>
      <c r="M1716" s="108"/>
      <c r="N1716" s="108"/>
      <c r="O1716" s="108"/>
      <c r="P1716" s="108"/>
      <c r="Q1716" s="108"/>
      <c r="R1716" s="120"/>
      <c r="T1716" s="188"/>
    </row>
    <row r="1717" spans="1:20" ht="30" x14ac:dyDescent="0.25">
      <c r="A1717" s="114"/>
      <c r="B1717" s="1" t="s">
        <v>736</v>
      </c>
      <c r="C1717" s="1" t="s">
        <v>226</v>
      </c>
      <c r="D1717" s="2"/>
      <c r="E1717" s="99" t="str">
        <f>IFERROR(VLOOKUP(C1717,Resources!B:D,3,FALSE)," ")</f>
        <v xml:space="preserve"> </v>
      </c>
      <c r="F1717" s="7"/>
      <c r="G1717" s="7"/>
      <c r="H1717" s="7"/>
      <c r="I1717" s="108" t="str">
        <f>IFERROR(VLOOKUP(C1717,Resources!B:G,6,FALSE)," ")</f>
        <v xml:space="preserve"> </v>
      </c>
      <c r="J1717" s="108"/>
      <c r="K1717" s="7"/>
      <c r="L1717" s="7"/>
      <c r="M1717" s="108"/>
      <c r="N1717" s="108"/>
      <c r="O1717" s="108"/>
      <c r="P1717" s="108"/>
      <c r="Q1717" s="108"/>
      <c r="R1717" s="120"/>
      <c r="T1717" s="188"/>
    </row>
    <row r="1718" spans="1:20" ht="30" x14ac:dyDescent="0.25">
      <c r="A1718" s="114">
        <v>224</v>
      </c>
      <c r="B1718" s="1" t="s">
        <v>737</v>
      </c>
      <c r="C1718" s="1" t="s">
        <v>228</v>
      </c>
      <c r="D1718" s="2" t="s">
        <v>82</v>
      </c>
      <c r="E1718" s="99" t="str">
        <f>IFERROR(VLOOKUP(C1718,Resources!B:D,3,FALSE)," ")</f>
        <v xml:space="preserve"> </v>
      </c>
      <c r="F1718" s="7"/>
      <c r="G1718" s="7"/>
      <c r="H1718" s="103">
        <f>VLOOKUP($A1718,'Model Inputs'!$A:$D,4,FALSE)</f>
        <v>310</v>
      </c>
      <c r="I1718" s="108" t="str">
        <f>IFERROR(VLOOKUP(C1718,Resources!B:G,6,FALSE)," ")</f>
        <v xml:space="preserve"> </v>
      </c>
      <c r="J1718" s="108">
        <f>SUBTOTAL(9,J1719:J1720)</f>
        <v>100970.1</v>
      </c>
      <c r="K1718" s="7"/>
      <c r="L1718" s="7">
        <f>ROUNDUP(SUM(L1719:L1720),0)</f>
        <v>3</v>
      </c>
      <c r="M1718" s="108">
        <f t="shared" ref="M1718:Q1718" si="2492">SUBTOTAL(9,M1719:M1720)</f>
        <v>0</v>
      </c>
      <c r="N1718" s="108">
        <f t="shared" si="2492"/>
        <v>0</v>
      </c>
      <c r="O1718" s="108">
        <f t="shared" si="2492"/>
        <v>0</v>
      </c>
      <c r="P1718" s="108">
        <f t="shared" si="2492"/>
        <v>100970.1</v>
      </c>
      <c r="Q1718" s="108">
        <f t="shared" si="2492"/>
        <v>100970.1</v>
      </c>
      <c r="R1718" s="120"/>
      <c r="T1718" s="188"/>
    </row>
    <row r="1719" spans="1:20" x14ac:dyDescent="0.25">
      <c r="A1719" s="100"/>
      <c r="B1719" s="3">
        <v>1</v>
      </c>
      <c r="C1719" s="5" t="s">
        <v>2263</v>
      </c>
      <c r="D1719" s="3" t="s">
        <v>83</v>
      </c>
      <c r="E1719" s="100" t="str">
        <f>IFERROR(VLOOKUP(C1719,Resources!B:D,3,FALSE)," ")</f>
        <v>S</v>
      </c>
      <c r="F1719" s="8">
        <v>1</v>
      </c>
      <c r="G1719" s="8">
        <v>1</v>
      </c>
      <c r="H1719" s="8">
        <f>H1718*10*1.05</f>
        <v>3255</v>
      </c>
      <c r="I1719" s="109">
        <f>IFERROR(VLOOKUP(C1719,Resources!B:G,6,FALSE)," ")</f>
        <v>5.92</v>
      </c>
      <c r="J1719" s="109">
        <f t="shared" ref="J1719:J1720" si="2493">(H1719/(G1719/F1719))*I1719</f>
        <v>19269.599999999999</v>
      </c>
      <c r="K1719" s="8"/>
      <c r="L1719" s="8">
        <f>ROUNDUP(H1719/8000,0)</f>
        <v>1</v>
      </c>
      <c r="M1719" s="109">
        <f t="shared" ref="M1719:M1720" si="2494">IF($E1719="L",$J1719,0)</f>
        <v>0</v>
      </c>
      <c r="N1719" s="109">
        <f t="shared" ref="N1719:N1720" si="2495">IF($E1719="M",$J1719,0)</f>
        <v>0</v>
      </c>
      <c r="O1719" s="109">
        <f t="shared" ref="O1719:O1720" si="2496">IF($E1719="P",$J1719,0)</f>
        <v>0</v>
      </c>
      <c r="P1719" s="109">
        <f t="shared" ref="P1719:P1720" si="2497">IF($E1719="S",$J1719,0)</f>
        <v>19269.599999999999</v>
      </c>
      <c r="Q1719" s="109">
        <f t="shared" ref="Q1719:Q1720" si="2498">SUM(M1719:P1719)</f>
        <v>19269.599999999999</v>
      </c>
      <c r="R1719" s="121">
        <v>64</v>
      </c>
      <c r="T1719" s="188"/>
    </row>
    <row r="1720" spans="1:20" x14ac:dyDescent="0.25">
      <c r="A1720" s="100"/>
      <c r="B1720" s="3">
        <v>2</v>
      </c>
      <c r="C1720" s="5" t="s">
        <v>2241</v>
      </c>
      <c r="D1720" s="3" t="s">
        <v>82</v>
      </c>
      <c r="E1720" s="100" t="str">
        <f>IFERROR(VLOOKUP(C1720,Resources!B:D,3,FALSE)," ")</f>
        <v>S</v>
      </c>
      <c r="F1720" s="8">
        <v>1</v>
      </c>
      <c r="G1720" s="8">
        <v>1</v>
      </c>
      <c r="H1720" s="8">
        <f>H1718*1.05</f>
        <v>325.5</v>
      </c>
      <c r="I1720" s="109">
        <f>IFERROR(VLOOKUP(C1720,Resources!B:G,6,FALSE)," ")</f>
        <v>251</v>
      </c>
      <c r="J1720" s="109">
        <f t="shared" si="2493"/>
        <v>81700.5</v>
      </c>
      <c r="K1720" s="8"/>
      <c r="L1720" s="8">
        <f>ROUNDUP(H1720/300,0)</f>
        <v>2</v>
      </c>
      <c r="M1720" s="109">
        <f t="shared" si="2494"/>
        <v>0</v>
      </c>
      <c r="N1720" s="109">
        <f t="shared" si="2495"/>
        <v>0</v>
      </c>
      <c r="O1720" s="109">
        <f t="shared" si="2496"/>
        <v>0</v>
      </c>
      <c r="P1720" s="109">
        <f t="shared" si="2497"/>
        <v>81700.5</v>
      </c>
      <c r="Q1720" s="109">
        <f t="shared" si="2498"/>
        <v>81700.5</v>
      </c>
      <c r="R1720" s="121">
        <v>65</v>
      </c>
      <c r="T1720" s="188"/>
    </row>
    <row r="1721" spans="1:20" x14ac:dyDescent="0.25">
      <c r="A1721" s="101"/>
      <c r="B1721" s="4"/>
      <c r="C1721" s="6"/>
      <c r="D1721" s="4"/>
      <c r="E1721" s="101" t="str">
        <f>IFERROR(VLOOKUP(C1721,Resources!B:D,3,FALSE)," ")</f>
        <v xml:space="preserve"> </v>
      </c>
      <c r="F1721" s="9"/>
      <c r="G1721" s="9"/>
      <c r="H1721" s="9"/>
      <c r="I1721" s="38" t="str">
        <f>IFERROR(VLOOKUP(C1721,Resources!B:G,6,FALSE)," ")</f>
        <v xml:space="preserve"> </v>
      </c>
      <c r="J1721" s="38"/>
      <c r="K1721" s="9"/>
      <c r="L1721" s="9"/>
      <c r="M1721" s="38"/>
      <c r="N1721" s="38"/>
      <c r="O1721" s="38"/>
      <c r="P1721" s="38"/>
      <c r="Q1721" s="38"/>
      <c r="R1721" s="122"/>
      <c r="T1721" s="188"/>
    </row>
    <row r="1722" spans="1:20" ht="30" x14ac:dyDescent="0.25">
      <c r="A1722" s="114"/>
      <c r="B1722" s="1" t="s">
        <v>738</v>
      </c>
      <c r="C1722" s="1" t="s">
        <v>129</v>
      </c>
      <c r="D1722" s="2"/>
      <c r="E1722" s="99" t="str">
        <f>IFERROR(VLOOKUP(C1722,Resources!B:D,3,FALSE)," ")</f>
        <v xml:space="preserve"> </v>
      </c>
      <c r="F1722" s="7"/>
      <c r="G1722" s="7"/>
      <c r="H1722" s="7"/>
      <c r="I1722" s="108" t="str">
        <f>IFERROR(VLOOKUP(C1722,Resources!B:G,6,FALSE)," ")</f>
        <v xml:space="preserve"> </v>
      </c>
      <c r="J1722" s="108"/>
      <c r="K1722" s="7"/>
      <c r="L1722" s="7"/>
      <c r="M1722" s="108"/>
      <c r="N1722" s="108"/>
      <c r="O1722" s="108"/>
      <c r="P1722" s="108"/>
      <c r="Q1722" s="108"/>
      <c r="R1722" s="120"/>
      <c r="T1722" s="188"/>
    </row>
    <row r="1723" spans="1:20" ht="30" x14ac:dyDescent="0.25">
      <c r="A1723" s="114"/>
      <c r="B1723" s="1" t="s">
        <v>739</v>
      </c>
      <c r="C1723" s="1" t="s">
        <v>286</v>
      </c>
      <c r="D1723" s="2"/>
      <c r="E1723" s="99" t="str">
        <f>IFERROR(VLOOKUP(C1723,Resources!B:D,3,FALSE)," ")</f>
        <v xml:space="preserve"> </v>
      </c>
      <c r="F1723" s="7"/>
      <c r="G1723" s="7"/>
      <c r="H1723" s="7"/>
      <c r="I1723" s="108" t="str">
        <f>IFERROR(VLOOKUP(C1723,Resources!B:G,6,FALSE)," ")</f>
        <v xml:space="preserve"> </v>
      </c>
      <c r="J1723" s="108"/>
      <c r="K1723" s="7"/>
      <c r="L1723" s="7"/>
      <c r="M1723" s="108"/>
      <c r="N1723" s="108"/>
      <c r="O1723" s="108"/>
      <c r="P1723" s="108"/>
      <c r="Q1723" s="108"/>
      <c r="R1723" s="120"/>
      <c r="T1723" s="188"/>
    </row>
    <row r="1724" spans="1:20" ht="30" x14ac:dyDescent="0.25">
      <c r="A1724" s="114">
        <v>225</v>
      </c>
      <c r="B1724" s="1" t="s">
        <v>740</v>
      </c>
      <c r="C1724" s="1" t="s">
        <v>288</v>
      </c>
      <c r="D1724" s="2" t="s">
        <v>89</v>
      </c>
      <c r="E1724" s="99" t="str">
        <f>IFERROR(VLOOKUP(C1724,Resources!B:D,3,FALSE)," ")</f>
        <v xml:space="preserve"> </v>
      </c>
      <c r="F1724" s="7"/>
      <c r="G1724" s="7"/>
      <c r="H1724" s="103">
        <f>VLOOKUP($A1724,'Model Inputs'!$A:$D,4,FALSE)</f>
        <v>405</v>
      </c>
      <c r="I1724" s="108" t="str">
        <f>IFERROR(VLOOKUP(C1724,Resources!B:G,6,FALSE)," ")</f>
        <v xml:space="preserve"> </v>
      </c>
      <c r="J1724" s="108">
        <f>SUBTOTAL(9,J1725)</f>
        <v>5000</v>
      </c>
      <c r="K1724" s="7"/>
      <c r="L1724" s="7">
        <f>ROUNDUP(L1725,0)</f>
        <v>1</v>
      </c>
      <c r="M1724" s="108">
        <f t="shared" ref="M1724:Q1724" si="2499">SUBTOTAL(9,M1725)</f>
        <v>0</v>
      </c>
      <c r="N1724" s="108">
        <f t="shared" si="2499"/>
        <v>0</v>
      </c>
      <c r="O1724" s="108">
        <f t="shared" si="2499"/>
        <v>0</v>
      </c>
      <c r="P1724" s="108">
        <f t="shared" si="2499"/>
        <v>5000</v>
      </c>
      <c r="Q1724" s="108">
        <f t="shared" si="2499"/>
        <v>5000</v>
      </c>
      <c r="R1724" s="120"/>
      <c r="T1724" s="188"/>
    </row>
    <row r="1725" spans="1:20" x14ac:dyDescent="0.25">
      <c r="A1725" s="100"/>
      <c r="B1725" s="3">
        <v>1</v>
      </c>
      <c r="C1725" s="5" t="s">
        <v>289</v>
      </c>
      <c r="D1725" s="3" t="s">
        <v>83</v>
      </c>
      <c r="E1725" s="100" t="str">
        <f>IFERROR(VLOOKUP(C1725,Resources!B:D,3,FALSE)," ")</f>
        <v>S</v>
      </c>
      <c r="F1725" s="8">
        <v>1</v>
      </c>
      <c r="G1725" s="8">
        <v>1</v>
      </c>
      <c r="H1725" s="8">
        <f>H1724*5000/405</f>
        <v>5000</v>
      </c>
      <c r="I1725" s="109">
        <f>IFERROR(VLOOKUP(C1725,Resources!B:G,6,FALSE)," ")</f>
        <v>1</v>
      </c>
      <c r="J1725" s="109">
        <f t="shared" ref="J1725" si="2500">(H1725/(G1725/F1725))*I1725</f>
        <v>5000</v>
      </c>
      <c r="K1725" s="8"/>
      <c r="L1725" s="8">
        <f>H1724/2000</f>
        <v>0.20250000000000001</v>
      </c>
      <c r="M1725" s="109">
        <f t="shared" ref="M1725" si="2501">IF($E1725="L",$J1725,0)</f>
        <v>0</v>
      </c>
      <c r="N1725" s="109">
        <f t="shared" ref="N1725" si="2502">IF($E1725="M",$J1725,0)</f>
        <v>0</v>
      </c>
      <c r="O1725" s="109">
        <f t="shared" ref="O1725" si="2503">IF($E1725="P",$J1725,0)</f>
        <v>0</v>
      </c>
      <c r="P1725" s="109">
        <f t="shared" ref="P1725" si="2504">IF($E1725="S",$J1725,0)</f>
        <v>5000</v>
      </c>
      <c r="Q1725" s="109">
        <f t="shared" ref="Q1725" si="2505">SUM(M1725:P1725)</f>
        <v>5000</v>
      </c>
      <c r="R1725" s="121">
        <v>66</v>
      </c>
      <c r="T1725" s="188"/>
    </row>
    <row r="1726" spans="1:20" x14ac:dyDescent="0.25">
      <c r="A1726" s="101"/>
      <c r="B1726" s="4"/>
      <c r="C1726" s="6"/>
      <c r="D1726" s="4"/>
      <c r="E1726" s="101" t="str">
        <f>IFERROR(VLOOKUP(C1726,Resources!B:D,3,FALSE)," ")</f>
        <v xml:space="preserve"> </v>
      </c>
      <c r="F1726" s="9"/>
      <c r="G1726" s="9"/>
      <c r="H1726" s="9"/>
      <c r="I1726" s="38" t="str">
        <f>IFERROR(VLOOKUP(C1726,Resources!B:G,6,FALSE)," ")</f>
        <v xml:space="preserve"> </v>
      </c>
      <c r="J1726" s="38"/>
      <c r="K1726" s="9"/>
      <c r="L1726" s="9"/>
      <c r="M1726" s="38"/>
      <c r="N1726" s="38"/>
      <c r="O1726" s="38"/>
      <c r="P1726" s="38"/>
      <c r="Q1726" s="38"/>
      <c r="R1726" s="122"/>
      <c r="T1726" s="188"/>
    </row>
    <row r="1727" spans="1:20" ht="45" x14ac:dyDescent="0.25">
      <c r="A1727" s="114">
        <v>226</v>
      </c>
      <c r="B1727" s="1" t="s">
        <v>741</v>
      </c>
      <c r="C1727" s="1" t="s">
        <v>291</v>
      </c>
      <c r="D1727" s="2" t="s">
        <v>33</v>
      </c>
      <c r="E1727" s="99" t="str">
        <f>IFERROR(VLOOKUP(C1727,Resources!B:D,3,FALSE)," ")</f>
        <v xml:space="preserve"> </v>
      </c>
      <c r="F1727" s="7"/>
      <c r="G1727" s="7"/>
      <c r="H1727" s="103">
        <f>VLOOKUP($A1727,'Model Inputs'!$A:$D,4,FALSE)</f>
        <v>1</v>
      </c>
      <c r="I1727" s="108" t="str">
        <f>IFERROR(VLOOKUP(C1727,Resources!B:G,6,FALSE)," ")</f>
        <v xml:space="preserve"> </v>
      </c>
      <c r="J1727" s="108">
        <f>SUBTOTAL(9,J1728)</f>
        <v>2000</v>
      </c>
      <c r="K1727" s="7"/>
      <c r="L1727" s="7">
        <f>ROUNDUP(L1728,0)</f>
        <v>1</v>
      </c>
      <c r="M1727" s="108">
        <f t="shared" ref="M1727" si="2506">SUBTOTAL(9,M1728)</f>
        <v>0</v>
      </c>
      <c r="N1727" s="108">
        <f t="shared" ref="N1727" si="2507">SUBTOTAL(9,N1728)</f>
        <v>0</v>
      </c>
      <c r="O1727" s="108">
        <f t="shared" ref="O1727" si="2508">SUBTOTAL(9,O1728)</f>
        <v>0</v>
      </c>
      <c r="P1727" s="108">
        <f t="shared" ref="P1727" si="2509">SUBTOTAL(9,P1728)</f>
        <v>2000</v>
      </c>
      <c r="Q1727" s="108">
        <f t="shared" ref="Q1727" si="2510">SUBTOTAL(9,Q1728)</f>
        <v>2000</v>
      </c>
      <c r="R1727" s="120"/>
      <c r="T1727" s="188"/>
    </row>
    <row r="1728" spans="1:20" x14ac:dyDescent="0.25">
      <c r="A1728" s="100"/>
      <c r="B1728" s="3">
        <v>1</v>
      </c>
      <c r="C1728" s="5" t="s">
        <v>289</v>
      </c>
      <c r="D1728" s="3" t="s">
        <v>83</v>
      </c>
      <c r="E1728" s="100" t="str">
        <f>IFERROR(VLOOKUP(C1728,Resources!B:D,3,FALSE)," ")</f>
        <v>S</v>
      </c>
      <c r="F1728" s="8">
        <v>1</v>
      </c>
      <c r="G1728" s="8">
        <v>1</v>
      </c>
      <c r="H1728" s="8">
        <f>H1727*2000</f>
        <v>2000</v>
      </c>
      <c r="I1728" s="109">
        <f>IFERROR(VLOOKUP(C1728,Resources!B:G,6,FALSE)," ")</f>
        <v>1</v>
      </c>
      <c r="J1728" s="109">
        <f t="shared" ref="J1728" si="2511">(H1728/(G1728/F1728))*I1728</f>
        <v>2000</v>
      </c>
      <c r="K1728" s="8"/>
      <c r="L1728" s="8">
        <f>H1728/5000</f>
        <v>0.4</v>
      </c>
      <c r="M1728" s="109">
        <f t="shared" ref="M1728" si="2512">IF($E1728="L",$J1728,0)</f>
        <v>0</v>
      </c>
      <c r="N1728" s="109">
        <f t="shared" ref="N1728" si="2513">IF($E1728="M",$J1728,0)</f>
        <v>0</v>
      </c>
      <c r="O1728" s="109">
        <f t="shared" ref="O1728" si="2514">IF($E1728="P",$J1728,0)</f>
        <v>0</v>
      </c>
      <c r="P1728" s="109">
        <f t="shared" ref="P1728" si="2515">IF($E1728="S",$J1728,0)</f>
        <v>2000</v>
      </c>
      <c r="Q1728" s="109">
        <f t="shared" ref="Q1728" si="2516">SUM(M1728:P1728)</f>
        <v>2000</v>
      </c>
      <c r="R1728" s="121">
        <v>66</v>
      </c>
      <c r="T1728" s="188"/>
    </row>
    <row r="1729" spans="1:20" x14ac:dyDescent="0.25">
      <c r="A1729" s="101"/>
      <c r="B1729" s="4"/>
      <c r="C1729" s="6"/>
      <c r="D1729" s="4"/>
      <c r="E1729" s="101" t="str">
        <f>IFERROR(VLOOKUP(C1729,Resources!B:D,3,FALSE)," ")</f>
        <v xml:space="preserve"> </v>
      </c>
      <c r="F1729" s="9"/>
      <c r="G1729" s="9"/>
      <c r="H1729" s="9"/>
      <c r="I1729" s="38" t="str">
        <f>IFERROR(VLOOKUP(C1729,Resources!B:G,6,FALSE)," ")</f>
        <v xml:space="preserve"> </v>
      </c>
      <c r="J1729" s="38"/>
      <c r="K1729" s="9"/>
      <c r="L1729" s="9"/>
      <c r="M1729" s="38"/>
      <c r="N1729" s="38"/>
      <c r="O1729" s="38"/>
      <c r="P1729" s="38"/>
      <c r="Q1729" s="38"/>
      <c r="R1729" s="122"/>
      <c r="T1729" s="188"/>
    </row>
    <row r="1730" spans="1:20" ht="30" x14ac:dyDescent="0.25">
      <c r="A1730" s="114"/>
      <c r="B1730" s="1" t="s">
        <v>742</v>
      </c>
      <c r="C1730" s="1" t="s">
        <v>497</v>
      </c>
      <c r="D1730" s="2"/>
      <c r="E1730" s="99" t="str">
        <f>IFERROR(VLOOKUP(C1730,Resources!B:D,3,FALSE)," ")</f>
        <v xml:space="preserve"> </v>
      </c>
      <c r="F1730" s="7"/>
      <c r="G1730" s="7"/>
      <c r="H1730" s="7"/>
      <c r="I1730" s="108" t="str">
        <f>IFERROR(VLOOKUP(C1730,Resources!B:G,6,FALSE)," ")</f>
        <v xml:space="preserve"> </v>
      </c>
      <c r="J1730" s="108"/>
      <c r="K1730" s="7"/>
      <c r="L1730" s="7"/>
      <c r="M1730" s="108"/>
      <c r="N1730" s="108"/>
      <c r="O1730" s="108"/>
      <c r="P1730" s="108"/>
      <c r="Q1730" s="108"/>
      <c r="R1730" s="120"/>
      <c r="T1730" s="188"/>
    </row>
    <row r="1731" spans="1:20" ht="30" x14ac:dyDescent="0.25">
      <c r="A1731" s="114">
        <v>227</v>
      </c>
      <c r="B1731" s="1" t="s">
        <v>743</v>
      </c>
      <c r="C1731" s="1" t="s">
        <v>410</v>
      </c>
      <c r="D1731" s="2" t="s">
        <v>33</v>
      </c>
      <c r="E1731" s="99" t="str">
        <f>IFERROR(VLOOKUP(C1731,Resources!B:D,3,FALSE)," ")</f>
        <v xml:space="preserve"> </v>
      </c>
      <c r="F1731" s="7"/>
      <c r="G1731" s="7"/>
      <c r="H1731" s="103">
        <f>VLOOKUP($A1731,'Model Inputs'!$A:$D,4,FALSE)</f>
        <v>1</v>
      </c>
      <c r="I1731" s="108" t="str">
        <f>IFERROR(VLOOKUP(C1731,Resources!B:G,6,FALSE)," ")</f>
        <v xml:space="preserve"> </v>
      </c>
      <c r="J1731" s="108">
        <f>SUBTOTAL(9,J1732:J1733)</f>
        <v>1652</v>
      </c>
      <c r="K1731" s="7"/>
      <c r="L1731" s="7">
        <f>ROUNDUP(L1732/Workhrs,0)</f>
        <v>2</v>
      </c>
      <c r="M1731" s="108">
        <f t="shared" ref="M1731:Q1731" si="2517">SUBTOTAL(9,M1732:M1733)</f>
        <v>0</v>
      </c>
      <c r="N1731" s="108">
        <f t="shared" si="2517"/>
        <v>1652</v>
      </c>
      <c r="O1731" s="108">
        <f t="shared" si="2517"/>
        <v>0</v>
      </c>
      <c r="P1731" s="108">
        <f t="shared" si="2517"/>
        <v>0</v>
      </c>
      <c r="Q1731" s="108">
        <f t="shared" si="2517"/>
        <v>1652</v>
      </c>
      <c r="R1731" s="120"/>
      <c r="T1731" s="188"/>
    </row>
    <row r="1732" spans="1:20" x14ac:dyDescent="0.25">
      <c r="A1732" s="100"/>
      <c r="B1732" s="3">
        <v>1</v>
      </c>
      <c r="C1732" s="5" t="s">
        <v>411</v>
      </c>
      <c r="D1732" s="3" t="s">
        <v>29</v>
      </c>
      <c r="E1732" s="100" t="str">
        <f>IFERROR(VLOOKUP(C1732,Resources!B:D,3,FALSE)," ")</f>
        <v>M</v>
      </c>
      <c r="F1732" s="8">
        <v>1</v>
      </c>
      <c r="G1732" s="8">
        <v>1</v>
      </c>
      <c r="H1732" s="8">
        <f>ROUNDUP(H1731*7,0)</f>
        <v>7</v>
      </c>
      <c r="I1732" s="109">
        <f>IFERROR(VLOOKUP(C1732,Resources!B:G,6,FALSE)," ")</f>
        <v>140</v>
      </c>
      <c r="J1732" s="109">
        <f t="shared" ref="J1732:J1733" si="2518">(H1732/(G1732/F1732))*I1732</f>
        <v>980</v>
      </c>
      <c r="K1732" s="8"/>
      <c r="L1732" s="8">
        <f>H1732*2</f>
        <v>14</v>
      </c>
      <c r="M1732" s="109">
        <f t="shared" ref="M1732:M1733" si="2519">IF($E1732="L",$J1732,0)</f>
        <v>0</v>
      </c>
      <c r="N1732" s="109">
        <f t="shared" ref="N1732:N1733" si="2520">IF($E1732="M",$J1732,0)</f>
        <v>980</v>
      </c>
      <c r="O1732" s="109">
        <f t="shared" ref="O1732:O1733" si="2521">IF($E1732="P",$J1732,0)</f>
        <v>0</v>
      </c>
      <c r="P1732" s="109">
        <f t="shared" ref="P1732:P1733" si="2522">IF($E1732="S",$J1732,0)</f>
        <v>0</v>
      </c>
      <c r="Q1732" s="109">
        <f t="shared" ref="Q1732:Q1733" si="2523">SUM(M1732:P1732)</f>
        <v>980</v>
      </c>
      <c r="R1732" s="121" t="s">
        <v>2342</v>
      </c>
      <c r="T1732" s="188"/>
    </row>
    <row r="1733" spans="1:20" x14ac:dyDescent="0.25">
      <c r="A1733" s="100"/>
      <c r="B1733" s="3">
        <v>2</v>
      </c>
      <c r="C1733" s="5" t="s">
        <v>85</v>
      </c>
      <c r="D1733" s="3" t="s">
        <v>86</v>
      </c>
      <c r="E1733" s="100" t="str">
        <f>IFERROR(VLOOKUP(C1733,Resources!B:D,3,FALSE)," ")</f>
        <v>M</v>
      </c>
      <c r="F1733" s="8">
        <v>1</v>
      </c>
      <c r="G1733" s="8">
        <v>1</v>
      </c>
      <c r="H1733" s="8">
        <f>H1732/2</f>
        <v>3.5</v>
      </c>
      <c r="I1733" s="109">
        <f>IFERROR(VLOOKUP(C1733,Resources!B:G,6,FALSE)," ")</f>
        <v>192</v>
      </c>
      <c r="J1733" s="109">
        <f t="shared" si="2518"/>
        <v>672</v>
      </c>
      <c r="K1733" s="8"/>
      <c r="L1733" s="8" t="str">
        <f t="shared" ref="L1733" si="2524">IF(E1733="M"," ",H1733/G1733)</f>
        <v xml:space="preserve"> </v>
      </c>
      <c r="M1733" s="109">
        <f t="shared" si="2519"/>
        <v>0</v>
      </c>
      <c r="N1733" s="109">
        <f t="shared" si="2520"/>
        <v>672</v>
      </c>
      <c r="O1733" s="109">
        <f t="shared" si="2521"/>
        <v>0</v>
      </c>
      <c r="P1733" s="109">
        <f t="shared" si="2522"/>
        <v>0</v>
      </c>
      <c r="Q1733" s="109">
        <f t="shared" si="2523"/>
        <v>672</v>
      </c>
      <c r="R1733" s="121" t="s">
        <v>2335</v>
      </c>
      <c r="T1733" s="188"/>
    </row>
    <row r="1734" spans="1:20" x14ac:dyDescent="0.25">
      <c r="A1734" s="101"/>
      <c r="B1734" s="4"/>
      <c r="C1734" s="6"/>
      <c r="D1734" s="4"/>
      <c r="E1734" s="101" t="str">
        <f>IFERROR(VLOOKUP(C1734,Resources!B:D,3,FALSE)," ")</f>
        <v xml:space="preserve"> </v>
      </c>
      <c r="F1734" s="9"/>
      <c r="G1734" s="9"/>
      <c r="H1734" s="9"/>
      <c r="I1734" s="38" t="str">
        <f>IFERROR(VLOOKUP(C1734,Resources!B:G,6,FALSE)," ")</f>
        <v xml:space="preserve"> </v>
      </c>
      <c r="J1734" s="38"/>
      <c r="K1734" s="9"/>
      <c r="L1734" s="9"/>
      <c r="M1734" s="38"/>
      <c r="N1734" s="38"/>
      <c r="O1734" s="38"/>
      <c r="P1734" s="38"/>
      <c r="Q1734" s="38"/>
      <c r="R1734" s="122"/>
      <c r="T1734" s="188"/>
    </row>
    <row r="1735" spans="1:20" ht="30" x14ac:dyDescent="0.25">
      <c r="A1735" s="114">
        <v>228</v>
      </c>
      <c r="B1735" s="1" t="s">
        <v>744</v>
      </c>
      <c r="C1735" s="1" t="s">
        <v>745</v>
      </c>
      <c r="D1735" s="2" t="s">
        <v>29</v>
      </c>
      <c r="E1735" s="99" t="str">
        <f>IFERROR(VLOOKUP(C1735,Resources!B:D,3,FALSE)," ")</f>
        <v xml:space="preserve"> </v>
      </c>
      <c r="F1735" s="7"/>
      <c r="G1735" s="7"/>
      <c r="H1735" s="103">
        <f>VLOOKUP($A1735,'Model Inputs'!$A:$D,4,FALSE)</f>
        <v>1</v>
      </c>
      <c r="I1735" s="108" t="str">
        <f>IFERROR(VLOOKUP(C1735,Resources!B:G,6,FALSE)," ")</f>
        <v xml:space="preserve"> </v>
      </c>
      <c r="J1735" s="108">
        <f>SUBTOTAL(9,J1736:J1739)</f>
        <v>4215</v>
      </c>
      <c r="K1735" s="7"/>
      <c r="L1735" s="7">
        <f>ROUNDUP(MAX(L1738:L1739)/Workhrs,0)</f>
        <v>1</v>
      </c>
      <c r="M1735" s="108">
        <f t="shared" ref="M1735:Q1735" si="2525">SUBTOTAL(9,M1736:M1739)</f>
        <v>420</v>
      </c>
      <c r="N1735" s="108">
        <f t="shared" si="2525"/>
        <v>3320</v>
      </c>
      <c r="O1735" s="108">
        <f t="shared" si="2525"/>
        <v>475</v>
      </c>
      <c r="P1735" s="108">
        <f t="shared" si="2525"/>
        <v>0</v>
      </c>
      <c r="Q1735" s="108">
        <f t="shared" si="2525"/>
        <v>4215</v>
      </c>
      <c r="R1735" s="120"/>
      <c r="T1735" s="188"/>
    </row>
    <row r="1736" spans="1:20" x14ac:dyDescent="0.25">
      <c r="A1736" s="100"/>
      <c r="B1736" s="3">
        <v>1</v>
      </c>
      <c r="C1736" s="5" t="s">
        <v>411</v>
      </c>
      <c r="D1736" s="3" t="s">
        <v>29</v>
      </c>
      <c r="E1736" s="100" t="str">
        <f>IFERROR(VLOOKUP(C1736,Resources!B:D,3,FALSE)," ")</f>
        <v>M</v>
      </c>
      <c r="F1736" s="8">
        <v>1</v>
      </c>
      <c r="G1736" s="8">
        <v>1</v>
      </c>
      <c r="H1736" s="8">
        <f>ROUNDUP(H1735*10,0)</f>
        <v>10</v>
      </c>
      <c r="I1736" s="109">
        <f>IFERROR(VLOOKUP(C1736,Resources!B:G,6,FALSE)," ")</f>
        <v>140</v>
      </c>
      <c r="J1736" s="109">
        <f t="shared" ref="J1736:J1739" si="2526">(H1736/(G1736/F1736))*I1736</f>
        <v>1400</v>
      </c>
      <c r="K1736" s="8"/>
      <c r="L1736" s="8" t="str">
        <f t="shared" ref="L1736:L1739" si="2527">IF(E1736="M"," ",H1736/G1736)</f>
        <v xml:space="preserve"> </v>
      </c>
      <c r="M1736" s="109">
        <f t="shared" ref="M1736:M1739" si="2528">IF($E1736="L",$J1736,0)</f>
        <v>0</v>
      </c>
      <c r="N1736" s="109">
        <f t="shared" ref="N1736:N1739" si="2529">IF($E1736="M",$J1736,0)</f>
        <v>1400</v>
      </c>
      <c r="O1736" s="109">
        <f t="shared" ref="O1736:O1739" si="2530">IF($E1736="P",$J1736,0)</f>
        <v>0</v>
      </c>
      <c r="P1736" s="109">
        <f t="shared" ref="P1736:P1739" si="2531">IF($E1736="S",$J1736,0)</f>
        <v>0</v>
      </c>
      <c r="Q1736" s="109">
        <f t="shared" ref="Q1736:Q1739" si="2532">SUM(M1736:P1736)</f>
        <v>1400</v>
      </c>
      <c r="R1736" s="121" t="s">
        <v>2342</v>
      </c>
      <c r="T1736" s="188"/>
    </row>
    <row r="1737" spans="1:20" x14ac:dyDescent="0.25">
      <c r="A1737" s="100"/>
      <c r="B1737" s="3">
        <v>2</v>
      </c>
      <c r="C1737" s="5" t="s">
        <v>85</v>
      </c>
      <c r="D1737" s="3" t="s">
        <v>86</v>
      </c>
      <c r="E1737" s="100" t="str">
        <f>IFERROR(VLOOKUP(C1737,Resources!B:D,3,FALSE)," ")</f>
        <v>M</v>
      </c>
      <c r="F1737" s="8">
        <v>1</v>
      </c>
      <c r="G1737" s="8">
        <v>1</v>
      </c>
      <c r="H1737" s="8">
        <f>H1736</f>
        <v>10</v>
      </c>
      <c r="I1737" s="109">
        <f>IFERROR(VLOOKUP(C1737,Resources!B:G,6,FALSE)," ")</f>
        <v>192</v>
      </c>
      <c r="J1737" s="109">
        <f t="shared" si="2526"/>
        <v>1920</v>
      </c>
      <c r="K1737" s="8"/>
      <c r="L1737" s="8" t="str">
        <f t="shared" si="2527"/>
        <v xml:space="preserve"> </v>
      </c>
      <c r="M1737" s="109">
        <f t="shared" si="2528"/>
        <v>0</v>
      </c>
      <c r="N1737" s="109">
        <f t="shared" si="2529"/>
        <v>1920</v>
      </c>
      <c r="O1737" s="109">
        <f t="shared" si="2530"/>
        <v>0</v>
      </c>
      <c r="P1737" s="109">
        <f t="shared" si="2531"/>
        <v>0</v>
      </c>
      <c r="Q1737" s="109">
        <f t="shared" si="2532"/>
        <v>1920</v>
      </c>
      <c r="R1737" s="121" t="s">
        <v>2335</v>
      </c>
      <c r="T1737" s="188"/>
    </row>
    <row r="1738" spans="1:20" x14ac:dyDescent="0.25">
      <c r="A1738" s="100"/>
      <c r="B1738" s="3">
        <v>3</v>
      </c>
      <c r="C1738" s="5" t="s">
        <v>8</v>
      </c>
      <c r="D1738" s="3" t="s">
        <v>48</v>
      </c>
      <c r="E1738" s="100" t="str">
        <f>IFERROR(VLOOKUP(C1738,Resources!B:D,3,FALSE)," ")</f>
        <v>L</v>
      </c>
      <c r="F1738" s="8">
        <v>2</v>
      </c>
      <c r="G1738" s="8">
        <v>2</v>
      </c>
      <c r="H1738" s="8">
        <f>H1736</f>
        <v>10</v>
      </c>
      <c r="I1738" s="109">
        <f>IFERROR(VLOOKUP(C1738,Resources!B:G,6,FALSE)," ")</f>
        <v>42</v>
      </c>
      <c r="J1738" s="109">
        <f t="shared" si="2526"/>
        <v>420</v>
      </c>
      <c r="K1738" s="8">
        <f t="shared" ref="K1738:K1739" si="2533">L1738*F1738</f>
        <v>10</v>
      </c>
      <c r="L1738" s="8">
        <f t="shared" si="2527"/>
        <v>5</v>
      </c>
      <c r="M1738" s="109">
        <f t="shared" si="2528"/>
        <v>420</v>
      </c>
      <c r="N1738" s="109">
        <f t="shared" si="2529"/>
        <v>0</v>
      </c>
      <c r="O1738" s="109">
        <f t="shared" si="2530"/>
        <v>0</v>
      </c>
      <c r="P1738" s="109">
        <f t="shared" si="2531"/>
        <v>0</v>
      </c>
      <c r="Q1738" s="109">
        <f t="shared" si="2532"/>
        <v>420</v>
      </c>
      <c r="R1738" s="121">
        <v>67</v>
      </c>
      <c r="T1738" s="188"/>
    </row>
    <row r="1739" spans="1:20" x14ac:dyDescent="0.25">
      <c r="A1739" s="100"/>
      <c r="B1739" s="3">
        <v>4</v>
      </c>
      <c r="C1739" s="5" t="s">
        <v>45</v>
      </c>
      <c r="D1739" s="3" t="s">
        <v>48</v>
      </c>
      <c r="E1739" s="100" t="str">
        <f>IFERROR(VLOOKUP(C1739,Resources!B:D,3,FALSE)," ")</f>
        <v>P</v>
      </c>
      <c r="F1739" s="8">
        <v>1</v>
      </c>
      <c r="G1739" s="8">
        <v>2</v>
      </c>
      <c r="H1739" s="8">
        <f>H1736</f>
        <v>10</v>
      </c>
      <c r="I1739" s="109">
        <f>IFERROR(VLOOKUP(C1739,Resources!B:G,6,FALSE)," ")</f>
        <v>95</v>
      </c>
      <c r="J1739" s="109">
        <f t="shared" si="2526"/>
        <v>475</v>
      </c>
      <c r="K1739" s="8">
        <f t="shared" si="2533"/>
        <v>5</v>
      </c>
      <c r="L1739" s="8">
        <f t="shared" si="2527"/>
        <v>5</v>
      </c>
      <c r="M1739" s="109">
        <f t="shared" si="2528"/>
        <v>0</v>
      </c>
      <c r="N1739" s="109">
        <f t="shared" si="2529"/>
        <v>0</v>
      </c>
      <c r="O1739" s="109">
        <f t="shared" si="2530"/>
        <v>475</v>
      </c>
      <c r="P1739" s="109">
        <f t="shared" si="2531"/>
        <v>0</v>
      </c>
      <c r="Q1739" s="109">
        <f t="shared" si="2532"/>
        <v>475</v>
      </c>
      <c r="R1739" s="121">
        <v>67</v>
      </c>
      <c r="T1739" s="188"/>
    </row>
    <row r="1740" spans="1:20" x14ac:dyDescent="0.25">
      <c r="A1740" s="101"/>
      <c r="B1740" s="4"/>
      <c r="C1740" s="6"/>
      <c r="D1740" s="4"/>
      <c r="E1740" s="101" t="str">
        <f>IFERROR(VLOOKUP(C1740,Resources!B:D,3,FALSE)," ")</f>
        <v xml:space="preserve"> </v>
      </c>
      <c r="F1740" s="9"/>
      <c r="G1740" s="9"/>
      <c r="H1740" s="9"/>
      <c r="I1740" s="38" t="str">
        <f>IFERROR(VLOOKUP(C1740,Resources!B:G,6,FALSE)," ")</f>
        <v xml:space="preserve"> </v>
      </c>
      <c r="J1740" s="38"/>
      <c r="K1740" s="9"/>
      <c r="L1740" s="9"/>
      <c r="M1740" s="38"/>
      <c r="N1740" s="38"/>
      <c r="O1740" s="38"/>
      <c r="P1740" s="38"/>
      <c r="Q1740" s="38"/>
      <c r="R1740" s="122"/>
      <c r="T1740" s="188"/>
    </row>
    <row r="1741" spans="1:20" ht="30" x14ac:dyDescent="0.25">
      <c r="A1741" s="114"/>
      <c r="B1741" s="1" t="s">
        <v>746</v>
      </c>
      <c r="C1741" s="1" t="s">
        <v>136</v>
      </c>
      <c r="D1741" s="2"/>
      <c r="E1741" s="99" t="str">
        <f>IFERROR(VLOOKUP(C1741,Resources!B:D,3,FALSE)," ")</f>
        <v xml:space="preserve"> </v>
      </c>
      <c r="F1741" s="7"/>
      <c r="G1741" s="7"/>
      <c r="H1741" s="7"/>
      <c r="I1741" s="108" t="str">
        <f>IFERROR(VLOOKUP(C1741,Resources!B:G,6,FALSE)," ")</f>
        <v xml:space="preserve"> </v>
      </c>
      <c r="J1741" s="108"/>
      <c r="K1741" s="7"/>
      <c r="L1741" s="7"/>
      <c r="M1741" s="108"/>
      <c r="N1741" s="108"/>
      <c r="O1741" s="108"/>
      <c r="P1741" s="108"/>
      <c r="Q1741" s="108"/>
      <c r="R1741" s="120"/>
      <c r="T1741" s="188"/>
    </row>
    <row r="1742" spans="1:20" ht="30" x14ac:dyDescent="0.25">
      <c r="A1742" s="114"/>
      <c r="B1742" s="1" t="s">
        <v>747</v>
      </c>
      <c r="C1742" s="1" t="s">
        <v>231</v>
      </c>
      <c r="D1742" s="2"/>
      <c r="E1742" s="99" t="str">
        <f>IFERROR(VLOOKUP(C1742,Resources!B:D,3,FALSE)," ")</f>
        <v xml:space="preserve"> </v>
      </c>
      <c r="F1742" s="7"/>
      <c r="G1742" s="7"/>
      <c r="H1742" s="7"/>
      <c r="I1742" s="108" t="str">
        <f>IFERROR(VLOOKUP(C1742,Resources!B:G,6,FALSE)," ")</f>
        <v xml:space="preserve"> </v>
      </c>
      <c r="J1742" s="108"/>
      <c r="K1742" s="7"/>
      <c r="L1742" s="7"/>
      <c r="M1742" s="108"/>
      <c r="N1742" s="108"/>
      <c r="O1742" s="108"/>
      <c r="P1742" s="108"/>
      <c r="Q1742" s="108"/>
      <c r="R1742" s="120"/>
      <c r="T1742" s="188"/>
    </row>
    <row r="1743" spans="1:20" ht="30" x14ac:dyDescent="0.25">
      <c r="A1743" s="114"/>
      <c r="B1743" s="1" t="s">
        <v>748</v>
      </c>
      <c r="C1743" s="1" t="s">
        <v>415</v>
      </c>
      <c r="D1743" s="2"/>
      <c r="E1743" s="99" t="str">
        <f>IFERROR(VLOOKUP(C1743,Resources!B:D,3,FALSE)," ")</f>
        <v xml:space="preserve"> </v>
      </c>
      <c r="F1743" s="7"/>
      <c r="G1743" s="7"/>
      <c r="H1743" s="7"/>
      <c r="I1743" s="108" t="str">
        <f>IFERROR(VLOOKUP(C1743,Resources!B:G,6,FALSE)," ")</f>
        <v xml:space="preserve"> </v>
      </c>
      <c r="J1743" s="108"/>
      <c r="K1743" s="7"/>
      <c r="L1743" s="7"/>
      <c r="M1743" s="108"/>
      <c r="N1743" s="108"/>
      <c r="O1743" s="108"/>
      <c r="P1743" s="108"/>
      <c r="Q1743" s="108"/>
      <c r="R1743" s="120"/>
      <c r="T1743" s="188"/>
    </row>
    <row r="1744" spans="1:20" ht="30" x14ac:dyDescent="0.25">
      <c r="A1744" s="114">
        <v>229</v>
      </c>
      <c r="B1744" s="1" t="s">
        <v>749</v>
      </c>
      <c r="C1744" s="1" t="s">
        <v>750</v>
      </c>
      <c r="D1744" s="2" t="s">
        <v>29</v>
      </c>
      <c r="E1744" s="99" t="str">
        <f>IFERROR(VLOOKUP(C1744,Resources!B:D,3,FALSE)," ")</f>
        <v xml:space="preserve"> </v>
      </c>
      <c r="F1744" s="7"/>
      <c r="G1744" s="7"/>
      <c r="H1744" s="103">
        <f>VLOOKUP($A1744,'Model Inputs'!$A:$D,4,FALSE)</f>
        <v>1</v>
      </c>
      <c r="I1744" s="108" t="str">
        <f>IFERROR(VLOOKUP(C1744,Resources!B:G,6,FALSE)," ")</f>
        <v xml:space="preserve"> </v>
      </c>
      <c r="J1744" s="108">
        <f>SUBTOTAL(9,J1745:J1746)</f>
        <v>785</v>
      </c>
      <c r="K1744" s="7"/>
      <c r="L1744" s="7">
        <f>ROUNDUP(L1746,0)+1</f>
        <v>2</v>
      </c>
      <c r="M1744" s="108">
        <f t="shared" ref="M1744:Q1744" si="2534">SUBTOTAL(9,M1745:M1746)</f>
        <v>0</v>
      </c>
      <c r="N1744" s="108">
        <f t="shared" si="2534"/>
        <v>85</v>
      </c>
      <c r="O1744" s="108">
        <f t="shared" si="2534"/>
        <v>0</v>
      </c>
      <c r="P1744" s="108">
        <f t="shared" si="2534"/>
        <v>700</v>
      </c>
      <c r="Q1744" s="108">
        <f t="shared" si="2534"/>
        <v>785</v>
      </c>
      <c r="R1744" s="120"/>
      <c r="T1744" s="188"/>
    </row>
    <row r="1745" spans="1:20" x14ac:dyDescent="0.25">
      <c r="A1745" s="100"/>
      <c r="B1745" s="3">
        <v>1</v>
      </c>
      <c r="C1745" s="5" t="s">
        <v>188</v>
      </c>
      <c r="D1745" s="3" t="s">
        <v>86</v>
      </c>
      <c r="E1745" s="100" t="str">
        <f>IFERROR(VLOOKUP(C1745,Resources!B:D,3,FALSE)," ")</f>
        <v>M</v>
      </c>
      <c r="F1745" s="8">
        <v>1</v>
      </c>
      <c r="G1745" s="8">
        <v>1</v>
      </c>
      <c r="H1745" s="8">
        <f>H1744/2</f>
        <v>0.5</v>
      </c>
      <c r="I1745" s="109">
        <f>IFERROR(VLOOKUP(C1745,Resources!B:G,6,FALSE)," ")</f>
        <v>170</v>
      </c>
      <c r="J1745" s="109">
        <f t="shared" ref="J1745:J1746" si="2535">(H1745/(G1745/F1745))*I1745</f>
        <v>85</v>
      </c>
      <c r="K1745" s="8"/>
      <c r="L1745" s="8" t="str">
        <f t="shared" ref="L1745:L1746" si="2536">IF(E1745="M"," ",H1745/G1745)</f>
        <v xml:space="preserve"> </v>
      </c>
      <c r="M1745" s="109">
        <f t="shared" ref="M1745:M1746" si="2537">IF($E1745="L",$J1745,0)</f>
        <v>0</v>
      </c>
      <c r="N1745" s="109">
        <f t="shared" ref="N1745:N1746" si="2538">IF($E1745="M",$J1745,0)</f>
        <v>85</v>
      </c>
      <c r="O1745" s="109">
        <f t="shared" ref="O1745:O1746" si="2539">IF($E1745="P",$J1745,0)</f>
        <v>0</v>
      </c>
      <c r="P1745" s="109">
        <f t="shared" ref="P1745:P1746" si="2540">IF($E1745="S",$J1745,0)</f>
        <v>0</v>
      </c>
      <c r="Q1745" s="109">
        <f t="shared" ref="Q1745:Q1746" si="2541">SUM(M1745:P1745)</f>
        <v>85</v>
      </c>
      <c r="R1745" s="121" t="s">
        <v>2334</v>
      </c>
      <c r="T1745" s="188"/>
    </row>
    <row r="1746" spans="1:20" x14ac:dyDescent="0.25">
      <c r="A1746" s="100"/>
      <c r="B1746" s="3">
        <v>2</v>
      </c>
      <c r="C1746" s="5" t="s">
        <v>236</v>
      </c>
      <c r="D1746" s="3" t="s">
        <v>29</v>
      </c>
      <c r="E1746" s="100" t="str">
        <f>IFERROR(VLOOKUP(C1746,Resources!B:D,3,FALSE)," ")</f>
        <v>S</v>
      </c>
      <c r="F1746" s="8">
        <v>1</v>
      </c>
      <c r="G1746" s="8">
        <v>1</v>
      </c>
      <c r="H1746" s="8">
        <f>H1744</f>
        <v>1</v>
      </c>
      <c r="I1746" s="109">
        <f>IFERROR(VLOOKUP(C1746,Resources!B:G,6,FALSE)," ")</f>
        <v>700</v>
      </c>
      <c r="J1746" s="109">
        <f t="shared" si="2535"/>
        <v>700</v>
      </c>
      <c r="K1746" s="8">
        <f t="shared" ref="K1746" si="2542">L1746*F1746</f>
        <v>1</v>
      </c>
      <c r="L1746" s="8">
        <f t="shared" si="2536"/>
        <v>1</v>
      </c>
      <c r="M1746" s="109">
        <f t="shared" si="2537"/>
        <v>0</v>
      </c>
      <c r="N1746" s="109">
        <f t="shared" si="2538"/>
        <v>0</v>
      </c>
      <c r="O1746" s="109">
        <f t="shared" si="2539"/>
        <v>0</v>
      </c>
      <c r="P1746" s="109">
        <f t="shared" si="2540"/>
        <v>700</v>
      </c>
      <c r="Q1746" s="109">
        <f t="shared" si="2541"/>
        <v>700</v>
      </c>
      <c r="R1746" s="121">
        <v>71</v>
      </c>
      <c r="T1746" s="188"/>
    </row>
    <row r="1747" spans="1:20" x14ac:dyDescent="0.25">
      <c r="A1747" s="101"/>
      <c r="B1747" s="4"/>
      <c r="C1747" s="6"/>
      <c r="D1747" s="4"/>
      <c r="E1747" s="101" t="str">
        <f>IFERROR(VLOOKUP(C1747,Resources!B:D,3,FALSE)," ")</f>
        <v xml:space="preserve"> </v>
      </c>
      <c r="F1747" s="9"/>
      <c r="G1747" s="9"/>
      <c r="H1747" s="9"/>
      <c r="I1747" s="38" t="str">
        <f>IFERROR(VLOOKUP(C1747,Resources!B:G,6,FALSE)," ")</f>
        <v xml:space="preserve"> </v>
      </c>
      <c r="J1747" s="38"/>
      <c r="K1747" s="9"/>
      <c r="L1747" s="9"/>
      <c r="M1747" s="38"/>
      <c r="N1747" s="38"/>
      <c r="O1747" s="38"/>
      <c r="P1747" s="38"/>
      <c r="Q1747" s="38"/>
      <c r="R1747" s="122"/>
      <c r="T1747" s="188"/>
    </row>
    <row r="1748" spans="1:20" ht="30" x14ac:dyDescent="0.25">
      <c r="A1748" s="114">
        <v>230</v>
      </c>
      <c r="B1748" s="1" t="s">
        <v>751</v>
      </c>
      <c r="C1748" s="1" t="s">
        <v>752</v>
      </c>
      <c r="D1748" s="2" t="s">
        <v>29</v>
      </c>
      <c r="E1748" s="99" t="str">
        <f>IFERROR(VLOOKUP(C1748,Resources!B:D,3,FALSE)," ")</f>
        <v xml:space="preserve"> </v>
      </c>
      <c r="F1748" s="7"/>
      <c r="G1748" s="7"/>
      <c r="H1748" s="103">
        <f>VLOOKUP($A1748,'Model Inputs'!$A:$D,4,FALSE)</f>
        <v>3</v>
      </c>
      <c r="I1748" s="108" t="str">
        <f>IFERROR(VLOOKUP(C1748,Resources!B:G,6,FALSE)," ")</f>
        <v xml:space="preserve"> </v>
      </c>
      <c r="J1748" s="108">
        <f>SUBTOTAL(9,J1750:J1760)</f>
        <v>2493.92</v>
      </c>
      <c r="K1748" s="7"/>
      <c r="L1748" s="7">
        <f>ROUNDUP(L1760,0)+2</f>
        <v>4</v>
      </c>
      <c r="M1748" s="108">
        <f t="shared" ref="M1748:Q1748" si="2543">SUBTOTAL(9,M1750:M1760)</f>
        <v>50.4</v>
      </c>
      <c r="N1748" s="108">
        <f t="shared" si="2543"/>
        <v>1591.52</v>
      </c>
      <c r="O1748" s="108">
        <f t="shared" si="2543"/>
        <v>276</v>
      </c>
      <c r="P1748" s="108">
        <f t="shared" si="2543"/>
        <v>576</v>
      </c>
      <c r="Q1748" s="108">
        <f t="shared" si="2543"/>
        <v>2493.92</v>
      </c>
      <c r="R1748" s="120"/>
      <c r="T1748" s="188"/>
    </row>
    <row r="1749" spans="1:20" x14ac:dyDescent="0.25">
      <c r="A1749" s="101"/>
      <c r="B1749" s="4">
        <v>1</v>
      </c>
      <c r="C1749" s="6" t="s">
        <v>187</v>
      </c>
      <c r="D1749" s="4"/>
      <c r="E1749" s="101" t="str">
        <f>IFERROR(VLOOKUP(C1749,Resources!B:D,3,FALSE)," ")</f>
        <v xml:space="preserve"> </v>
      </c>
      <c r="F1749" s="9"/>
      <c r="G1749" s="9"/>
      <c r="H1749" s="9"/>
      <c r="I1749" s="38" t="str">
        <f>IFERROR(VLOOKUP(C1749,Resources!B:G,6,FALSE)," ")</f>
        <v xml:space="preserve"> </v>
      </c>
      <c r="J1749" s="38"/>
      <c r="K1749" s="9"/>
      <c r="L1749" s="9"/>
      <c r="M1749" s="38"/>
      <c r="N1749" s="38"/>
      <c r="O1749" s="38"/>
      <c r="P1749" s="38"/>
      <c r="Q1749" s="38"/>
      <c r="R1749" s="122"/>
      <c r="T1749" s="188"/>
    </row>
    <row r="1750" spans="1:20" x14ac:dyDescent="0.25">
      <c r="A1750" s="100"/>
      <c r="B1750" s="3">
        <v>2</v>
      </c>
      <c r="C1750" s="5" t="s">
        <v>85</v>
      </c>
      <c r="D1750" s="3" t="s">
        <v>86</v>
      </c>
      <c r="E1750" s="100" t="str">
        <f>IFERROR(VLOOKUP(C1750,Resources!B:D,3,FALSE)," ")</f>
        <v>M</v>
      </c>
      <c r="F1750" s="8">
        <v>1</v>
      </c>
      <c r="G1750" s="8">
        <v>1</v>
      </c>
      <c r="H1750" s="8">
        <f>H1748*12*0.125*1.1</f>
        <v>4.95</v>
      </c>
      <c r="I1750" s="109">
        <f>IFERROR(VLOOKUP(C1750,Resources!B:G,6,FALSE)," ")</f>
        <v>192</v>
      </c>
      <c r="J1750" s="109">
        <f t="shared" ref="J1750:J1753" si="2544">(H1750/(G1750/F1750))*I1750</f>
        <v>950.40000000000009</v>
      </c>
      <c r="K1750" s="8"/>
      <c r="L1750" s="8" t="str">
        <f t="shared" ref="L1750:L1753" si="2545">IF(E1750="M"," ",H1750/G1750)</f>
        <v xml:space="preserve"> </v>
      </c>
      <c r="M1750" s="109">
        <f t="shared" ref="M1750:M1753" si="2546">IF($E1750="L",$J1750,0)</f>
        <v>0</v>
      </c>
      <c r="N1750" s="109">
        <f t="shared" ref="N1750:N1753" si="2547">IF($E1750="M",$J1750,0)</f>
        <v>950.40000000000009</v>
      </c>
      <c r="O1750" s="109">
        <f t="shared" ref="O1750:O1753" si="2548">IF($E1750="P",$J1750,0)</f>
        <v>0</v>
      </c>
      <c r="P1750" s="109">
        <f t="shared" ref="P1750:P1753" si="2549">IF($E1750="S",$J1750,0)</f>
        <v>0</v>
      </c>
      <c r="Q1750" s="109">
        <f t="shared" ref="Q1750:Q1753" si="2550">SUM(M1750:P1750)</f>
        <v>950.40000000000009</v>
      </c>
      <c r="R1750" s="121" t="s">
        <v>2335</v>
      </c>
      <c r="T1750" s="188"/>
    </row>
    <row r="1751" spans="1:20" x14ac:dyDescent="0.25">
      <c r="A1751" s="100"/>
      <c r="B1751" s="3">
        <v>3</v>
      </c>
      <c r="C1751" s="5" t="s">
        <v>81</v>
      </c>
      <c r="D1751" s="3" t="s">
        <v>82</v>
      </c>
      <c r="E1751" s="100" t="str">
        <f>IFERROR(VLOOKUP(C1751,Resources!B:D,3,FALSE)," ")</f>
        <v>M</v>
      </c>
      <c r="F1751" s="8">
        <v>1</v>
      </c>
      <c r="G1751" s="8">
        <v>1</v>
      </c>
      <c r="H1751" s="8">
        <f>H1748*12*0.1*1.5</f>
        <v>5.4</v>
      </c>
      <c r="I1751" s="109">
        <f>IFERROR(VLOOKUP(C1751,Resources!B:G,6,FALSE)," ")</f>
        <v>24</v>
      </c>
      <c r="J1751" s="109">
        <f t="shared" si="2544"/>
        <v>129.60000000000002</v>
      </c>
      <c r="K1751" s="8"/>
      <c r="L1751" s="8" t="str">
        <f t="shared" si="2545"/>
        <v xml:space="preserve"> </v>
      </c>
      <c r="M1751" s="109">
        <f t="shared" si="2546"/>
        <v>0</v>
      </c>
      <c r="N1751" s="109">
        <f t="shared" si="2547"/>
        <v>129.60000000000002</v>
      </c>
      <c r="O1751" s="109">
        <f t="shared" si="2548"/>
        <v>0</v>
      </c>
      <c r="P1751" s="109">
        <f t="shared" si="2549"/>
        <v>0</v>
      </c>
      <c r="Q1751" s="109">
        <f t="shared" si="2550"/>
        <v>129.60000000000002</v>
      </c>
      <c r="R1751" s="121" t="s">
        <v>2341</v>
      </c>
      <c r="T1751" s="188"/>
    </row>
    <row r="1752" spans="1:20" x14ac:dyDescent="0.25">
      <c r="A1752" s="100"/>
      <c r="B1752" s="3">
        <v>4</v>
      </c>
      <c r="C1752" s="5" t="s">
        <v>189</v>
      </c>
      <c r="D1752" s="3" t="s">
        <v>83</v>
      </c>
      <c r="E1752" s="100" t="str">
        <f>IFERROR(VLOOKUP(C1752,Resources!B:D,3,FALSE)," ")</f>
        <v>M</v>
      </c>
      <c r="F1752" s="8">
        <v>1</v>
      </c>
      <c r="G1752" s="8">
        <v>1</v>
      </c>
      <c r="H1752" s="8">
        <f>H1748*12*1.2</f>
        <v>43.199999999999996</v>
      </c>
      <c r="I1752" s="109">
        <f>IFERROR(VLOOKUP(C1752,Resources!B:G,6,FALSE)," ")</f>
        <v>9.1</v>
      </c>
      <c r="J1752" s="109">
        <f t="shared" si="2544"/>
        <v>393.11999999999995</v>
      </c>
      <c r="K1752" s="8"/>
      <c r="L1752" s="8" t="str">
        <f t="shared" si="2545"/>
        <v xml:space="preserve"> </v>
      </c>
      <c r="M1752" s="109">
        <f t="shared" si="2546"/>
        <v>0</v>
      </c>
      <c r="N1752" s="109">
        <f t="shared" si="2547"/>
        <v>393.11999999999995</v>
      </c>
      <c r="O1752" s="109">
        <f t="shared" si="2548"/>
        <v>0</v>
      </c>
      <c r="P1752" s="109">
        <f t="shared" si="2549"/>
        <v>0</v>
      </c>
      <c r="Q1752" s="109">
        <f t="shared" si="2550"/>
        <v>393.11999999999995</v>
      </c>
      <c r="R1752" s="121" t="s">
        <v>2343</v>
      </c>
      <c r="T1752" s="188"/>
    </row>
    <row r="1753" spans="1:20" x14ac:dyDescent="0.25">
      <c r="A1753" s="100"/>
      <c r="B1753" s="3">
        <v>5</v>
      </c>
      <c r="C1753" s="5" t="s">
        <v>190</v>
      </c>
      <c r="D1753" s="3" t="s">
        <v>89</v>
      </c>
      <c r="E1753" s="100" t="str">
        <f>IFERROR(VLOOKUP(C1753,Resources!B:D,3,FALSE)," ")</f>
        <v>M</v>
      </c>
      <c r="F1753" s="8">
        <v>1</v>
      </c>
      <c r="G1753" s="8">
        <v>1</v>
      </c>
      <c r="H1753" s="8">
        <f>H1748*12*1.2/1.5</f>
        <v>28.799999999999997</v>
      </c>
      <c r="I1753" s="109">
        <f>IFERROR(VLOOKUP(C1753,Resources!B:G,6,FALSE)," ")</f>
        <v>3</v>
      </c>
      <c r="J1753" s="109">
        <f t="shared" si="2544"/>
        <v>86.399999999999991</v>
      </c>
      <c r="K1753" s="8"/>
      <c r="L1753" s="8" t="str">
        <f t="shared" si="2545"/>
        <v xml:space="preserve"> </v>
      </c>
      <c r="M1753" s="109">
        <f t="shared" si="2546"/>
        <v>0</v>
      </c>
      <c r="N1753" s="109">
        <f t="shared" si="2547"/>
        <v>86.399999999999991</v>
      </c>
      <c r="O1753" s="109">
        <f t="shared" si="2548"/>
        <v>0</v>
      </c>
      <c r="P1753" s="109">
        <f t="shared" si="2549"/>
        <v>0</v>
      </c>
      <c r="Q1753" s="109">
        <f t="shared" si="2550"/>
        <v>86.399999999999991</v>
      </c>
      <c r="R1753" s="121" t="s">
        <v>2343</v>
      </c>
      <c r="T1753" s="188"/>
    </row>
    <row r="1754" spans="1:20" x14ac:dyDescent="0.25">
      <c r="A1754" s="101"/>
      <c r="B1754" s="4">
        <v>6</v>
      </c>
      <c r="C1754" s="6" t="s">
        <v>191</v>
      </c>
      <c r="D1754" s="4"/>
      <c r="E1754" s="101" t="str">
        <f>IFERROR(VLOOKUP(C1754,Resources!B:D,3,FALSE)," ")</f>
        <v xml:space="preserve"> </v>
      </c>
      <c r="F1754" s="9"/>
      <c r="G1754" s="9"/>
      <c r="H1754" s="9"/>
      <c r="I1754" s="38" t="str">
        <f>IFERROR(VLOOKUP(C1754,Resources!B:G,6,FALSE)," ")</f>
        <v xml:space="preserve"> </v>
      </c>
      <c r="J1754" s="38"/>
      <c r="K1754" s="9"/>
      <c r="L1754" s="9"/>
      <c r="M1754" s="38"/>
      <c r="N1754" s="38"/>
      <c r="O1754" s="38"/>
      <c r="P1754" s="38"/>
      <c r="Q1754" s="38"/>
      <c r="R1754" s="122"/>
      <c r="T1754" s="188"/>
    </row>
    <row r="1755" spans="1:20" x14ac:dyDescent="0.25">
      <c r="A1755" s="100">
        <v>230.1</v>
      </c>
      <c r="B1755" s="3">
        <v>7</v>
      </c>
      <c r="C1755" s="5" t="s">
        <v>63</v>
      </c>
      <c r="D1755" s="3" t="s">
        <v>48</v>
      </c>
      <c r="E1755" s="100" t="str">
        <f>IFERROR(VLOOKUP(C1755,Resources!B:D,3,FALSE)," ")</f>
        <v>P</v>
      </c>
      <c r="F1755" s="8">
        <v>1</v>
      </c>
      <c r="G1755" s="103">
        <f>VLOOKUP($A1755,'Model Inputs'!$A:$D,4,FALSE)</f>
        <v>3</v>
      </c>
      <c r="H1755" s="8">
        <f>H1748*12*0.1</f>
        <v>3.6</v>
      </c>
      <c r="I1755" s="109">
        <f>IFERROR(VLOOKUP(C1755,Resources!B:G,6,FALSE)," ")</f>
        <v>135</v>
      </c>
      <c r="J1755" s="109">
        <f t="shared" ref="J1755:J1757" si="2551">(H1755/(G1755/F1755))*I1755</f>
        <v>162</v>
      </c>
      <c r="K1755" s="8">
        <f t="shared" ref="K1755:K1757" si="2552">L1755*F1755</f>
        <v>1.2</v>
      </c>
      <c r="L1755" s="8">
        <f t="shared" ref="L1755:L1757" si="2553">IF(E1755="M"," ",H1755/G1755)</f>
        <v>1.2</v>
      </c>
      <c r="M1755" s="109">
        <f t="shared" ref="M1755:M1757" si="2554">IF($E1755="L",$J1755,0)</f>
        <v>0</v>
      </c>
      <c r="N1755" s="109">
        <f t="shared" ref="N1755:N1757" si="2555">IF($E1755="M",$J1755,0)</f>
        <v>0</v>
      </c>
      <c r="O1755" s="109">
        <f t="shared" ref="O1755:O1757" si="2556">IF($E1755="P",$J1755,0)</f>
        <v>162</v>
      </c>
      <c r="P1755" s="109">
        <f t="shared" ref="P1755:P1757" si="2557">IF($E1755="S",$J1755,0)</f>
        <v>0</v>
      </c>
      <c r="Q1755" s="109">
        <f t="shared" ref="Q1755:Q1757" si="2558">SUM(M1755:P1755)</f>
        <v>162</v>
      </c>
      <c r="R1755" s="121">
        <v>71</v>
      </c>
      <c r="T1755" s="188"/>
    </row>
    <row r="1756" spans="1:20" x14ac:dyDescent="0.25">
      <c r="A1756" s="100"/>
      <c r="B1756" s="3">
        <v>8</v>
      </c>
      <c r="C1756" s="5" t="s">
        <v>173</v>
      </c>
      <c r="D1756" s="3" t="s">
        <v>48</v>
      </c>
      <c r="E1756" s="100" t="str">
        <f>IFERROR(VLOOKUP(C1756,Resources!B:D,3,FALSE)," ")</f>
        <v>P</v>
      </c>
      <c r="F1756" s="8">
        <v>1</v>
      </c>
      <c r="G1756" s="8">
        <f>G1755</f>
        <v>3</v>
      </c>
      <c r="H1756" s="8">
        <f>H1755</f>
        <v>3.6</v>
      </c>
      <c r="I1756" s="109">
        <f>IFERROR(VLOOKUP(C1756,Resources!B:G,6,FALSE)," ")</f>
        <v>95</v>
      </c>
      <c r="J1756" s="109">
        <f t="shared" si="2551"/>
        <v>114</v>
      </c>
      <c r="K1756" s="8">
        <f t="shared" si="2552"/>
        <v>1.2</v>
      </c>
      <c r="L1756" s="8">
        <f t="shared" si="2553"/>
        <v>1.2</v>
      </c>
      <c r="M1756" s="109">
        <f t="shared" si="2554"/>
        <v>0</v>
      </c>
      <c r="N1756" s="109">
        <f t="shared" si="2555"/>
        <v>0</v>
      </c>
      <c r="O1756" s="109">
        <f t="shared" si="2556"/>
        <v>114</v>
      </c>
      <c r="P1756" s="109">
        <f t="shared" si="2557"/>
        <v>0</v>
      </c>
      <c r="Q1756" s="109">
        <f t="shared" si="2558"/>
        <v>114</v>
      </c>
      <c r="R1756" s="121">
        <v>71</v>
      </c>
      <c r="T1756" s="188"/>
    </row>
    <row r="1757" spans="1:20" x14ac:dyDescent="0.25">
      <c r="A1757" s="100"/>
      <c r="B1757" s="3">
        <v>9</v>
      </c>
      <c r="C1757" s="5" t="s">
        <v>8</v>
      </c>
      <c r="D1757" s="3" t="s">
        <v>48</v>
      </c>
      <c r="E1757" s="100" t="str">
        <f>IFERROR(VLOOKUP(C1757,Resources!B:D,3,FALSE)," ")</f>
        <v>L</v>
      </c>
      <c r="F1757" s="8">
        <v>1</v>
      </c>
      <c r="G1757" s="8">
        <f>G1755</f>
        <v>3</v>
      </c>
      <c r="H1757" s="8">
        <f>H1755</f>
        <v>3.6</v>
      </c>
      <c r="I1757" s="109">
        <f>IFERROR(VLOOKUP(C1757,Resources!B:G,6,FALSE)," ")</f>
        <v>42</v>
      </c>
      <c r="J1757" s="109">
        <f t="shared" si="2551"/>
        <v>50.4</v>
      </c>
      <c r="K1757" s="8">
        <f t="shared" si="2552"/>
        <v>1.2</v>
      </c>
      <c r="L1757" s="8">
        <f t="shared" si="2553"/>
        <v>1.2</v>
      </c>
      <c r="M1757" s="109">
        <f t="shared" si="2554"/>
        <v>50.4</v>
      </c>
      <c r="N1757" s="109">
        <f t="shared" si="2555"/>
        <v>0</v>
      </c>
      <c r="O1757" s="109">
        <f t="shared" si="2556"/>
        <v>0</v>
      </c>
      <c r="P1757" s="109">
        <f t="shared" si="2557"/>
        <v>0</v>
      </c>
      <c r="Q1757" s="109">
        <f t="shared" si="2558"/>
        <v>50.4</v>
      </c>
      <c r="R1757" s="121">
        <v>71</v>
      </c>
      <c r="T1757" s="188"/>
    </row>
    <row r="1758" spans="1:20" x14ac:dyDescent="0.25">
      <c r="A1758" s="101"/>
      <c r="B1758" s="4">
        <v>10</v>
      </c>
      <c r="C1758" s="6" t="s">
        <v>192</v>
      </c>
      <c r="D1758" s="4"/>
      <c r="E1758" s="101" t="str">
        <f>IFERROR(VLOOKUP(C1758,Resources!B:D,3,FALSE)," ")</f>
        <v xml:space="preserve"> </v>
      </c>
      <c r="F1758" s="9"/>
      <c r="G1758" s="9"/>
      <c r="H1758" s="9"/>
      <c r="I1758" s="38" t="str">
        <f>IFERROR(VLOOKUP(C1758,Resources!B:G,6,FALSE)," ")</f>
        <v xml:space="preserve"> </v>
      </c>
      <c r="J1758" s="38"/>
      <c r="K1758" s="9"/>
      <c r="L1758" s="9"/>
      <c r="M1758" s="38"/>
      <c r="N1758" s="38"/>
      <c r="O1758" s="38"/>
      <c r="P1758" s="38"/>
      <c r="Q1758" s="38"/>
      <c r="R1758" s="122"/>
      <c r="T1758" s="188"/>
    </row>
    <row r="1759" spans="1:20" x14ac:dyDescent="0.25">
      <c r="A1759" s="100"/>
      <c r="B1759" s="3">
        <v>11</v>
      </c>
      <c r="C1759" s="5" t="s">
        <v>84</v>
      </c>
      <c r="D1759" s="3" t="s">
        <v>29</v>
      </c>
      <c r="E1759" s="100" t="str">
        <f>IFERROR(VLOOKUP(C1759,Resources!B:D,3,FALSE)," ")</f>
        <v>M</v>
      </c>
      <c r="F1759" s="8">
        <v>1</v>
      </c>
      <c r="G1759" s="8">
        <v>1</v>
      </c>
      <c r="H1759" s="8">
        <f>H1748*12/0.9</f>
        <v>40</v>
      </c>
      <c r="I1759" s="109">
        <f>IFERROR(VLOOKUP(C1759,Resources!B:G,6,FALSE)," ")</f>
        <v>0.8</v>
      </c>
      <c r="J1759" s="109">
        <f t="shared" ref="J1759:J1760" si="2559">(H1759/(G1759/F1759))*I1759</f>
        <v>32</v>
      </c>
      <c r="K1759" s="8"/>
      <c r="L1759" s="8" t="str">
        <f t="shared" ref="L1759" si="2560">IF(E1759="M"," ",H1759/G1759)</f>
        <v xml:space="preserve"> </v>
      </c>
      <c r="M1759" s="109">
        <f t="shared" ref="M1759:M1760" si="2561">IF($E1759="L",$J1759,0)</f>
        <v>0</v>
      </c>
      <c r="N1759" s="109">
        <f t="shared" ref="N1759:N1760" si="2562">IF($E1759="M",$J1759,0)</f>
        <v>32</v>
      </c>
      <c r="O1759" s="109">
        <f t="shared" ref="O1759:O1760" si="2563">IF($E1759="P",$J1759,0)</f>
        <v>0</v>
      </c>
      <c r="P1759" s="109">
        <f t="shared" ref="P1759:P1760" si="2564">IF($E1759="S",$J1759,0)</f>
        <v>0</v>
      </c>
      <c r="Q1759" s="109">
        <f t="shared" ref="Q1759:Q1760" si="2565">SUM(M1759:P1759)</f>
        <v>32</v>
      </c>
      <c r="R1759" s="121" t="s">
        <v>2343</v>
      </c>
      <c r="T1759" s="188"/>
    </row>
    <row r="1760" spans="1:20" x14ac:dyDescent="0.25">
      <c r="A1760" s="100"/>
      <c r="B1760" s="3">
        <v>12</v>
      </c>
      <c r="C1760" s="5" t="s">
        <v>193</v>
      </c>
      <c r="D1760" s="3" t="s">
        <v>83</v>
      </c>
      <c r="E1760" s="100" t="str">
        <f>IFERROR(VLOOKUP(C1760,Resources!B:D,3,FALSE)," ")</f>
        <v>S</v>
      </c>
      <c r="F1760" s="8">
        <v>1</v>
      </c>
      <c r="G1760" s="8">
        <v>1</v>
      </c>
      <c r="H1760" s="8">
        <f>H1748*6</f>
        <v>18</v>
      </c>
      <c r="I1760" s="109">
        <f>IFERROR(VLOOKUP(C1760,Resources!B:G,6,FALSE)," ")</f>
        <v>32</v>
      </c>
      <c r="J1760" s="109">
        <f t="shared" si="2559"/>
        <v>576</v>
      </c>
      <c r="K1760" s="8"/>
      <c r="L1760" s="8">
        <f>H1748/2</f>
        <v>1.5</v>
      </c>
      <c r="M1760" s="109">
        <f t="shared" si="2561"/>
        <v>0</v>
      </c>
      <c r="N1760" s="109">
        <f t="shared" si="2562"/>
        <v>0</v>
      </c>
      <c r="O1760" s="109">
        <f t="shared" si="2563"/>
        <v>0</v>
      </c>
      <c r="P1760" s="109">
        <f t="shared" si="2564"/>
        <v>576</v>
      </c>
      <c r="Q1760" s="109">
        <f t="shared" si="2565"/>
        <v>576</v>
      </c>
      <c r="R1760" s="121">
        <v>71</v>
      </c>
      <c r="T1760" s="188"/>
    </row>
    <row r="1761" spans="1:20" x14ac:dyDescent="0.25">
      <c r="A1761" s="101"/>
      <c r="B1761" s="4"/>
      <c r="C1761" s="6"/>
      <c r="D1761" s="4"/>
      <c r="E1761" s="101" t="str">
        <f>IFERROR(VLOOKUP(C1761,Resources!B:D,3,FALSE)," ")</f>
        <v xml:space="preserve"> </v>
      </c>
      <c r="F1761" s="9"/>
      <c r="G1761" s="9"/>
      <c r="H1761" s="9"/>
      <c r="I1761" s="38" t="str">
        <f>IFERROR(VLOOKUP(C1761,Resources!B:G,6,FALSE)," ")</f>
        <v xml:space="preserve"> </v>
      </c>
      <c r="J1761" s="38"/>
      <c r="K1761" s="9"/>
      <c r="L1761" s="9"/>
      <c r="M1761" s="38"/>
      <c r="N1761" s="38"/>
      <c r="O1761" s="38"/>
      <c r="P1761" s="38"/>
      <c r="Q1761" s="38"/>
      <c r="R1761" s="122"/>
      <c r="T1761" s="188"/>
    </row>
    <row r="1762" spans="1:20" ht="30" x14ac:dyDescent="0.25">
      <c r="A1762" s="114">
        <v>231</v>
      </c>
      <c r="B1762" s="1" t="s">
        <v>753</v>
      </c>
      <c r="C1762" s="1" t="s">
        <v>679</v>
      </c>
      <c r="D1762" s="2" t="s">
        <v>107</v>
      </c>
      <c r="E1762" s="99" t="str">
        <f>IFERROR(VLOOKUP(C1762,Resources!B:D,3,FALSE)," ")</f>
        <v xml:space="preserve"> </v>
      </c>
      <c r="F1762" s="7"/>
      <c r="G1762" s="7"/>
      <c r="H1762" s="103">
        <f>VLOOKUP($A1762,'Model Inputs'!$A:$D,4,FALSE)</f>
        <v>18</v>
      </c>
      <c r="I1762" s="108">
        <f>J1762/H1762</f>
        <v>71.228888888888889</v>
      </c>
      <c r="J1762" s="108">
        <f>SUBTOTAL(9,J1764:J1774)</f>
        <v>1282.1199999999999</v>
      </c>
      <c r="K1762" s="7"/>
      <c r="L1762" s="7">
        <f>ROUNDUP(L1774,0)+2</f>
        <v>3</v>
      </c>
      <c r="M1762" s="108">
        <f t="shared" ref="M1762:Q1762" si="2566">SUBTOTAL(9,M1764:M1774)</f>
        <v>7.56</v>
      </c>
      <c r="N1762" s="108">
        <f t="shared" si="2566"/>
        <v>657.16000000000008</v>
      </c>
      <c r="O1762" s="108">
        <f t="shared" si="2566"/>
        <v>41.4</v>
      </c>
      <c r="P1762" s="108">
        <f t="shared" si="2566"/>
        <v>576</v>
      </c>
      <c r="Q1762" s="108">
        <f t="shared" si="2566"/>
        <v>1282.1199999999999</v>
      </c>
      <c r="R1762" s="120"/>
      <c r="T1762" s="188"/>
    </row>
    <row r="1763" spans="1:20" x14ac:dyDescent="0.25">
      <c r="A1763" s="101"/>
      <c r="B1763" s="4">
        <v>1</v>
      </c>
      <c r="C1763" s="6" t="s">
        <v>187</v>
      </c>
      <c r="D1763" s="4"/>
      <c r="E1763" s="101" t="str">
        <f>IFERROR(VLOOKUP(C1763,Resources!B:D,3,FALSE)," ")</f>
        <v xml:space="preserve"> </v>
      </c>
      <c r="F1763" s="9"/>
      <c r="G1763" s="9"/>
      <c r="H1763" s="9"/>
      <c r="I1763" s="38" t="str">
        <f>IFERROR(VLOOKUP(C1763,Resources!B:G,6,FALSE)," ")</f>
        <v xml:space="preserve"> </v>
      </c>
      <c r="J1763" s="38"/>
      <c r="K1763" s="9"/>
      <c r="L1763" s="9"/>
      <c r="M1763" s="38"/>
      <c r="N1763" s="38"/>
      <c r="O1763" s="38"/>
      <c r="P1763" s="38"/>
      <c r="Q1763" s="38"/>
      <c r="R1763" s="122"/>
      <c r="T1763" s="188"/>
    </row>
    <row r="1764" spans="1:20" x14ac:dyDescent="0.25">
      <c r="A1764" s="100"/>
      <c r="B1764" s="3">
        <v>2</v>
      </c>
      <c r="C1764" s="5" t="s">
        <v>188</v>
      </c>
      <c r="D1764" s="3" t="s">
        <v>86</v>
      </c>
      <c r="E1764" s="100" t="str">
        <f>IFERROR(VLOOKUP(C1764,Resources!B:D,3,FALSE)," ")</f>
        <v>M</v>
      </c>
      <c r="F1764" s="8">
        <v>1</v>
      </c>
      <c r="G1764" s="8">
        <v>1</v>
      </c>
      <c r="H1764" s="8">
        <f>H1762*0.1*1.1</f>
        <v>1.9800000000000002</v>
      </c>
      <c r="I1764" s="109">
        <f>IFERROR(VLOOKUP(C1764,Resources!B:G,6,FALSE)," ")</f>
        <v>170</v>
      </c>
      <c r="J1764" s="109">
        <f t="shared" ref="J1764:J1767" si="2567">(H1764/(G1764/F1764))*I1764</f>
        <v>336.6</v>
      </c>
      <c r="K1764" s="8"/>
      <c r="L1764" s="8" t="str">
        <f t="shared" ref="L1764:L1767" si="2568">IF(E1764="M"," ",H1764/G1764)</f>
        <v xml:space="preserve"> </v>
      </c>
      <c r="M1764" s="109">
        <f t="shared" ref="M1764:M1767" si="2569">IF($E1764="L",$J1764,0)</f>
        <v>0</v>
      </c>
      <c r="N1764" s="109">
        <f t="shared" ref="N1764:N1767" si="2570">IF($E1764="M",$J1764,0)</f>
        <v>336.6</v>
      </c>
      <c r="O1764" s="109">
        <f t="shared" ref="O1764:O1767" si="2571">IF($E1764="P",$J1764,0)</f>
        <v>0</v>
      </c>
      <c r="P1764" s="109">
        <f t="shared" ref="P1764:P1767" si="2572">IF($E1764="S",$J1764,0)</f>
        <v>0</v>
      </c>
      <c r="Q1764" s="109">
        <f t="shared" ref="Q1764:Q1767" si="2573">SUM(M1764:P1764)</f>
        <v>336.6</v>
      </c>
      <c r="R1764" s="121" t="s">
        <v>2334</v>
      </c>
      <c r="T1764" s="188"/>
    </row>
    <row r="1765" spans="1:20" x14ac:dyDescent="0.25">
      <c r="A1765" s="100"/>
      <c r="B1765" s="3">
        <v>3</v>
      </c>
      <c r="C1765" s="5" t="s">
        <v>81</v>
      </c>
      <c r="D1765" s="3" t="s">
        <v>82</v>
      </c>
      <c r="E1765" s="100" t="str">
        <f>IFERROR(VLOOKUP(C1765,Resources!B:D,3,FALSE)," ")</f>
        <v>M</v>
      </c>
      <c r="F1765" s="8">
        <v>1</v>
      </c>
      <c r="G1765" s="8">
        <v>1</v>
      </c>
      <c r="H1765" s="8">
        <f>H1762*0.1*1.5</f>
        <v>2.7</v>
      </c>
      <c r="I1765" s="109">
        <f>IFERROR(VLOOKUP(C1765,Resources!B:G,6,FALSE)," ")</f>
        <v>24</v>
      </c>
      <c r="J1765" s="109">
        <f t="shared" si="2567"/>
        <v>64.800000000000011</v>
      </c>
      <c r="K1765" s="8"/>
      <c r="L1765" s="8" t="str">
        <f t="shared" si="2568"/>
        <v xml:space="preserve"> </v>
      </c>
      <c r="M1765" s="109">
        <f t="shared" si="2569"/>
        <v>0</v>
      </c>
      <c r="N1765" s="109">
        <f t="shared" si="2570"/>
        <v>64.800000000000011</v>
      </c>
      <c r="O1765" s="109">
        <f t="shared" si="2571"/>
        <v>0</v>
      </c>
      <c r="P1765" s="109">
        <f t="shared" si="2572"/>
        <v>0</v>
      </c>
      <c r="Q1765" s="109">
        <f t="shared" si="2573"/>
        <v>64.800000000000011</v>
      </c>
      <c r="R1765" s="121" t="s">
        <v>2341</v>
      </c>
      <c r="T1765" s="188"/>
    </row>
    <row r="1766" spans="1:20" x14ac:dyDescent="0.25">
      <c r="A1766" s="100"/>
      <c r="B1766" s="3">
        <v>4</v>
      </c>
      <c r="C1766" s="5" t="s">
        <v>189</v>
      </c>
      <c r="D1766" s="3" t="s">
        <v>83</v>
      </c>
      <c r="E1766" s="100" t="str">
        <f>IFERROR(VLOOKUP(C1766,Resources!B:D,3,FALSE)," ")</f>
        <v>M</v>
      </c>
      <c r="F1766" s="8">
        <v>1</v>
      </c>
      <c r="G1766" s="8">
        <v>1</v>
      </c>
      <c r="H1766" s="8">
        <f>H1762*1.2</f>
        <v>21.599999999999998</v>
      </c>
      <c r="I1766" s="109">
        <f>IFERROR(VLOOKUP(C1766,Resources!B:G,6,FALSE)," ")</f>
        <v>9.1</v>
      </c>
      <c r="J1766" s="109">
        <f t="shared" si="2567"/>
        <v>196.55999999999997</v>
      </c>
      <c r="K1766" s="8"/>
      <c r="L1766" s="8" t="str">
        <f t="shared" si="2568"/>
        <v xml:space="preserve"> </v>
      </c>
      <c r="M1766" s="109">
        <f t="shared" si="2569"/>
        <v>0</v>
      </c>
      <c r="N1766" s="109">
        <f t="shared" si="2570"/>
        <v>196.55999999999997</v>
      </c>
      <c r="O1766" s="109">
        <f t="shared" si="2571"/>
        <v>0</v>
      </c>
      <c r="P1766" s="109">
        <f t="shared" si="2572"/>
        <v>0</v>
      </c>
      <c r="Q1766" s="109">
        <f t="shared" si="2573"/>
        <v>196.55999999999997</v>
      </c>
      <c r="R1766" s="121" t="s">
        <v>2343</v>
      </c>
      <c r="T1766" s="188"/>
    </row>
    <row r="1767" spans="1:20" x14ac:dyDescent="0.25">
      <c r="A1767" s="100"/>
      <c r="B1767" s="3">
        <v>5</v>
      </c>
      <c r="C1767" s="5" t="s">
        <v>190</v>
      </c>
      <c r="D1767" s="3" t="s">
        <v>89</v>
      </c>
      <c r="E1767" s="100" t="str">
        <f>IFERROR(VLOOKUP(C1767,Resources!B:D,3,FALSE)," ")</f>
        <v>M</v>
      </c>
      <c r="F1767" s="8">
        <v>1</v>
      </c>
      <c r="G1767" s="8">
        <v>1</v>
      </c>
      <c r="H1767" s="8">
        <f>H1762*1.2/1.5</f>
        <v>14.399999999999999</v>
      </c>
      <c r="I1767" s="109">
        <f>IFERROR(VLOOKUP(C1767,Resources!B:G,6,FALSE)," ")</f>
        <v>3</v>
      </c>
      <c r="J1767" s="109">
        <f t="shared" si="2567"/>
        <v>43.199999999999996</v>
      </c>
      <c r="K1767" s="8"/>
      <c r="L1767" s="8" t="str">
        <f t="shared" si="2568"/>
        <v xml:space="preserve"> </v>
      </c>
      <c r="M1767" s="109">
        <f t="shared" si="2569"/>
        <v>0</v>
      </c>
      <c r="N1767" s="109">
        <f t="shared" si="2570"/>
        <v>43.199999999999996</v>
      </c>
      <c r="O1767" s="109">
        <f t="shared" si="2571"/>
        <v>0</v>
      </c>
      <c r="P1767" s="109">
        <f t="shared" si="2572"/>
        <v>0</v>
      </c>
      <c r="Q1767" s="109">
        <f t="shared" si="2573"/>
        <v>43.199999999999996</v>
      </c>
      <c r="R1767" s="121" t="s">
        <v>2343</v>
      </c>
      <c r="T1767" s="188"/>
    </row>
    <row r="1768" spans="1:20" x14ac:dyDescent="0.25">
      <c r="A1768" s="101"/>
      <c r="B1768" s="4">
        <v>6</v>
      </c>
      <c r="C1768" s="6" t="s">
        <v>191</v>
      </c>
      <c r="D1768" s="4"/>
      <c r="E1768" s="101" t="str">
        <f>IFERROR(VLOOKUP(C1768,Resources!B:D,3,FALSE)," ")</f>
        <v xml:space="preserve"> </v>
      </c>
      <c r="F1768" s="9"/>
      <c r="G1768" s="9"/>
      <c r="H1768" s="9"/>
      <c r="I1768" s="38" t="str">
        <f>IFERROR(VLOOKUP(C1768,Resources!B:G,6,FALSE)," ")</f>
        <v xml:space="preserve"> </v>
      </c>
      <c r="J1768" s="38"/>
      <c r="K1768" s="9"/>
      <c r="L1768" s="9"/>
      <c r="M1768" s="38"/>
      <c r="N1768" s="38"/>
      <c r="O1768" s="38"/>
      <c r="P1768" s="38"/>
      <c r="Q1768" s="38"/>
      <c r="R1768" s="122"/>
      <c r="T1768" s="188"/>
    </row>
    <row r="1769" spans="1:20" x14ac:dyDescent="0.25">
      <c r="A1769" s="100">
        <v>231.1</v>
      </c>
      <c r="B1769" s="3">
        <v>7</v>
      </c>
      <c r="C1769" s="5" t="s">
        <v>63</v>
      </c>
      <c r="D1769" s="3" t="s">
        <v>48</v>
      </c>
      <c r="E1769" s="100" t="str">
        <f>IFERROR(VLOOKUP(C1769,Resources!B:D,3,FALSE)," ")</f>
        <v>P</v>
      </c>
      <c r="F1769" s="8">
        <v>1</v>
      </c>
      <c r="G1769" s="103">
        <f>VLOOKUP($A1769,'Model Inputs'!$A:$D,4,FALSE)</f>
        <v>10</v>
      </c>
      <c r="H1769" s="8">
        <f>H1762*0.1</f>
        <v>1.8</v>
      </c>
      <c r="I1769" s="109">
        <f>IFERROR(VLOOKUP(C1769,Resources!B:G,6,FALSE)," ")</f>
        <v>135</v>
      </c>
      <c r="J1769" s="109">
        <f t="shared" ref="J1769:J1771" si="2574">(H1769/(G1769/F1769))*I1769</f>
        <v>24.3</v>
      </c>
      <c r="K1769" s="8">
        <f t="shared" ref="K1769:K1771" si="2575">L1769*F1769</f>
        <v>0.18</v>
      </c>
      <c r="L1769" s="8">
        <f t="shared" ref="L1769:L1771" si="2576">IF(E1769="M"," ",H1769/G1769)</f>
        <v>0.18</v>
      </c>
      <c r="M1769" s="109">
        <f t="shared" ref="M1769:M1771" si="2577">IF($E1769="L",$J1769,0)</f>
        <v>0</v>
      </c>
      <c r="N1769" s="109">
        <f t="shared" ref="N1769:N1771" si="2578">IF($E1769="M",$J1769,0)</f>
        <v>0</v>
      </c>
      <c r="O1769" s="109">
        <f t="shared" ref="O1769:O1771" si="2579">IF($E1769="P",$J1769,0)</f>
        <v>24.3</v>
      </c>
      <c r="P1769" s="109">
        <f t="shared" ref="P1769:P1771" si="2580">IF($E1769="S",$J1769,0)</f>
        <v>0</v>
      </c>
      <c r="Q1769" s="109">
        <f t="shared" ref="Q1769:Q1771" si="2581">SUM(M1769:P1769)</f>
        <v>24.3</v>
      </c>
      <c r="R1769" s="121">
        <v>71</v>
      </c>
      <c r="T1769" s="188"/>
    </row>
    <row r="1770" spans="1:20" x14ac:dyDescent="0.25">
      <c r="A1770" s="100"/>
      <c r="B1770" s="3">
        <v>8</v>
      </c>
      <c r="C1770" s="5" t="s">
        <v>173</v>
      </c>
      <c r="D1770" s="3" t="s">
        <v>48</v>
      </c>
      <c r="E1770" s="100" t="str">
        <f>IFERROR(VLOOKUP(C1770,Resources!B:D,3,FALSE)," ")</f>
        <v>P</v>
      </c>
      <c r="F1770" s="8">
        <v>1</v>
      </c>
      <c r="G1770" s="8">
        <f>G1769</f>
        <v>10</v>
      </c>
      <c r="H1770" s="8">
        <f>H1769</f>
        <v>1.8</v>
      </c>
      <c r="I1770" s="109">
        <f>IFERROR(VLOOKUP(C1770,Resources!B:G,6,FALSE)," ")</f>
        <v>95</v>
      </c>
      <c r="J1770" s="109">
        <f t="shared" si="2574"/>
        <v>17.099999999999998</v>
      </c>
      <c r="K1770" s="8">
        <f t="shared" si="2575"/>
        <v>0.18</v>
      </c>
      <c r="L1770" s="8">
        <f t="shared" si="2576"/>
        <v>0.18</v>
      </c>
      <c r="M1770" s="109">
        <f t="shared" si="2577"/>
        <v>0</v>
      </c>
      <c r="N1770" s="109">
        <f t="shared" si="2578"/>
        <v>0</v>
      </c>
      <c r="O1770" s="109">
        <f t="shared" si="2579"/>
        <v>17.099999999999998</v>
      </c>
      <c r="P1770" s="109">
        <f t="shared" si="2580"/>
        <v>0</v>
      </c>
      <c r="Q1770" s="109">
        <f t="shared" si="2581"/>
        <v>17.099999999999998</v>
      </c>
      <c r="R1770" s="121">
        <v>71</v>
      </c>
      <c r="T1770" s="188"/>
    </row>
    <row r="1771" spans="1:20" x14ac:dyDescent="0.25">
      <c r="A1771" s="100"/>
      <c r="B1771" s="3">
        <v>9</v>
      </c>
      <c r="C1771" s="5" t="s">
        <v>8</v>
      </c>
      <c r="D1771" s="3" t="s">
        <v>48</v>
      </c>
      <c r="E1771" s="100" t="str">
        <f>IFERROR(VLOOKUP(C1771,Resources!B:D,3,FALSE)," ")</f>
        <v>L</v>
      </c>
      <c r="F1771" s="8">
        <v>1</v>
      </c>
      <c r="G1771" s="8">
        <f>G1769</f>
        <v>10</v>
      </c>
      <c r="H1771" s="8">
        <f>H1769</f>
        <v>1.8</v>
      </c>
      <c r="I1771" s="109">
        <f>IFERROR(VLOOKUP(C1771,Resources!B:G,6,FALSE)," ")</f>
        <v>42</v>
      </c>
      <c r="J1771" s="109">
        <f t="shared" si="2574"/>
        <v>7.56</v>
      </c>
      <c r="K1771" s="8">
        <f t="shared" si="2575"/>
        <v>0.18</v>
      </c>
      <c r="L1771" s="8">
        <f t="shared" si="2576"/>
        <v>0.18</v>
      </c>
      <c r="M1771" s="109">
        <f t="shared" si="2577"/>
        <v>7.56</v>
      </c>
      <c r="N1771" s="109">
        <f t="shared" si="2578"/>
        <v>0</v>
      </c>
      <c r="O1771" s="109">
        <f t="shared" si="2579"/>
        <v>0</v>
      </c>
      <c r="P1771" s="109">
        <f t="shared" si="2580"/>
        <v>0</v>
      </c>
      <c r="Q1771" s="109">
        <f t="shared" si="2581"/>
        <v>7.56</v>
      </c>
      <c r="R1771" s="121">
        <v>71</v>
      </c>
      <c r="T1771" s="188"/>
    </row>
    <row r="1772" spans="1:20" x14ac:dyDescent="0.25">
      <c r="A1772" s="101"/>
      <c r="B1772" s="4">
        <v>10</v>
      </c>
      <c r="C1772" s="6" t="s">
        <v>192</v>
      </c>
      <c r="D1772" s="4"/>
      <c r="E1772" s="101" t="str">
        <f>IFERROR(VLOOKUP(C1772,Resources!B:D,3,FALSE)," ")</f>
        <v xml:space="preserve"> </v>
      </c>
      <c r="F1772" s="9"/>
      <c r="G1772" s="9"/>
      <c r="H1772" s="9"/>
      <c r="I1772" s="38" t="str">
        <f>IFERROR(VLOOKUP(C1772,Resources!B:G,6,FALSE)," ")</f>
        <v xml:space="preserve"> </v>
      </c>
      <c r="J1772" s="38"/>
      <c r="K1772" s="9"/>
      <c r="L1772" s="9"/>
      <c r="M1772" s="38"/>
      <c r="N1772" s="38"/>
      <c r="O1772" s="38"/>
      <c r="P1772" s="38"/>
      <c r="Q1772" s="38"/>
      <c r="R1772" s="122"/>
      <c r="T1772" s="188"/>
    </row>
    <row r="1773" spans="1:20" x14ac:dyDescent="0.25">
      <c r="A1773" s="100"/>
      <c r="B1773" s="3">
        <v>11</v>
      </c>
      <c r="C1773" s="5" t="s">
        <v>84</v>
      </c>
      <c r="D1773" s="3" t="s">
        <v>29</v>
      </c>
      <c r="E1773" s="100" t="str">
        <f>IFERROR(VLOOKUP(C1773,Resources!B:D,3,FALSE)," ")</f>
        <v>M</v>
      </c>
      <c r="F1773" s="8">
        <v>1</v>
      </c>
      <c r="G1773" s="8">
        <v>1</v>
      </c>
      <c r="H1773" s="8">
        <f>H1762/0.9</f>
        <v>20</v>
      </c>
      <c r="I1773" s="109">
        <f>IFERROR(VLOOKUP(C1773,Resources!B:G,6,FALSE)," ")</f>
        <v>0.8</v>
      </c>
      <c r="J1773" s="109">
        <f t="shared" ref="J1773:J1774" si="2582">(H1773/(G1773/F1773))*I1773</f>
        <v>16</v>
      </c>
      <c r="K1773" s="8"/>
      <c r="L1773" s="8" t="str">
        <f t="shared" ref="L1773" si="2583">IF(E1773="M"," ",H1773/G1773)</f>
        <v xml:space="preserve"> </v>
      </c>
      <c r="M1773" s="109">
        <f t="shared" ref="M1773:M1774" si="2584">IF($E1773="L",$J1773,0)</f>
        <v>0</v>
      </c>
      <c r="N1773" s="109">
        <f t="shared" ref="N1773:N1774" si="2585">IF($E1773="M",$J1773,0)</f>
        <v>16</v>
      </c>
      <c r="O1773" s="109">
        <f t="shared" ref="O1773:O1774" si="2586">IF($E1773="P",$J1773,0)</f>
        <v>0</v>
      </c>
      <c r="P1773" s="109">
        <f t="shared" ref="P1773:P1774" si="2587">IF($E1773="S",$J1773,0)</f>
        <v>0</v>
      </c>
      <c r="Q1773" s="109">
        <f t="shared" ref="Q1773:Q1774" si="2588">SUM(M1773:P1773)</f>
        <v>16</v>
      </c>
      <c r="R1773" s="121" t="s">
        <v>2343</v>
      </c>
      <c r="T1773" s="188"/>
    </row>
    <row r="1774" spans="1:20" x14ac:dyDescent="0.25">
      <c r="A1774" s="100"/>
      <c r="B1774" s="3">
        <v>12</v>
      </c>
      <c r="C1774" s="5" t="s">
        <v>193</v>
      </c>
      <c r="D1774" s="3" t="s">
        <v>83</v>
      </c>
      <c r="E1774" s="100" t="str">
        <f>IFERROR(VLOOKUP(C1774,Resources!B:D,3,FALSE)," ")</f>
        <v>S</v>
      </c>
      <c r="F1774" s="8">
        <v>1</v>
      </c>
      <c r="G1774" s="8">
        <v>1</v>
      </c>
      <c r="H1774" s="8">
        <f>H1762</f>
        <v>18</v>
      </c>
      <c r="I1774" s="109">
        <f>IFERROR(VLOOKUP(C1774,Resources!B:G,6,FALSE)," ")</f>
        <v>32</v>
      </c>
      <c r="J1774" s="109">
        <f t="shared" si="2582"/>
        <v>576</v>
      </c>
      <c r="K1774" s="8"/>
      <c r="L1774" s="8">
        <f>H1762/50</f>
        <v>0.36</v>
      </c>
      <c r="M1774" s="109">
        <f t="shared" si="2584"/>
        <v>0</v>
      </c>
      <c r="N1774" s="109">
        <f t="shared" si="2585"/>
        <v>0</v>
      </c>
      <c r="O1774" s="109">
        <f t="shared" si="2586"/>
        <v>0</v>
      </c>
      <c r="P1774" s="109">
        <f t="shared" si="2587"/>
        <v>576</v>
      </c>
      <c r="Q1774" s="109">
        <f t="shared" si="2588"/>
        <v>576</v>
      </c>
      <c r="R1774" s="121">
        <v>71</v>
      </c>
      <c r="T1774" s="188"/>
    </row>
    <row r="1775" spans="1:20" x14ac:dyDescent="0.25">
      <c r="A1775" s="101"/>
      <c r="B1775" s="4"/>
      <c r="C1775" s="6"/>
      <c r="D1775" s="4"/>
      <c r="E1775" s="101" t="str">
        <f>IFERROR(VLOOKUP(C1775,Resources!B:D,3,FALSE)," ")</f>
        <v xml:space="preserve"> </v>
      </c>
      <c r="F1775" s="9"/>
      <c r="G1775" s="9"/>
      <c r="H1775" s="9"/>
      <c r="I1775" s="38" t="str">
        <f>IFERROR(VLOOKUP(C1775,Resources!B:G,6,FALSE)," ")</f>
        <v xml:space="preserve"> </v>
      </c>
      <c r="J1775" s="38"/>
      <c r="K1775" s="9"/>
      <c r="L1775" s="9"/>
      <c r="M1775" s="38"/>
      <c r="N1775" s="38"/>
      <c r="O1775" s="38"/>
      <c r="P1775" s="38"/>
      <c r="Q1775" s="38"/>
      <c r="R1775" s="122"/>
      <c r="T1775" s="188"/>
    </row>
    <row r="1776" spans="1:20" ht="30" x14ac:dyDescent="0.25">
      <c r="A1776" s="114"/>
      <c r="B1776" s="1" t="s">
        <v>754</v>
      </c>
      <c r="C1776" s="1" t="s">
        <v>138</v>
      </c>
      <c r="D1776" s="2"/>
      <c r="E1776" s="99" t="str">
        <f>IFERROR(VLOOKUP(C1776,Resources!B:D,3,FALSE)," ")</f>
        <v xml:space="preserve"> </v>
      </c>
      <c r="F1776" s="7"/>
      <c r="G1776" s="7"/>
      <c r="H1776" s="7"/>
      <c r="I1776" s="108" t="str">
        <f>IFERROR(VLOOKUP(C1776,Resources!B:G,6,FALSE)," ")</f>
        <v xml:space="preserve"> </v>
      </c>
      <c r="J1776" s="108"/>
      <c r="K1776" s="7"/>
      <c r="L1776" s="7"/>
      <c r="M1776" s="108"/>
      <c r="N1776" s="108"/>
      <c r="O1776" s="108"/>
      <c r="P1776" s="108"/>
      <c r="Q1776" s="108"/>
      <c r="R1776" s="120"/>
      <c r="T1776" s="188"/>
    </row>
    <row r="1777" spans="1:20" ht="30" x14ac:dyDescent="0.25">
      <c r="A1777" s="114"/>
      <c r="B1777" s="1" t="s">
        <v>755</v>
      </c>
      <c r="C1777" s="1" t="s">
        <v>140</v>
      </c>
      <c r="D1777" s="2"/>
      <c r="E1777" s="99" t="str">
        <f>IFERROR(VLOOKUP(C1777,Resources!B:D,3,FALSE)," ")</f>
        <v xml:space="preserve"> </v>
      </c>
      <c r="F1777" s="7"/>
      <c r="G1777" s="7"/>
      <c r="H1777" s="7"/>
      <c r="I1777" s="108" t="str">
        <f>IFERROR(VLOOKUP(C1777,Resources!B:G,6,FALSE)," ")</f>
        <v xml:space="preserve"> </v>
      </c>
      <c r="J1777" s="108"/>
      <c r="K1777" s="7"/>
      <c r="L1777" s="7"/>
      <c r="M1777" s="108"/>
      <c r="N1777" s="108"/>
      <c r="O1777" s="108"/>
      <c r="P1777" s="108"/>
      <c r="Q1777" s="108"/>
      <c r="R1777" s="120"/>
      <c r="T1777" s="188"/>
    </row>
    <row r="1778" spans="1:20" ht="30" x14ac:dyDescent="0.25">
      <c r="A1778" s="114">
        <v>232</v>
      </c>
      <c r="B1778" s="1" t="s">
        <v>756</v>
      </c>
      <c r="C1778" s="1" t="s">
        <v>241</v>
      </c>
      <c r="D1778" s="2" t="s">
        <v>107</v>
      </c>
      <c r="E1778" s="99" t="str">
        <f>IFERROR(VLOOKUP(C1778,Resources!B:D,3,FALSE)," ")</f>
        <v xml:space="preserve"> </v>
      </c>
      <c r="F1778" s="7"/>
      <c r="G1778" s="7"/>
      <c r="H1778" s="103">
        <f>VLOOKUP($A1778,'Model Inputs'!$A:$D,4,FALSE)</f>
        <v>100</v>
      </c>
      <c r="I1778" s="108" t="str">
        <f>IFERROR(VLOOKUP(C1778,Resources!B:G,6,FALSE)," ")</f>
        <v xml:space="preserve"> </v>
      </c>
      <c r="J1778" s="108">
        <f>SUBTOTAL(9,J1779)</f>
        <v>892.5</v>
      </c>
      <c r="K1778" s="7"/>
      <c r="L1778" s="7">
        <f>ROUNDUP(L1779,0)</f>
        <v>1</v>
      </c>
      <c r="M1778" s="108">
        <f t="shared" ref="M1778:Q1778" si="2589">SUBTOTAL(9,M1779)</f>
        <v>0</v>
      </c>
      <c r="N1778" s="108">
        <f t="shared" si="2589"/>
        <v>0</v>
      </c>
      <c r="O1778" s="108">
        <f t="shared" si="2589"/>
        <v>0</v>
      </c>
      <c r="P1778" s="108">
        <f t="shared" si="2589"/>
        <v>892.5</v>
      </c>
      <c r="Q1778" s="108">
        <f t="shared" si="2589"/>
        <v>892.5</v>
      </c>
      <c r="R1778" s="120"/>
      <c r="T1778" s="188"/>
    </row>
    <row r="1779" spans="1:20" x14ac:dyDescent="0.25">
      <c r="A1779" s="100"/>
      <c r="B1779" s="3">
        <v>1</v>
      </c>
      <c r="C1779" s="5" t="s">
        <v>242</v>
      </c>
      <c r="D1779" s="3" t="s">
        <v>83</v>
      </c>
      <c r="E1779" s="100" t="str">
        <f>IFERROR(VLOOKUP(C1779,Resources!B:D,3,FALSE)," ")</f>
        <v>S</v>
      </c>
      <c r="F1779" s="8">
        <v>1</v>
      </c>
      <c r="G1779" s="8">
        <v>1</v>
      </c>
      <c r="H1779" s="8">
        <f>H1778*1.05</f>
        <v>105</v>
      </c>
      <c r="I1779" s="109">
        <f>IFERROR(VLOOKUP(C1779,Resources!B:G,6,FALSE)," ")</f>
        <v>8.5</v>
      </c>
      <c r="J1779" s="109">
        <f t="shared" ref="J1779" si="2590">(H1779/(G1779/F1779))*I1779</f>
        <v>892.5</v>
      </c>
      <c r="K1779" s="8"/>
      <c r="L1779" s="8">
        <f>H1779/500</f>
        <v>0.21</v>
      </c>
      <c r="M1779" s="109">
        <f t="shared" ref="M1779" si="2591">IF($E1779="L",$J1779,0)</f>
        <v>0</v>
      </c>
      <c r="N1779" s="109">
        <f t="shared" ref="N1779" si="2592">IF($E1779="M",$J1779,0)</f>
        <v>0</v>
      </c>
      <c r="O1779" s="109">
        <f t="shared" ref="O1779" si="2593">IF($E1779="P",$J1779,0)</f>
        <v>0</v>
      </c>
      <c r="P1779" s="109">
        <f t="shared" ref="P1779" si="2594">IF($E1779="S",$J1779,0)</f>
        <v>892.5</v>
      </c>
      <c r="Q1779" s="109">
        <f t="shared" ref="Q1779" si="2595">SUM(M1779:P1779)</f>
        <v>892.5</v>
      </c>
      <c r="R1779" s="121">
        <v>121</v>
      </c>
      <c r="T1779" s="188"/>
    </row>
    <row r="1780" spans="1:20" x14ac:dyDescent="0.25">
      <c r="A1780" s="101"/>
      <c r="B1780" s="4"/>
      <c r="C1780" s="6"/>
      <c r="D1780" s="4"/>
      <c r="E1780" s="101" t="str">
        <f>IFERROR(VLOOKUP(C1780,Resources!B:D,3,FALSE)," ")</f>
        <v xml:space="preserve"> </v>
      </c>
      <c r="F1780" s="9"/>
      <c r="G1780" s="9"/>
      <c r="H1780" s="9"/>
      <c r="I1780" s="38" t="str">
        <f>IFERROR(VLOOKUP(C1780,Resources!B:G,6,FALSE)," ")</f>
        <v xml:space="preserve"> </v>
      </c>
      <c r="J1780" s="38"/>
      <c r="K1780" s="9"/>
      <c r="L1780" s="9"/>
      <c r="M1780" s="38"/>
      <c r="N1780" s="38"/>
      <c r="O1780" s="38"/>
      <c r="P1780" s="38"/>
      <c r="Q1780" s="38"/>
      <c r="R1780" s="122"/>
      <c r="T1780" s="188"/>
    </row>
    <row r="1781" spans="1:20" ht="30" x14ac:dyDescent="0.25">
      <c r="A1781" s="114"/>
      <c r="B1781" s="1" t="s">
        <v>757</v>
      </c>
      <c r="C1781" s="1" t="s">
        <v>418</v>
      </c>
      <c r="D1781" s="2"/>
      <c r="E1781" s="99" t="str">
        <f>IFERROR(VLOOKUP(C1781,Resources!B:D,3,FALSE)," ")</f>
        <v xml:space="preserve"> </v>
      </c>
      <c r="F1781" s="7"/>
      <c r="G1781" s="7"/>
      <c r="H1781" s="7"/>
      <c r="I1781" s="108" t="str">
        <f>IFERROR(VLOOKUP(C1781,Resources!B:G,6,FALSE)," ")</f>
        <v xml:space="preserve"> </v>
      </c>
      <c r="J1781" s="108"/>
      <c r="K1781" s="7"/>
      <c r="L1781" s="7"/>
      <c r="M1781" s="108"/>
      <c r="N1781" s="108"/>
      <c r="O1781" s="108"/>
      <c r="P1781" s="108"/>
      <c r="Q1781" s="108"/>
      <c r="R1781" s="120"/>
      <c r="T1781" s="188"/>
    </row>
    <row r="1782" spans="1:20" ht="30" x14ac:dyDescent="0.25">
      <c r="A1782" s="114"/>
      <c r="B1782" s="1" t="s">
        <v>758</v>
      </c>
      <c r="C1782" s="1" t="s">
        <v>420</v>
      </c>
      <c r="D1782" s="2"/>
      <c r="E1782" s="99" t="str">
        <f>IFERROR(VLOOKUP(C1782,Resources!B:D,3,FALSE)," ")</f>
        <v xml:space="preserve"> </v>
      </c>
      <c r="F1782" s="7"/>
      <c r="G1782" s="7"/>
      <c r="H1782" s="7"/>
      <c r="I1782" s="108" t="str">
        <f>IFERROR(VLOOKUP(C1782,Resources!B:G,6,FALSE)," ")</f>
        <v xml:space="preserve"> </v>
      </c>
      <c r="J1782" s="108"/>
      <c r="K1782" s="7"/>
      <c r="L1782" s="7"/>
      <c r="M1782" s="108"/>
      <c r="N1782" s="108"/>
      <c r="O1782" s="108"/>
      <c r="P1782" s="108"/>
      <c r="Q1782" s="108"/>
      <c r="R1782" s="120"/>
      <c r="T1782" s="188"/>
    </row>
    <row r="1783" spans="1:20" ht="30" x14ac:dyDescent="0.25">
      <c r="A1783" s="114">
        <v>233</v>
      </c>
      <c r="B1783" s="1" t="s">
        <v>759</v>
      </c>
      <c r="C1783" s="1" t="s">
        <v>686</v>
      </c>
      <c r="D1783" s="2" t="s">
        <v>20</v>
      </c>
      <c r="E1783" s="99" t="str">
        <f>IFERROR(VLOOKUP(C1783,Resources!B:D,3,FALSE)," ")</f>
        <v xml:space="preserve"> </v>
      </c>
      <c r="F1783" s="7"/>
      <c r="G1783" s="7"/>
      <c r="H1783" s="103">
        <f>VLOOKUP($A1783,'Model Inputs'!$A:$D,4,FALSE)</f>
        <v>1</v>
      </c>
      <c r="I1783" s="108" t="str">
        <f>IFERROR(VLOOKUP(C1783,Resources!B:G,6,FALSE)," ")</f>
        <v xml:space="preserve"> </v>
      </c>
      <c r="J1783" s="108">
        <f>SUBTOTAL(9,J1784)</f>
        <v>8000</v>
      </c>
      <c r="K1783" s="7"/>
      <c r="L1783" s="7">
        <f>ROUNDUP(L1784,0)</f>
        <v>2</v>
      </c>
      <c r="M1783" s="108">
        <f t="shared" ref="M1783:Q1783" si="2596">SUBTOTAL(9,M1784)</f>
        <v>0</v>
      </c>
      <c r="N1783" s="108">
        <f t="shared" si="2596"/>
        <v>0</v>
      </c>
      <c r="O1783" s="108">
        <f t="shared" si="2596"/>
        <v>0</v>
      </c>
      <c r="P1783" s="108">
        <f t="shared" si="2596"/>
        <v>8000</v>
      </c>
      <c r="Q1783" s="108">
        <f t="shared" si="2596"/>
        <v>8000</v>
      </c>
      <c r="R1783" s="120"/>
      <c r="T1783" s="188"/>
    </row>
    <row r="1784" spans="1:20" x14ac:dyDescent="0.25">
      <c r="A1784" s="100"/>
      <c r="B1784" s="3">
        <v>1</v>
      </c>
      <c r="C1784" s="5" t="s">
        <v>306</v>
      </c>
      <c r="D1784" s="3" t="s">
        <v>33</v>
      </c>
      <c r="E1784" s="100" t="str">
        <f>IFERROR(VLOOKUP(C1784,Resources!B:D,3,FALSE)," ")</f>
        <v>S</v>
      </c>
      <c r="F1784" s="8">
        <v>1</v>
      </c>
      <c r="G1784" s="8">
        <v>1</v>
      </c>
      <c r="H1784" s="8">
        <f>H1783*8000</f>
        <v>8000</v>
      </c>
      <c r="I1784" s="109">
        <f>IFERROR(VLOOKUP(C1784,Resources!B:G,6,FALSE)," ")</f>
        <v>1</v>
      </c>
      <c r="J1784" s="109">
        <f t="shared" ref="J1784" si="2597">(H1784/(G1784/F1784))*I1784</f>
        <v>8000</v>
      </c>
      <c r="K1784" s="8"/>
      <c r="L1784" s="8">
        <f>H1784/4000</f>
        <v>2</v>
      </c>
      <c r="M1784" s="109">
        <f t="shared" ref="M1784" si="2598">IF($E1784="L",$J1784,0)</f>
        <v>0</v>
      </c>
      <c r="N1784" s="109">
        <f t="shared" ref="N1784" si="2599">IF($E1784="M",$J1784,0)</f>
        <v>0</v>
      </c>
      <c r="O1784" s="109">
        <f t="shared" ref="O1784" si="2600">IF($E1784="P",$J1784,0)</f>
        <v>0</v>
      </c>
      <c r="P1784" s="109">
        <f t="shared" ref="P1784" si="2601">IF($E1784="S",$J1784,0)</f>
        <v>8000</v>
      </c>
      <c r="Q1784" s="109">
        <f t="shared" ref="Q1784" si="2602">SUM(M1784:P1784)</f>
        <v>8000</v>
      </c>
      <c r="R1784" s="121">
        <v>103</v>
      </c>
      <c r="T1784" s="188"/>
    </row>
    <row r="1785" spans="1:20" x14ac:dyDescent="0.25">
      <c r="A1785" s="101"/>
      <c r="B1785" s="4"/>
      <c r="C1785" s="6"/>
      <c r="D1785" s="4"/>
      <c r="E1785" s="101" t="str">
        <f>IFERROR(VLOOKUP(C1785,Resources!B:D,3,FALSE)," ")</f>
        <v xml:space="preserve"> </v>
      </c>
      <c r="F1785" s="9"/>
      <c r="G1785" s="9"/>
      <c r="H1785" s="9"/>
      <c r="I1785" s="38" t="str">
        <f>IFERROR(VLOOKUP(C1785,Resources!B:G,6,FALSE)," ")</f>
        <v xml:space="preserve"> </v>
      </c>
      <c r="J1785" s="38"/>
      <c r="K1785" s="9"/>
      <c r="L1785" s="9"/>
      <c r="M1785" s="38"/>
      <c r="N1785" s="38"/>
      <c r="O1785" s="38"/>
      <c r="P1785" s="38"/>
      <c r="Q1785" s="38"/>
      <c r="R1785" s="122"/>
      <c r="T1785" s="188"/>
    </row>
    <row r="1786" spans="1:20" ht="30" x14ac:dyDescent="0.25">
      <c r="A1786" s="114">
        <v>234</v>
      </c>
      <c r="B1786" s="1" t="s">
        <v>760</v>
      </c>
      <c r="C1786" s="1" t="s">
        <v>514</v>
      </c>
      <c r="D1786" s="2" t="s">
        <v>20</v>
      </c>
      <c r="E1786" s="99" t="str">
        <f>IFERROR(VLOOKUP(C1786,Resources!B:D,3,FALSE)," ")</f>
        <v xml:space="preserve"> </v>
      </c>
      <c r="F1786" s="7"/>
      <c r="G1786" s="7"/>
      <c r="H1786" s="103">
        <f>VLOOKUP($A1786,'Model Inputs'!$A:$D,4,FALSE)</f>
        <v>1</v>
      </c>
      <c r="I1786" s="108" t="str">
        <f>IFERROR(VLOOKUP(C1786,Resources!B:G,6,FALSE)," ")</f>
        <v xml:space="preserve"> </v>
      </c>
      <c r="J1786" s="108">
        <f>SUBTOTAL(9,J1787)</f>
        <v>10980</v>
      </c>
      <c r="K1786" s="7"/>
      <c r="L1786" s="7">
        <f>ROUNDUP(L1787,0)</f>
        <v>3</v>
      </c>
      <c r="M1786" s="108">
        <f t="shared" ref="M1786" si="2603">SUBTOTAL(9,M1787)</f>
        <v>0</v>
      </c>
      <c r="N1786" s="108">
        <f t="shared" ref="N1786" si="2604">SUBTOTAL(9,N1787)</f>
        <v>0</v>
      </c>
      <c r="O1786" s="108">
        <f t="shared" ref="O1786" si="2605">SUBTOTAL(9,O1787)</f>
        <v>0</v>
      </c>
      <c r="P1786" s="108">
        <f t="shared" ref="P1786" si="2606">SUBTOTAL(9,P1787)</f>
        <v>10980</v>
      </c>
      <c r="Q1786" s="108">
        <f t="shared" ref="Q1786" si="2607">SUBTOTAL(9,Q1787)</f>
        <v>10980</v>
      </c>
      <c r="R1786" s="120"/>
      <c r="T1786" s="188"/>
    </row>
    <row r="1787" spans="1:20" x14ac:dyDescent="0.25">
      <c r="A1787" s="100"/>
      <c r="B1787" s="3">
        <v>1</v>
      </c>
      <c r="C1787" s="5" t="s">
        <v>306</v>
      </c>
      <c r="D1787" s="3" t="s">
        <v>33</v>
      </c>
      <c r="E1787" s="100" t="str">
        <f>IFERROR(VLOOKUP(C1787,Resources!B:D,3,FALSE)," ")</f>
        <v>S</v>
      </c>
      <c r="F1787" s="8">
        <v>1</v>
      </c>
      <c r="G1787" s="8">
        <v>1</v>
      </c>
      <c r="H1787" s="8">
        <f>H1786*10980</f>
        <v>10980</v>
      </c>
      <c r="I1787" s="109">
        <f>IFERROR(VLOOKUP(C1787,Resources!B:G,6,FALSE)," ")</f>
        <v>1</v>
      </c>
      <c r="J1787" s="109">
        <f t="shared" ref="J1787" si="2608">(H1787/(G1787/F1787))*I1787</f>
        <v>10980</v>
      </c>
      <c r="K1787" s="8"/>
      <c r="L1787" s="8">
        <f>H1787/4000</f>
        <v>2.7450000000000001</v>
      </c>
      <c r="M1787" s="109">
        <f t="shared" ref="M1787" si="2609">IF($E1787="L",$J1787,0)</f>
        <v>0</v>
      </c>
      <c r="N1787" s="109">
        <f t="shared" ref="N1787" si="2610">IF($E1787="M",$J1787,0)</f>
        <v>0</v>
      </c>
      <c r="O1787" s="109">
        <f t="shared" ref="O1787" si="2611">IF($E1787="P",$J1787,0)</f>
        <v>0</v>
      </c>
      <c r="P1787" s="109">
        <f t="shared" ref="P1787" si="2612">IF($E1787="S",$J1787,0)</f>
        <v>10980</v>
      </c>
      <c r="Q1787" s="109">
        <f t="shared" ref="Q1787" si="2613">SUM(M1787:P1787)</f>
        <v>10980</v>
      </c>
      <c r="R1787" s="121">
        <v>103</v>
      </c>
      <c r="T1787" s="188"/>
    </row>
    <row r="1788" spans="1:20" x14ac:dyDescent="0.25">
      <c r="A1788" s="101"/>
      <c r="B1788" s="4"/>
      <c r="C1788" s="6"/>
      <c r="D1788" s="4"/>
      <c r="E1788" s="101" t="str">
        <f>IFERROR(VLOOKUP(C1788,Resources!B:D,3,FALSE)," ")</f>
        <v xml:space="preserve"> </v>
      </c>
      <c r="F1788" s="9"/>
      <c r="G1788" s="9"/>
      <c r="H1788" s="9"/>
      <c r="I1788" s="38" t="str">
        <f>IFERROR(VLOOKUP(C1788,Resources!B:G,6,FALSE)," ")</f>
        <v xml:space="preserve"> </v>
      </c>
      <c r="J1788" s="38"/>
      <c r="K1788" s="9"/>
      <c r="L1788" s="9"/>
      <c r="M1788" s="38"/>
      <c r="N1788" s="38"/>
      <c r="O1788" s="38"/>
      <c r="P1788" s="38"/>
      <c r="Q1788" s="38"/>
      <c r="R1788" s="122"/>
      <c r="T1788" s="188"/>
    </row>
    <row r="1789" spans="1:20" ht="30" x14ac:dyDescent="0.25">
      <c r="A1789" s="114"/>
      <c r="B1789" s="1" t="s">
        <v>761</v>
      </c>
      <c r="C1789" s="1" t="s">
        <v>145</v>
      </c>
      <c r="D1789" s="2"/>
      <c r="E1789" s="99" t="str">
        <f>IFERROR(VLOOKUP(C1789,Resources!B:D,3,FALSE)," ")</f>
        <v xml:space="preserve"> </v>
      </c>
      <c r="F1789" s="7"/>
      <c r="G1789" s="7"/>
      <c r="H1789" s="7"/>
      <c r="I1789" s="108" t="str">
        <f>IFERROR(VLOOKUP(C1789,Resources!B:G,6,FALSE)," ")</f>
        <v xml:space="preserve"> </v>
      </c>
      <c r="J1789" s="108"/>
      <c r="K1789" s="7"/>
      <c r="L1789" s="7"/>
      <c r="M1789" s="108"/>
      <c r="N1789" s="108"/>
      <c r="O1789" s="108"/>
      <c r="P1789" s="108"/>
      <c r="Q1789" s="108"/>
      <c r="R1789" s="120"/>
      <c r="T1789" s="188"/>
    </row>
    <row r="1790" spans="1:20" ht="30" x14ac:dyDescent="0.25">
      <c r="A1790" s="114">
        <v>235</v>
      </c>
      <c r="B1790" s="1" t="s">
        <v>762</v>
      </c>
      <c r="C1790" s="1" t="s">
        <v>147</v>
      </c>
      <c r="D1790" s="2" t="s">
        <v>20</v>
      </c>
      <c r="E1790" s="99" t="str">
        <f>IFERROR(VLOOKUP(C1790,Resources!B:D,3,FALSE)," ")</f>
        <v xml:space="preserve"> </v>
      </c>
      <c r="F1790" s="7"/>
      <c r="G1790" s="7"/>
      <c r="H1790" s="103">
        <f>VLOOKUP($A1790,'Model Inputs'!$A:$D,4,FALSE)</f>
        <v>1</v>
      </c>
      <c r="I1790" s="108" t="str">
        <f>IFERROR(VLOOKUP(C1790,Resources!B:G,6,FALSE)," ")</f>
        <v xml:space="preserve"> </v>
      </c>
      <c r="J1790" s="108">
        <f>SUBTOTAL(9,J1791)</f>
        <v>2400</v>
      </c>
      <c r="K1790" s="7"/>
      <c r="L1790" s="7">
        <f>ROUNDUP(L1791/Workhrs,0)</f>
        <v>3</v>
      </c>
      <c r="M1790" s="108">
        <f t="shared" ref="M1790" si="2614">SUBTOTAL(9,M1791)</f>
        <v>0</v>
      </c>
      <c r="N1790" s="108">
        <f t="shared" ref="N1790" si="2615">SUBTOTAL(9,N1791)</f>
        <v>0</v>
      </c>
      <c r="O1790" s="108">
        <f t="shared" ref="O1790" si="2616">SUBTOTAL(9,O1791)</f>
        <v>0</v>
      </c>
      <c r="P1790" s="108">
        <f t="shared" ref="P1790" si="2617">SUBTOTAL(9,P1791)</f>
        <v>2400</v>
      </c>
      <c r="Q1790" s="108">
        <f t="shared" ref="Q1790" si="2618">SUBTOTAL(9,Q1791)</f>
        <v>2400</v>
      </c>
      <c r="R1790" s="120"/>
      <c r="T1790" s="188"/>
    </row>
    <row r="1791" spans="1:20" x14ac:dyDescent="0.25">
      <c r="A1791" s="100"/>
      <c r="B1791" s="3">
        <v>1</v>
      </c>
      <c r="C1791" s="5" t="s">
        <v>148</v>
      </c>
      <c r="D1791" s="3" t="s">
        <v>33</v>
      </c>
      <c r="E1791" s="100" t="str">
        <f>IFERROR(VLOOKUP(C1791,Resources!B:D,3,FALSE)," ")</f>
        <v>S</v>
      </c>
      <c r="F1791" s="8">
        <v>1</v>
      </c>
      <c r="G1791" s="8">
        <v>1</v>
      </c>
      <c r="H1791" s="8">
        <f>H1790*2400</f>
        <v>2400</v>
      </c>
      <c r="I1791" s="109">
        <f>IFERROR(VLOOKUP(C1791,Resources!B:G,6,FALSE)," ")</f>
        <v>1</v>
      </c>
      <c r="J1791" s="109">
        <f t="shared" ref="J1791" si="2619">(H1791/(G1791/F1791))*I1791</f>
        <v>2400</v>
      </c>
      <c r="K1791" s="8"/>
      <c r="L1791" s="8">
        <f>H1791/125</f>
        <v>19.2</v>
      </c>
      <c r="M1791" s="109">
        <f t="shared" ref="M1791" si="2620">IF($E1791="L",$J1791,0)</f>
        <v>0</v>
      </c>
      <c r="N1791" s="109">
        <f t="shared" ref="N1791" si="2621">IF($E1791="M",$J1791,0)</f>
        <v>0</v>
      </c>
      <c r="O1791" s="109">
        <f t="shared" ref="O1791" si="2622">IF($E1791="P",$J1791,0)</f>
        <v>0</v>
      </c>
      <c r="P1791" s="109">
        <f t="shared" ref="P1791" si="2623">IF($E1791="S",$J1791,0)</f>
        <v>2400</v>
      </c>
      <c r="Q1791" s="109">
        <f t="shared" ref="Q1791" si="2624">SUM(M1791:P1791)</f>
        <v>2400</v>
      </c>
      <c r="R1791" s="121">
        <v>12</v>
      </c>
      <c r="T1791" s="188"/>
    </row>
    <row r="1792" spans="1:20" x14ac:dyDescent="0.25">
      <c r="A1792" s="101"/>
      <c r="B1792" s="4"/>
      <c r="C1792" s="6"/>
      <c r="D1792" s="4"/>
      <c r="E1792" s="101" t="str">
        <f>IFERROR(VLOOKUP(C1792,Resources!B:D,3,FALSE)," ")</f>
        <v xml:space="preserve"> </v>
      </c>
      <c r="F1792" s="9"/>
      <c r="G1792" s="9"/>
      <c r="H1792" s="9"/>
      <c r="I1792" s="38" t="str">
        <f>IFERROR(VLOOKUP(C1792,Resources!B:G,6,FALSE)," ")</f>
        <v xml:space="preserve"> </v>
      </c>
      <c r="J1792" s="38"/>
      <c r="K1792" s="9"/>
      <c r="L1792" s="9"/>
      <c r="M1792" s="38"/>
      <c r="N1792" s="38"/>
      <c r="O1792" s="38"/>
      <c r="P1792" s="38"/>
      <c r="Q1792" s="38"/>
      <c r="R1792" s="122"/>
      <c r="T1792" s="188"/>
    </row>
    <row r="1793" spans="1:22" x14ac:dyDescent="0.25">
      <c r="A1793" s="101"/>
      <c r="B1793" s="4"/>
      <c r="C1793" s="6"/>
      <c r="D1793" s="4"/>
      <c r="E1793" s="101" t="str">
        <f>IFERROR(VLOOKUP(C1793,Resources!B:D,3,FALSE)," ")</f>
        <v xml:space="preserve"> </v>
      </c>
      <c r="F1793" s="4"/>
      <c r="G1793" s="4"/>
      <c r="H1793" s="4"/>
      <c r="I1793" s="38" t="str">
        <f>IFERROR(VLOOKUP(C1793,Resources!B:G,6,FALSE)," ")</f>
        <v xml:space="preserve"> </v>
      </c>
      <c r="J1793" s="38"/>
      <c r="K1793" s="4"/>
      <c r="L1793" s="4"/>
      <c r="M1793" s="38"/>
      <c r="N1793" s="38"/>
      <c r="O1793" s="38"/>
      <c r="P1793" s="38"/>
      <c r="Q1793" s="38"/>
      <c r="R1793" s="123"/>
      <c r="T1793" s="188"/>
    </row>
    <row r="1794" spans="1:22" s="10" customFormat="1" x14ac:dyDescent="0.25">
      <c r="A1794" s="106"/>
      <c r="B1794" s="104" t="s">
        <v>0</v>
      </c>
      <c r="C1794" s="105" t="s">
        <v>1</v>
      </c>
      <c r="D1794" s="104" t="s">
        <v>3</v>
      </c>
      <c r="E1794" s="106" t="str">
        <f>IFERROR(VLOOKUP(C1794,Resources!B:D,3,FALSE)," ")</f>
        <v xml:space="preserve"> </v>
      </c>
      <c r="F1794" s="104" t="s">
        <v>4</v>
      </c>
      <c r="G1794" s="104" t="s">
        <v>5</v>
      </c>
      <c r="H1794" s="104" t="s">
        <v>6</v>
      </c>
      <c r="I1794" s="110" t="str">
        <f>IFERROR(VLOOKUP(C1794,Resources!B:G,6,FALSE)," ")</f>
        <v xml:space="preserve"> </v>
      </c>
      <c r="J1794" s="110"/>
      <c r="K1794" s="104"/>
      <c r="L1794" s="104"/>
      <c r="M1794" s="110" t="s">
        <v>8</v>
      </c>
      <c r="N1794" s="110" t="s">
        <v>9</v>
      </c>
      <c r="O1794" s="110" t="s">
        <v>10</v>
      </c>
      <c r="P1794" s="110" t="s">
        <v>11</v>
      </c>
      <c r="Q1794" s="110" t="s">
        <v>12</v>
      </c>
      <c r="R1794" s="124"/>
      <c r="T1794" s="188"/>
      <c r="U1794"/>
      <c r="V1794"/>
    </row>
    <row r="1795" spans="1:22" ht="30" x14ac:dyDescent="0.25">
      <c r="A1795" s="114">
        <v>9001</v>
      </c>
      <c r="B1795" s="1" t="s">
        <v>763</v>
      </c>
      <c r="C1795" s="1" t="s">
        <v>764</v>
      </c>
      <c r="D1795" s="2"/>
      <c r="E1795" s="99" t="str">
        <f>IFERROR(VLOOKUP(C1795,Resources!B:D,3,FALSE)," ")</f>
        <v xml:space="preserve"> </v>
      </c>
      <c r="F1795" s="7"/>
      <c r="G1795" s="7"/>
      <c r="H1795" s="103">
        <f>VLOOKUP($A1795,'Model Inputs'!$A:$D,4,FALSE)</f>
        <v>1</v>
      </c>
      <c r="I1795" s="108" t="str">
        <f>IFERROR(VLOOKUP(C1795,Resources!B:G,6,FALSE)," ")</f>
        <v xml:space="preserve"> </v>
      </c>
      <c r="J1795" s="108">
        <f>SUBTOTAL(9,J1796)</f>
        <v>6500</v>
      </c>
      <c r="K1795" s="7"/>
      <c r="L1795" s="7"/>
      <c r="M1795" s="108">
        <f t="shared" ref="M1795" si="2625">SUBTOTAL(9,M1796)</f>
        <v>6500</v>
      </c>
      <c r="N1795" s="108">
        <f t="shared" ref="N1795" si="2626">SUBTOTAL(9,N1796)</f>
        <v>0</v>
      </c>
      <c r="O1795" s="108">
        <f t="shared" ref="O1795" si="2627">SUBTOTAL(9,O1796)</f>
        <v>0</v>
      </c>
      <c r="P1795" s="108">
        <f t="shared" ref="P1795" si="2628">SUBTOTAL(9,P1796)</f>
        <v>0</v>
      </c>
      <c r="Q1795" s="108">
        <f t="shared" ref="Q1795" si="2629">SUBTOTAL(9,Q1796)</f>
        <v>6500</v>
      </c>
      <c r="R1795" s="120"/>
      <c r="T1795" s="188"/>
    </row>
    <row r="1796" spans="1:22" x14ac:dyDescent="0.25">
      <c r="A1796" s="100"/>
      <c r="B1796" s="3">
        <v>1</v>
      </c>
      <c r="C1796" s="5" t="s">
        <v>21</v>
      </c>
      <c r="D1796" s="3" t="s">
        <v>22</v>
      </c>
      <c r="E1796" s="100" t="str">
        <f>IFERROR(VLOOKUP(C1796,Resources!B:D,3,FALSE)," ")</f>
        <v>L</v>
      </c>
      <c r="F1796" s="8">
        <v>1</v>
      </c>
      <c r="G1796" s="8">
        <v>1</v>
      </c>
      <c r="H1796" s="8">
        <f>H1795*2</f>
        <v>2</v>
      </c>
      <c r="I1796" s="109">
        <f>IFERROR(VLOOKUP(C1796,Resources!B:G,6,FALSE)," ")</f>
        <v>3250</v>
      </c>
      <c r="J1796" s="109">
        <f t="shared" ref="J1796" si="2630">(H1796/(G1796/F1796))*I1796</f>
        <v>6500</v>
      </c>
      <c r="K1796" s="8">
        <f t="shared" ref="K1796" si="2631">L1796*F1796</f>
        <v>2</v>
      </c>
      <c r="L1796" s="8">
        <f t="shared" ref="L1796" si="2632">IF(E1796="M"," ",H1796/G1796)</f>
        <v>2</v>
      </c>
      <c r="M1796" s="109">
        <f t="shared" ref="M1796" si="2633">IF($E1796="L",$J1796,0)</f>
        <v>6500</v>
      </c>
      <c r="N1796" s="109">
        <f t="shared" ref="N1796" si="2634">IF($E1796="M",$J1796,0)</f>
        <v>0</v>
      </c>
      <c r="O1796" s="109">
        <f t="shared" ref="O1796" si="2635">IF($E1796="P",$J1796,0)</f>
        <v>0</v>
      </c>
      <c r="P1796" s="109">
        <f t="shared" ref="P1796" si="2636">IF($E1796="S",$J1796,0)</f>
        <v>0</v>
      </c>
      <c r="Q1796" s="109">
        <f t="shared" ref="Q1796" si="2637">SUM(M1796:P1796)</f>
        <v>6500</v>
      </c>
      <c r="R1796" s="121">
        <v>901</v>
      </c>
      <c r="T1796" s="188"/>
    </row>
    <row r="1797" spans="1:22" x14ac:dyDescent="0.25">
      <c r="A1797" s="101"/>
      <c r="B1797" s="4"/>
      <c r="C1797" s="6"/>
      <c r="D1797" s="4"/>
      <c r="E1797" s="101" t="str">
        <f>IFERROR(VLOOKUP(C1797,Resources!B:D,3,FALSE)," ")</f>
        <v xml:space="preserve"> </v>
      </c>
      <c r="F1797" s="4"/>
      <c r="G1797" s="4"/>
      <c r="H1797" s="4"/>
      <c r="I1797" s="38" t="str">
        <f>IFERROR(VLOOKUP(C1797,Resources!B:G,6,FALSE)," ")</f>
        <v xml:space="preserve"> </v>
      </c>
      <c r="J1797" s="38"/>
      <c r="K1797" s="4"/>
      <c r="L1797" s="4"/>
      <c r="M1797" s="38"/>
      <c r="N1797" s="38"/>
      <c r="O1797" s="38"/>
      <c r="P1797" s="38"/>
      <c r="Q1797" s="38"/>
      <c r="R1797" s="123"/>
      <c r="T1797" s="188"/>
    </row>
    <row r="1798" spans="1:22" ht="30" x14ac:dyDescent="0.25">
      <c r="A1798" s="114">
        <v>9002</v>
      </c>
      <c r="B1798" s="1" t="s">
        <v>765</v>
      </c>
      <c r="C1798" s="1" t="s">
        <v>766</v>
      </c>
      <c r="D1798" s="2"/>
      <c r="E1798" s="99" t="str">
        <f>IFERROR(VLOOKUP(C1798,Resources!B:D,3,FALSE)," ")</f>
        <v xml:space="preserve"> </v>
      </c>
      <c r="F1798" s="7"/>
      <c r="G1798" s="7"/>
      <c r="H1798" s="103">
        <f>VLOOKUP($A1798,'Model Inputs'!$A:$D,4,FALSE)</f>
        <v>1</v>
      </c>
      <c r="I1798" s="108" t="str">
        <f>IFERROR(VLOOKUP(C1798,Resources!B:G,6,FALSE)," ")</f>
        <v xml:space="preserve"> </v>
      </c>
      <c r="J1798" s="108">
        <f>SUBTOTAL(9,J1799)</f>
        <v>107200</v>
      </c>
      <c r="K1798" s="7"/>
      <c r="L1798" s="7"/>
      <c r="M1798" s="108">
        <f t="shared" ref="M1798" si="2638">SUBTOTAL(9,M1799)</f>
        <v>107200</v>
      </c>
      <c r="N1798" s="108">
        <f t="shared" ref="N1798" si="2639">SUBTOTAL(9,N1799)</f>
        <v>0</v>
      </c>
      <c r="O1798" s="108">
        <f t="shared" ref="O1798" si="2640">SUBTOTAL(9,O1799)</f>
        <v>0</v>
      </c>
      <c r="P1798" s="108">
        <f t="shared" ref="P1798" si="2641">SUBTOTAL(9,P1799)</f>
        <v>0</v>
      </c>
      <c r="Q1798" s="108">
        <f t="shared" ref="Q1798" si="2642">SUBTOTAL(9,Q1799)</f>
        <v>107200</v>
      </c>
      <c r="R1798" s="120"/>
      <c r="T1798" s="188"/>
    </row>
    <row r="1799" spans="1:22" x14ac:dyDescent="0.25">
      <c r="A1799" s="100"/>
      <c r="B1799" s="3">
        <v>1</v>
      </c>
      <c r="C1799" s="5" t="s">
        <v>47</v>
      </c>
      <c r="D1799" s="3" t="s">
        <v>22</v>
      </c>
      <c r="E1799" s="100" t="str">
        <f>IFERROR(VLOOKUP(C1799,Resources!B:D,3,FALSE)," ")</f>
        <v>L</v>
      </c>
      <c r="F1799" s="8">
        <v>1</v>
      </c>
      <c r="G1799" s="8">
        <v>1</v>
      </c>
      <c r="H1799" s="8">
        <f>H1798*32</f>
        <v>32</v>
      </c>
      <c r="I1799" s="109">
        <f>IFERROR(VLOOKUP(C1799,Resources!B:G,6,FALSE)," ")</f>
        <v>3350</v>
      </c>
      <c r="J1799" s="109">
        <f t="shared" ref="J1799" si="2643">(H1799/(G1799/F1799))*I1799</f>
        <v>107200</v>
      </c>
      <c r="K1799" s="8">
        <f t="shared" ref="K1799" si="2644">L1799*F1799</f>
        <v>32</v>
      </c>
      <c r="L1799" s="8">
        <f t="shared" ref="L1799" si="2645">IF(E1799="M"," ",H1799/G1799)</f>
        <v>32</v>
      </c>
      <c r="M1799" s="109">
        <f t="shared" ref="M1799" si="2646">IF($E1799="L",$J1799,0)</f>
        <v>107200</v>
      </c>
      <c r="N1799" s="109">
        <f t="shared" ref="N1799" si="2647">IF($E1799="M",$J1799,0)</f>
        <v>0</v>
      </c>
      <c r="O1799" s="109">
        <f t="shared" ref="O1799" si="2648">IF($E1799="P",$J1799,0)</f>
        <v>0</v>
      </c>
      <c r="P1799" s="109">
        <f t="shared" ref="P1799" si="2649">IF($E1799="S",$J1799,0)</f>
        <v>0</v>
      </c>
      <c r="Q1799" s="109">
        <f t="shared" ref="Q1799" si="2650">SUM(M1799:P1799)</f>
        <v>107200</v>
      </c>
      <c r="R1799" s="121">
        <v>902</v>
      </c>
      <c r="T1799" s="188"/>
    </row>
    <row r="1800" spans="1:22" x14ac:dyDescent="0.25">
      <c r="A1800" s="101"/>
      <c r="B1800" s="4"/>
      <c r="C1800" s="6"/>
      <c r="D1800" s="4"/>
      <c r="E1800" s="101" t="str">
        <f>IFERROR(VLOOKUP(C1800,Resources!B:D,3,FALSE)," ")</f>
        <v xml:space="preserve"> </v>
      </c>
      <c r="F1800" s="4"/>
      <c r="G1800" s="4"/>
      <c r="H1800" s="4"/>
      <c r="I1800" s="38" t="str">
        <f>IFERROR(VLOOKUP(C1800,Resources!B:G,6,FALSE)," ")</f>
        <v xml:space="preserve"> </v>
      </c>
      <c r="J1800" s="38"/>
      <c r="K1800" s="4"/>
      <c r="L1800" s="4"/>
      <c r="M1800" s="38"/>
      <c r="N1800" s="38"/>
      <c r="O1800" s="38"/>
      <c r="P1800" s="38"/>
      <c r="Q1800" s="38"/>
      <c r="R1800" s="123"/>
      <c r="T1800" s="188"/>
    </row>
    <row r="1801" spans="1:22" ht="30" x14ac:dyDescent="0.25">
      <c r="A1801" s="114">
        <v>9003</v>
      </c>
      <c r="B1801" s="1" t="s">
        <v>767</v>
      </c>
      <c r="C1801" s="1" t="s">
        <v>768</v>
      </c>
      <c r="D1801" s="2"/>
      <c r="E1801" s="99" t="str">
        <f>IFERROR(VLOOKUP(C1801,Resources!B:D,3,FALSE)," ")</f>
        <v xml:space="preserve"> </v>
      </c>
      <c r="F1801" s="7"/>
      <c r="G1801" s="7"/>
      <c r="H1801" s="103">
        <f>VLOOKUP($A1801,'Model Inputs'!$A:$D,4,FALSE)</f>
        <v>1</v>
      </c>
      <c r="I1801" s="108" t="str">
        <f>IFERROR(VLOOKUP(C1801,Resources!B:G,6,FALSE)," ")</f>
        <v xml:space="preserve"> </v>
      </c>
      <c r="J1801" s="108">
        <f>SUBTOTAL(9,J1802:J1803)</f>
        <v>32500</v>
      </c>
      <c r="K1801" s="7"/>
      <c r="L1801" s="7"/>
      <c r="M1801" s="108">
        <f t="shared" ref="M1801:Q1801" si="2651">SUBTOTAL(9,M1802:M1803)</f>
        <v>0</v>
      </c>
      <c r="N1801" s="108">
        <f t="shared" si="2651"/>
        <v>0</v>
      </c>
      <c r="O1801" s="108">
        <f t="shared" si="2651"/>
        <v>0</v>
      </c>
      <c r="P1801" s="108">
        <f t="shared" si="2651"/>
        <v>32500</v>
      </c>
      <c r="Q1801" s="108">
        <f t="shared" si="2651"/>
        <v>32500</v>
      </c>
      <c r="R1801" s="120"/>
      <c r="T1801" s="188"/>
    </row>
    <row r="1802" spans="1:22" x14ac:dyDescent="0.25">
      <c r="A1802" s="100"/>
      <c r="B1802" s="3">
        <v>1</v>
      </c>
      <c r="C1802" s="5" t="s">
        <v>769</v>
      </c>
      <c r="D1802" s="3" t="s">
        <v>33</v>
      </c>
      <c r="E1802" s="100" t="str">
        <f>IFERROR(VLOOKUP(C1802,Resources!B:D,3,FALSE)," ")</f>
        <v>S</v>
      </c>
      <c r="F1802" s="8">
        <v>1</v>
      </c>
      <c r="G1802" s="8">
        <v>1</v>
      </c>
      <c r="H1802" s="8">
        <f>H1801*20800</f>
        <v>20800</v>
      </c>
      <c r="I1802" s="109">
        <f>IFERROR(VLOOKUP(C1802,Resources!B:G,6,FALSE)," ")</f>
        <v>1</v>
      </c>
      <c r="J1802" s="109">
        <f t="shared" ref="J1802:J1803" si="2652">(H1802/(G1802/F1802))*I1802</f>
        <v>20800</v>
      </c>
      <c r="K1802" s="8"/>
      <c r="L1802" s="8"/>
      <c r="M1802" s="109">
        <f t="shared" ref="M1802:M1803" si="2653">IF($E1802="L",$J1802,0)</f>
        <v>0</v>
      </c>
      <c r="N1802" s="109">
        <f t="shared" ref="N1802:N1803" si="2654">IF($E1802="M",$J1802,0)</f>
        <v>0</v>
      </c>
      <c r="O1802" s="109">
        <f t="shared" ref="O1802:O1803" si="2655">IF($E1802="P",$J1802,0)</f>
        <v>0</v>
      </c>
      <c r="P1802" s="109">
        <f t="shared" ref="P1802:P1803" si="2656">IF($E1802="S",$J1802,0)</f>
        <v>20800</v>
      </c>
      <c r="Q1802" s="109">
        <f t="shared" ref="Q1802:Q1803" si="2657">SUM(M1802:P1802)</f>
        <v>20800</v>
      </c>
      <c r="R1802" s="121">
        <v>904</v>
      </c>
      <c r="T1802" s="188"/>
    </row>
    <row r="1803" spans="1:22" x14ac:dyDescent="0.25">
      <c r="A1803" s="100"/>
      <c r="B1803" s="3">
        <v>2</v>
      </c>
      <c r="C1803" s="5" t="s">
        <v>770</v>
      </c>
      <c r="D1803" s="3" t="s">
        <v>33</v>
      </c>
      <c r="E1803" s="100" t="str">
        <f>IFERROR(VLOOKUP(C1803,Resources!B:D,3,FALSE)," ")</f>
        <v>S</v>
      </c>
      <c r="F1803" s="8">
        <v>1</v>
      </c>
      <c r="G1803" s="8">
        <v>1</v>
      </c>
      <c r="H1803" s="8">
        <f>H1801*11700</f>
        <v>11700</v>
      </c>
      <c r="I1803" s="109">
        <f>IFERROR(VLOOKUP(C1803,Resources!B:G,6,FALSE)," ")</f>
        <v>1</v>
      </c>
      <c r="J1803" s="109">
        <f t="shared" si="2652"/>
        <v>11700</v>
      </c>
      <c r="K1803" s="8"/>
      <c r="L1803" s="8"/>
      <c r="M1803" s="109">
        <f t="shared" si="2653"/>
        <v>0</v>
      </c>
      <c r="N1803" s="109">
        <f t="shared" si="2654"/>
        <v>0</v>
      </c>
      <c r="O1803" s="109">
        <f t="shared" si="2655"/>
        <v>0</v>
      </c>
      <c r="P1803" s="109">
        <f t="shared" si="2656"/>
        <v>11700</v>
      </c>
      <c r="Q1803" s="109">
        <f t="shared" si="2657"/>
        <v>11700</v>
      </c>
      <c r="R1803" s="121">
        <v>904</v>
      </c>
      <c r="T1803" s="188"/>
    </row>
    <row r="1804" spans="1:22" x14ac:dyDescent="0.25">
      <c r="A1804" s="101"/>
      <c r="B1804" s="4"/>
      <c r="C1804" s="6"/>
      <c r="D1804" s="4"/>
      <c r="E1804" s="101" t="str">
        <f>IFERROR(VLOOKUP(C1804,Resources!B:D,3,FALSE)," ")</f>
        <v xml:space="preserve"> </v>
      </c>
      <c r="F1804" s="4"/>
      <c r="G1804" s="4"/>
      <c r="H1804" s="4"/>
      <c r="I1804" s="38" t="str">
        <f>IFERROR(VLOOKUP(C1804,Resources!B:G,6,FALSE)," ")</f>
        <v xml:space="preserve"> </v>
      </c>
      <c r="J1804" s="38"/>
      <c r="K1804" s="4"/>
      <c r="L1804" s="4"/>
      <c r="M1804" s="38"/>
      <c r="N1804" s="38"/>
      <c r="O1804" s="38"/>
      <c r="P1804" s="38"/>
      <c r="Q1804" s="38"/>
      <c r="R1804" s="123"/>
      <c r="T1804" s="188"/>
    </row>
    <row r="1805" spans="1:22" ht="30" x14ac:dyDescent="0.25">
      <c r="A1805" s="114">
        <v>9004</v>
      </c>
      <c r="B1805" s="1" t="s">
        <v>771</v>
      </c>
      <c r="C1805" s="1" t="s">
        <v>772</v>
      </c>
      <c r="D1805" s="2"/>
      <c r="E1805" s="99" t="str">
        <f>IFERROR(VLOOKUP(C1805,Resources!B:D,3,FALSE)," ")</f>
        <v xml:space="preserve"> </v>
      </c>
      <c r="F1805" s="7"/>
      <c r="G1805" s="7"/>
      <c r="H1805" s="103">
        <f>VLOOKUP($A1805,'Model Inputs'!$A:$D,4,FALSE)</f>
        <v>1</v>
      </c>
      <c r="I1805" s="108" t="str">
        <f>IFERROR(VLOOKUP(C1805,Resources!B:G,6,FALSE)," ")</f>
        <v xml:space="preserve"> </v>
      </c>
      <c r="J1805" s="108">
        <f>SUBTOTAL(9,J1806)</f>
        <v>20000</v>
      </c>
      <c r="K1805" s="7"/>
      <c r="L1805" s="7"/>
      <c r="M1805" s="108">
        <f t="shared" ref="M1805" si="2658">SUBTOTAL(9,M1806)</f>
        <v>0</v>
      </c>
      <c r="N1805" s="108">
        <f t="shared" ref="N1805" si="2659">SUBTOTAL(9,N1806)</f>
        <v>0</v>
      </c>
      <c r="O1805" s="108">
        <f t="shared" ref="O1805" si="2660">SUBTOTAL(9,O1806)</f>
        <v>20000</v>
      </c>
      <c r="P1805" s="108">
        <f t="shared" ref="P1805" si="2661">SUBTOTAL(9,P1806)</f>
        <v>0</v>
      </c>
      <c r="Q1805" s="108">
        <f t="shared" ref="Q1805" si="2662">SUBTOTAL(9,Q1806)</f>
        <v>20000</v>
      </c>
      <c r="R1805" s="120"/>
      <c r="T1805" s="188"/>
    </row>
    <row r="1806" spans="1:22" x14ac:dyDescent="0.25">
      <c r="A1806" s="100"/>
      <c r="B1806" s="3">
        <v>1</v>
      </c>
      <c r="C1806" s="5" t="s">
        <v>773</v>
      </c>
      <c r="D1806" s="3" t="s">
        <v>774</v>
      </c>
      <c r="E1806" s="100" t="str">
        <f>IFERROR(VLOOKUP(C1806,Resources!B:D,3,FALSE)," ")</f>
        <v>P</v>
      </c>
      <c r="F1806" s="8">
        <v>1</v>
      </c>
      <c r="G1806" s="8">
        <v>1</v>
      </c>
      <c r="H1806" s="8">
        <f>H1805*20000</f>
        <v>20000</v>
      </c>
      <c r="I1806" s="109">
        <f>IFERROR(VLOOKUP(C1806,Resources!B:G,6,FALSE)," ")</f>
        <v>1</v>
      </c>
      <c r="J1806" s="109">
        <f t="shared" ref="J1806" si="2663">(H1806/(G1806/F1806))*I1806</f>
        <v>20000</v>
      </c>
      <c r="K1806" s="8"/>
      <c r="L1806" s="8"/>
      <c r="M1806" s="109">
        <f t="shared" ref="M1806" si="2664">IF($E1806="L",$J1806,0)</f>
        <v>0</v>
      </c>
      <c r="N1806" s="109">
        <f t="shared" ref="N1806" si="2665">IF($E1806="M",$J1806,0)</f>
        <v>0</v>
      </c>
      <c r="O1806" s="109">
        <f t="shared" ref="O1806" si="2666">IF($E1806="P",$J1806,0)</f>
        <v>20000</v>
      </c>
      <c r="P1806" s="109">
        <f t="shared" ref="P1806" si="2667">IF($E1806="S",$J1806,0)</f>
        <v>0</v>
      </c>
      <c r="Q1806" s="109">
        <f t="shared" ref="Q1806" si="2668">SUM(M1806:P1806)</f>
        <v>20000</v>
      </c>
      <c r="R1806" s="121">
        <v>903</v>
      </c>
      <c r="T1806" s="188"/>
    </row>
    <row r="1807" spans="1:22" x14ac:dyDescent="0.25">
      <c r="A1807" s="101"/>
      <c r="B1807" s="4"/>
      <c r="C1807" s="6"/>
      <c r="D1807" s="4"/>
      <c r="E1807" s="101" t="str">
        <f>IFERROR(VLOOKUP(C1807,Resources!B:D,3,FALSE)," ")</f>
        <v xml:space="preserve"> </v>
      </c>
      <c r="F1807" s="4"/>
      <c r="G1807" s="4"/>
      <c r="H1807" s="4"/>
      <c r="I1807" s="38" t="str">
        <f>IFERROR(VLOOKUP(C1807,Resources!B:G,6,FALSE)," ")</f>
        <v xml:space="preserve"> </v>
      </c>
      <c r="J1807" s="38"/>
      <c r="K1807" s="4"/>
      <c r="L1807" s="4"/>
      <c r="M1807" s="38"/>
      <c r="N1807" s="38"/>
      <c r="O1807" s="38"/>
      <c r="P1807" s="38"/>
      <c r="Q1807" s="38"/>
      <c r="R1807" s="123"/>
      <c r="T1807" s="188"/>
    </row>
    <row r="1808" spans="1:22" ht="30" x14ac:dyDescent="0.25">
      <c r="A1808" s="114">
        <v>9005</v>
      </c>
      <c r="B1808" s="1" t="s">
        <v>775</v>
      </c>
      <c r="C1808" s="1" t="s">
        <v>776</v>
      </c>
      <c r="D1808" s="2"/>
      <c r="E1808" s="99" t="str">
        <f>IFERROR(VLOOKUP(C1808,Resources!B:D,3,FALSE)," ")</f>
        <v xml:space="preserve"> </v>
      </c>
      <c r="F1808" s="7"/>
      <c r="G1808" s="7"/>
      <c r="H1808" s="103">
        <f>VLOOKUP($A1808,'Model Inputs'!$A:$D,4,FALSE)</f>
        <v>1</v>
      </c>
      <c r="I1808" s="108" t="str">
        <f>IFERROR(VLOOKUP(C1808,Resources!B:G,6,FALSE)," ")</f>
        <v xml:space="preserve"> </v>
      </c>
      <c r="J1808" s="108">
        <f>SUBTOTAL(9,J1809)</f>
        <v>32500</v>
      </c>
      <c r="K1808" s="7"/>
      <c r="L1808" s="7"/>
      <c r="M1808" s="108">
        <f t="shared" ref="M1808" si="2669">SUBTOTAL(9,M1809)</f>
        <v>0</v>
      </c>
      <c r="N1808" s="108">
        <f t="shared" ref="N1808" si="2670">SUBTOTAL(9,N1809)</f>
        <v>0</v>
      </c>
      <c r="O1808" s="108">
        <f t="shared" ref="O1808" si="2671">SUBTOTAL(9,O1809)</f>
        <v>32500</v>
      </c>
      <c r="P1808" s="108">
        <f t="shared" ref="P1808" si="2672">SUBTOTAL(9,P1809)</f>
        <v>0</v>
      </c>
      <c r="Q1808" s="108">
        <f t="shared" ref="Q1808" si="2673">SUBTOTAL(9,Q1809)</f>
        <v>32500</v>
      </c>
      <c r="R1808" s="120"/>
      <c r="T1808" s="188"/>
    </row>
    <row r="1809" spans="1:20" x14ac:dyDescent="0.25">
      <c r="A1809" s="100">
        <v>9005.1</v>
      </c>
      <c r="B1809" s="3">
        <v>1</v>
      </c>
      <c r="C1809" s="5" t="s">
        <v>777</v>
      </c>
      <c r="D1809" s="3" t="s">
        <v>22</v>
      </c>
      <c r="E1809" s="100" t="str">
        <f>IFERROR(VLOOKUP(C1809,Resources!B:D,3,FALSE)," ")</f>
        <v>P</v>
      </c>
      <c r="F1809" s="103">
        <f>VLOOKUP($A1809,'Model Inputs'!$A:$D,4,FALSE)</f>
        <v>26</v>
      </c>
      <c r="G1809" s="8">
        <v>1</v>
      </c>
      <c r="H1809" s="8">
        <f>H1808</f>
        <v>1</v>
      </c>
      <c r="I1809" s="109">
        <f>IFERROR(VLOOKUP(C1809,Resources!B:G,6,FALSE)," ")</f>
        <v>1250</v>
      </c>
      <c r="J1809" s="109">
        <f t="shared" ref="J1809" si="2674">(H1809/(G1809/F1809))*I1809</f>
        <v>32500</v>
      </c>
      <c r="K1809" s="8"/>
      <c r="L1809" s="8"/>
      <c r="M1809" s="109">
        <f t="shared" ref="M1809" si="2675">IF($E1809="L",$J1809,0)</f>
        <v>0</v>
      </c>
      <c r="N1809" s="109">
        <f t="shared" ref="N1809" si="2676">IF($E1809="M",$J1809,0)</f>
        <v>0</v>
      </c>
      <c r="O1809" s="109">
        <f t="shared" ref="O1809" si="2677">IF($E1809="P",$J1809,0)</f>
        <v>32500</v>
      </c>
      <c r="P1809" s="109">
        <f t="shared" ref="P1809" si="2678">IF($E1809="S",$J1809,0)</f>
        <v>0</v>
      </c>
      <c r="Q1809" s="109">
        <f t="shared" ref="Q1809" si="2679">SUM(M1809:P1809)</f>
        <v>32500</v>
      </c>
      <c r="R1809" s="121">
        <v>903</v>
      </c>
      <c r="T1809" s="188"/>
    </row>
    <row r="1810" spans="1:20" x14ac:dyDescent="0.25">
      <c r="A1810" s="101"/>
      <c r="B1810" s="4"/>
      <c r="C1810" s="6"/>
      <c r="D1810" s="4"/>
      <c r="E1810" s="101"/>
      <c r="F1810" s="4"/>
      <c r="G1810" s="4"/>
      <c r="H1810" s="4"/>
      <c r="I1810" s="38"/>
      <c r="J1810" s="38"/>
      <c r="K1810" s="4"/>
      <c r="L1810" s="4"/>
      <c r="M1810" s="38"/>
      <c r="N1810" s="38"/>
      <c r="O1810" s="38"/>
      <c r="P1810" s="38"/>
      <c r="Q1810" s="38"/>
      <c r="R1810" s="123"/>
      <c r="T1810" s="188"/>
    </row>
    <row r="1811" spans="1:20" s="10" customFormat="1" x14ac:dyDescent="0.25">
      <c r="A1811" s="106"/>
      <c r="B1811" s="104"/>
      <c r="C1811" s="105" t="s">
        <v>2979</v>
      </c>
      <c r="D1811" s="104"/>
      <c r="E1811" s="106"/>
      <c r="F1811" s="104"/>
      <c r="G1811" s="104"/>
      <c r="H1811" s="104"/>
      <c r="I1811" s="110"/>
      <c r="J1811" s="110"/>
      <c r="K1811" s="104"/>
      <c r="L1811" s="104"/>
      <c r="M1811" s="110"/>
      <c r="N1811" s="110"/>
      <c r="O1811" s="110"/>
      <c r="P1811" s="110"/>
      <c r="Q1811" s="110"/>
      <c r="R1811" s="124"/>
      <c r="T1811" s="188"/>
    </row>
    <row r="1812" spans="1:20" x14ac:dyDescent="0.25">
      <c r="A1812" s="101"/>
      <c r="B1812" s="4"/>
      <c r="C1812" s="6"/>
      <c r="D1812" s="4"/>
      <c r="I1812" s="38"/>
      <c r="M1812" s="38"/>
      <c r="N1812" s="38"/>
      <c r="O1812" s="38"/>
      <c r="P1812" s="38"/>
      <c r="Q1812" s="38"/>
      <c r="R1812" s="123"/>
      <c r="T1812" s="188"/>
    </row>
    <row r="1813" spans="1:20" ht="30" x14ac:dyDescent="0.25">
      <c r="A1813" s="114" t="s">
        <v>2549</v>
      </c>
      <c r="B1813" s="1" t="s">
        <v>2406</v>
      </c>
      <c r="C1813" s="1" t="s">
        <v>2407</v>
      </c>
      <c r="D1813" s="2" t="s">
        <v>89</v>
      </c>
      <c r="E1813" s="99"/>
      <c r="F1813" s="7"/>
      <c r="G1813" s="7"/>
      <c r="H1813" s="103">
        <f>VLOOKUP($A1813,'Model Inputs'!$A:$D,4,FALSE)</f>
        <v>242</v>
      </c>
      <c r="I1813" s="108"/>
      <c r="J1813" s="108">
        <f>SUBTOTAL(9,J1814:J1817)</f>
        <v>1137.6074285714285</v>
      </c>
      <c r="K1813" s="7"/>
      <c r="L1813" s="7">
        <f>ROUNDUP(MAX(L1816:L1817)/Workhrs,0)</f>
        <v>1</v>
      </c>
      <c r="M1813" s="108">
        <f t="shared" ref="M1813:Q1813" si="2680">SUBTOTAL(9,M1814:M1817)</f>
        <v>174.24</v>
      </c>
      <c r="N1813" s="108">
        <f t="shared" si="2680"/>
        <v>831.99599999999998</v>
      </c>
      <c r="O1813" s="108">
        <f t="shared" si="2680"/>
        <v>131.37142857142857</v>
      </c>
      <c r="P1813" s="108">
        <f t="shared" si="2680"/>
        <v>0</v>
      </c>
      <c r="Q1813" s="108">
        <f t="shared" si="2680"/>
        <v>1137.6074285714285</v>
      </c>
      <c r="R1813" s="120"/>
      <c r="T1813" s="188"/>
    </row>
    <row r="1814" spans="1:20" x14ac:dyDescent="0.25">
      <c r="A1814" s="100"/>
      <c r="B1814" s="3">
        <v>1</v>
      </c>
      <c r="C1814" s="5" t="s">
        <v>2088</v>
      </c>
      <c r="D1814" s="3" t="s">
        <v>83</v>
      </c>
      <c r="E1814" s="100" t="str">
        <f>IFERROR(VLOOKUP(C1814,Resources!B:D,3,FALSE)," ")</f>
        <v>M</v>
      </c>
      <c r="F1814" s="8">
        <v>1</v>
      </c>
      <c r="G1814" s="8">
        <v>1</v>
      </c>
      <c r="H1814" s="8">
        <f>H1813*1.2*1.2</f>
        <v>348.47999999999996</v>
      </c>
      <c r="I1814" s="109">
        <f>IFERROR(VLOOKUP(C1814,Resources!B:G,6,FALSE)," ")</f>
        <v>1.05</v>
      </c>
      <c r="J1814" s="109">
        <f>I1814*H1814</f>
        <v>365.904</v>
      </c>
      <c r="K1814" s="8"/>
      <c r="L1814" s="8" t="str">
        <f t="shared" ref="L1814:L1817" si="2681">IF(E1814="M"," ",H1814/G1814)</f>
        <v xml:space="preserve"> </v>
      </c>
      <c r="M1814" s="109">
        <f t="shared" ref="M1814:M1817" si="2682">IF($E1814="L",$J1814,0)</f>
        <v>0</v>
      </c>
      <c r="N1814" s="109">
        <f t="shared" ref="N1814:N1817" si="2683">IF($E1814="M",$J1814,0)</f>
        <v>365.904</v>
      </c>
      <c r="O1814" s="109">
        <f t="shared" ref="O1814:O1817" si="2684">IF($E1814="P",$J1814,0)</f>
        <v>0</v>
      </c>
      <c r="P1814" s="109">
        <f t="shared" ref="P1814:P1817" si="2685">IF($E1814="S",$J1814,0)</f>
        <v>0</v>
      </c>
      <c r="Q1814" s="109">
        <f t="shared" ref="Q1814:Q1817" si="2686">SUM(M1814:P1814)</f>
        <v>365.904</v>
      </c>
      <c r="R1814" s="121">
        <v>222</v>
      </c>
      <c r="T1814" s="188"/>
    </row>
    <row r="1815" spans="1:20" x14ac:dyDescent="0.25">
      <c r="A1815" s="100"/>
      <c r="B1815" s="3">
        <v>2</v>
      </c>
      <c r="C1815" s="5" t="s">
        <v>2546</v>
      </c>
      <c r="D1815" s="3" t="s">
        <v>2548</v>
      </c>
      <c r="E1815" s="100" t="s">
        <v>2020</v>
      </c>
      <c r="F1815" s="8">
        <v>1</v>
      </c>
      <c r="G1815" s="8">
        <v>1</v>
      </c>
      <c r="H1815" s="8">
        <f>H1813*0.3*0.3*0.1</f>
        <v>2.1779999999999999</v>
      </c>
      <c r="I1815" s="109">
        <f>IFERROR(VLOOKUP(C1815,Resources!B:G,6,FALSE)," ")</f>
        <v>214</v>
      </c>
      <c r="J1815" s="109">
        <f>I1815*H1815</f>
        <v>466.09199999999998</v>
      </c>
      <c r="K1815" s="8"/>
      <c r="L1815" s="8" t="str">
        <f t="shared" ref="L1815" si="2687">IF(E1815="M"," ",H1815/G1815)</f>
        <v xml:space="preserve"> </v>
      </c>
      <c r="M1815" s="109">
        <f t="shared" si="2682"/>
        <v>0</v>
      </c>
      <c r="N1815" s="109">
        <f t="shared" si="2683"/>
        <v>466.09199999999998</v>
      </c>
      <c r="O1815" s="109">
        <f t="shared" si="2684"/>
        <v>0</v>
      </c>
      <c r="P1815" s="109">
        <f t="shared" si="2685"/>
        <v>0</v>
      </c>
      <c r="Q1815" s="109">
        <f t="shared" ref="Q1815" si="2688">SUM(M1815:P1815)</f>
        <v>466.09199999999998</v>
      </c>
      <c r="R1815" s="121">
        <v>222</v>
      </c>
      <c r="T1815" s="188"/>
    </row>
    <row r="1816" spans="1:20" x14ac:dyDescent="0.25">
      <c r="A1816" s="100" t="s">
        <v>2550</v>
      </c>
      <c r="B1816" s="3">
        <v>3</v>
      </c>
      <c r="C1816" s="5" t="s">
        <v>8</v>
      </c>
      <c r="D1816" s="3" t="s">
        <v>48</v>
      </c>
      <c r="E1816" s="100" t="str">
        <f>IFERROR(VLOOKUP(C1816,Resources!B:D,3,FALSE)," ")</f>
        <v>L</v>
      </c>
      <c r="F1816" s="8">
        <v>3</v>
      </c>
      <c r="G1816" s="103">
        <f>VLOOKUP($A1816,'Model Inputs'!$A:$D,4,FALSE)</f>
        <v>175</v>
      </c>
      <c r="H1816" s="8">
        <f>H1813</f>
        <v>242</v>
      </c>
      <c r="I1816" s="109">
        <f>IFERROR(VLOOKUP(C1816,Resources!B:G,6,FALSE)," ")</f>
        <v>42</v>
      </c>
      <c r="J1816" s="109">
        <f t="shared" ref="J1816:J1817" si="2689">(H1816/(G1816/F1816))*I1816</f>
        <v>174.24</v>
      </c>
      <c r="K1816" s="8">
        <f t="shared" ref="K1816:K1817" si="2690">L1816*F1816</f>
        <v>4.1485714285714286</v>
      </c>
      <c r="L1816" s="8">
        <f t="shared" si="2681"/>
        <v>1.3828571428571428</v>
      </c>
      <c r="M1816" s="109">
        <f t="shared" si="2682"/>
        <v>174.24</v>
      </c>
      <c r="N1816" s="109">
        <f t="shared" si="2683"/>
        <v>0</v>
      </c>
      <c r="O1816" s="109">
        <f t="shared" si="2684"/>
        <v>0</v>
      </c>
      <c r="P1816" s="109">
        <f t="shared" si="2685"/>
        <v>0</v>
      </c>
      <c r="Q1816" s="109">
        <f t="shared" si="2686"/>
        <v>174.24</v>
      </c>
      <c r="R1816" s="121">
        <v>222</v>
      </c>
      <c r="T1816" s="188"/>
    </row>
    <row r="1817" spans="1:20" x14ac:dyDescent="0.25">
      <c r="A1817" s="100"/>
      <c r="B1817" s="3">
        <v>4</v>
      </c>
      <c r="C1817" s="5" t="s">
        <v>45</v>
      </c>
      <c r="D1817" s="3" t="s">
        <v>48</v>
      </c>
      <c r="E1817" s="100" t="str">
        <f>IFERROR(VLOOKUP(C1817,Resources!B:D,3,FALSE)," ")</f>
        <v>P</v>
      </c>
      <c r="F1817" s="8">
        <v>1</v>
      </c>
      <c r="G1817" s="8">
        <f>G1816</f>
        <v>175</v>
      </c>
      <c r="H1817" s="8">
        <f>H1813</f>
        <v>242</v>
      </c>
      <c r="I1817" s="109">
        <f>IFERROR(VLOOKUP(C1817,Resources!B:G,6,FALSE)," ")</f>
        <v>95</v>
      </c>
      <c r="J1817" s="109">
        <f t="shared" si="2689"/>
        <v>131.37142857142857</v>
      </c>
      <c r="K1817" s="8">
        <f t="shared" si="2690"/>
        <v>1.3828571428571428</v>
      </c>
      <c r="L1817" s="8">
        <f t="shared" si="2681"/>
        <v>1.3828571428571428</v>
      </c>
      <c r="M1817" s="109">
        <f t="shared" si="2682"/>
        <v>0</v>
      </c>
      <c r="N1817" s="109">
        <f t="shared" si="2683"/>
        <v>0</v>
      </c>
      <c r="O1817" s="109">
        <f t="shared" si="2684"/>
        <v>131.37142857142857</v>
      </c>
      <c r="P1817" s="109">
        <f t="shared" si="2685"/>
        <v>0</v>
      </c>
      <c r="Q1817" s="109">
        <f t="shared" si="2686"/>
        <v>131.37142857142857</v>
      </c>
      <c r="R1817" s="121">
        <v>222</v>
      </c>
      <c r="T1817" s="188"/>
    </row>
    <row r="1818" spans="1:20" x14ac:dyDescent="0.25">
      <c r="A1818" s="101"/>
      <c r="B1818" s="4"/>
      <c r="C1818" s="6"/>
      <c r="D1818" s="4"/>
      <c r="I1818" s="38"/>
      <c r="M1818" s="38"/>
      <c r="N1818" s="38"/>
      <c r="O1818" s="38"/>
      <c r="P1818" s="38"/>
      <c r="Q1818" s="38"/>
      <c r="R1818" s="123"/>
      <c r="T1818" s="188"/>
    </row>
    <row r="1819" spans="1:20" x14ac:dyDescent="0.25">
      <c r="A1819" s="114" t="s">
        <v>2551</v>
      </c>
      <c r="B1819" s="1" t="s">
        <v>2408</v>
      </c>
      <c r="C1819" s="1" t="s">
        <v>2409</v>
      </c>
      <c r="D1819" s="2" t="s">
        <v>29</v>
      </c>
      <c r="E1819" s="99"/>
      <c r="F1819" s="7"/>
      <c r="G1819" s="7"/>
      <c r="H1819" s="103">
        <f>VLOOKUP($A1819,'Model Inputs'!$A:$D,4,FALSE)</f>
        <v>1</v>
      </c>
      <c r="I1819" s="108"/>
      <c r="J1819" s="108">
        <f>SUBTOTAL(9,J1820)</f>
        <v>2325</v>
      </c>
      <c r="K1819" s="7"/>
      <c r="L1819" s="7">
        <f>L1820</f>
        <v>2</v>
      </c>
      <c r="M1819" s="108">
        <f t="shared" ref="M1819:Q1819" si="2691">SUBTOTAL(9,M1820)</f>
        <v>0</v>
      </c>
      <c r="N1819" s="108">
        <f t="shared" si="2691"/>
        <v>0</v>
      </c>
      <c r="O1819" s="108">
        <f t="shared" si="2691"/>
        <v>0</v>
      </c>
      <c r="P1819" s="108">
        <f t="shared" si="2691"/>
        <v>2325</v>
      </c>
      <c r="Q1819" s="108">
        <f t="shared" si="2691"/>
        <v>2325</v>
      </c>
      <c r="R1819" s="120"/>
      <c r="T1819" s="188"/>
    </row>
    <row r="1820" spans="1:20" x14ac:dyDescent="0.25">
      <c r="A1820" s="100"/>
      <c r="B1820" s="3">
        <v>1</v>
      </c>
      <c r="C1820" s="5" t="s">
        <v>306</v>
      </c>
      <c r="D1820" s="3" t="s">
        <v>33</v>
      </c>
      <c r="E1820" s="100" t="str">
        <f>IFERROR(VLOOKUP(C1820,Resources!B:D,3,FALSE)," ")</f>
        <v>S</v>
      </c>
      <c r="F1820" s="8">
        <v>1</v>
      </c>
      <c r="G1820" s="8">
        <v>1</v>
      </c>
      <c r="H1820" s="8">
        <f>H1819*2325</f>
        <v>2325</v>
      </c>
      <c r="I1820" s="109">
        <f>IFERROR(VLOOKUP(C1820,Resources!B:G,6,FALSE)," ")</f>
        <v>1</v>
      </c>
      <c r="J1820" s="109">
        <f t="shared" ref="J1820" si="2692">(H1820/(G1820/F1820))*I1820</f>
        <v>2325</v>
      </c>
      <c r="K1820" s="8"/>
      <c r="L1820" s="8">
        <v>2</v>
      </c>
      <c r="M1820" s="109">
        <f t="shared" ref="M1820" si="2693">IF($E1820="L",$J1820,0)</f>
        <v>0</v>
      </c>
      <c r="N1820" s="109">
        <f t="shared" ref="N1820" si="2694">IF($E1820="M",$J1820,0)</f>
        <v>0</v>
      </c>
      <c r="O1820" s="109">
        <f t="shared" ref="O1820" si="2695">IF($E1820="P",$J1820,0)</f>
        <v>0</v>
      </c>
      <c r="P1820" s="109">
        <f t="shared" ref="P1820" si="2696">IF($E1820="S",$J1820,0)</f>
        <v>2325</v>
      </c>
      <c r="Q1820" s="109">
        <f t="shared" ref="Q1820" si="2697">SUM(M1820:P1820)</f>
        <v>2325</v>
      </c>
      <c r="R1820" s="121">
        <v>86</v>
      </c>
      <c r="T1820" s="188"/>
    </row>
    <row r="1821" spans="1:20" x14ac:dyDescent="0.25">
      <c r="T1821" s="188"/>
    </row>
    <row r="1822" spans="1:20" x14ac:dyDescent="0.25">
      <c r="A1822" s="114" t="s">
        <v>2552</v>
      </c>
      <c r="B1822" s="1" t="s">
        <v>2412</v>
      </c>
      <c r="C1822" s="1" t="s">
        <v>2413</v>
      </c>
      <c r="D1822" s="2" t="s">
        <v>86</v>
      </c>
      <c r="E1822" s="99"/>
      <c r="F1822" s="7"/>
      <c r="G1822" s="7"/>
      <c r="H1822" s="103">
        <f>VLOOKUP($A1822,'Model Inputs'!$A:$D,4,FALSE)</f>
        <v>40</v>
      </c>
      <c r="I1822" s="108"/>
      <c r="J1822" s="108">
        <f>SUBTOTAL(9,J1824:J1830)</f>
        <v>2264.9222760113848</v>
      </c>
      <c r="K1822" s="7"/>
      <c r="L1822" s="7">
        <f>ROUNDUP(MAX(L1824:L1830)/Workhrs,0)</f>
        <v>1</v>
      </c>
      <c r="M1822" s="108">
        <f>SUBTOTAL(9,M1824:M1830)</f>
        <v>272.18721872187217</v>
      </c>
      <c r="N1822" s="108">
        <f>SUBTOTAL(9,N1824:N1830)</f>
        <v>0</v>
      </c>
      <c r="O1822" s="108">
        <f>SUBTOTAL(9,O1824:O1830)</f>
        <v>1992.7350572895125</v>
      </c>
      <c r="P1822" s="108">
        <f>SUBTOTAL(9,P1824:P1830)</f>
        <v>0</v>
      </c>
      <c r="Q1822" s="108">
        <f>SUBTOTAL(9,Q1824:Q1830)</f>
        <v>2264.9222760113848</v>
      </c>
      <c r="R1822" s="120"/>
      <c r="T1822" s="188"/>
    </row>
    <row r="1823" spans="1:20" x14ac:dyDescent="0.25">
      <c r="A1823" s="100" t="s">
        <v>2553</v>
      </c>
      <c r="B1823" s="3">
        <v>1</v>
      </c>
      <c r="C1823" s="5" t="s">
        <v>2389</v>
      </c>
      <c r="D1823" s="3"/>
      <c r="E1823" s="100" t="str">
        <f>IFERROR(VLOOKUP(C1823,Resources!B:D,3,FALSE)," ")</f>
        <v xml:space="preserve"> </v>
      </c>
      <c r="F1823" s="103">
        <f>VLOOKUP($A1823,'Model Inputs'!$A:$D,4,FALSE)</f>
        <v>2.4</v>
      </c>
      <c r="G1823" s="8"/>
      <c r="H1823" s="8">
        <f>H1822*F1823</f>
        <v>96</v>
      </c>
      <c r="I1823" s="109" t="str">
        <f>IFERROR(VLOOKUP(C1823,Resources!B:G,6,FALSE)," ")</f>
        <v xml:space="preserve"> </v>
      </c>
      <c r="J1823" s="109"/>
      <c r="K1823" s="8"/>
      <c r="L1823" s="8"/>
      <c r="M1823" s="109"/>
      <c r="N1823" s="109"/>
      <c r="O1823" s="109"/>
      <c r="P1823" s="109"/>
      <c r="Q1823" s="109"/>
      <c r="R1823" s="121"/>
      <c r="T1823" s="188"/>
    </row>
    <row r="1824" spans="1:20" x14ac:dyDescent="0.25">
      <c r="A1824" s="100"/>
      <c r="B1824" s="3">
        <v>2</v>
      </c>
      <c r="C1824" s="5" t="s">
        <v>44</v>
      </c>
      <c r="D1824" s="3" t="s">
        <v>48</v>
      </c>
      <c r="E1824" s="100" t="str">
        <f>IFERROR(VLOOKUP(C1824,Resources!B:D,3,FALSE)," ")</f>
        <v>P</v>
      </c>
      <c r="F1824" s="8">
        <v>3</v>
      </c>
      <c r="G1824" s="8">
        <v>37</v>
      </c>
      <c r="H1824" s="8">
        <f>H1823</f>
        <v>96</v>
      </c>
      <c r="I1824" s="109">
        <f>IFERROR(VLOOKUP(C1824,Resources!B:G,6,FALSE)," ")</f>
        <v>145</v>
      </c>
      <c r="J1824" s="109">
        <f t="shared" ref="J1824" si="2698">(H1824/(G1824/F1824))*I1824</f>
        <v>1128.6486486486485</v>
      </c>
      <c r="K1824" s="8">
        <f t="shared" ref="K1824" si="2699">L1824*F1824</f>
        <v>7.7837837837837842</v>
      </c>
      <c r="L1824" s="8">
        <f t="shared" ref="L1824" si="2700">IF(E1824="M"," ",H1824/G1824)</f>
        <v>2.5945945945945947</v>
      </c>
      <c r="M1824" s="109">
        <f t="shared" ref="M1824" si="2701">IF($E1824="L",$J1824,0)</f>
        <v>0</v>
      </c>
      <c r="N1824" s="109">
        <f t="shared" ref="N1824" si="2702">IF($E1824="M",$J1824,0)</f>
        <v>0</v>
      </c>
      <c r="O1824" s="109">
        <f t="shared" ref="O1824" si="2703">IF($E1824="P",$J1824,0)</f>
        <v>1128.6486486486485</v>
      </c>
      <c r="P1824" s="109">
        <f t="shared" ref="P1824" si="2704">IF($E1824="S",$J1824,0)</f>
        <v>0</v>
      </c>
      <c r="Q1824" s="109">
        <f t="shared" ref="Q1824" si="2705">SUM(M1824:P1824)</f>
        <v>1128.6486486486485</v>
      </c>
      <c r="R1824" s="121">
        <v>62</v>
      </c>
      <c r="T1824" s="188"/>
    </row>
    <row r="1825" spans="1:20" x14ac:dyDescent="0.25">
      <c r="A1825" s="101"/>
      <c r="B1825" s="4">
        <v>3</v>
      </c>
      <c r="C1825" s="6" t="s">
        <v>114</v>
      </c>
      <c r="D1825" s="4"/>
      <c r="E1825" s="101" t="str">
        <f>IFERROR(VLOOKUP(C1825,Resources!B:D,3,FALSE)," ")</f>
        <v xml:space="preserve"> </v>
      </c>
      <c r="F1825" s="9"/>
      <c r="G1825" s="9"/>
      <c r="H1825" s="9"/>
      <c r="I1825" s="38" t="str">
        <f>IFERROR(VLOOKUP(C1825,Resources!B:G,6,FALSE)," ")</f>
        <v xml:space="preserve"> </v>
      </c>
      <c r="J1825" s="38"/>
      <c r="K1825" s="9"/>
      <c r="L1825" s="9"/>
      <c r="M1825" s="38"/>
      <c r="N1825" s="38"/>
      <c r="O1825" s="38"/>
      <c r="P1825" s="38"/>
      <c r="Q1825" s="38"/>
      <c r="R1825" s="122"/>
      <c r="T1825" s="188"/>
    </row>
    <row r="1826" spans="1:20" x14ac:dyDescent="0.25">
      <c r="A1826" s="100" t="s">
        <v>2554</v>
      </c>
      <c r="B1826" s="3">
        <v>4</v>
      </c>
      <c r="C1826" s="5" t="s">
        <v>39</v>
      </c>
      <c r="D1826" s="3" t="s">
        <v>48</v>
      </c>
      <c r="E1826" s="100" t="str">
        <f>IFERROR(VLOOKUP(C1826,Resources!B:D,3,FALSE)," ")</f>
        <v>P</v>
      </c>
      <c r="F1826" s="8">
        <v>1</v>
      </c>
      <c r="G1826" s="103">
        <f>VLOOKUP($A1826,'Model Inputs'!$A:$D,4,FALSE)</f>
        <v>44.44</v>
      </c>
      <c r="H1826" s="8">
        <f>H1823</f>
        <v>96</v>
      </c>
      <c r="I1826" s="109">
        <f>IFERROR(VLOOKUP(C1826,Resources!B:G,6,FALSE)," ")</f>
        <v>145</v>
      </c>
      <c r="J1826" s="109">
        <f t="shared" ref="J1826:J1830" si="2706">(H1826/(G1826/F1826))*I1826</f>
        <v>313.23132313231321</v>
      </c>
      <c r="K1826" s="8">
        <f t="shared" ref="K1826:K1830" si="2707">L1826*F1826</f>
        <v>2.1602160216021602</v>
      </c>
      <c r="L1826" s="8">
        <f t="shared" ref="L1826:L1830" si="2708">IF(E1826="M"," ",H1826/G1826)</f>
        <v>2.1602160216021602</v>
      </c>
      <c r="M1826" s="109">
        <f t="shared" ref="M1826:M1830" si="2709">IF($E1826="L",$J1826,0)</f>
        <v>0</v>
      </c>
      <c r="N1826" s="109">
        <f t="shared" ref="N1826:N1830" si="2710">IF($E1826="M",$J1826,0)</f>
        <v>0</v>
      </c>
      <c r="O1826" s="109">
        <f t="shared" ref="O1826:O1830" si="2711">IF($E1826="P",$J1826,0)</f>
        <v>313.23132313231321</v>
      </c>
      <c r="P1826" s="109">
        <f t="shared" ref="P1826:P1830" si="2712">IF($E1826="S",$J1826,0)</f>
        <v>0</v>
      </c>
      <c r="Q1826" s="109">
        <f t="shared" ref="Q1826:Q1830" si="2713">SUM(M1826:P1826)</f>
        <v>313.23132313231321</v>
      </c>
      <c r="R1826" s="121">
        <v>62</v>
      </c>
      <c r="T1826" s="188"/>
    </row>
    <row r="1827" spans="1:20" x14ac:dyDescent="0.25">
      <c r="A1827" s="100"/>
      <c r="B1827" s="3">
        <v>5</v>
      </c>
      <c r="C1827" s="5" t="s">
        <v>64</v>
      </c>
      <c r="D1827" s="3" t="s">
        <v>48</v>
      </c>
      <c r="E1827" s="100" t="str">
        <f>IFERROR(VLOOKUP(C1827,Resources!B:D,3,FALSE)," ")</f>
        <v>P</v>
      </c>
      <c r="F1827" s="8">
        <v>1</v>
      </c>
      <c r="G1827" s="8">
        <f>G1826</f>
        <v>44.44</v>
      </c>
      <c r="H1827" s="8">
        <f>H1823</f>
        <v>96</v>
      </c>
      <c r="I1827" s="109">
        <f>IFERROR(VLOOKUP(C1827,Resources!B:G,6,FALSE)," ")</f>
        <v>100</v>
      </c>
      <c r="J1827" s="109">
        <f t="shared" si="2706"/>
        <v>216.02160216021602</v>
      </c>
      <c r="K1827" s="8">
        <f t="shared" si="2707"/>
        <v>2.1602160216021602</v>
      </c>
      <c r="L1827" s="8">
        <f t="shared" si="2708"/>
        <v>2.1602160216021602</v>
      </c>
      <c r="M1827" s="109">
        <f t="shared" si="2709"/>
        <v>0</v>
      </c>
      <c r="N1827" s="109">
        <f t="shared" si="2710"/>
        <v>0</v>
      </c>
      <c r="O1827" s="109">
        <f t="shared" si="2711"/>
        <v>216.02160216021602</v>
      </c>
      <c r="P1827" s="109">
        <f t="shared" si="2712"/>
        <v>0</v>
      </c>
      <c r="Q1827" s="109">
        <f t="shared" si="2713"/>
        <v>216.02160216021602</v>
      </c>
      <c r="R1827" s="121">
        <v>62</v>
      </c>
      <c r="T1827" s="188"/>
    </row>
    <row r="1828" spans="1:20" x14ac:dyDescent="0.25">
      <c r="A1828" s="100"/>
      <c r="B1828" s="3">
        <v>6</v>
      </c>
      <c r="C1828" s="5" t="s">
        <v>69</v>
      </c>
      <c r="D1828" s="3" t="s">
        <v>48</v>
      </c>
      <c r="E1828" s="100" t="str">
        <f>IFERROR(VLOOKUP(C1828,Resources!B:D,3,FALSE)," ")</f>
        <v>P</v>
      </c>
      <c r="F1828" s="8">
        <v>1</v>
      </c>
      <c r="G1828" s="8">
        <f>G1826</f>
        <v>44.44</v>
      </c>
      <c r="H1828" s="8">
        <f>H1823</f>
        <v>96</v>
      </c>
      <c r="I1828" s="109">
        <f>IFERROR(VLOOKUP(C1828,Resources!B:G,6,FALSE)," ")</f>
        <v>55</v>
      </c>
      <c r="J1828" s="109">
        <f t="shared" si="2706"/>
        <v>118.8118811881188</v>
      </c>
      <c r="K1828" s="8">
        <f t="shared" si="2707"/>
        <v>2.1602160216021602</v>
      </c>
      <c r="L1828" s="8">
        <f t="shared" si="2708"/>
        <v>2.1602160216021602</v>
      </c>
      <c r="M1828" s="109">
        <f t="shared" si="2709"/>
        <v>0</v>
      </c>
      <c r="N1828" s="109">
        <f t="shared" si="2710"/>
        <v>0</v>
      </c>
      <c r="O1828" s="109">
        <f t="shared" si="2711"/>
        <v>118.8118811881188</v>
      </c>
      <c r="P1828" s="109">
        <f t="shared" si="2712"/>
        <v>0</v>
      </c>
      <c r="Q1828" s="109">
        <f t="shared" si="2713"/>
        <v>118.8118811881188</v>
      </c>
      <c r="R1828" s="121">
        <v>62</v>
      </c>
      <c r="T1828" s="188"/>
    </row>
    <row r="1829" spans="1:20" x14ac:dyDescent="0.25">
      <c r="A1829" s="100"/>
      <c r="B1829" s="3">
        <v>7</v>
      </c>
      <c r="C1829" s="5" t="s">
        <v>8</v>
      </c>
      <c r="D1829" s="3" t="s">
        <v>48</v>
      </c>
      <c r="E1829" s="100" t="str">
        <f>IFERROR(VLOOKUP(C1829,Resources!B:D,3,FALSE)," ")</f>
        <v>L</v>
      </c>
      <c r="F1829" s="8">
        <v>3</v>
      </c>
      <c r="G1829" s="8">
        <f>G1826</f>
        <v>44.44</v>
      </c>
      <c r="H1829" s="8">
        <f>H1823</f>
        <v>96</v>
      </c>
      <c r="I1829" s="109">
        <f>IFERROR(VLOOKUP(C1829,Resources!B:G,6,FALSE)," ")</f>
        <v>42</v>
      </c>
      <c r="J1829" s="109">
        <f t="shared" si="2706"/>
        <v>272.18721872187217</v>
      </c>
      <c r="K1829" s="8">
        <f t="shared" si="2707"/>
        <v>6.4806480648064806</v>
      </c>
      <c r="L1829" s="8">
        <f t="shared" si="2708"/>
        <v>2.1602160216021602</v>
      </c>
      <c r="M1829" s="109">
        <f t="shared" si="2709"/>
        <v>272.18721872187217</v>
      </c>
      <c r="N1829" s="109">
        <f t="shared" si="2710"/>
        <v>0</v>
      </c>
      <c r="O1829" s="109">
        <f t="shared" si="2711"/>
        <v>0</v>
      </c>
      <c r="P1829" s="109">
        <f t="shared" si="2712"/>
        <v>0</v>
      </c>
      <c r="Q1829" s="109">
        <f t="shared" si="2713"/>
        <v>272.18721872187217</v>
      </c>
      <c r="R1829" s="121">
        <v>62</v>
      </c>
      <c r="T1829" s="188"/>
    </row>
    <row r="1830" spans="1:20" x14ac:dyDescent="0.25">
      <c r="A1830" s="100"/>
      <c r="B1830" s="3">
        <v>8</v>
      </c>
      <c r="C1830" s="5" t="s">
        <v>115</v>
      </c>
      <c r="D1830" s="3" t="s">
        <v>48</v>
      </c>
      <c r="E1830" s="100" t="str">
        <f>IFERROR(VLOOKUP(C1830,Resources!B:D,3,FALSE)," ")</f>
        <v>P</v>
      </c>
      <c r="F1830" s="8">
        <v>1</v>
      </c>
      <c r="G1830" s="8">
        <f>G1826</f>
        <v>44.44</v>
      </c>
      <c r="H1830" s="8">
        <f>H1823</f>
        <v>96</v>
      </c>
      <c r="I1830" s="109">
        <f>IFERROR(VLOOKUP(C1830,Resources!B:G,6,FALSE)," ")</f>
        <v>100</v>
      </c>
      <c r="J1830" s="109">
        <f t="shared" si="2706"/>
        <v>216.02160216021602</v>
      </c>
      <c r="K1830" s="8">
        <f t="shared" si="2707"/>
        <v>2.1602160216021602</v>
      </c>
      <c r="L1830" s="8">
        <f t="shared" si="2708"/>
        <v>2.1602160216021602</v>
      </c>
      <c r="M1830" s="109">
        <f t="shared" si="2709"/>
        <v>0</v>
      </c>
      <c r="N1830" s="109">
        <f t="shared" si="2710"/>
        <v>0</v>
      </c>
      <c r="O1830" s="109">
        <f t="shared" si="2711"/>
        <v>216.02160216021602</v>
      </c>
      <c r="P1830" s="109">
        <f t="shared" si="2712"/>
        <v>0</v>
      </c>
      <c r="Q1830" s="109">
        <f t="shared" si="2713"/>
        <v>216.02160216021602</v>
      </c>
      <c r="R1830" s="121">
        <v>62</v>
      </c>
      <c r="T1830" s="188"/>
    </row>
    <row r="1831" spans="1:20" x14ac:dyDescent="0.25">
      <c r="A1831" s="101"/>
      <c r="B1831" s="4"/>
      <c r="C1831" s="6"/>
      <c r="D1831" s="4"/>
      <c r="E1831" s="101" t="str">
        <f>IFERROR(VLOOKUP(C1831,Resources!B:D,3,FALSE)," ")</f>
        <v xml:space="preserve"> </v>
      </c>
      <c r="F1831" s="9"/>
      <c r="G1831" s="9"/>
      <c r="H1831" s="9"/>
      <c r="I1831" s="38" t="str">
        <f>IFERROR(VLOOKUP(C1831,Resources!B:G,6,FALSE)," ")</f>
        <v xml:space="preserve"> </v>
      </c>
      <c r="J1831" s="38"/>
      <c r="K1831" s="9"/>
      <c r="L1831" s="9"/>
      <c r="M1831" s="38"/>
      <c r="N1831" s="38"/>
      <c r="O1831" s="38"/>
      <c r="P1831" s="38"/>
      <c r="Q1831" s="38"/>
      <c r="R1831" s="122"/>
      <c r="T1831" s="188"/>
    </row>
    <row r="1832" spans="1:20" ht="30" x14ac:dyDescent="0.25">
      <c r="A1832" s="114" t="s">
        <v>2556</v>
      </c>
      <c r="B1832" s="1" t="s">
        <v>2428</v>
      </c>
      <c r="C1832" s="1" t="s">
        <v>2555</v>
      </c>
      <c r="D1832" s="2" t="s">
        <v>2416</v>
      </c>
      <c r="E1832" s="99"/>
      <c r="F1832" s="7"/>
      <c r="G1832" s="7"/>
      <c r="H1832" s="103">
        <f>VLOOKUP($A1832,'Model Inputs'!$A:$D,4,FALSE)</f>
        <v>1</v>
      </c>
      <c r="I1832" s="108"/>
      <c r="J1832" s="108">
        <f>SUBTOTAL(9,J1834:J1839)</f>
        <v>23859.346222222226</v>
      </c>
      <c r="K1832" s="7"/>
      <c r="L1832" s="7">
        <f>ROUNDUP(MAX(L1834:L1837),0)</f>
        <v>6</v>
      </c>
      <c r="M1832" s="108">
        <f t="shared" ref="M1832:Q1832" si="2714">SUBTOTAL(9,M1834:M1839)</f>
        <v>3016.2222222222222</v>
      </c>
      <c r="N1832" s="108">
        <f t="shared" si="2714"/>
        <v>671.72399999999993</v>
      </c>
      <c r="O1832" s="108">
        <f t="shared" si="2714"/>
        <v>1567.5</v>
      </c>
      <c r="P1832" s="108">
        <f t="shared" si="2714"/>
        <v>18603.900000000001</v>
      </c>
      <c r="Q1832" s="108">
        <f t="shared" si="2714"/>
        <v>23859.346222222226</v>
      </c>
      <c r="R1832" s="120" t="s">
        <v>781</v>
      </c>
      <c r="T1832" s="188"/>
    </row>
    <row r="1833" spans="1:20" ht="30" x14ac:dyDescent="0.25">
      <c r="A1833" s="100"/>
      <c r="B1833" s="3">
        <v>1</v>
      </c>
      <c r="C1833" s="5" t="s">
        <v>2429</v>
      </c>
      <c r="D1833" s="3"/>
      <c r="E1833" s="100"/>
      <c r="F1833" s="8"/>
      <c r="G1833" s="8"/>
      <c r="H1833" s="8"/>
      <c r="I1833" s="109"/>
      <c r="J1833" s="109"/>
      <c r="K1833" s="8"/>
      <c r="L1833" s="8"/>
      <c r="M1833" s="109"/>
      <c r="N1833" s="109"/>
      <c r="O1833" s="109"/>
      <c r="P1833" s="109"/>
      <c r="Q1833" s="109"/>
      <c r="R1833" s="121"/>
      <c r="T1833" s="188"/>
    </row>
    <row r="1834" spans="1:20" x14ac:dyDescent="0.25">
      <c r="A1834" s="100"/>
      <c r="B1834" s="3">
        <v>2</v>
      </c>
      <c r="C1834" s="5" t="s">
        <v>306</v>
      </c>
      <c r="D1834" s="3" t="s">
        <v>33</v>
      </c>
      <c r="E1834" s="100" t="str">
        <f>IFERROR(VLOOKUP(C1834,Resources!B:D,3,FALSE)," ")</f>
        <v>S</v>
      </c>
      <c r="F1834" s="8">
        <v>1</v>
      </c>
      <c r="G1834" s="8">
        <v>1</v>
      </c>
      <c r="H1834" s="8">
        <f>H1832*18603.9</f>
        <v>18603.900000000001</v>
      </c>
      <c r="I1834" s="109">
        <f>IFERROR(VLOOKUP(C1834,Resources!B:G,6,FALSE)," ")</f>
        <v>1</v>
      </c>
      <c r="J1834" s="109">
        <f t="shared" ref="J1834" si="2715">(H1834/(G1834/F1834))*I1834</f>
        <v>18603.900000000001</v>
      </c>
      <c r="K1834" s="8"/>
      <c r="L1834" s="8">
        <v>4</v>
      </c>
      <c r="M1834" s="109">
        <f t="shared" ref="M1834:M1839" si="2716">IF($E1834="L",$J1834,0)</f>
        <v>0</v>
      </c>
      <c r="N1834" s="109">
        <f t="shared" ref="N1834:N1839" si="2717">IF($E1834="M",$J1834,0)</f>
        <v>0</v>
      </c>
      <c r="O1834" s="109">
        <f t="shared" ref="O1834:O1839" si="2718">IF($E1834="P",$J1834,0)</f>
        <v>0</v>
      </c>
      <c r="P1834" s="109">
        <f t="shared" ref="P1834:P1839" si="2719">IF($E1834="S",$J1834,0)</f>
        <v>18603.900000000001</v>
      </c>
      <c r="Q1834" s="109">
        <f t="shared" ref="Q1834" si="2720">SUM(M1834:P1834)</f>
        <v>18603.900000000001</v>
      </c>
      <c r="R1834" s="121">
        <v>103</v>
      </c>
      <c r="T1834" s="188"/>
    </row>
    <row r="1835" spans="1:20" x14ac:dyDescent="0.25">
      <c r="A1835" s="100"/>
      <c r="B1835" s="3">
        <v>3</v>
      </c>
      <c r="C1835" s="5" t="s">
        <v>47</v>
      </c>
      <c r="D1835" s="3" t="s">
        <v>48</v>
      </c>
      <c r="E1835" s="100" t="str">
        <f>IFERROR(VLOOKUP(C1835,Resources!B:D,3,FALSE)," ")</f>
        <v>L</v>
      </c>
      <c r="F1835" s="8">
        <v>1</v>
      </c>
      <c r="G1835" s="8">
        <v>1</v>
      </c>
      <c r="H1835" s="8">
        <f>H1832*14/45</f>
        <v>0.31111111111111112</v>
      </c>
      <c r="I1835" s="109">
        <f>IFERROR(VLOOKUP(C1835,Resources!B:G,6,FALSE)," ")</f>
        <v>3350</v>
      </c>
      <c r="J1835" s="109">
        <f t="shared" ref="J1835:J1839" si="2721">(H1835/(G1835/F1835))*I1835</f>
        <v>1042.2222222222222</v>
      </c>
      <c r="K1835" s="8"/>
      <c r="L1835" s="8">
        <f t="shared" ref="L1835" si="2722">H1835/4000</f>
        <v>7.7777777777777782E-5</v>
      </c>
      <c r="M1835" s="109">
        <f t="shared" si="2716"/>
        <v>1042.2222222222222</v>
      </c>
      <c r="N1835" s="109">
        <f t="shared" si="2717"/>
        <v>0</v>
      </c>
      <c r="O1835" s="109">
        <f t="shared" si="2718"/>
        <v>0</v>
      </c>
      <c r="P1835" s="109">
        <f t="shared" si="2719"/>
        <v>0</v>
      </c>
      <c r="Q1835" s="109">
        <f t="shared" ref="Q1835:Q1839" si="2723">SUM(M1835:P1835)</f>
        <v>1042.2222222222222</v>
      </c>
      <c r="R1835" s="121">
        <v>902</v>
      </c>
      <c r="T1835" s="188"/>
    </row>
    <row r="1836" spans="1:20" x14ac:dyDescent="0.25">
      <c r="A1836" s="100"/>
      <c r="B1836" s="3">
        <v>4</v>
      </c>
      <c r="C1836" s="5" t="s">
        <v>2045</v>
      </c>
      <c r="D1836" s="3" t="s">
        <v>48</v>
      </c>
      <c r="E1836" s="100" t="str">
        <f>IFERROR(VLOOKUP(C1836,Resources!B:D,3,FALSE)," ")</f>
        <v>L</v>
      </c>
      <c r="F1836" s="8">
        <v>1</v>
      </c>
      <c r="G1836" s="8">
        <v>1</v>
      </c>
      <c r="H1836" s="8">
        <v>47</v>
      </c>
      <c r="I1836" s="109">
        <f>IFERROR(VLOOKUP(C1836,Resources!B:G,6,FALSE)," ")</f>
        <v>42</v>
      </c>
      <c r="J1836" s="109">
        <f t="shared" si="2721"/>
        <v>1974</v>
      </c>
      <c r="K1836" s="8"/>
      <c r="L1836" s="8">
        <f>H1836/Workhrs</f>
        <v>5.2222222222222223</v>
      </c>
      <c r="M1836" s="109">
        <f t="shared" si="2716"/>
        <v>1974</v>
      </c>
      <c r="N1836" s="109">
        <f t="shared" si="2717"/>
        <v>0</v>
      </c>
      <c r="O1836" s="109">
        <f t="shared" si="2718"/>
        <v>0</v>
      </c>
      <c r="P1836" s="109">
        <f t="shared" si="2719"/>
        <v>0</v>
      </c>
      <c r="Q1836" s="109">
        <f t="shared" si="2723"/>
        <v>1974</v>
      </c>
      <c r="R1836" s="121">
        <v>141</v>
      </c>
      <c r="T1836" s="188"/>
    </row>
    <row r="1837" spans="1:20" x14ac:dyDescent="0.25">
      <c r="A1837" s="100"/>
      <c r="B1837" s="3">
        <v>5</v>
      </c>
      <c r="C1837" s="5" t="s">
        <v>173</v>
      </c>
      <c r="D1837" s="3" t="s">
        <v>48</v>
      </c>
      <c r="E1837" s="100" t="str">
        <f>IFERROR(VLOOKUP(C1837,Resources!B:D,3,FALSE)," ")</f>
        <v>P</v>
      </c>
      <c r="F1837" s="8">
        <v>1</v>
      </c>
      <c r="G1837" s="8">
        <v>1</v>
      </c>
      <c r="H1837" s="8">
        <v>16.5</v>
      </c>
      <c r="I1837" s="109">
        <f>IFERROR(VLOOKUP(C1837,Resources!B:G,6,FALSE)," ")</f>
        <v>95</v>
      </c>
      <c r="J1837" s="109">
        <f t="shared" si="2721"/>
        <v>1567.5</v>
      </c>
      <c r="K1837" s="8"/>
      <c r="L1837" s="8">
        <f>H1837/Workhrs</f>
        <v>1.8333333333333333</v>
      </c>
      <c r="M1837" s="109">
        <f t="shared" si="2716"/>
        <v>0</v>
      </c>
      <c r="N1837" s="109">
        <f t="shared" si="2717"/>
        <v>0</v>
      </c>
      <c r="O1837" s="109">
        <f t="shared" si="2718"/>
        <v>1567.5</v>
      </c>
      <c r="P1837" s="109">
        <f t="shared" si="2719"/>
        <v>0</v>
      </c>
      <c r="Q1837" s="109">
        <f t="shared" si="2723"/>
        <v>1567.5</v>
      </c>
      <c r="R1837" s="121">
        <v>103</v>
      </c>
      <c r="T1837" s="188"/>
    </row>
    <row r="1838" spans="1:20" x14ac:dyDescent="0.25">
      <c r="A1838" s="100"/>
      <c r="B1838" s="3">
        <v>6</v>
      </c>
      <c r="C1838" s="5" t="s">
        <v>2096</v>
      </c>
      <c r="D1838" s="3" t="s">
        <v>82</v>
      </c>
      <c r="E1838" s="100" t="str">
        <f>IFERROR(VLOOKUP(C1838,Resources!B:D,3,FALSE)," ")</f>
        <v>M</v>
      </c>
      <c r="F1838" s="8">
        <v>1</v>
      </c>
      <c r="G1838" s="8">
        <v>1</v>
      </c>
      <c r="H1838" s="8">
        <v>11.88</v>
      </c>
      <c r="I1838" s="109">
        <f>IFERROR(VLOOKUP(C1838,Resources!B:G,6,FALSE)," ")</f>
        <v>28.3</v>
      </c>
      <c r="J1838" s="109">
        <f t="shared" si="2721"/>
        <v>336.20400000000001</v>
      </c>
      <c r="K1838" s="8"/>
      <c r="L1838" s="8"/>
      <c r="M1838" s="109">
        <f t="shared" si="2716"/>
        <v>0</v>
      </c>
      <c r="N1838" s="109">
        <f t="shared" si="2717"/>
        <v>336.20400000000001</v>
      </c>
      <c r="O1838" s="109">
        <f t="shared" si="2718"/>
        <v>0</v>
      </c>
      <c r="P1838" s="109">
        <f t="shared" si="2719"/>
        <v>0</v>
      </c>
      <c r="Q1838" s="109">
        <f t="shared" si="2723"/>
        <v>336.20400000000001</v>
      </c>
      <c r="R1838" s="121">
        <v>62</v>
      </c>
      <c r="T1838" s="188"/>
    </row>
    <row r="1839" spans="1:20" x14ac:dyDescent="0.25">
      <c r="A1839" s="100"/>
      <c r="B1839" s="3">
        <v>7</v>
      </c>
      <c r="C1839" s="5" t="s">
        <v>81</v>
      </c>
      <c r="D1839" s="3" t="s">
        <v>82</v>
      </c>
      <c r="E1839" s="100" t="str">
        <f>IFERROR(VLOOKUP(C1839,Resources!B:D,3,FALSE)," ")</f>
        <v>M</v>
      </c>
      <c r="F1839" s="8">
        <v>1</v>
      </c>
      <c r="G1839" s="8">
        <v>1</v>
      </c>
      <c r="H1839" s="8">
        <v>13.98</v>
      </c>
      <c r="I1839" s="109">
        <f>IFERROR(VLOOKUP(C1839,Resources!B:G,6,FALSE)," ")</f>
        <v>24</v>
      </c>
      <c r="J1839" s="109">
        <f t="shared" si="2721"/>
        <v>335.52</v>
      </c>
      <c r="K1839" s="8"/>
      <c r="L1839" s="8"/>
      <c r="M1839" s="109">
        <f t="shared" si="2716"/>
        <v>0</v>
      </c>
      <c r="N1839" s="109">
        <f t="shared" si="2717"/>
        <v>335.52</v>
      </c>
      <c r="O1839" s="109">
        <f t="shared" si="2718"/>
        <v>0</v>
      </c>
      <c r="P1839" s="109">
        <f t="shared" si="2719"/>
        <v>0</v>
      </c>
      <c r="Q1839" s="109">
        <f t="shared" si="2723"/>
        <v>335.52</v>
      </c>
      <c r="R1839" s="121" t="s">
        <v>2341</v>
      </c>
      <c r="T1839" s="188"/>
    </row>
    <row r="1840" spans="1:20" x14ac:dyDescent="0.25">
      <c r="T1840" s="188"/>
    </row>
    <row r="1841" spans="1:20" x14ac:dyDescent="0.25">
      <c r="T1841" s="188"/>
    </row>
    <row r="1842" spans="1:20" ht="30" x14ac:dyDescent="0.25">
      <c r="A1842" s="114" t="s">
        <v>2557</v>
      </c>
      <c r="B1842" s="1" t="s">
        <v>2444</v>
      </c>
      <c r="C1842" s="1" t="s">
        <v>2445</v>
      </c>
      <c r="D1842" s="2" t="s">
        <v>2416</v>
      </c>
      <c r="E1842" s="99"/>
      <c r="F1842" s="7"/>
      <c r="G1842" s="7"/>
      <c r="H1842" s="103">
        <f>VLOOKUP($A1842,'Model Inputs'!$A:$D,4,FALSE)</f>
        <v>1</v>
      </c>
      <c r="I1842" s="108"/>
      <c r="J1842" s="108">
        <f>SUBTOTAL(9,J1843:J1848)</f>
        <v>691.11930232558143</v>
      </c>
      <c r="K1842" s="7"/>
      <c r="L1842" s="7">
        <f>ROUNDUP(L1848/Workhrs,0)</f>
        <v>1</v>
      </c>
      <c r="M1842" s="108">
        <f>SUBTOTAL(9,M1843:M1848)</f>
        <v>0</v>
      </c>
      <c r="N1842" s="108">
        <f>SUBTOTAL(9,N1843:N1848)</f>
        <v>301.11930232558143</v>
      </c>
      <c r="O1842" s="108">
        <f>SUBTOTAL(9,O1843:O1848)</f>
        <v>0</v>
      </c>
      <c r="P1842" s="108">
        <f>SUBTOTAL(9,P1843:P1848)</f>
        <v>390</v>
      </c>
      <c r="Q1842" s="108">
        <f>SUBTOTAL(9,Q1843:Q1848)</f>
        <v>691.11930232558143</v>
      </c>
      <c r="R1842" s="120" t="s">
        <v>781</v>
      </c>
      <c r="T1842" s="188"/>
    </row>
    <row r="1843" spans="1:20" x14ac:dyDescent="0.25">
      <c r="A1843" s="100"/>
      <c r="B1843" s="3">
        <v>1</v>
      </c>
      <c r="C1843" s="5" t="s">
        <v>2446</v>
      </c>
      <c r="D1843" s="3" t="s">
        <v>89</v>
      </c>
      <c r="E1843" s="100"/>
      <c r="F1843" s="8"/>
      <c r="G1843" s="8"/>
      <c r="H1843" s="8"/>
      <c r="I1843" s="109"/>
      <c r="J1843" s="109"/>
      <c r="K1843" s="8"/>
      <c r="L1843" s="8"/>
      <c r="M1843" s="109"/>
      <c r="N1843" s="109"/>
      <c r="O1843" s="109"/>
      <c r="P1843" s="109"/>
      <c r="Q1843" s="109"/>
      <c r="R1843" s="121"/>
      <c r="T1843" s="188"/>
    </row>
    <row r="1844" spans="1:20" ht="30" x14ac:dyDescent="0.25">
      <c r="A1844" s="100"/>
      <c r="B1844" s="3">
        <v>2</v>
      </c>
      <c r="C1844" s="5" t="s">
        <v>196</v>
      </c>
      <c r="D1844" s="3"/>
      <c r="E1844" s="100" t="str">
        <f>IFERROR(VLOOKUP(C1844,Resources!B:D,3,FALSE)," ")</f>
        <v xml:space="preserve"> </v>
      </c>
      <c r="F1844" s="8"/>
      <c r="G1844" s="8"/>
      <c r="H1844" s="8"/>
      <c r="I1844" s="109" t="str">
        <f>IFERROR(VLOOKUP(C1844,Resources!B:G,6,FALSE)," ")</f>
        <v xml:space="preserve"> </v>
      </c>
      <c r="J1844" s="109"/>
      <c r="K1844" s="8"/>
      <c r="L1844" s="8"/>
      <c r="M1844" s="109"/>
      <c r="N1844" s="109"/>
      <c r="O1844" s="109"/>
      <c r="P1844" s="109"/>
      <c r="Q1844" s="109"/>
      <c r="R1844" s="121"/>
      <c r="T1844" s="188"/>
    </row>
    <row r="1845" spans="1:20" x14ac:dyDescent="0.25">
      <c r="A1845" s="100"/>
      <c r="B1845" s="3">
        <v>3</v>
      </c>
      <c r="C1845" s="5" t="s">
        <v>197</v>
      </c>
      <c r="D1845" s="3" t="s">
        <v>86</v>
      </c>
      <c r="E1845" s="100" t="str">
        <f>IFERROR(VLOOKUP(C1845,Resources!B:D,3,FALSE)," ")</f>
        <v>M</v>
      </c>
      <c r="F1845" s="8">
        <v>1</v>
      </c>
      <c r="G1845" s="8">
        <v>1</v>
      </c>
      <c r="H1845" s="8">
        <f>H1842*13/8.6</f>
        <v>1.5116279069767442</v>
      </c>
      <c r="I1845" s="109">
        <f>IFERROR(VLOOKUP(C1845,Resources!B:G,6,FALSE)," ")</f>
        <v>190</v>
      </c>
      <c r="J1845" s="109">
        <f t="shared" ref="J1845:J1848" si="2724">(H1845/(G1845/F1845))*I1845</f>
        <v>287.2093023255814</v>
      </c>
      <c r="K1845" s="8"/>
      <c r="L1845" s="8" t="str">
        <f t="shared" ref="L1845:L1847" si="2725">IF(E1845="M"," ",H1845/G1845)</f>
        <v xml:space="preserve"> </v>
      </c>
      <c r="M1845" s="109">
        <f t="shared" ref="M1845:M1848" si="2726">IF($E1845="L",$J1845,0)</f>
        <v>0</v>
      </c>
      <c r="N1845" s="109">
        <f t="shared" ref="N1845:N1848" si="2727">IF($E1845="M",$J1845,0)</f>
        <v>287.2093023255814</v>
      </c>
      <c r="O1845" s="109">
        <f t="shared" ref="O1845:O1848" si="2728">IF($E1845="P",$J1845,0)</f>
        <v>0</v>
      </c>
      <c r="P1845" s="109">
        <f t="shared" ref="P1845:P1848" si="2729">IF($E1845="S",$J1845,0)</f>
        <v>0</v>
      </c>
      <c r="Q1845" s="109">
        <f t="shared" ref="Q1845:Q1848" si="2730">SUM(M1845:P1845)</f>
        <v>287.2093023255814</v>
      </c>
      <c r="R1845" s="121" t="s">
        <v>2337</v>
      </c>
      <c r="T1845" s="188"/>
    </row>
    <row r="1846" spans="1:20" x14ac:dyDescent="0.25">
      <c r="A1846" s="100"/>
      <c r="B1846" s="3">
        <v>4</v>
      </c>
      <c r="C1846" s="5" t="s">
        <v>81</v>
      </c>
      <c r="D1846" s="3" t="s">
        <v>82</v>
      </c>
      <c r="E1846" s="100" t="str">
        <f>IFERROR(VLOOKUP(C1846,Resources!B:D,3,FALSE)," ")</f>
        <v>M</v>
      </c>
      <c r="F1846" s="8">
        <v>1</v>
      </c>
      <c r="G1846" s="8">
        <v>1</v>
      </c>
      <c r="H1846" s="8">
        <f>H1842*13/75</f>
        <v>0.17333333333333334</v>
      </c>
      <c r="I1846" s="109">
        <f>IFERROR(VLOOKUP(C1846,Resources!B:G,6,FALSE)," ")</f>
        <v>24</v>
      </c>
      <c r="J1846" s="109">
        <f t="shared" si="2724"/>
        <v>4.16</v>
      </c>
      <c r="K1846" s="8"/>
      <c r="L1846" s="8" t="str">
        <f t="shared" si="2725"/>
        <v xml:space="preserve"> </v>
      </c>
      <c r="M1846" s="109">
        <f t="shared" si="2726"/>
        <v>0</v>
      </c>
      <c r="N1846" s="109">
        <f t="shared" si="2727"/>
        <v>4.16</v>
      </c>
      <c r="O1846" s="109">
        <f t="shared" si="2728"/>
        <v>0</v>
      </c>
      <c r="P1846" s="109">
        <f t="shared" si="2729"/>
        <v>0</v>
      </c>
      <c r="Q1846" s="109">
        <f t="shared" si="2730"/>
        <v>4.16</v>
      </c>
      <c r="R1846" s="121" t="s">
        <v>2341</v>
      </c>
      <c r="T1846" s="188"/>
    </row>
    <row r="1847" spans="1:20" x14ac:dyDescent="0.25">
      <c r="A1847" s="100"/>
      <c r="B1847" s="3">
        <v>5</v>
      </c>
      <c r="C1847" s="5" t="s">
        <v>109</v>
      </c>
      <c r="D1847" s="3" t="s">
        <v>82</v>
      </c>
      <c r="E1847" s="100" t="str">
        <f>IFERROR(VLOOKUP(C1847,Resources!B:D,3,FALSE)," ")</f>
        <v>M</v>
      </c>
      <c r="F1847" s="8">
        <v>1</v>
      </c>
      <c r="G1847" s="8">
        <v>1</v>
      </c>
      <c r="H1847" s="8">
        <f>H1846/8</f>
        <v>2.1666666666666667E-2</v>
      </c>
      <c r="I1847" s="109">
        <f>IFERROR(VLOOKUP(C1847,Resources!B:G,6,FALSE)," ")</f>
        <v>450</v>
      </c>
      <c r="J1847" s="109">
        <f t="shared" si="2724"/>
        <v>9.75</v>
      </c>
      <c r="K1847" s="8"/>
      <c r="L1847" s="8" t="str">
        <f t="shared" si="2725"/>
        <v xml:space="preserve"> </v>
      </c>
      <c r="M1847" s="109">
        <f t="shared" si="2726"/>
        <v>0</v>
      </c>
      <c r="N1847" s="109">
        <f t="shared" si="2727"/>
        <v>9.75</v>
      </c>
      <c r="O1847" s="109">
        <f t="shared" si="2728"/>
        <v>0</v>
      </c>
      <c r="P1847" s="109">
        <f t="shared" si="2729"/>
        <v>0</v>
      </c>
      <c r="Q1847" s="109">
        <f t="shared" si="2730"/>
        <v>9.75</v>
      </c>
      <c r="R1847" s="121" t="s">
        <v>2338</v>
      </c>
      <c r="T1847" s="188"/>
    </row>
    <row r="1848" spans="1:20" x14ac:dyDescent="0.25">
      <c r="A1848" s="100"/>
      <c r="B1848" s="3">
        <v>6</v>
      </c>
      <c r="C1848" s="5" t="s">
        <v>198</v>
      </c>
      <c r="D1848" s="3" t="s">
        <v>89</v>
      </c>
      <c r="E1848" s="100" t="str">
        <f>IFERROR(VLOOKUP(C1848,Resources!B:D,3,FALSE)," ")</f>
        <v>S</v>
      </c>
      <c r="F1848" s="8">
        <v>1</v>
      </c>
      <c r="G1848" s="8">
        <v>1</v>
      </c>
      <c r="H1848" s="8">
        <f>H1842*13</f>
        <v>13</v>
      </c>
      <c r="I1848" s="109">
        <f>IFERROR(VLOOKUP(C1848,Resources!B:G,6,FALSE)," ")</f>
        <v>30</v>
      </c>
      <c r="J1848" s="109">
        <f t="shared" si="2724"/>
        <v>390</v>
      </c>
      <c r="K1848" s="8"/>
      <c r="L1848" s="8">
        <f>H1848/200</f>
        <v>6.5000000000000002E-2</v>
      </c>
      <c r="M1848" s="109">
        <f t="shared" si="2726"/>
        <v>0</v>
      </c>
      <c r="N1848" s="109">
        <f t="shared" si="2727"/>
        <v>0</v>
      </c>
      <c r="O1848" s="109">
        <f t="shared" si="2728"/>
        <v>0</v>
      </c>
      <c r="P1848" s="109">
        <f t="shared" si="2729"/>
        <v>390</v>
      </c>
      <c r="Q1848" s="109">
        <f t="shared" si="2730"/>
        <v>390</v>
      </c>
      <c r="R1848" s="121">
        <v>71</v>
      </c>
      <c r="T1848" s="188"/>
    </row>
    <row r="1849" spans="1:20" x14ac:dyDescent="0.25">
      <c r="T1849" s="188"/>
    </row>
    <row r="1850" spans="1:20" ht="30" x14ac:dyDescent="0.25">
      <c r="A1850" s="114" t="s">
        <v>2559</v>
      </c>
      <c r="B1850" s="1" t="s">
        <v>2447</v>
      </c>
      <c r="C1850" s="1" t="s">
        <v>2448</v>
      </c>
      <c r="D1850" s="2" t="s">
        <v>2416</v>
      </c>
      <c r="E1850" s="99"/>
      <c r="F1850" s="7"/>
      <c r="G1850" s="7"/>
      <c r="H1850" s="103">
        <f>VLOOKUP($A1850,'Model Inputs'!$A:$D,4,FALSE)</f>
        <v>1</v>
      </c>
      <c r="I1850" s="108"/>
      <c r="J1850" s="108">
        <f>SUBTOTAL(9,J1853:J1861)</f>
        <v>1086.1193023255814</v>
      </c>
      <c r="K1850" s="7"/>
      <c r="L1850" s="7">
        <f>MAX(ROUNDUP(L1856/Workhrs,0),ROUNDUP(L1861/Workhrs,0))</f>
        <v>1</v>
      </c>
      <c r="M1850" s="108">
        <f t="shared" ref="M1850:Q1850" si="2731">SUBTOTAL(9,M1853:M1861)</f>
        <v>0</v>
      </c>
      <c r="N1850" s="108">
        <f t="shared" si="2731"/>
        <v>526.11930232558143</v>
      </c>
      <c r="O1850" s="108">
        <f t="shared" si="2731"/>
        <v>0</v>
      </c>
      <c r="P1850" s="108">
        <f t="shared" si="2731"/>
        <v>560</v>
      </c>
      <c r="Q1850" s="108">
        <f t="shared" si="2731"/>
        <v>1086.1193023255814</v>
      </c>
      <c r="R1850" s="120" t="s">
        <v>781</v>
      </c>
      <c r="T1850" s="188"/>
    </row>
    <row r="1851" spans="1:20" x14ac:dyDescent="0.25">
      <c r="A1851" s="100"/>
      <c r="B1851" s="3">
        <v>1</v>
      </c>
      <c r="C1851" s="5" t="s">
        <v>2449</v>
      </c>
      <c r="D1851" s="3" t="s">
        <v>89</v>
      </c>
      <c r="E1851" s="100"/>
      <c r="F1851" s="8"/>
      <c r="G1851" s="8"/>
      <c r="H1851" s="8"/>
      <c r="I1851" s="109"/>
      <c r="J1851" s="109"/>
      <c r="K1851" s="8"/>
      <c r="L1851" s="8"/>
      <c r="M1851" s="109"/>
      <c r="N1851" s="109"/>
      <c r="O1851" s="109"/>
      <c r="P1851" s="109"/>
      <c r="Q1851" s="109"/>
      <c r="R1851" s="121"/>
      <c r="T1851" s="188"/>
    </row>
    <row r="1852" spans="1:20" ht="30" x14ac:dyDescent="0.25">
      <c r="A1852" s="100"/>
      <c r="B1852" s="3">
        <v>2</v>
      </c>
      <c r="C1852" s="5" t="s">
        <v>196</v>
      </c>
      <c r="D1852" s="3"/>
      <c r="E1852" s="100" t="str">
        <f>IFERROR(VLOOKUP(C1852,Resources!B:D,3,FALSE)," ")</f>
        <v xml:space="preserve"> </v>
      </c>
      <c r="F1852" s="8"/>
      <c r="G1852" s="8"/>
      <c r="H1852" s="8"/>
      <c r="I1852" s="109" t="str">
        <f>IFERROR(VLOOKUP(C1852,Resources!B:G,6,FALSE)," ")</f>
        <v xml:space="preserve"> </v>
      </c>
      <c r="J1852" s="109"/>
      <c r="K1852" s="8"/>
      <c r="L1852" s="8"/>
      <c r="M1852" s="109"/>
      <c r="N1852" s="109"/>
      <c r="O1852" s="109"/>
      <c r="P1852" s="109"/>
      <c r="Q1852" s="109"/>
      <c r="R1852" s="121"/>
      <c r="T1852" s="188"/>
    </row>
    <row r="1853" spans="1:20" x14ac:dyDescent="0.25">
      <c r="A1853" s="100"/>
      <c r="B1853" s="3">
        <v>3</v>
      </c>
      <c r="C1853" s="5" t="s">
        <v>197</v>
      </c>
      <c r="D1853" s="3" t="s">
        <v>86</v>
      </c>
      <c r="E1853" s="100" t="str">
        <f>IFERROR(VLOOKUP(C1853,Resources!B:D,3,FALSE)," ")</f>
        <v>M</v>
      </c>
      <c r="F1853" s="8">
        <v>1</v>
      </c>
      <c r="G1853" s="8">
        <v>1</v>
      </c>
      <c r="H1853" s="8">
        <f>H1850*13/8.6</f>
        <v>1.5116279069767442</v>
      </c>
      <c r="I1853" s="109">
        <f>IFERROR(VLOOKUP(C1853,Resources!B:G,6,FALSE)," ")</f>
        <v>190</v>
      </c>
      <c r="J1853" s="109">
        <f t="shared" ref="J1853:J1856" si="2732">(H1853/(G1853/F1853))*I1853</f>
        <v>287.2093023255814</v>
      </c>
      <c r="K1853" s="8"/>
      <c r="L1853" s="8" t="str">
        <f t="shared" ref="L1853:L1855" si="2733">IF(E1853="M"," ",H1853/G1853)</f>
        <v xml:space="preserve"> </v>
      </c>
      <c r="M1853" s="109">
        <f t="shared" ref="M1853:M1856" si="2734">IF($E1853="L",$J1853,0)</f>
        <v>0</v>
      </c>
      <c r="N1853" s="109">
        <f t="shared" ref="N1853:N1856" si="2735">IF($E1853="M",$J1853,0)</f>
        <v>287.2093023255814</v>
      </c>
      <c r="O1853" s="109">
        <f t="shared" ref="O1853:O1856" si="2736">IF($E1853="P",$J1853,0)</f>
        <v>0</v>
      </c>
      <c r="P1853" s="109">
        <f t="shared" ref="P1853:P1856" si="2737">IF($E1853="S",$J1853,0)</f>
        <v>0</v>
      </c>
      <c r="Q1853" s="109">
        <f t="shared" ref="Q1853:Q1856" si="2738">SUM(M1853:P1853)</f>
        <v>287.2093023255814</v>
      </c>
      <c r="R1853" s="121" t="s">
        <v>2337</v>
      </c>
      <c r="T1853" s="188"/>
    </row>
    <row r="1854" spans="1:20" x14ac:dyDescent="0.25">
      <c r="A1854" s="100"/>
      <c r="B1854" s="3">
        <v>4</v>
      </c>
      <c r="C1854" s="5" t="s">
        <v>81</v>
      </c>
      <c r="D1854" s="3" t="s">
        <v>82</v>
      </c>
      <c r="E1854" s="100" t="str">
        <f>IFERROR(VLOOKUP(C1854,Resources!B:D,3,FALSE)," ")</f>
        <v>M</v>
      </c>
      <c r="F1854" s="8">
        <v>1</v>
      </c>
      <c r="G1854" s="8">
        <v>1</v>
      </c>
      <c r="H1854" s="8">
        <f>H1850*13/75</f>
        <v>0.17333333333333334</v>
      </c>
      <c r="I1854" s="109">
        <f>IFERROR(VLOOKUP(C1854,Resources!B:G,6,FALSE)," ")</f>
        <v>24</v>
      </c>
      <c r="J1854" s="109">
        <f t="shared" si="2732"/>
        <v>4.16</v>
      </c>
      <c r="K1854" s="8"/>
      <c r="L1854" s="8" t="str">
        <f t="shared" si="2733"/>
        <v xml:space="preserve"> </v>
      </c>
      <c r="M1854" s="109">
        <f t="shared" si="2734"/>
        <v>0</v>
      </c>
      <c r="N1854" s="109">
        <f t="shared" si="2735"/>
        <v>4.16</v>
      </c>
      <c r="O1854" s="109">
        <f t="shared" si="2736"/>
        <v>0</v>
      </c>
      <c r="P1854" s="109">
        <f t="shared" si="2737"/>
        <v>0</v>
      </c>
      <c r="Q1854" s="109">
        <f t="shared" si="2738"/>
        <v>4.16</v>
      </c>
      <c r="R1854" s="121" t="s">
        <v>2341</v>
      </c>
      <c r="T1854" s="188"/>
    </row>
    <row r="1855" spans="1:20" x14ac:dyDescent="0.25">
      <c r="A1855" s="100"/>
      <c r="B1855" s="3">
        <v>5</v>
      </c>
      <c r="C1855" s="5" t="s">
        <v>109</v>
      </c>
      <c r="D1855" s="3" t="s">
        <v>82</v>
      </c>
      <c r="E1855" s="100" t="str">
        <f>IFERROR(VLOOKUP(C1855,Resources!B:D,3,FALSE)," ")</f>
        <v>M</v>
      </c>
      <c r="F1855" s="8">
        <v>1</v>
      </c>
      <c r="G1855" s="8">
        <v>1</v>
      </c>
      <c r="H1855" s="8">
        <f>H1854/8</f>
        <v>2.1666666666666667E-2</v>
      </c>
      <c r="I1855" s="109">
        <f>IFERROR(VLOOKUP(C1855,Resources!B:G,6,FALSE)," ")</f>
        <v>450</v>
      </c>
      <c r="J1855" s="109">
        <f t="shared" si="2732"/>
        <v>9.75</v>
      </c>
      <c r="K1855" s="8"/>
      <c r="L1855" s="8" t="str">
        <f t="shared" si="2733"/>
        <v xml:space="preserve"> </v>
      </c>
      <c r="M1855" s="109">
        <f t="shared" si="2734"/>
        <v>0</v>
      </c>
      <c r="N1855" s="109">
        <f t="shared" si="2735"/>
        <v>9.75</v>
      </c>
      <c r="O1855" s="109">
        <f t="shared" si="2736"/>
        <v>0</v>
      </c>
      <c r="P1855" s="109">
        <f t="shared" si="2737"/>
        <v>0</v>
      </c>
      <c r="Q1855" s="109">
        <f t="shared" si="2738"/>
        <v>9.75</v>
      </c>
      <c r="R1855" s="121" t="s">
        <v>2338</v>
      </c>
      <c r="T1855" s="188"/>
    </row>
    <row r="1856" spans="1:20" x14ac:dyDescent="0.25">
      <c r="A1856" s="100"/>
      <c r="B1856" s="3">
        <v>6</v>
      </c>
      <c r="C1856" s="5" t="s">
        <v>198</v>
      </c>
      <c r="D1856" s="3" t="s">
        <v>89</v>
      </c>
      <c r="E1856" s="100" t="str">
        <f>IFERROR(VLOOKUP(C1856,Resources!B:D,3,FALSE)," ")</f>
        <v>S</v>
      </c>
      <c r="F1856" s="8">
        <v>1</v>
      </c>
      <c r="G1856" s="8">
        <v>1</v>
      </c>
      <c r="H1856" s="8">
        <f>H1850*13</f>
        <v>13</v>
      </c>
      <c r="I1856" s="109">
        <f>IFERROR(VLOOKUP(C1856,Resources!B:G,6,FALSE)," ")</f>
        <v>30</v>
      </c>
      <c r="J1856" s="109">
        <f t="shared" si="2732"/>
        <v>390</v>
      </c>
      <c r="K1856" s="8"/>
      <c r="L1856" s="8">
        <f>H1856/200</f>
        <v>6.5000000000000002E-2</v>
      </c>
      <c r="M1856" s="109">
        <f t="shared" si="2734"/>
        <v>0</v>
      </c>
      <c r="N1856" s="109">
        <f t="shared" si="2735"/>
        <v>0</v>
      </c>
      <c r="O1856" s="109">
        <f t="shared" si="2736"/>
        <v>0</v>
      </c>
      <c r="P1856" s="109">
        <f t="shared" si="2737"/>
        <v>390</v>
      </c>
      <c r="Q1856" s="109">
        <f t="shared" si="2738"/>
        <v>390</v>
      </c>
      <c r="R1856" s="121">
        <v>71</v>
      </c>
      <c r="T1856" s="188"/>
    </row>
    <row r="1857" spans="1:22" ht="30" x14ac:dyDescent="0.25">
      <c r="A1857" s="100"/>
      <c r="B1857" s="3">
        <v>7</v>
      </c>
      <c r="C1857" s="5" t="s">
        <v>2450</v>
      </c>
      <c r="D1857" s="3" t="s">
        <v>29</v>
      </c>
      <c r="E1857" s="100"/>
      <c r="F1857" s="8"/>
      <c r="G1857" s="8"/>
      <c r="H1857" s="8"/>
      <c r="I1857" s="109"/>
      <c r="J1857" s="109"/>
      <c r="K1857" s="8"/>
      <c r="L1857" s="8"/>
      <c r="M1857" s="109"/>
      <c r="N1857" s="109"/>
      <c r="O1857" s="109"/>
      <c r="P1857" s="109"/>
      <c r="Q1857" s="109"/>
      <c r="R1857" s="121"/>
      <c r="T1857" s="188"/>
    </row>
    <row r="1858" spans="1:22" x14ac:dyDescent="0.25">
      <c r="A1858" s="100"/>
      <c r="B1858" s="3">
        <v>8</v>
      </c>
      <c r="C1858" s="5" t="s">
        <v>2558</v>
      </c>
      <c r="D1858" s="3"/>
      <c r="E1858" s="100" t="str">
        <f>IFERROR(VLOOKUP(C1858,Resources!B:D,3,FALSE)," ")</f>
        <v xml:space="preserve"> </v>
      </c>
      <c r="F1858" s="8"/>
      <c r="G1858" s="8"/>
      <c r="H1858" s="8">
        <f>H1850*1</f>
        <v>1</v>
      </c>
      <c r="I1858" s="109" t="str">
        <f>IFERROR(VLOOKUP(C1858,Resources!B:G,6,FALSE)," ")</f>
        <v xml:space="preserve"> </v>
      </c>
      <c r="J1858" s="109"/>
      <c r="K1858" s="8"/>
      <c r="L1858" s="8"/>
      <c r="M1858" s="109"/>
      <c r="N1858" s="109"/>
      <c r="O1858" s="109"/>
      <c r="P1858" s="109"/>
      <c r="Q1858" s="109"/>
      <c r="R1858" s="121"/>
      <c r="T1858" s="188"/>
    </row>
    <row r="1859" spans="1:22" x14ac:dyDescent="0.25">
      <c r="A1859" s="100"/>
      <c r="B1859" s="3">
        <v>9</v>
      </c>
      <c r="C1859" s="5" t="s">
        <v>266</v>
      </c>
      <c r="D1859" s="3" t="s">
        <v>89</v>
      </c>
      <c r="E1859" s="100" t="str">
        <f>IFERROR(VLOOKUP(C1859,Resources!B:D,3,FALSE)," ")</f>
        <v>M</v>
      </c>
      <c r="F1859" s="8">
        <v>1</v>
      </c>
      <c r="G1859" s="8">
        <v>1</v>
      </c>
      <c r="H1859" s="8">
        <f>H1858*6</f>
        <v>6</v>
      </c>
      <c r="I1859" s="109">
        <f>IFERROR(VLOOKUP(C1859,Resources!B:G,6,FALSE)," ")</f>
        <v>25</v>
      </c>
      <c r="J1859" s="109">
        <f t="shared" ref="J1859:J1861" si="2739">(H1859/(G1859/F1859))*I1859</f>
        <v>150</v>
      </c>
      <c r="K1859" s="8"/>
      <c r="L1859" s="8" t="str">
        <f t="shared" ref="L1859:L1861" si="2740">IF(E1859="M"," ",H1859/G1859)</f>
        <v xml:space="preserve"> </v>
      </c>
      <c r="M1859" s="109">
        <f t="shared" ref="M1859:M1861" si="2741">IF($E1859="L",$J1859,0)</f>
        <v>0</v>
      </c>
      <c r="N1859" s="109">
        <f t="shared" ref="N1859:N1861" si="2742">IF($E1859="M",$J1859,0)</f>
        <v>150</v>
      </c>
      <c r="O1859" s="109">
        <f t="shared" ref="O1859:O1861" si="2743">IF($E1859="P",$J1859,0)</f>
        <v>0</v>
      </c>
      <c r="P1859" s="109">
        <f t="shared" ref="P1859:P1861" si="2744">IF($E1859="S",$J1859,0)</f>
        <v>0</v>
      </c>
      <c r="Q1859" s="109">
        <f t="shared" ref="Q1859:Q1861" si="2745">SUM(M1859:P1859)</f>
        <v>150</v>
      </c>
      <c r="R1859" s="121" t="s">
        <v>2346</v>
      </c>
      <c r="T1859" s="188"/>
    </row>
    <row r="1860" spans="1:22" x14ac:dyDescent="0.25">
      <c r="A1860" s="100"/>
      <c r="B1860" s="3">
        <v>10</v>
      </c>
      <c r="C1860" s="5" t="s">
        <v>267</v>
      </c>
      <c r="D1860" s="3" t="s">
        <v>29</v>
      </c>
      <c r="E1860" s="100" t="str">
        <f>IFERROR(VLOOKUP(C1860,Resources!B:D,3,FALSE)," ")</f>
        <v>M</v>
      </c>
      <c r="F1860" s="8">
        <v>1</v>
      </c>
      <c r="G1860" s="8">
        <v>1</v>
      </c>
      <c r="H1860" s="8">
        <f>H1858</f>
        <v>1</v>
      </c>
      <c r="I1860" s="109">
        <f>IFERROR(VLOOKUP(C1860,Resources!B:G,6,FALSE)," ")</f>
        <v>75</v>
      </c>
      <c r="J1860" s="109">
        <f t="shared" si="2739"/>
        <v>75</v>
      </c>
      <c r="K1860" s="8"/>
      <c r="L1860" s="8" t="str">
        <f t="shared" si="2740"/>
        <v xml:space="preserve"> </v>
      </c>
      <c r="M1860" s="109">
        <f t="shared" si="2741"/>
        <v>0</v>
      </c>
      <c r="N1860" s="109">
        <f t="shared" si="2742"/>
        <v>75</v>
      </c>
      <c r="O1860" s="109">
        <f t="shared" si="2743"/>
        <v>0</v>
      </c>
      <c r="P1860" s="109">
        <f t="shared" si="2744"/>
        <v>0</v>
      </c>
      <c r="Q1860" s="109">
        <f t="shared" si="2745"/>
        <v>75</v>
      </c>
      <c r="R1860" s="121" t="s">
        <v>2346</v>
      </c>
      <c r="T1860" s="188"/>
    </row>
    <row r="1861" spans="1:22" x14ac:dyDescent="0.25">
      <c r="A1861" s="100" t="s">
        <v>2560</v>
      </c>
      <c r="B1861" s="3">
        <v>11</v>
      </c>
      <c r="C1861" s="5" t="s">
        <v>268</v>
      </c>
      <c r="D1861" s="3" t="s">
        <v>48</v>
      </c>
      <c r="E1861" s="100" t="str">
        <f>IFERROR(VLOOKUP(C1861,Resources!B:D,3,FALSE)," ")</f>
        <v>S</v>
      </c>
      <c r="F1861" s="8">
        <v>1</v>
      </c>
      <c r="G1861" s="103">
        <f>VLOOKUP($A1861,'Model Inputs'!$A:$D,4,FALSE)</f>
        <v>0.5</v>
      </c>
      <c r="H1861" s="8">
        <f>H1858</f>
        <v>1</v>
      </c>
      <c r="I1861" s="109">
        <f>IFERROR(VLOOKUP(C1861,Resources!B:G,6,FALSE)," ")</f>
        <v>85</v>
      </c>
      <c r="J1861" s="109">
        <f t="shared" si="2739"/>
        <v>170</v>
      </c>
      <c r="K1861" s="8">
        <f t="shared" ref="K1861" si="2746">L1861*F1861</f>
        <v>2</v>
      </c>
      <c r="L1861" s="8">
        <f t="shared" si="2740"/>
        <v>2</v>
      </c>
      <c r="M1861" s="109">
        <f t="shared" si="2741"/>
        <v>0</v>
      </c>
      <c r="N1861" s="109">
        <f t="shared" si="2742"/>
        <v>0</v>
      </c>
      <c r="O1861" s="109">
        <f t="shared" si="2743"/>
        <v>0</v>
      </c>
      <c r="P1861" s="109">
        <f t="shared" si="2744"/>
        <v>170</v>
      </c>
      <c r="Q1861" s="109">
        <f t="shared" si="2745"/>
        <v>170</v>
      </c>
      <c r="R1861" s="121">
        <v>81</v>
      </c>
      <c r="T1861" s="188"/>
    </row>
    <row r="1862" spans="1:22" x14ac:dyDescent="0.25">
      <c r="A1862" s="101"/>
      <c r="B1862" s="4"/>
      <c r="C1862" s="6"/>
      <c r="D1862" s="4"/>
      <c r="I1862" s="38"/>
      <c r="M1862" s="38"/>
      <c r="N1862" s="38"/>
      <c r="O1862" s="38"/>
      <c r="P1862" s="38"/>
      <c r="Q1862" s="38"/>
      <c r="R1862" s="123"/>
      <c r="T1862" s="188"/>
    </row>
    <row r="1863" spans="1:22" x14ac:dyDescent="0.25">
      <c r="A1863" s="114" t="s">
        <v>2561</v>
      </c>
      <c r="B1863" s="1" t="s">
        <v>2410</v>
      </c>
      <c r="C1863" s="1" t="s">
        <v>2411</v>
      </c>
      <c r="D1863" s="2" t="s">
        <v>83</v>
      </c>
      <c r="E1863" s="99"/>
      <c r="F1863" s="7"/>
      <c r="G1863" s="7"/>
      <c r="H1863" s="103">
        <f>VLOOKUP($A1863,'Model Inputs'!$A:$D,4,FALSE)</f>
        <v>2797</v>
      </c>
      <c r="I1863" s="108"/>
      <c r="J1863" s="108">
        <f>SUBTOTAL(9,J1864:J1866)</f>
        <v>16668.696964912284</v>
      </c>
      <c r="K1863" s="7"/>
      <c r="L1863" s="7">
        <f>ROUNDUP(MAX(L1865:L1866)/Workhrs,0)</f>
        <v>1</v>
      </c>
      <c r="M1863" s="108">
        <f t="shared" ref="M1863:Q1863" si="2747">SUBTOTAL(9,M1864:M1866)</f>
        <v>680.11263157894734</v>
      </c>
      <c r="N1863" s="108">
        <f t="shared" si="2747"/>
        <v>15475.801000000001</v>
      </c>
      <c r="O1863" s="108">
        <f t="shared" si="2747"/>
        <v>512.78333333333342</v>
      </c>
      <c r="P1863" s="108">
        <f t="shared" si="2747"/>
        <v>0</v>
      </c>
      <c r="Q1863" s="108">
        <f t="shared" si="2747"/>
        <v>16668.696964912284</v>
      </c>
      <c r="R1863" s="120"/>
      <c r="T1863" s="188"/>
    </row>
    <row r="1864" spans="1:22" x14ac:dyDescent="0.25">
      <c r="A1864" s="100" t="s">
        <v>2562</v>
      </c>
      <c r="B1864" s="3">
        <v>1</v>
      </c>
      <c r="C1864" s="5" t="s">
        <v>2180</v>
      </c>
      <c r="D1864" s="3" t="s">
        <v>83</v>
      </c>
      <c r="E1864" s="100" t="str">
        <f>IFERROR(VLOOKUP(C1864,Resources!B:D,3,FALSE)," ")</f>
        <v>M</v>
      </c>
      <c r="F1864" s="103">
        <f>VLOOKUP($A1864,'Model Inputs'!$A:$D,4,FALSE)</f>
        <v>1.1000000000000001</v>
      </c>
      <c r="G1864" s="8">
        <v>1</v>
      </c>
      <c r="H1864" s="8">
        <f>H1863*F1864</f>
        <v>3076.7000000000003</v>
      </c>
      <c r="I1864" s="109">
        <f>IFERROR(VLOOKUP(C1864,Resources!B:G,6,FALSE)," ")</f>
        <v>5.03</v>
      </c>
      <c r="J1864" s="109">
        <f>I1864*H1864</f>
        <v>15475.801000000001</v>
      </c>
      <c r="K1864" s="8"/>
      <c r="L1864" s="8" t="str">
        <f t="shared" ref="L1864:L1866" si="2748">IF(E1864="M"," ",H1864/G1864)</f>
        <v xml:space="preserve"> </v>
      </c>
      <c r="M1864" s="109">
        <f t="shared" ref="M1864:M1866" si="2749">IF($E1864="L",$J1864,0)</f>
        <v>0</v>
      </c>
      <c r="N1864" s="109">
        <f t="shared" ref="N1864:N1866" si="2750">IF($E1864="M",$J1864,0)</f>
        <v>15475.801000000001</v>
      </c>
      <c r="O1864" s="109">
        <f t="shared" ref="O1864:O1866" si="2751">IF($E1864="P",$J1864,0)</f>
        <v>0</v>
      </c>
      <c r="P1864" s="109">
        <f t="shared" ref="P1864:P1866" si="2752">IF($E1864="S",$J1864,0)</f>
        <v>0</v>
      </c>
      <c r="Q1864" s="109">
        <f t="shared" ref="Q1864:Q1866" si="2753">SUM(M1864:P1864)</f>
        <v>15475.801000000001</v>
      </c>
      <c r="R1864" s="121">
        <v>222</v>
      </c>
      <c r="T1864" s="188"/>
    </row>
    <row r="1865" spans="1:22" x14ac:dyDescent="0.25">
      <c r="A1865" s="100" t="s">
        <v>2563</v>
      </c>
      <c r="B1865" s="3">
        <v>2</v>
      </c>
      <c r="C1865" s="5" t="s">
        <v>8</v>
      </c>
      <c r="D1865" s="3" t="s">
        <v>48</v>
      </c>
      <c r="E1865" s="100" t="str">
        <f>IFERROR(VLOOKUP(C1865,Resources!B:D,3,FALSE)," ")</f>
        <v>L</v>
      </c>
      <c r="F1865" s="8">
        <v>3</v>
      </c>
      <c r="G1865" s="103">
        <f>VLOOKUP($A1865,'Model Inputs'!$A:$D,4,FALSE)</f>
        <v>570</v>
      </c>
      <c r="H1865" s="8">
        <f>H1864</f>
        <v>3076.7000000000003</v>
      </c>
      <c r="I1865" s="109">
        <f>IFERROR(VLOOKUP(C1865,Resources!B:G,6,FALSE)," ")</f>
        <v>42</v>
      </c>
      <c r="J1865" s="109">
        <f t="shared" ref="J1865:J1866" si="2754">(H1865/(G1865/F1865))*I1865</f>
        <v>680.11263157894734</v>
      </c>
      <c r="K1865" s="8">
        <f t="shared" ref="K1865:K1866" si="2755">L1865*F1865</f>
        <v>16.193157894736842</v>
      </c>
      <c r="L1865" s="8">
        <f t="shared" si="2748"/>
        <v>5.3977192982456144</v>
      </c>
      <c r="M1865" s="109">
        <f t="shared" si="2749"/>
        <v>680.11263157894734</v>
      </c>
      <c r="N1865" s="109">
        <f t="shared" si="2750"/>
        <v>0</v>
      </c>
      <c r="O1865" s="109">
        <f t="shared" si="2751"/>
        <v>0</v>
      </c>
      <c r="P1865" s="109">
        <f t="shared" si="2752"/>
        <v>0</v>
      </c>
      <c r="Q1865" s="109">
        <f t="shared" si="2753"/>
        <v>680.11263157894734</v>
      </c>
      <c r="R1865" s="121">
        <v>222</v>
      </c>
      <c r="T1865" s="188"/>
    </row>
    <row r="1866" spans="1:22" x14ac:dyDescent="0.25">
      <c r="A1866" s="100"/>
      <c r="B1866" s="3">
        <v>3</v>
      </c>
      <c r="C1866" s="5" t="s">
        <v>45</v>
      </c>
      <c r="D1866" s="3" t="s">
        <v>48</v>
      </c>
      <c r="E1866" s="100" t="str">
        <f>IFERROR(VLOOKUP(C1866,Resources!B:D,3,FALSE)," ")</f>
        <v>P</v>
      </c>
      <c r="F1866" s="8">
        <v>1</v>
      </c>
      <c r="G1866" s="8">
        <f>G1865</f>
        <v>570</v>
      </c>
      <c r="H1866" s="8">
        <f>H1864</f>
        <v>3076.7000000000003</v>
      </c>
      <c r="I1866" s="109">
        <f>IFERROR(VLOOKUP(C1866,Resources!B:G,6,FALSE)," ")</f>
        <v>95</v>
      </c>
      <c r="J1866" s="109">
        <f t="shared" si="2754"/>
        <v>512.78333333333342</v>
      </c>
      <c r="K1866" s="8">
        <f t="shared" si="2755"/>
        <v>5.3977192982456144</v>
      </c>
      <c r="L1866" s="8">
        <f t="shared" si="2748"/>
        <v>5.3977192982456144</v>
      </c>
      <c r="M1866" s="109">
        <f t="shared" si="2749"/>
        <v>0</v>
      </c>
      <c r="N1866" s="109">
        <f t="shared" si="2750"/>
        <v>0</v>
      </c>
      <c r="O1866" s="109">
        <f t="shared" si="2751"/>
        <v>512.78333333333342</v>
      </c>
      <c r="P1866" s="109">
        <f t="shared" si="2752"/>
        <v>0</v>
      </c>
      <c r="Q1866" s="109">
        <f t="shared" si="2753"/>
        <v>512.78333333333342</v>
      </c>
      <c r="R1866" s="121">
        <v>222</v>
      </c>
      <c r="T1866" s="188"/>
    </row>
    <row r="1867" spans="1:22" x14ac:dyDescent="0.25">
      <c r="A1867" s="101"/>
      <c r="B1867" s="4"/>
      <c r="C1867" s="6"/>
      <c r="D1867" s="4"/>
      <c r="E1867" s="101" t="str">
        <f>IFERROR(VLOOKUP(C1867,Resources!B:D,3,FALSE)," ")</f>
        <v xml:space="preserve"> </v>
      </c>
      <c r="F1867" s="9"/>
      <c r="G1867" s="9"/>
      <c r="H1867" s="9"/>
      <c r="I1867" s="38" t="str">
        <f>IFERROR(VLOOKUP(C1867,Resources!B:G,6,FALSE)," ")</f>
        <v xml:space="preserve"> </v>
      </c>
      <c r="J1867" s="38"/>
      <c r="K1867" s="9"/>
      <c r="L1867" s="9"/>
      <c r="M1867" s="38"/>
      <c r="N1867" s="38"/>
      <c r="O1867" s="38"/>
      <c r="P1867" s="38"/>
      <c r="Q1867" s="38"/>
      <c r="R1867" s="122"/>
      <c r="T1867" s="188"/>
    </row>
    <row r="1868" spans="1:22" ht="30" x14ac:dyDescent="0.25">
      <c r="A1868" s="114" t="s">
        <v>2564</v>
      </c>
      <c r="B1868" s="1" t="s">
        <v>2414</v>
      </c>
      <c r="C1868" s="1" t="s">
        <v>2415</v>
      </c>
      <c r="D1868" s="2" t="s">
        <v>2416</v>
      </c>
      <c r="E1868" s="99"/>
      <c r="F1868" s="7"/>
      <c r="G1868" s="7"/>
      <c r="H1868" s="103">
        <f>VLOOKUP($A1868,'Model Inputs'!$A:$D,4,FALSE)</f>
        <v>1</v>
      </c>
      <c r="I1868" s="108"/>
      <c r="J1868" s="108">
        <f>SUBTOTAL(9,J1872:J1886)</f>
        <v>12004.175999999999</v>
      </c>
      <c r="K1868" s="7"/>
      <c r="L1868" s="7">
        <f>ROUNDUP(MAX(L1873:L1874)/Workhrs,0)+ROUNDUP(L1882,0)+L1886</f>
        <v>8</v>
      </c>
      <c r="M1868" s="108">
        <f t="shared" ref="M1868:Q1868" si="2756">SUBTOTAL(9,M1872:M1886)</f>
        <v>962.18181818181813</v>
      </c>
      <c r="N1868" s="108">
        <f t="shared" si="2756"/>
        <v>7031.1759999999995</v>
      </c>
      <c r="O1868" s="108">
        <f t="shared" si="2756"/>
        <v>1470.818181818182</v>
      </c>
      <c r="P1868" s="108">
        <f t="shared" si="2756"/>
        <v>2540</v>
      </c>
      <c r="Q1868" s="108">
        <f t="shared" si="2756"/>
        <v>12004.175999999999</v>
      </c>
      <c r="R1868" s="120"/>
      <c r="T1868" s="188"/>
    </row>
    <row r="1869" spans="1:22" s="10" customFormat="1" x14ac:dyDescent="0.25">
      <c r="A1869" s="126"/>
      <c r="B1869" s="127">
        <v>1</v>
      </c>
      <c r="C1869" s="128" t="s">
        <v>2418</v>
      </c>
      <c r="D1869" s="127" t="s">
        <v>89</v>
      </c>
      <c r="E1869" s="126"/>
      <c r="F1869" s="129"/>
      <c r="G1869" s="129"/>
      <c r="H1869" s="129">
        <f>H1868*9.6</f>
        <v>9.6</v>
      </c>
      <c r="I1869" s="130"/>
      <c r="J1869" s="130"/>
      <c r="K1869" s="129"/>
      <c r="L1869" s="129"/>
      <c r="M1869" s="130"/>
      <c r="N1869" s="130"/>
      <c r="O1869" s="130"/>
      <c r="P1869" s="130"/>
      <c r="Q1869" s="130"/>
      <c r="R1869" s="131"/>
      <c r="T1869" s="188"/>
      <c r="U1869"/>
      <c r="V1869"/>
    </row>
    <row r="1870" spans="1:22" x14ac:dyDescent="0.25">
      <c r="A1870" s="100"/>
      <c r="B1870" s="3">
        <v>2</v>
      </c>
      <c r="C1870" s="5" t="s">
        <v>2387</v>
      </c>
      <c r="D1870" s="3"/>
      <c r="E1870" s="100" t="str">
        <f>IFERROR(VLOOKUP(C1870,Resources!B:D,3,FALSE)," ")</f>
        <v xml:space="preserve"> </v>
      </c>
      <c r="F1870" s="8"/>
      <c r="G1870" s="8"/>
      <c r="H1870" s="8">
        <f>ROUNDUP(H1869/1.2,0)</f>
        <v>8</v>
      </c>
      <c r="I1870" s="109" t="str">
        <f>IFERROR(VLOOKUP(C1870,Resources!B:G,6,FALSE)," ")</f>
        <v xml:space="preserve"> </v>
      </c>
      <c r="J1870" s="109"/>
      <c r="K1870" s="8"/>
      <c r="L1870" s="8"/>
      <c r="M1870" s="109"/>
      <c r="N1870" s="109"/>
      <c r="O1870" s="109"/>
      <c r="P1870" s="109"/>
      <c r="Q1870" s="109"/>
      <c r="R1870" s="121"/>
      <c r="T1870" s="188"/>
    </row>
    <row r="1871" spans="1:22" x14ac:dyDescent="0.25">
      <c r="A1871" s="100"/>
      <c r="B1871" s="3">
        <v>3</v>
      </c>
      <c r="C1871" s="5" t="s">
        <v>2378</v>
      </c>
      <c r="D1871" s="3"/>
      <c r="E1871" s="100" t="str">
        <f>IFERROR(VLOOKUP(C1871,Resources!B:D,3,FALSE)," ")</f>
        <v xml:space="preserve"> </v>
      </c>
      <c r="F1871" s="8"/>
      <c r="G1871" s="8"/>
      <c r="H1871" s="8">
        <f>H1870*15/11</f>
        <v>10.909090909090908</v>
      </c>
      <c r="I1871" s="109" t="str">
        <f>IFERROR(VLOOKUP(C1871,Resources!B:G,6,FALSE)," ")</f>
        <v xml:space="preserve"> </v>
      </c>
      <c r="J1871" s="109"/>
      <c r="K1871" s="8"/>
      <c r="L1871" s="8"/>
      <c r="M1871" s="109"/>
      <c r="N1871" s="109"/>
      <c r="O1871" s="109"/>
      <c r="P1871" s="109"/>
      <c r="Q1871" s="109"/>
      <c r="R1871" s="121"/>
      <c r="T1871" s="188"/>
    </row>
    <row r="1872" spans="1:22" x14ac:dyDescent="0.25">
      <c r="A1872" s="100"/>
      <c r="B1872" s="3">
        <v>4</v>
      </c>
      <c r="C1872" s="5" t="s">
        <v>2158</v>
      </c>
      <c r="D1872" s="3" t="s">
        <v>89</v>
      </c>
      <c r="E1872" s="100" t="str">
        <f>IFERROR(VLOOKUP(C1872,Resources!B:D,3,FALSE)," ")</f>
        <v>M</v>
      </c>
      <c r="F1872" s="8">
        <v>1</v>
      </c>
      <c r="G1872" s="8">
        <v>1</v>
      </c>
      <c r="H1872" s="8">
        <f>H1870*1.2</f>
        <v>9.6</v>
      </c>
      <c r="I1872" s="109">
        <f>IFERROR(VLOOKUP(C1872,Resources!B:G,6,FALSE)," ")</f>
        <v>393.36</v>
      </c>
      <c r="J1872" s="109">
        <f t="shared" ref="J1872:J1879" si="2757">(H1872/(G1872/F1872))*I1872</f>
        <v>3776.2559999999999</v>
      </c>
      <c r="K1872" s="8"/>
      <c r="L1872" s="8" t="str">
        <f t="shared" ref="L1872:L1879" si="2758">IF(E1872="M"," ",H1872/G1872)</f>
        <v xml:space="preserve"> </v>
      </c>
      <c r="M1872" s="109">
        <f t="shared" ref="M1872:M1879" si="2759">IF($E1872="L",$J1872,0)</f>
        <v>0</v>
      </c>
      <c r="N1872" s="109">
        <f t="shared" ref="N1872:N1879" si="2760">IF($E1872="M",$J1872,0)</f>
        <v>3776.2559999999999</v>
      </c>
      <c r="O1872" s="109">
        <f t="shared" ref="O1872:O1879" si="2761">IF($E1872="P",$J1872,0)</f>
        <v>0</v>
      </c>
      <c r="P1872" s="109">
        <f t="shared" ref="P1872:P1879" si="2762">IF($E1872="S",$J1872,0)</f>
        <v>0</v>
      </c>
      <c r="Q1872" s="109">
        <f t="shared" ref="Q1872:Q1879" si="2763">SUM(M1872:P1872)</f>
        <v>3776.2559999999999</v>
      </c>
      <c r="R1872" s="121" t="s">
        <v>2344</v>
      </c>
      <c r="T1872" s="188"/>
    </row>
    <row r="1873" spans="1:22" x14ac:dyDescent="0.25">
      <c r="A1873" s="100" t="s">
        <v>2565</v>
      </c>
      <c r="B1873" s="3">
        <v>5</v>
      </c>
      <c r="C1873" s="5" t="s">
        <v>63</v>
      </c>
      <c r="D1873" s="3" t="s">
        <v>48</v>
      </c>
      <c r="E1873" s="100" t="str">
        <f>IFERROR(VLOOKUP(C1873,Resources!B:D,3,FALSE)," ")</f>
        <v>P</v>
      </c>
      <c r="F1873" s="8">
        <v>1</v>
      </c>
      <c r="G1873" s="103">
        <f>VLOOKUP($A1873,'Model Inputs'!$A:$D,4,FALSE)</f>
        <v>2</v>
      </c>
      <c r="H1873" s="8">
        <f>H1870</f>
        <v>8</v>
      </c>
      <c r="I1873" s="109">
        <f>IFERROR(VLOOKUP(C1873,Resources!B:G,6,FALSE)," ")</f>
        <v>135</v>
      </c>
      <c r="J1873" s="109">
        <f t="shared" si="2757"/>
        <v>540</v>
      </c>
      <c r="K1873" s="8">
        <f t="shared" ref="K1873:K1874" si="2764">L1873*F1873</f>
        <v>4</v>
      </c>
      <c r="L1873" s="8">
        <f t="shared" si="2758"/>
        <v>4</v>
      </c>
      <c r="M1873" s="109">
        <f t="shared" si="2759"/>
        <v>0</v>
      </c>
      <c r="N1873" s="109">
        <f t="shared" si="2760"/>
        <v>0</v>
      </c>
      <c r="O1873" s="109">
        <f t="shared" si="2761"/>
        <v>540</v>
      </c>
      <c r="P1873" s="109">
        <f t="shared" si="2762"/>
        <v>0</v>
      </c>
      <c r="Q1873" s="109">
        <f t="shared" si="2763"/>
        <v>540</v>
      </c>
      <c r="R1873" s="121">
        <v>181</v>
      </c>
      <c r="T1873" s="188"/>
    </row>
    <row r="1874" spans="1:22" x14ac:dyDescent="0.25">
      <c r="A1874" s="100" t="s">
        <v>2568</v>
      </c>
      <c r="B1874" s="3">
        <v>6</v>
      </c>
      <c r="C1874" s="5" t="s">
        <v>8</v>
      </c>
      <c r="D1874" s="3" t="s">
        <v>48</v>
      </c>
      <c r="E1874" s="100" t="str">
        <f>IFERROR(VLOOKUP(C1874,Resources!B:D,3,FALSE)," ")</f>
        <v>L</v>
      </c>
      <c r="F1874" s="103">
        <f>VLOOKUP($A1874,'Model Inputs'!$A:$D,4,FALSE)</f>
        <v>3</v>
      </c>
      <c r="G1874" s="8">
        <f>G1873</f>
        <v>2</v>
      </c>
      <c r="H1874" s="8">
        <f>H1870</f>
        <v>8</v>
      </c>
      <c r="I1874" s="109">
        <f>IFERROR(VLOOKUP(C1874,Resources!B:G,6,FALSE)," ")</f>
        <v>42</v>
      </c>
      <c r="J1874" s="109">
        <f t="shared" si="2757"/>
        <v>504</v>
      </c>
      <c r="K1874" s="8">
        <f t="shared" si="2764"/>
        <v>12</v>
      </c>
      <c r="L1874" s="8">
        <f t="shared" si="2758"/>
        <v>4</v>
      </c>
      <c r="M1874" s="109">
        <f t="shared" si="2759"/>
        <v>504</v>
      </c>
      <c r="N1874" s="109">
        <f t="shared" si="2760"/>
        <v>0</v>
      </c>
      <c r="O1874" s="109">
        <f t="shared" si="2761"/>
        <v>0</v>
      </c>
      <c r="P1874" s="109">
        <f t="shared" si="2762"/>
        <v>0</v>
      </c>
      <c r="Q1874" s="109">
        <f t="shared" si="2763"/>
        <v>504</v>
      </c>
      <c r="R1874" s="121">
        <v>181</v>
      </c>
      <c r="T1874" s="188"/>
    </row>
    <row r="1875" spans="1:22" x14ac:dyDescent="0.25">
      <c r="A1875" s="100"/>
      <c r="B1875" s="3">
        <v>7</v>
      </c>
      <c r="C1875" s="5" t="s">
        <v>91</v>
      </c>
      <c r="D1875" s="3" t="s">
        <v>89</v>
      </c>
      <c r="E1875" s="100" t="str">
        <f>IFERROR(VLOOKUP(C1875,Resources!B:D,3,FALSE)," ")</f>
        <v>M</v>
      </c>
      <c r="F1875" s="8">
        <v>1</v>
      </c>
      <c r="G1875" s="8">
        <v>1</v>
      </c>
      <c r="H1875" s="8">
        <f>H1870*3.5</f>
        <v>28</v>
      </c>
      <c r="I1875" s="109">
        <f>IFERROR(VLOOKUP(C1875,Resources!B:G,6,FALSE)," ")</f>
        <v>5</v>
      </c>
      <c r="J1875" s="109">
        <f t="shared" si="2757"/>
        <v>140</v>
      </c>
      <c r="K1875" s="8"/>
      <c r="L1875" s="8" t="str">
        <f t="shared" si="2758"/>
        <v xml:space="preserve"> </v>
      </c>
      <c r="M1875" s="109">
        <f t="shared" si="2759"/>
        <v>0</v>
      </c>
      <c r="N1875" s="109">
        <f t="shared" si="2760"/>
        <v>140</v>
      </c>
      <c r="O1875" s="109">
        <f t="shared" si="2761"/>
        <v>0</v>
      </c>
      <c r="P1875" s="109">
        <f t="shared" si="2762"/>
        <v>0</v>
      </c>
      <c r="Q1875" s="109">
        <f t="shared" si="2763"/>
        <v>140</v>
      </c>
      <c r="R1875" s="121">
        <v>181</v>
      </c>
      <c r="T1875" s="188"/>
    </row>
    <row r="1876" spans="1:22" x14ac:dyDescent="0.25">
      <c r="A1876" s="100" t="s">
        <v>2567</v>
      </c>
      <c r="B1876" s="3">
        <v>8</v>
      </c>
      <c r="C1876" s="5" t="s">
        <v>45</v>
      </c>
      <c r="D1876" s="3" t="s">
        <v>48</v>
      </c>
      <c r="E1876" s="100" t="str">
        <f>IFERROR(VLOOKUP(C1876,Resources!B:D,3,FALSE)," ")</f>
        <v>P</v>
      </c>
      <c r="F1876" s="8">
        <v>1</v>
      </c>
      <c r="G1876" s="103">
        <f>VLOOKUP($A1876,'Model Inputs'!$A:$D,4,FALSE)</f>
        <v>3</v>
      </c>
      <c r="H1876" s="8">
        <f>H1871</f>
        <v>10.909090909090908</v>
      </c>
      <c r="I1876" s="109">
        <f>IFERROR(VLOOKUP(C1876,Resources!B:G,6,FALSE)," ")</f>
        <v>95</v>
      </c>
      <c r="J1876" s="109">
        <f t="shared" si="2757"/>
        <v>345.45454545454544</v>
      </c>
      <c r="K1876" s="8">
        <f t="shared" ref="K1876:K1879" si="2765">L1876*F1876</f>
        <v>3.6363636363636362</v>
      </c>
      <c r="L1876" s="8">
        <f t="shared" si="2758"/>
        <v>3.6363636363636362</v>
      </c>
      <c r="M1876" s="109">
        <f t="shared" si="2759"/>
        <v>0</v>
      </c>
      <c r="N1876" s="109">
        <f t="shared" si="2760"/>
        <v>0</v>
      </c>
      <c r="O1876" s="109">
        <f t="shared" si="2761"/>
        <v>345.45454545454544</v>
      </c>
      <c r="P1876" s="109">
        <f t="shared" si="2762"/>
        <v>0</v>
      </c>
      <c r="Q1876" s="109">
        <f t="shared" si="2763"/>
        <v>345.45454545454544</v>
      </c>
      <c r="R1876" s="121">
        <v>181</v>
      </c>
      <c r="T1876" s="188"/>
    </row>
    <row r="1877" spans="1:22" x14ac:dyDescent="0.25">
      <c r="A1877" s="100" t="s">
        <v>2569</v>
      </c>
      <c r="B1877" s="3">
        <v>9</v>
      </c>
      <c r="C1877" s="5" t="s">
        <v>8</v>
      </c>
      <c r="D1877" s="3" t="s">
        <v>48</v>
      </c>
      <c r="E1877" s="100" t="str">
        <f>IFERROR(VLOOKUP(C1877,Resources!B:D,3,FALSE)," ")</f>
        <v>L</v>
      </c>
      <c r="F1877" s="103">
        <f>VLOOKUP($A1877,'Model Inputs'!$A:$D,4,FALSE)</f>
        <v>3</v>
      </c>
      <c r="G1877" s="8">
        <f>G1876</f>
        <v>3</v>
      </c>
      <c r="H1877" s="8">
        <f>H1871</f>
        <v>10.909090909090908</v>
      </c>
      <c r="I1877" s="109">
        <f>IFERROR(VLOOKUP(C1877,Resources!B:G,6,FALSE)," ")</f>
        <v>42</v>
      </c>
      <c r="J1877" s="109">
        <f t="shared" si="2757"/>
        <v>458.18181818181813</v>
      </c>
      <c r="K1877" s="8">
        <f t="shared" si="2765"/>
        <v>10.909090909090908</v>
      </c>
      <c r="L1877" s="8">
        <f t="shared" si="2758"/>
        <v>3.6363636363636362</v>
      </c>
      <c r="M1877" s="109">
        <f t="shared" si="2759"/>
        <v>458.18181818181813</v>
      </c>
      <c r="N1877" s="109">
        <f t="shared" si="2760"/>
        <v>0</v>
      </c>
      <c r="O1877" s="109">
        <f t="shared" si="2761"/>
        <v>0</v>
      </c>
      <c r="P1877" s="109">
        <f t="shared" si="2762"/>
        <v>0</v>
      </c>
      <c r="Q1877" s="109">
        <f t="shared" si="2763"/>
        <v>458.18181818181813</v>
      </c>
      <c r="R1877" s="121">
        <v>181</v>
      </c>
      <c r="T1877" s="188"/>
    </row>
    <row r="1878" spans="1:22" x14ac:dyDescent="0.25">
      <c r="A1878" s="100"/>
      <c r="B1878" s="3">
        <v>10</v>
      </c>
      <c r="C1878" s="5" t="s">
        <v>92</v>
      </c>
      <c r="D1878" s="3" t="s">
        <v>48</v>
      </c>
      <c r="E1878" s="100" t="str">
        <f>IFERROR(VLOOKUP(C1878,Resources!B:D,3,FALSE)," ")</f>
        <v>P</v>
      </c>
      <c r="F1878" s="8">
        <v>1</v>
      </c>
      <c r="G1878" s="8">
        <f>G1876</f>
        <v>3</v>
      </c>
      <c r="H1878" s="8">
        <f>H1871</f>
        <v>10.909090909090908</v>
      </c>
      <c r="I1878" s="109">
        <f>IFERROR(VLOOKUP(C1878,Resources!B:G,6,FALSE)," ")</f>
        <v>3.5</v>
      </c>
      <c r="J1878" s="109">
        <f t="shared" si="2757"/>
        <v>12.727272727272727</v>
      </c>
      <c r="K1878" s="8">
        <f t="shared" si="2765"/>
        <v>3.6363636363636362</v>
      </c>
      <c r="L1878" s="8">
        <f t="shared" si="2758"/>
        <v>3.6363636363636362</v>
      </c>
      <c r="M1878" s="109">
        <f t="shared" si="2759"/>
        <v>0</v>
      </c>
      <c r="N1878" s="109">
        <f t="shared" si="2760"/>
        <v>0</v>
      </c>
      <c r="O1878" s="109">
        <f t="shared" si="2761"/>
        <v>12.727272727272727</v>
      </c>
      <c r="P1878" s="109">
        <f t="shared" si="2762"/>
        <v>0</v>
      </c>
      <c r="Q1878" s="109">
        <f t="shared" si="2763"/>
        <v>12.727272727272727</v>
      </c>
      <c r="R1878" s="121">
        <v>181</v>
      </c>
      <c r="T1878" s="188"/>
    </row>
    <row r="1879" spans="1:22" x14ac:dyDescent="0.25">
      <c r="A1879" s="100"/>
      <c r="B1879" s="3">
        <v>11</v>
      </c>
      <c r="C1879" s="5" t="s">
        <v>64</v>
      </c>
      <c r="D1879" s="3" t="s">
        <v>48</v>
      </c>
      <c r="E1879" s="100" t="str">
        <f>IFERROR(VLOOKUP(C1879,Resources!B:D,3,FALSE)," ")</f>
        <v>P</v>
      </c>
      <c r="F1879" s="8">
        <v>1</v>
      </c>
      <c r="G1879" s="8">
        <f>G1876</f>
        <v>3</v>
      </c>
      <c r="H1879" s="8">
        <f>H1871</f>
        <v>10.909090909090908</v>
      </c>
      <c r="I1879" s="109">
        <f>IFERROR(VLOOKUP(C1879,Resources!B:G,6,FALSE)," ")</f>
        <v>100</v>
      </c>
      <c r="J1879" s="109">
        <f t="shared" si="2757"/>
        <v>363.63636363636363</v>
      </c>
      <c r="K1879" s="8">
        <f t="shared" si="2765"/>
        <v>3.6363636363636362</v>
      </c>
      <c r="L1879" s="8">
        <f t="shared" si="2758"/>
        <v>3.6363636363636362</v>
      </c>
      <c r="M1879" s="109">
        <f t="shared" si="2759"/>
        <v>0</v>
      </c>
      <c r="N1879" s="109">
        <f t="shared" si="2760"/>
        <v>0</v>
      </c>
      <c r="O1879" s="109">
        <f t="shared" si="2761"/>
        <v>363.63636363636363</v>
      </c>
      <c r="P1879" s="109">
        <f t="shared" si="2762"/>
        <v>0</v>
      </c>
      <c r="Q1879" s="109">
        <f t="shared" si="2763"/>
        <v>363.63636363636363</v>
      </c>
      <c r="R1879" s="121">
        <v>181</v>
      </c>
      <c r="T1879" s="188"/>
    </row>
    <row r="1880" spans="1:22" s="10" customFormat="1" x14ac:dyDescent="0.25">
      <c r="A1880" s="126" t="s">
        <v>2566</v>
      </c>
      <c r="B1880" s="127">
        <v>12</v>
      </c>
      <c r="C1880" s="128" t="s">
        <v>2419</v>
      </c>
      <c r="D1880" s="127" t="s">
        <v>86</v>
      </c>
      <c r="E1880" s="126"/>
      <c r="F1880" s="129"/>
      <c r="G1880" s="129"/>
      <c r="H1880" s="103">
        <f>VLOOKUP($A1880,'Model Inputs'!$A:$D,4,FALSE)</f>
        <v>2</v>
      </c>
      <c r="I1880" s="130"/>
      <c r="J1880" s="130"/>
      <c r="K1880" s="129"/>
      <c r="L1880" s="129"/>
      <c r="M1880" s="130"/>
      <c r="N1880" s="130"/>
      <c r="O1880" s="130"/>
      <c r="P1880" s="130"/>
      <c r="Q1880" s="130"/>
      <c r="R1880" s="131"/>
      <c r="T1880" s="188"/>
      <c r="U1880"/>
      <c r="V1880"/>
    </row>
    <row r="1881" spans="1:22" x14ac:dyDescent="0.25">
      <c r="A1881" s="100"/>
      <c r="B1881" s="3">
        <v>13</v>
      </c>
      <c r="C1881" s="5" t="s">
        <v>85</v>
      </c>
      <c r="D1881" s="3" t="s">
        <v>83</v>
      </c>
      <c r="E1881" s="100" t="str">
        <f>IFERROR(VLOOKUP(C1881,Resources!B:D,3,FALSE)," ")</f>
        <v>M</v>
      </c>
      <c r="F1881" s="8">
        <v>1</v>
      </c>
      <c r="G1881" s="8">
        <v>1</v>
      </c>
      <c r="H1881" s="8">
        <f>H1880*1.1</f>
        <v>2.2000000000000002</v>
      </c>
      <c r="I1881" s="109">
        <f>IFERROR(VLOOKUP(C1881,Resources!B:G,6,FALSE)," ")</f>
        <v>192</v>
      </c>
      <c r="J1881" s="109">
        <f>I1881*H1881</f>
        <v>422.40000000000003</v>
      </c>
      <c r="K1881" s="8"/>
      <c r="L1881" s="8" t="str">
        <f t="shared" ref="L1881:L1883" si="2766">IF(E1881="M"," ",H1881/G1881)</f>
        <v xml:space="preserve"> </v>
      </c>
      <c r="M1881" s="109">
        <f t="shared" ref="M1881:M1883" si="2767">IF($E1881="L",$J1881,0)</f>
        <v>0</v>
      </c>
      <c r="N1881" s="109">
        <f t="shared" ref="N1881:N1883" si="2768">IF($E1881="M",$J1881,0)</f>
        <v>422.40000000000003</v>
      </c>
      <c r="O1881" s="109">
        <f t="shared" ref="O1881:O1883" si="2769">IF($E1881="P",$J1881,0)</f>
        <v>0</v>
      </c>
      <c r="P1881" s="109">
        <f t="shared" ref="P1881:P1883" si="2770">IF($E1881="S",$J1881,0)</f>
        <v>0</v>
      </c>
      <c r="Q1881" s="109">
        <f t="shared" ref="Q1881:Q1883" si="2771">SUM(M1881:P1881)</f>
        <v>422.40000000000003</v>
      </c>
      <c r="R1881" s="121" t="s">
        <v>2335</v>
      </c>
      <c r="T1881" s="188"/>
    </row>
    <row r="1882" spans="1:22" x14ac:dyDescent="0.25">
      <c r="A1882" s="100"/>
      <c r="B1882" s="3">
        <v>14</v>
      </c>
      <c r="C1882" s="5" t="s">
        <v>2232</v>
      </c>
      <c r="D1882" s="3" t="s">
        <v>48</v>
      </c>
      <c r="E1882" s="100" t="str">
        <f>IFERROR(VLOOKUP(C1882,Resources!B:D,3,FALSE)," ")</f>
        <v>S</v>
      </c>
      <c r="F1882" s="8">
        <v>1</v>
      </c>
      <c r="G1882" s="8">
        <v>1</v>
      </c>
      <c r="H1882" s="8">
        <f>H1881</f>
        <v>2.2000000000000002</v>
      </c>
      <c r="I1882" s="109">
        <f>IFERROR(VLOOKUP(C1882,Resources!B:G,6,FALSE)," ")</f>
        <v>700</v>
      </c>
      <c r="J1882" s="109">
        <f t="shared" ref="J1882:J1883" si="2772">(H1882/(G1882/F1882))*I1882</f>
        <v>1540.0000000000002</v>
      </c>
      <c r="K1882" s="8">
        <f t="shared" ref="K1882:K1883" si="2773">L1882*F1882</f>
        <v>2.2000000000000002</v>
      </c>
      <c r="L1882" s="8">
        <f t="shared" si="2766"/>
        <v>2.2000000000000002</v>
      </c>
      <c r="M1882" s="109">
        <f t="shared" si="2767"/>
        <v>0</v>
      </c>
      <c r="N1882" s="109">
        <f t="shared" si="2768"/>
        <v>0</v>
      </c>
      <c r="O1882" s="109">
        <f t="shared" si="2769"/>
        <v>0</v>
      </c>
      <c r="P1882" s="109">
        <f t="shared" si="2770"/>
        <v>1540.0000000000002</v>
      </c>
      <c r="Q1882" s="109">
        <f t="shared" si="2771"/>
        <v>1540.0000000000002</v>
      </c>
      <c r="R1882" s="121">
        <v>181</v>
      </c>
      <c r="T1882" s="188"/>
    </row>
    <row r="1883" spans="1:22" x14ac:dyDescent="0.25">
      <c r="A1883" s="100"/>
      <c r="B1883" s="3">
        <v>15</v>
      </c>
      <c r="C1883" s="5" t="s">
        <v>45</v>
      </c>
      <c r="D1883" s="3" t="s">
        <v>48</v>
      </c>
      <c r="E1883" s="100" t="str">
        <f>IFERROR(VLOOKUP(C1883,Resources!B:D,3,FALSE)," ")</f>
        <v>P</v>
      </c>
      <c r="F1883" s="8">
        <v>1</v>
      </c>
      <c r="G1883" s="8">
        <f>G1882</f>
        <v>1</v>
      </c>
      <c r="H1883" s="8">
        <f>H1881</f>
        <v>2.2000000000000002</v>
      </c>
      <c r="I1883" s="109">
        <f>IFERROR(VLOOKUP(C1883,Resources!B:G,6,FALSE)," ")</f>
        <v>95</v>
      </c>
      <c r="J1883" s="109">
        <f t="shared" si="2772"/>
        <v>209.00000000000003</v>
      </c>
      <c r="K1883" s="8">
        <f t="shared" si="2773"/>
        <v>2.2000000000000002</v>
      </c>
      <c r="L1883" s="8">
        <f t="shared" si="2766"/>
        <v>2.2000000000000002</v>
      </c>
      <c r="M1883" s="109">
        <f t="shared" si="2767"/>
        <v>0</v>
      </c>
      <c r="N1883" s="109">
        <f t="shared" si="2768"/>
        <v>0</v>
      </c>
      <c r="O1883" s="109">
        <f t="shared" si="2769"/>
        <v>209.00000000000003</v>
      </c>
      <c r="P1883" s="109">
        <f t="shared" si="2770"/>
        <v>0</v>
      </c>
      <c r="Q1883" s="109">
        <f t="shared" si="2771"/>
        <v>209.00000000000003</v>
      </c>
      <c r="R1883" s="121">
        <v>181</v>
      </c>
      <c r="T1883" s="188"/>
    </row>
    <row r="1884" spans="1:22" s="10" customFormat="1" ht="30" x14ac:dyDescent="0.25">
      <c r="A1884" s="126" t="s">
        <v>2570</v>
      </c>
      <c r="B1884" s="3">
        <v>16</v>
      </c>
      <c r="C1884" s="128" t="s">
        <v>2420</v>
      </c>
      <c r="D1884" s="127" t="s">
        <v>29</v>
      </c>
      <c r="E1884" s="126"/>
      <c r="F1884" s="129"/>
      <c r="G1884" s="129"/>
      <c r="H1884" s="103">
        <f>VLOOKUP($A1884,'Model Inputs'!$A:$D,4,FALSE)</f>
        <v>2</v>
      </c>
      <c r="I1884" s="130"/>
      <c r="J1884" s="130"/>
      <c r="K1884" s="129"/>
      <c r="L1884" s="129"/>
      <c r="M1884" s="130"/>
      <c r="N1884" s="130"/>
      <c r="O1884" s="130"/>
      <c r="P1884" s="130"/>
      <c r="Q1884" s="130"/>
      <c r="R1884" s="131"/>
      <c r="T1884" s="188"/>
      <c r="U1884"/>
      <c r="V1884"/>
    </row>
    <row r="1885" spans="1:22" x14ac:dyDescent="0.25">
      <c r="A1885" s="100"/>
      <c r="B1885" s="3">
        <v>17</v>
      </c>
      <c r="C1885" s="5" t="s">
        <v>2093</v>
      </c>
      <c r="D1885" s="3" t="s">
        <v>33</v>
      </c>
      <c r="E1885" s="100" t="s">
        <v>2020</v>
      </c>
      <c r="F1885" s="8">
        <v>1</v>
      </c>
      <c r="G1885" s="8">
        <v>1</v>
      </c>
      <c r="H1885" s="8">
        <f>H1884</f>
        <v>2</v>
      </c>
      <c r="I1885" s="109">
        <f>IFERROR(VLOOKUP(C1885,Resources!B:G,6,FALSE)," ")</f>
        <v>1346.26</v>
      </c>
      <c r="J1885" s="109">
        <f t="shared" ref="J1885" si="2774">(H1885/(G1885/F1885))*I1885</f>
        <v>2692.52</v>
      </c>
      <c r="K1885" s="8"/>
      <c r="L1885" s="8"/>
      <c r="M1885" s="109">
        <f t="shared" ref="M1885:M1886" si="2775">IF($E1885="L",$J1885,0)</f>
        <v>0</v>
      </c>
      <c r="N1885" s="109">
        <f t="shared" ref="N1885:N1886" si="2776">IF($E1885="M",$J1885,0)</f>
        <v>2692.52</v>
      </c>
      <c r="O1885" s="109">
        <f t="shared" ref="O1885:O1886" si="2777">IF($E1885="P",$J1885,0)</f>
        <v>0</v>
      </c>
      <c r="P1885" s="109">
        <f t="shared" ref="P1885:P1886" si="2778">IF($E1885="S",$J1885,0)</f>
        <v>0</v>
      </c>
      <c r="Q1885" s="109">
        <f t="shared" ref="Q1885" si="2779">SUM(M1885:P1885)</f>
        <v>2692.52</v>
      </c>
      <c r="R1885" s="121" t="s">
        <v>2347</v>
      </c>
      <c r="T1885" s="188"/>
    </row>
    <row r="1886" spans="1:22" x14ac:dyDescent="0.25">
      <c r="A1886" s="100"/>
      <c r="B1886" s="3">
        <v>18</v>
      </c>
      <c r="C1886" s="5" t="s">
        <v>306</v>
      </c>
      <c r="D1886" s="3" t="s">
        <v>33</v>
      </c>
      <c r="E1886" s="100" t="str">
        <f>IFERROR(VLOOKUP(C1886,Resources!B:D,3,FALSE)," ")</f>
        <v>S</v>
      </c>
      <c r="F1886" s="8">
        <v>1</v>
      </c>
      <c r="G1886" s="8">
        <v>1</v>
      </c>
      <c r="H1886" s="8">
        <f>H1885*500</f>
        <v>1000</v>
      </c>
      <c r="I1886" s="109">
        <f>IFERROR(VLOOKUP(C1886,Resources!B:G,6,FALSE)," ")</f>
        <v>1</v>
      </c>
      <c r="J1886" s="109">
        <f t="shared" ref="J1886" si="2780">(H1886/(G1886/F1886))*I1886</f>
        <v>1000</v>
      </c>
      <c r="K1886" s="8"/>
      <c r="L1886" s="8">
        <f>H1884/0.5</f>
        <v>4</v>
      </c>
      <c r="M1886" s="109">
        <f t="shared" si="2775"/>
        <v>0</v>
      </c>
      <c r="N1886" s="109">
        <f t="shared" si="2776"/>
        <v>0</v>
      </c>
      <c r="O1886" s="109">
        <f t="shared" si="2777"/>
        <v>0</v>
      </c>
      <c r="P1886" s="109">
        <f t="shared" si="2778"/>
        <v>1000</v>
      </c>
      <c r="Q1886" s="109">
        <f t="shared" ref="Q1886" si="2781">SUM(M1886:P1886)</f>
        <v>1000</v>
      </c>
      <c r="R1886" s="121">
        <v>86</v>
      </c>
      <c r="T1886" s="188"/>
    </row>
    <row r="1887" spans="1:22" x14ac:dyDescent="0.25">
      <c r="T1887" s="188"/>
    </row>
    <row r="1888" spans="1:22" ht="30" x14ac:dyDescent="0.25">
      <c r="A1888" s="114" t="s">
        <v>2571</v>
      </c>
      <c r="B1888" s="1" t="s">
        <v>2451</v>
      </c>
      <c r="C1888" s="1" t="s">
        <v>2576</v>
      </c>
      <c r="D1888" s="2" t="s">
        <v>2416</v>
      </c>
      <c r="E1888" s="99"/>
      <c r="F1888" s="7"/>
      <c r="G1888" s="7"/>
      <c r="H1888" s="7">
        <v>1</v>
      </c>
      <c r="I1888" s="108"/>
      <c r="J1888" s="108">
        <f>SUBTOTAL(9,J1890:J1894)</f>
        <v>42341</v>
      </c>
      <c r="K1888" s="7"/>
      <c r="L1888" s="7">
        <f>SUM(L1890,L1892,L1894)</f>
        <v>9</v>
      </c>
      <c r="M1888" s="108">
        <f t="shared" ref="M1888:Q1888" si="2782">SUBTOTAL(9,M1890:M1894)</f>
        <v>925</v>
      </c>
      <c r="N1888" s="108">
        <f t="shared" si="2782"/>
        <v>0</v>
      </c>
      <c r="O1888" s="108">
        <f t="shared" si="2782"/>
        <v>0</v>
      </c>
      <c r="P1888" s="108">
        <f t="shared" si="2782"/>
        <v>41416</v>
      </c>
      <c r="Q1888" s="108">
        <f t="shared" si="2782"/>
        <v>42341</v>
      </c>
      <c r="R1888" s="120"/>
      <c r="T1888" s="188"/>
    </row>
    <row r="1889" spans="1:22" s="10" customFormat="1" x14ac:dyDescent="0.25">
      <c r="A1889" s="126" t="s">
        <v>2572</v>
      </c>
      <c r="B1889" s="127">
        <v>1</v>
      </c>
      <c r="C1889" s="128" t="s">
        <v>2575</v>
      </c>
      <c r="D1889" s="127" t="s">
        <v>2416</v>
      </c>
      <c r="E1889" s="126"/>
      <c r="F1889" s="129"/>
      <c r="G1889" s="129"/>
      <c r="H1889" s="103">
        <f>VLOOKUP($A1889,'Model Inputs'!$A:$D,4,FALSE)</f>
        <v>1</v>
      </c>
      <c r="I1889" s="130"/>
      <c r="J1889" s="130"/>
      <c r="K1889" s="129"/>
      <c r="L1889" s="129"/>
      <c r="M1889" s="130"/>
      <c r="N1889" s="130"/>
      <c r="O1889" s="130"/>
      <c r="P1889" s="130"/>
      <c r="Q1889" s="130"/>
      <c r="R1889" s="131"/>
      <c r="T1889" s="188"/>
      <c r="U1889"/>
      <c r="V1889"/>
    </row>
    <row r="1890" spans="1:22" x14ac:dyDescent="0.25">
      <c r="A1890" s="100"/>
      <c r="B1890" s="3">
        <v>2</v>
      </c>
      <c r="C1890" s="5" t="s">
        <v>306</v>
      </c>
      <c r="D1890" s="3" t="s">
        <v>33</v>
      </c>
      <c r="E1890" s="100" t="str">
        <f>IFERROR(VLOOKUP(C1890,Resources!B:D,3,FALSE)," ")</f>
        <v>S</v>
      </c>
      <c r="F1890" s="8">
        <v>1</v>
      </c>
      <c r="G1890" s="8">
        <v>1</v>
      </c>
      <c r="H1890" s="8">
        <f>H1889*14705</f>
        <v>14705</v>
      </c>
      <c r="I1890" s="109">
        <f>IFERROR(VLOOKUP(C1890,Resources!B:G,6,FALSE)," ")</f>
        <v>1</v>
      </c>
      <c r="J1890" s="109">
        <f t="shared" ref="J1890" si="2783">(H1890/(G1890/F1890))*I1890</f>
        <v>14705</v>
      </c>
      <c r="K1890" s="8"/>
      <c r="L1890" s="8">
        <v>4</v>
      </c>
      <c r="M1890" s="109">
        <f t="shared" ref="M1890:M1894" si="2784">IF($E1890="L",$J1890,0)</f>
        <v>0</v>
      </c>
      <c r="N1890" s="109">
        <f t="shared" ref="N1890:N1894" si="2785">IF($E1890="M",$J1890,0)</f>
        <v>0</v>
      </c>
      <c r="O1890" s="109">
        <f t="shared" ref="O1890:O1894" si="2786">IF($E1890="P",$J1890,0)</f>
        <v>0</v>
      </c>
      <c r="P1890" s="109">
        <f t="shared" ref="P1890:P1894" si="2787">IF($E1890="S",$J1890,0)</f>
        <v>14705</v>
      </c>
      <c r="Q1890" s="109">
        <f t="shared" ref="Q1890" si="2788">SUM(M1890:P1890)</f>
        <v>14705</v>
      </c>
      <c r="R1890" s="121">
        <v>103</v>
      </c>
      <c r="T1890" s="188"/>
    </row>
    <row r="1891" spans="1:22" s="10" customFormat="1" ht="30" x14ac:dyDescent="0.25">
      <c r="A1891" s="126" t="s">
        <v>2573</v>
      </c>
      <c r="B1891" s="127" t="s">
        <v>2417</v>
      </c>
      <c r="C1891" s="128" t="s">
        <v>2574</v>
      </c>
      <c r="D1891" s="127" t="s">
        <v>29</v>
      </c>
      <c r="E1891" s="126"/>
      <c r="F1891" s="129"/>
      <c r="G1891" s="129"/>
      <c r="H1891" s="103">
        <f>VLOOKUP($A1891,'Model Inputs'!$A:$D,4,FALSE)</f>
        <v>1</v>
      </c>
      <c r="I1891" s="130"/>
      <c r="J1891" s="130"/>
      <c r="K1891" s="129"/>
      <c r="L1891" s="129"/>
      <c r="M1891" s="130"/>
      <c r="N1891" s="130"/>
      <c r="O1891" s="130"/>
      <c r="P1891" s="130"/>
      <c r="Q1891" s="130"/>
      <c r="R1891" s="131"/>
      <c r="T1891" s="188"/>
      <c r="U1891"/>
      <c r="V1891"/>
    </row>
    <row r="1892" spans="1:22" x14ac:dyDescent="0.25">
      <c r="A1892" s="100"/>
      <c r="B1892" s="3">
        <v>1</v>
      </c>
      <c r="C1892" s="5" t="s">
        <v>306</v>
      </c>
      <c r="D1892" s="3" t="s">
        <v>33</v>
      </c>
      <c r="E1892" s="100" t="str">
        <f>IFERROR(VLOOKUP(C1892,Resources!B:D,3,FALSE)," ")</f>
        <v>S</v>
      </c>
      <c r="F1892" s="8">
        <v>1</v>
      </c>
      <c r="G1892" s="8">
        <v>1</v>
      </c>
      <c r="H1892" s="8">
        <f>H1891*26711</f>
        <v>26711</v>
      </c>
      <c r="I1892" s="109">
        <f>IFERROR(VLOOKUP(C1892,Resources!B:G,6,FALSE)," ")</f>
        <v>1</v>
      </c>
      <c r="J1892" s="109">
        <f t="shared" ref="J1892" si="2789">(H1892/(G1892/F1892))*I1892</f>
        <v>26711</v>
      </c>
      <c r="K1892" s="8"/>
      <c r="L1892" s="8">
        <v>4</v>
      </c>
      <c r="M1892" s="109">
        <f t="shared" si="2784"/>
        <v>0</v>
      </c>
      <c r="N1892" s="109">
        <f t="shared" si="2785"/>
        <v>0</v>
      </c>
      <c r="O1892" s="109">
        <f t="shared" si="2786"/>
        <v>0</v>
      </c>
      <c r="P1892" s="109">
        <f t="shared" si="2787"/>
        <v>26711</v>
      </c>
      <c r="Q1892" s="109">
        <f t="shared" ref="Q1892" si="2790">SUM(M1892:P1892)</f>
        <v>26711</v>
      </c>
      <c r="R1892" s="121">
        <v>103</v>
      </c>
      <c r="T1892" s="188"/>
    </row>
    <row r="1893" spans="1:22" s="10" customFormat="1" x14ac:dyDescent="0.25">
      <c r="A1893" s="126"/>
      <c r="B1893" s="127" t="s">
        <v>2417</v>
      </c>
      <c r="C1893" s="128" t="s">
        <v>2452</v>
      </c>
      <c r="D1893" s="127" t="s">
        <v>2416</v>
      </c>
      <c r="E1893" s="126"/>
      <c r="F1893" s="129"/>
      <c r="G1893" s="129"/>
      <c r="H1893" s="129">
        <v>1</v>
      </c>
      <c r="I1893" s="130"/>
      <c r="J1893" s="130"/>
      <c r="K1893" s="129"/>
      <c r="L1893" s="129"/>
      <c r="M1893" s="130"/>
      <c r="N1893" s="130"/>
      <c r="O1893" s="130"/>
      <c r="P1893" s="130"/>
      <c r="Q1893" s="130"/>
      <c r="R1893" s="131"/>
      <c r="T1893" s="188"/>
      <c r="U1893"/>
      <c r="V1893"/>
    </row>
    <row r="1894" spans="1:22" x14ac:dyDescent="0.25">
      <c r="A1894" s="100"/>
      <c r="B1894" s="3">
        <v>1</v>
      </c>
      <c r="C1894" s="5" t="s">
        <v>2043</v>
      </c>
      <c r="D1894" s="3" t="s">
        <v>33</v>
      </c>
      <c r="E1894" s="100" t="str">
        <f>IFERROR(VLOOKUP(C1894,Resources!B:D,3,FALSE)," ")</f>
        <v>L</v>
      </c>
      <c r="F1894" s="8">
        <v>1</v>
      </c>
      <c r="G1894" s="8">
        <v>1</v>
      </c>
      <c r="H1894" s="8">
        <f>H1893*5</f>
        <v>5</v>
      </c>
      <c r="I1894" s="109">
        <f>IFERROR(VLOOKUP(C1894,Resources!B:G,6,FALSE)," ")</f>
        <v>185</v>
      </c>
      <c r="J1894" s="109">
        <f t="shared" ref="J1894" si="2791">(H1894/(G1894/F1894))*I1894</f>
        <v>925</v>
      </c>
      <c r="K1894" s="8"/>
      <c r="L1894" s="8">
        <v>1</v>
      </c>
      <c r="M1894" s="109">
        <f t="shared" si="2784"/>
        <v>925</v>
      </c>
      <c r="N1894" s="109">
        <f t="shared" si="2785"/>
        <v>0</v>
      </c>
      <c r="O1894" s="109">
        <f t="shared" si="2786"/>
        <v>0</v>
      </c>
      <c r="P1894" s="109">
        <f t="shared" si="2787"/>
        <v>0</v>
      </c>
      <c r="Q1894" s="109">
        <f t="shared" ref="Q1894" si="2792">SUM(M1894:P1894)</f>
        <v>925</v>
      </c>
      <c r="R1894" s="121">
        <v>11</v>
      </c>
      <c r="T1894" s="188"/>
    </row>
    <row r="1895" spans="1:22" x14ac:dyDescent="0.25">
      <c r="T1895" s="188"/>
    </row>
    <row r="1896" spans="1:22" ht="30" x14ac:dyDescent="0.25">
      <c r="A1896" s="114" t="s">
        <v>2579</v>
      </c>
      <c r="B1896" s="1" t="s">
        <v>2427</v>
      </c>
      <c r="C1896" s="1" t="s">
        <v>2577</v>
      </c>
      <c r="D1896" s="2" t="s">
        <v>82</v>
      </c>
      <c r="E1896" s="99"/>
      <c r="F1896" s="7"/>
      <c r="G1896" s="7"/>
      <c r="H1896" s="103">
        <f>VLOOKUP($A1896,'Model Inputs'!$A:$D,4,FALSE)</f>
        <v>3.29</v>
      </c>
      <c r="I1896" s="108"/>
      <c r="J1896" s="108">
        <f>SUBTOTAL(9,J1897)</f>
        <v>891.26100000000008</v>
      </c>
      <c r="K1896" s="7"/>
      <c r="L1896" s="7">
        <f>ROUNDUP(L1897/Workhrs,0)</f>
        <v>1</v>
      </c>
      <c r="M1896" s="108">
        <f t="shared" ref="M1896:Q1896" si="2793">SUBTOTAL(9,M1897)</f>
        <v>0</v>
      </c>
      <c r="N1896" s="108">
        <f t="shared" si="2793"/>
        <v>0</v>
      </c>
      <c r="O1896" s="108">
        <f t="shared" si="2793"/>
        <v>0</v>
      </c>
      <c r="P1896" s="108">
        <f t="shared" si="2793"/>
        <v>891.26100000000008</v>
      </c>
      <c r="Q1896" s="108">
        <f t="shared" si="2793"/>
        <v>891.26100000000008</v>
      </c>
      <c r="R1896" s="120"/>
      <c r="T1896" s="188"/>
    </row>
    <row r="1897" spans="1:22" x14ac:dyDescent="0.25">
      <c r="A1897" s="100"/>
      <c r="B1897" s="3">
        <v>1</v>
      </c>
      <c r="C1897" s="5" t="s">
        <v>2237</v>
      </c>
      <c r="D1897" s="3" t="s">
        <v>82</v>
      </c>
      <c r="E1897" s="100" t="str">
        <f>IFERROR(VLOOKUP(C1897,Resources!B:D,3,FALSE)," ")</f>
        <v>S</v>
      </c>
      <c r="F1897" s="8">
        <v>1</v>
      </c>
      <c r="G1897" s="8">
        <v>1</v>
      </c>
      <c r="H1897" s="8">
        <f>H1896*1.05</f>
        <v>3.4545000000000003</v>
      </c>
      <c r="I1897" s="109">
        <f>IFERROR(VLOOKUP(C1897,Resources!B:G,6,FALSE)," ")</f>
        <v>258</v>
      </c>
      <c r="J1897" s="109">
        <f t="shared" ref="J1897" si="2794">(H1897/(G1897/F1897))*I1897</f>
        <v>891.26100000000008</v>
      </c>
      <c r="K1897" s="8"/>
      <c r="L1897" s="8">
        <f>H1897/200</f>
        <v>1.7272500000000003E-2</v>
      </c>
      <c r="M1897" s="109">
        <f t="shared" ref="M1897" si="2795">IF($E1897="L",$J1897,0)</f>
        <v>0</v>
      </c>
      <c r="N1897" s="109">
        <f t="shared" ref="N1897" si="2796">IF($E1897="M",$J1897,0)</f>
        <v>0</v>
      </c>
      <c r="O1897" s="109">
        <f t="shared" ref="O1897" si="2797">IF($E1897="P",$J1897,0)</f>
        <v>0</v>
      </c>
      <c r="P1897" s="109">
        <f t="shared" ref="P1897" si="2798">IF($E1897="S",$J1897,0)</f>
        <v>891.26100000000008</v>
      </c>
      <c r="Q1897" s="109">
        <f t="shared" ref="Q1897" si="2799">SUM(M1897:P1897)</f>
        <v>891.26100000000008</v>
      </c>
      <c r="R1897" s="121">
        <v>65</v>
      </c>
      <c r="T1897" s="188"/>
    </row>
    <row r="1898" spans="1:22" x14ac:dyDescent="0.25">
      <c r="T1898" s="188"/>
    </row>
    <row r="1899" spans="1:22" ht="30" x14ac:dyDescent="0.25">
      <c r="A1899" s="114" t="s">
        <v>2580</v>
      </c>
      <c r="B1899" s="1" t="s">
        <v>2431</v>
      </c>
      <c r="C1899" s="1" t="s">
        <v>2432</v>
      </c>
      <c r="D1899" s="2" t="s">
        <v>2416</v>
      </c>
      <c r="E1899" s="99"/>
      <c r="F1899" s="7"/>
      <c r="G1899" s="7"/>
      <c r="H1899" s="103">
        <f>VLOOKUP($A1899,'Model Inputs'!$A:$D,4,FALSE)</f>
        <v>1</v>
      </c>
      <c r="I1899" s="108"/>
      <c r="J1899" s="108">
        <f>SUBTOTAL(9,J1900:J1901)</f>
        <v>5434.4400000000005</v>
      </c>
      <c r="K1899" s="7"/>
      <c r="L1899" s="7">
        <f>L1901</f>
        <v>4</v>
      </c>
      <c r="M1899" s="108">
        <f t="shared" ref="M1899:Q1899" si="2800">SUBTOTAL(9,M1900:M1901)</f>
        <v>0</v>
      </c>
      <c r="N1899" s="108">
        <f t="shared" si="2800"/>
        <v>1709.44</v>
      </c>
      <c r="O1899" s="108">
        <f t="shared" si="2800"/>
        <v>0</v>
      </c>
      <c r="P1899" s="108">
        <f t="shared" si="2800"/>
        <v>3725</v>
      </c>
      <c r="Q1899" s="108">
        <f t="shared" si="2800"/>
        <v>5434.4400000000005</v>
      </c>
      <c r="R1899" s="120"/>
      <c r="T1899" s="188"/>
    </row>
    <row r="1900" spans="1:22" x14ac:dyDescent="0.25">
      <c r="A1900" s="100"/>
      <c r="B1900" s="3">
        <v>1</v>
      </c>
      <c r="C1900" s="5" t="s">
        <v>2094</v>
      </c>
      <c r="D1900" s="3" t="s">
        <v>33</v>
      </c>
      <c r="E1900" s="100" t="s">
        <v>2020</v>
      </c>
      <c r="F1900" s="8">
        <v>1</v>
      </c>
      <c r="G1900" s="8">
        <v>1</v>
      </c>
      <c r="H1900" s="8">
        <f>H1899</f>
        <v>1</v>
      </c>
      <c r="I1900" s="109">
        <f>IFERROR(VLOOKUP(C1900,Resources!B:G,6,FALSE)," ")</f>
        <v>1709.44</v>
      </c>
      <c r="J1900" s="109">
        <f t="shared" ref="J1900:J1901" si="2801">(H1900/(G1900/F1900))*I1900</f>
        <v>1709.44</v>
      </c>
      <c r="K1900" s="8"/>
      <c r="L1900" s="8"/>
      <c r="M1900" s="109">
        <f t="shared" ref="M1900:M1901" si="2802">IF($E1900="L",$J1900,0)</f>
        <v>0</v>
      </c>
      <c r="N1900" s="109">
        <f t="shared" ref="N1900:N1901" si="2803">IF($E1900="M",$J1900,0)</f>
        <v>1709.44</v>
      </c>
      <c r="O1900" s="109">
        <f t="shared" ref="O1900:O1901" si="2804">IF($E1900="P",$J1900,0)</f>
        <v>0</v>
      </c>
      <c r="P1900" s="109">
        <f t="shared" ref="P1900:P1901" si="2805">IF($E1900="S",$J1900,0)</f>
        <v>0</v>
      </c>
      <c r="Q1900" s="109">
        <f t="shared" ref="Q1900:Q1901" si="2806">SUM(M1900:P1900)</f>
        <v>1709.44</v>
      </c>
      <c r="R1900" s="121" t="s">
        <v>2347</v>
      </c>
      <c r="T1900" s="188"/>
    </row>
    <row r="1901" spans="1:22" x14ac:dyDescent="0.25">
      <c r="A1901" s="100"/>
      <c r="B1901" s="3">
        <v>2</v>
      </c>
      <c r="C1901" s="5" t="s">
        <v>306</v>
      </c>
      <c r="D1901" s="3" t="s">
        <v>33</v>
      </c>
      <c r="E1901" s="100" t="str">
        <f>IFERROR(VLOOKUP(C1901,Resources!B:D,3,FALSE)," ")</f>
        <v>S</v>
      </c>
      <c r="F1901" s="8">
        <v>1</v>
      </c>
      <c r="G1901" s="8">
        <v>1</v>
      </c>
      <c r="H1901" s="8">
        <f>H1900*3725</f>
        <v>3725</v>
      </c>
      <c r="I1901" s="109">
        <f>IFERROR(VLOOKUP(C1901,Resources!B:G,6,FALSE)," ")</f>
        <v>1</v>
      </c>
      <c r="J1901" s="109">
        <f t="shared" si="2801"/>
        <v>3725</v>
      </c>
      <c r="K1901" s="8"/>
      <c r="L1901" s="8">
        <f>H1899/0.25</f>
        <v>4</v>
      </c>
      <c r="M1901" s="109">
        <f t="shared" si="2802"/>
        <v>0</v>
      </c>
      <c r="N1901" s="109">
        <f t="shared" si="2803"/>
        <v>0</v>
      </c>
      <c r="O1901" s="109">
        <f t="shared" si="2804"/>
        <v>0</v>
      </c>
      <c r="P1901" s="109">
        <f t="shared" si="2805"/>
        <v>3725</v>
      </c>
      <c r="Q1901" s="109">
        <f t="shared" si="2806"/>
        <v>3725</v>
      </c>
      <c r="R1901" s="121">
        <v>86</v>
      </c>
      <c r="T1901" s="188"/>
    </row>
    <row r="1902" spans="1:22" x14ac:dyDescent="0.25">
      <c r="T1902" s="188"/>
    </row>
    <row r="1903" spans="1:22" ht="45" x14ac:dyDescent="0.25">
      <c r="A1903" s="114" t="s">
        <v>2581</v>
      </c>
      <c r="B1903" s="1" t="s">
        <v>2423</v>
      </c>
      <c r="C1903" s="1" t="s">
        <v>2424</v>
      </c>
      <c r="D1903" s="2" t="s">
        <v>2416</v>
      </c>
      <c r="E1903" s="99"/>
      <c r="F1903" s="7"/>
      <c r="G1903" s="7"/>
      <c r="H1903" s="103">
        <f>VLOOKUP($A1903,'Model Inputs'!$A:$D,4,FALSE)</f>
        <v>1</v>
      </c>
      <c r="I1903" s="108"/>
      <c r="J1903" s="108">
        <f>SUBTOTAL(9,J1904:J1910)</f>
        <v>6552.7400000000007</v>
      </c>
      <c r="K1903" s="7"/>
      <c r="L1903" s="7">
        <f>SUM(L1905)+ROUNDUP(MAX(L1907:L1910)/Workhrs,0)</f>
        <v>3</v>
      </c>
      <c r="M1903" s="108">
        <f t="shared" ref="M1903:Q1903" si="2807">SUBTOTAL(9,M1904:M1910)</f>
        <v>1092</v>
      </c>
      <c r="N1903" s="108">
        <f t="shared" si="2807"/>
        <v>3010.74</v>
      </c>
      <c r="O1903" s="108">
        <f t="shared" si="2807"/>
        <v>1170</v>
      </c>
      <c r="P1903" s="108">
        <f t="shared" si="2807"/>
        <v>1280</v>
      </c>
      <c r="Q1903" s="108">
        <f t="shared" si="2807"/>
        <v>6552.7400000000007</v>
      </c>
      <c r="R1903" s="120"/>
      <c r="T1903" s="188"/>
    </row>
    <row r="1904" spans="1:22" x14ac:dyDescent="0.25">
      <c r="A1904" s="100"/>
      <c r="B1904" s="3">
        <v>1</v>
      </c>
      <c r="C1904" s="5" t="s">
        <v>2094</v>
      </c>
      <c r="D1904" s="3" t="s">
        <v>33</v>
      </c>
      <c r="E1904" s="100" t="s">
        <v>2020</v>
      </c>
      <c r="F1904" s="8">
        <v>1</v>
      </c>
      <c r="G1904" s="8">
        <v>1</v>
      </c>
      <c r="H1904" s="8">
        <f>H1903</f>
        <v>1</v>
      </c>
      <c r="I1904" s="109">
        <f>IFERROR(VLOOKUP(C1904,Resources!B:G,6,FALSE)," ")</f>
        <v>1709.44</v>
      </c>
      <c r="J1904" s="109">
        <f t="shared" ref="J1904:J1910" si="2808">(H1904/(G1904/F1904))*I1904</f>
        <v>1709.44</v>
      </c>
      <c r="K1904" s="8"/>
      <c r="L1904" s="8"/>
      <c r="M1904" s="109">
        <f t="shared" ref="M1904:M1910" si="2809">IF($E1904="L",$J1904,0)</f>
        <v>0</v>
      </c>
      <c r="N1904" s="109">
        <f t="shared" ref="N1904:N1910" si="2810">IF($E1904="M",$J1904,0)</f>
        <v>1709.44</v>
      </c>
      <c r="O1904" s="109">
        <f t="shared" ref="O1904:O1910" si="2811">IF($E1904="P",$J1904,0)</f>
        <v>0</v>
      </c>
      <c r="P1904" s="109">
        <f t="shared" ref="P1904:P1910" si="2812">IF($E1904="S",$J1904,0)</f>
        <v>0</v>
      </c>
      <c r="Q1904" s="109">
        <f t="shared" ref="Q1904:Q1910" si="2813">SUM(M1904:P1904)</f>
        <v>1709.44</v>
      </c>
      <c r="R1904" s="121" t="s">
        <v>2347</v>
      </c>
      <c r="T1904" s="188"/>
    </row>
    <row r="1905" spans="1:22" x14ac:dyDescent="0.25">
      <c r="A1905" s="100"/>
      <c r="B1905" s="3">
        <v>2</v>
      </c>
      <c r="C1905" s="5" t="s">
        <v>306</v>
      </c>
      <c r="D1905" s="3" t="s">
        <v>33</v>
      </c>
      <c r="E1905" s="100" t="str">
        <f>IFERROR(VLOOKUP(C1905,Resources!B:D,3,FALSE)," ")</f>
        <v>S</v>
      </c>
      <c r="F1905" s="8">
        <v>1</v>
      </c>
      <c r="G1905" s="8">
        <v>1</v>
      </c>
      <c r="H1905" s="8">
        <f>H1904*1280</f>
        <v>1280</v>
      </c>
      <c r="I1905" s="109">
        <f>IFERROR(VLOOKUP(C1905,Resources!B:G,6,FALSE)," ")</f>
        <v>1</v>
      </c>
      <c r="J1905" s="109">
        <f t="shared" si="2808"/>
        <v>1280</v>
      </c>
      <c r="K1905" s="8"/>
      <c r="L1905" s="8">
        <f>H1903/0.5</f>
        <v>2</v>
      </c>
      <c r="M1905" s="109">
        <f t="shared" si="2809"/>
        <v>0</v>
      </c>
      <c r="N1905" s="109">
        <f t="shared" si="2810"/>
        <v>0</v>
      </c>
      <c r="O1905" s="109">
        <f t="shared" si="2811"/>
        <v>0</v>
      </c>
      <c r="P1905" s="109">
        <f t="shared" si="2812"/>
        <v>1280</v>
      </c>
      <c r="Q1905" s="109">
        <f t="shared" si="2813"/>
        <v>1280</v>
      </c>
      <c r="R1905" s="121">
        <v>86</v>
      </c>
      <c r="T1905" s="188"/>
    </row>
    <row r="1906" spans="1:22" s="10" customFormat="1" x14ac:dyDescent="0.25">
      <c r="A1906" s="126"/>
      <c r="B1906" s="3">
        <v>3</v>
      </c>
      <c r="C1906" s="128" t="s">
        <v>2578</v>
      </c>
      <c r="D1906" s="127"/>
      <c r="E1906" s="126"/>
      <c r="F1906" s="129"/>
      <c r="G1906" s="129"/>
      <c r="H1906" s="129">
        <v>13</v>
      </c>
      <c r="I1906" s="130"/>
      <c r="J1906" s="130"/>
      <c r="K1906" s="129"/>
      <c r="L1906" s="129"/>
      <c r="M1906" s="130"/>
      <c r="N1906" s="130"/>
      <c r="O1906" s="130"/>
      <c r="P1906" s="130"/>
      <c r="Q1906" s="130"/>
      <c r="R1906" s="131"/>
      <c r="T1906" s="188"/>
      <c r="U1906"/>
      <c r="V1906"/>
    </row>
    <row r="1907" spans="1:22" x14ac:dyDescent="0.25">
      <c r="A1907" s="100" t="s">
        <v>2582</v>
      </c>
      <c r="B1907" s="3">
        <v>4</v>
      </c>
      <c r="C1907" s="5" t="s">
        <v>63</v>
      </c>
      <c r="D1907" s="3" t="s">
        <v>48</v>
      </c>
      <c r="E1907" s="100" t="str">
        <f>IFERROR(VLOOKUP(C1907,Resources!B:D,3,FALSE)," ")</f>
        <v>P</v>
      </c>
      <c r="F1907" s="8">
        <v>1</v>
      </c>
      <c r="G1907" s="103">
        <f>VLOOKUP($A1907,'Model Inputs'!$A:$D,4,FALSE)</f>
        <v>1.5</v>
      </c>
      <c r="H1907" s="8">
        <f>H1906</f>
        <v>13</v>
      </c>
      <c r="I1907" s="109">
        <f>IFERROR(VLOOKUP(C1907,Resources!B:G,6,FALSE)," ")</f>
        <v>135</v>
      </c>
      <c r="J1907" s="109">
        <f t="shared" si="2808"/>
        <v>1170</v>
      </c>
      <c r="K1907" s="8">
        <f t="shared" ref="K1907" si="2814">L1907*F1907</f>
        <v>8.6666666666666661</v>
      </c>
      <c r="L1907" s="8">
        <f t="shared" ref="L1907:L1910" si="2815">IF(E1907="M"," ",H1907/G1907)</f>
        <v>8.6666666666666661</v>
      </c>
      <c r="M1907" s="109">
        <f t="shared" si="2809"/>
        <v>0</v>
      </c>
      <c r="N1907" s="109">
        <f t="shared" si="2810"/>
        <v>0</v>
      </c>
      <c r="O1907" s="109">
        <f t="shared" si="2811"/>
        <v>1170</v>
      </c>
      <c r="P1907" s="109">
        <f t="shared" si="2812"/>
        <v>0</v>
      </c>
      <c r="Q1907" s="109">
        <f t="shared" si="2813"/>
        <v>1170</v>
      </c>
      <c r="R1907" s="121">
        <v>81</v>
      </c>
      <c r="T1907" s="188"/>
    </row>
    <row r="1908" spans="1:22" x14ac:dyDescent="0.25">
      <c r="A1908" s="100"/>
      <c r="B1908" s="3">
        <v>5</v>
      </c>
      <c r="C1908" s="5" t="s">
        <v>451</v>
      </c>
      <c r="D1908" s="3" t="s">
        <v>89</v>
      </c>
      <c r="E1908" s="100" t="str">
        <f>IFERROR(VLOOKUP(C1908,Resources!B:D,3,FALSE)," ")</f>
        <v>M</v>
      </c>
      <c r="F1908" s="8">
        <v>1</v>
      </c>
      <c r="G1908" s="8">
        <v>1</v>
      </c>
      <c r="H1908" s="8">
        <f>H1906</f>
        <v>13</v>
      </c>
      <c r="I1908" s="109">
        <f>IFERROR(VLOOKUP(C1908,Resources!B:G,6,FALSE)," ")</f>
        <v>92.1</v>
      </c>
      <c r="J1908" s="109">
        <f t="shared" si="2808"/>
        <v>1197.3</v>
      </c>
      <c r="K1908" s="8"/>
      <c r="L1908" s="8" t="str">
        <f t="shared" si="2815"/>
        <v xml:space="preserve"> </v>
      </c>
      <c r="M1908" s="109">
        <f t="shared" si="2809"/>
        <v>0</v>
      </c>
      <c r="N1908" s="109">
        <f t="shared" si="2810"/>
        <v>1197.3</v>
      </c>
      <c r="O1908" s="109">
        <f t="shared" si="2811"/>
        <v>0</v>
      </c>
      <c r="P1908" s="109">
        <f t="shared" si="2812"/>
        <v>0</v>
      </c>
      <c r="Q1908" s="109">
        <f t="shared" si="2813"/>
        <v>1197.3</v>
      </c>
      <c r="R1908" s="121" t="s">
        <v>2346</v>
      </c>
      <c r="T1908" s="188"/>
    </row>
    <row r="1909" spans="1:22" x14ac:dyDescent="0.25">
      <c r="A1909" s="100"/>
      <c r="B1909" s="3">
        <v>6</v>
      </c>
      <c r="C1909" s="5" t="s">
        <v>81</v>
      </c>
      <c r="D1909" s="3" t="s">
        <v>82</v>
      </c>
      <c r="E1909" s="100" t="str">
        <f>IFERROR(VLOOKUP(C1909,Resources!B:D,3,FALSE)," ")</f>
        <v>M</v>
      </c>
      <c r="F1909" s="8">
        <v>1</v>
      </c>
      <c r="G1909" s="8">
        <v>1</v>
      </c>
      <c r="H1909" s="8">
        <f>H1906/3</f>
        <v>4.333333333333333</v>
      </c>
      <c r="I1909" s="109">
        <f>IFERROR(VLOOKUP(C1909,Resources!B:G,6,FALSE)," ")</f>
        <v>24</v>
      </c>
      <c r="J1909" s="109">
        <f t="shared" si="2808"/>
        <v>104</v>
      </c>
      <c r="K1909" s="8"/>
      <c r="L1909" s="8" t="str">
        <f t="shared" si="2815"/>
        <v xml:space="preserve"> </v>
      </c>
      <c r="M1909" s="109">
        <f t="shared" si="2809"/>
        <v>0</v>
      </c>
      <c r="N1909" s="109">
        <f t="shared" si="2810"/>
        <v>104</v>
      </c>
      <c r="O1909" s="109">
        <f t="shared" si="2811"/>
        <v>0</v>
      </c>
      <c r="P1909" s="109">
        <f t="shared" si="2812"/>
        <v>0</v>
      </c>
      <c r="Q1909" s="109">
        <f t="shared" si="2813"/>
        <v>104</v>
      </c>
      <c r="R1909" s="121" t="s">
        <v>2341</v>
      </c>
      <c r="T1909" s="188"/>
    </row>
    <row r="1910" spans="1:22" x14ac:dyDescent="0.25">
      <c r="A1910" s="100" t="s">
        <v>2583</v>
      </c>
      <c r="B1910" s="3">
        <v>4</v>
      </c>
      <c r="C1910" s="5" t="s">
        <v>8</v>
      </c>
      <c r="D1910" s="3" t="s">
        <v>48</v>
      </c>
      <c r="E1910" s="100" t="str">
        <f>IFERROR(VLOOKUP(C1910,Resources!B:D,3,FALSE)," ")</f>
        <v>L</v>
      </c>
      <c r="F1910" s="103">
        <f>VLOOKUP($A1910,'Model Inputs'!$A:$D,4,FALSE)</f>
        <v>3</v>
      </c>
      <c r="G1910" s="8">
        <f>G1907</f>
        <v>1.5</v>
      </c>
      <c r="H1910" s="8">
        <f>H1906</f>
        <v>13</v>
      </c>
      <c r="I1910" s="109">
        <f>IFERROR(VLOOKUP(C1910,Resources!B:G,6,FALSE)," ")</f>
        <v>42</v>
      </c>
      <c r="J1910" s="109">
        <f t="shared" si="2808"/>
        <v>1092</v>
      </c>
      <c r="K1910" s="8">
        <f t="shared" ref="K1910" si="2816">L1910*F1910</f>
        <v>26</v>
      </c>
      <c r="L1910" s="8">
        <f t="shared" si="2815"/>
        <v>8.6666666666666661</v>
      </c>
      <c r="M1910" s="109">
        <f t="shared" si="2809"/>
        <v>1092</v>
      </c>
      <c r="N1910" s="109">
        <f t="shared" si="2810"/>
        <v>0</v>
      </c>
      <c r="O1910" s="109">
        <f t="shared" si="2811"/>
        <v>0</v>
      </c>
      <c r="P1910" s="109">
        <f t="shared" si="2812"/>
        <v>0</v>
      </c>
      <c r="Q1910" s="109">
        <f t="shared" si="2813"/>
        <v>1092</v>
      </c>
      <c r="R1910" s="121">
        <v>81</v>
      </c>
      <c r="T1910" s="188"/>
    </row>
    <row r="1911" spans="1:22" x14ac:dyDescent="0.25">
      <c r="A1911" s="101"/>
      <c r="B1911" s="4"/>
      <c r="C1911" s="6"/>
      <c r="D1911" s="4"/>
      <c r="E1911" s="101" t="str">
        <f>IFERROR(VLOOKUP(C1911,Resources!B:D,3,FALSE)," ")</f>
        <v xml:space="preserve"> </v>
      </c>
      <c r="F1911" s="9"/>
      <c r="G1911" s="9"/>
      <c r="H1911" s="9"/>
      <c r="I1911" s="38" t="str">
        <f>IFERROR(VLOOKUP(C1911,Resources!B:G,6,FALSE)," ")</f>
        <v xml:space="preserve"> </v>
      </c>
      <c r="J1911" s="38"/>
      <c r="K1911" s="9"/>
      <c r="L1911" s="9"/>
      <c r="M1911" s="38"/>
      <c r="N1911" s="38"/>
      <c r="O1911" s="38"/>
      <c r="P1911" s="38"/>
      <c r="Q1911" s="38"/>
      <c r="R1911" s="122"/>
      <c r="T1911" s="188"/>
    </row>
    <row r="1912" spans="1:22" x14ac:dyDescent="0.25">
      <c r="A1912" s="114" t="s">
        <v>2584</v>
      </c>
      <c r="B1912" s="1" t="s">
        <v>2479</v>
      </c>
      <c r="C1912" s="1" t="s">
        <v>2480</v>
      </c>
      <c r="D1912" s="2" t="s">
        <v>2416</v>
      </c>
      <c r="E1912" s="99"/>
      <c r="F1912" s="7"/>
      <c r="G1912" s="7"/>
      <c r="H1912" s="103">
        <f>VLOOKUP($A1912,'Model Inputs'!$A:$D,4,FALSE)</f>
        <v>1</v>
      </c>
      <c r="I1912" s="108"/>
      <c r="J1912" s="108">
        <f>SUBTOTAL(9,J1913:J1965)</f>
        <v>15632.44331111111</v>
      </c>
      <c r="K1912" s="7"/>
      <c r="L1912" s="7">
        <f>ROUNDUP(SUM(L1924,L1929,L1932)+SUM(L1943,L1948)+SUM(L1957,L1962),0)</f>
        <v>4</v>
      </c>
      <c r="M1912" s="108">
        <f t="shared" ref="M1912:Q1912" si="2817">SUBTOTAL(9,M1913:M1965)</f>
        <v>7974.2186000000002</v>
      </c>
      <c r="N1912" s="108">
        <f t="shared" si="2817"/>
        <v>4208.7057111111117</v>
      </c>
      <c r="O1912" s="108">
        <f t="shared" si="2817"/>
        <v>270.95899999999995</v>
      </c>
      <c r="P1912" s="108">
        <f t="shared" si="2817"/>
        <v>3178.56</v>
      </c>
      <c r="Q1912" s="108">
        <f t="shared" si="2817"/>
        <v>15632.44331111111</v>
      </c>
      <c r="R1912" s="120" t="s">
        <v>781</v>
      </c>
      <c r="T1912" s="188"/>
    </row>
    <row r="1913" spans="1:22" x14ac:dyDescent="0.25">
      <c r="A1913" s="100"/>
      <c r="B1913" s="3">
        <v>1</v>
      </c>
      <c r="C1913" s="5" t="s">
        <v>47</v>
      </c>
      <c r="D1913" s="3" t="s">
        <v>33</v>
      </c>
      <c r="E1913" s="100" t="s">
        <v>2019</v>
      </c>
      <c r="F1913" s="8">
        <v>1</v>
      </c>
      <c r="G1913" s="8">
        <v>1</v>
      </c>
      <c r="H1913" s="8">
        <f>H1912*2</f>
        <v>2</v>
      </c>
      <c r="I1913" s="109">
        <f>IFERROR(VLOOKUP(C1913,Resources!B:G,6,FALSE)," ")</f>
        <v>3350</v>
      </c>
      <c r="J1913" s="109">
        <f t="shared" ref="J1913:J1914" si="2818">(H1913/(G1913/F1913))*I1913</f>
        <v>6700</v>
      </c>
      <c r="K1913" s="8"/>
      <c r="L1913" s="8"/>
      <c r="M1913" s="109">
        <f t="shared" ref="M1913:M1965" si="2819">IF($E1913="L",$J1913,0)</f>
        <v>6700</v>
      </c>
      <c r="N1913" s="109">
        <f t="shared" ref="N1913:N1965" si="2820">IF($E1913="M",$J1913,0)</f>
        <v>0</v>
      </c>
      <c r="O1913" s="109">
        <f t="shared" ref="O1913:O1965" si="2821">IF($E1913="P",$J1913,0)</f>
        <v>0</v>
      </c>
      <c r="P1913" s="109">
        <f t="shared" ref="P1913:P1965" si="2822">IF($E1913="S",$J1913,0)</f>
        <v>0</v>
      </c>
      <c r="Q1913" s="109">
        <f t="shared" ref="Q1913:Q1914" si="2823">SUM(M1913:P1913)</f>
        <v>6700</v>
      </c>
      <c r="R1913" s="121">
        <v>902</v>
      </c>
      <c r="T1913" s="188"/>
    </row>
    <row r="1914" spans="1:22" x14ac:dyDescent="0.25">
      <c r="A1914" s="100"/>
      <c r="B1914" s="3">
        <v>1</v>
      </c>
      <c r="C1914" s="5" t="s">
        <v>2277</v>
      </c>
      <c r="D1914" s="3" t="s">
        <v>33</v>
      </c>
      <c r="E1914" s="100" t="str">
        <f>IFERROR(VLOOKUP(C1914,Resources!B:D,3,FALSE)," ")</f>
        <v>S</v>
      </c>
      <c r="F1914" s="8">
        <v>1</v>
      </c>
      <c r="G1914" s="8">
        <v>1</v>
      </c>
      <c r="H1914" s="8">
        <f>H1912*20</f>
        <v>20</v>
      </c>
      <c r="I1914" s="109">
        <f>IFERROR(VLOOKUP(C1914,Resources!B:G,6,FALSE)," ")</f>
        <v>40</v>
      </c>
      <c r="J1914" s="109">
        <f t="shared" si="2818"/>
        <v>800</v>
      </c>
      <c r="K1914" s="8"/>
      <c r="L1914" s="8">
        <f>H1912/0.5</f>
        <v>2</v>
      </c>
      <c r="M1914" s="109">
        <f t="shared" si="2819"/>
        <v>0</v>
      </c>
      <c r="N1914" s="109">
        <f t="shared" si="2820"/>
        <v>0</v>
      </c>
      <c r="O1914" s="109">
        <f t="shared" si="2821"/>
        <v>0</v>
      </c>
      <c r="P1914" s="109">
        <f t="shared" si="2822"/>
        <v>800</v>
      </c>
      <c r="Q1914" s="109">
        <f t="shared" si="2823"/>
        <v>800</v>
      </c>
      <c r="R1914" s="121">
        <v>67</v>
      </c>
      <c r="T1914" s="188"/>
    </row>
    <row r="1915" spans="1:22" x14ac:dyDescent="0.25">
      <c r="A1915" s="100"/>
      <c r="B1915" s="3">
        <v>1</v>
      </c>
      <c r="C1915" s="5" t="s">
        <v>236</v>
      </c>
      <c r="D1915" s="3" t="s">
        <v>33</v>
      </c>
      <c r="E1915" s="100" t="s">
        <v>2020</v>
      </c>
      <c r="F1915" s="8">
        <v>1</v>
      </c>
      <c r="G1915" s="8">
        <v>1</v>
      </c>
      <c r="H1915" s="8">
        <f>H1912*2</f>
        <v>2</v>
      </c>
      <c r="I1915" s="109">
        <f>IFERROR(VLOOKUP(C1915,Resources!B:G,6,FALSE)," ")</f>
        <v>700</v>
      </c>
      <c r="J1915" s="109">
        <f t="shared" ref="J1915:J1934" si="2824">(H1915/(G1915/F1915))*I1915</f>
        <v>1400</v>
      </c>
      <c r="K1915" s="8"/>
      <c r="L1915" s="8"/>
      <c r="M1915" s="109">
        <f t="shared" si="2819"/>
        <v>0</v>
      </c>
      <c r="N1915" s="109">
        <f t="shared" si="2820"/>
        <v>1400</v>
      </c>
      <c r="O1915" s="109">
        <f t="shared" si="2821"/>
        <v>0</v>
      </c>
      <c r="P1915" s="109">
        <f t="shared" si="2822"/>
        <v>0</v>
      </c>
      <c r="Q1915" s="109">
        <f t="shared" ref="Q1915:Q1934" si="2825">SUM(M1915:P1915)</f>
        <v>1400</v>
      </c>
      <c r="R1915" s="121">
        <v>73</v>
      </c>
      <c r="T1915" s="188"/>
    </row>
    <row r="1916" spans="1:22" x14ac:dyDescent="0.25">
      <c r="A1916" s="100"/>
      <c r="B1916" s="3"/>
      <c r="C1916" s="5"/>
      <c r="D1916" s="3"/>
      <c r="E1916" s="100"/>
      <c r="F1916" s="8"/>
      <c r="G1916" s="8"/>
      <c r="H1916" s="8"/>
      <c r="I1916" s="109"/>
      <c r="J1916" s="109"/>
      <c r="K1916" s="8"/>
      <c r="L1916" s="8"/>
      <c r="M1916" s="109"/>
      <c r="N1916" s="109"/>
      <c r="O1916" s="109"/>
      <c r="P1916" s="109"/>
      <c r="Q1916" s="109"/>
      <c r="R1916" s="121"/>
      <c r="T1916" s="188"/>
    </row>
    <row r="1917" spans="1:22" s="10" customFormat="1" x14ac:dyDescent="0.25">
      <c r="A1917" s="126" t="s">
        <v>2586</v>
      </c>
      <c r="B1917" s="127">
        <v>1</v>
      </c>
      <c r="C1917" s="128" t="s">
        <v>2481</v>
      </c>
      <c r="D1917" s="127"/>
      <c r="E1917" s="126"/>
      <c r="F1917" s="129"/>
      <c r="G1917" s="129"/>
      <c r="H1917" s="103">
        <f>VLOOKUP($A1917,'Model Inputs'!$A:$D,4,FALSE)</f>
        <v>6.72</v>
      </c>
      <c r="I1917" s="130"/>
      <c r="J1917" s="130"/>
      <c r="K1917" s="129"/>
      <c r="L1917" s="129"/>
      <c r="M1917" s="130"/>
      <c r="N1917" s="130"/>
      <c r="O1917" s="130"/>
      <c r="P1917" s="130"/>
      <c r="Q1917" s="130"/>
      <c r="R1917" s="131"/>
      <c r="T1917" s="188"/>
      <c r="U1917"/>
      <c r="V1917"/>
    </row>
    <row r="1918" spans="1:22" x14ac:dyDescent="0.25">
      <c r="A1918" s="101"/>
      <c r="B1918" s="4">
        <v>1</v>
      </c>
      <c r="C1918" s="6" t="s">
        <v>187</v>
      </c>
      <c r="D1918" s="4"/>
      <c r="E1918" s="101" t="str">
        <f>IFERROR(VLOOKUP(C1918,Resources!B:D,3,FALSE)," ")</f>
        <v xml:space="preserve"> </v>
      </c>
      <c r="F1918" s="9"/>
      <c r="G1918" s="9"/>
      <c r="H1918" s="9"/>
      <c r="I1918" s="38" t="str">
        <f>IFERROR(VLOOKUP(C1918,Resources!B:G,6,FALSE)," ")</f>
        <v xml:space="preserve"> </v>
      </c>
      <c r="J1918" s="38"/>
      <c r="K1918" s="9"/>
      <c r="L1918" s="9"/>
      <c r="M1918" s="38"/>
      <c r="N1918" s="38"/>
      <c r="O1918" s="38"/>
      <c r="P1918" s="38"/>
      <c r="Q1918" s="38"/>
      <c r="R1918" s="122"/>
      <c r="T1918" s="188"/>
    </row>
    <row r="1919" spans="1:22" x14ac:dyDescent="0.25">
      <c r="A1919" s="100"/>
      <c r="B1919" s="3">
        <v>2</v>
      </c>
      <c r="C1919" s="5" t="s">
        <v>188</v>
      </c>
      <c r="D1919" s="3" t="s">
        <v>86</v>
      </c>
      <c r="E1919" s="100" t="str">
        <f>IFERROR(VLOOKUP(C1919,Resources!B:D,3,FALSE)," ")</f>
        <v>M</v>
      </c>
      <c r="F1919" s="8">
        <v>1</v>
      </c>
      <c r="G1919" s="8">
        <v>1</v>
      </c>
      <c r="H1919" s="8">
        <f>H1917*0.1*1.1</f>
        <v>0.73920000000000008</v>
      </c>
      <c r="I1919" s="109">
        <f>IFERROR(VLOOKUP(C1919,Resources!B:G,6,FALSE)," ")</f>
        <v>170</v>
      </c>
      <c r="J1919" s="109">
        <f t="shared" ref="J1919:J1922" si="2826">(H1919/(G1919/F1919))*I1919</f>
        <v>125.66400000000002</v>
      </c>
      <c r="K1919" s="8"/>
      <c r="L1919" s="8" t="str">
        <f t="shared" ref="L1919:L1922" si="2827">IF(E1919="M"," ",H1919/G1919)</f>
        <v xml:space="preserve"> </v>
      </c>
      <c r="M1919" s="109">
        <f t="shared" ref="M1919:M1922" si="2828">IF($E1919="L",$J1919,0)</f>
        <v>0</v>
      </c>
      <c r="N1919" s="109">
        <f t="shared" ref="N1919:N1922" si="2829">IF($E1919="M",$J1919,0)</f>
        <v>125.66400000000002</v>
      </c>
      <c r="O1919" s="109">
        <f t="shared" ref="O1919:O1922" si="2830">IF($E1919="P",$J1919,0)</f>
        <v>0</v>
      </c>
      <c r="P1919" s="109">
        <f t="shared" ref="P1919:P1922" si="2831">IF($E1919="S",$J1919,0)</f>
        <v>0</v>
      </c>
      <c r="Q1919" s="109">
        <f t="shared" ref="Q1919:Q1922" si="2832">SUM(M1919:P1919)</f>
        <v>125.66400000000002</v>
      </c>
      <c r="R1919" s="121" t="s">
        <v>2334</v>
      </c>
      <c r="T1919" s="188"/>
    </row>
    <row r="1920" spans="1:22" x14ac:dyDescent="0.25">
      <c r="A1920" s="100"/>
      <c r="B1920" s="3">
        <v>3</v>
      </c>
      <c r="C1920" s="5" t="s">
        <v>81</v>
      </c>
      <c r="D1920" s="3" t="s">
        <v>82</v>
      </c>
      <c r="E1920" s="100" t="str">
        <f>IFERROR(VLOOKUP(C1920,Resources!B:D,3,FALSE)," ")</f>
        <v>M</v>
      </c>
      <c r="F1920" s="8">
        <v>1</v>
      </c>
      <c r="G1920" s="8">
        <v>1</v>
      </c>
      <c r="H1920" s="8">
        <f>H1917*0.1*1.5</f>
        <v>1.008</v>
      </c>
      <c r="I1920" s="109">
        <f>IFERROR(VLOOKUP(C1920,Resources!B:G,6,FALSE)," ")</f>
        <v>24</v>
      </c>
      <c r="J1920" s="109">
        <f t="shared" si="2826"/>
        <v>24.192</v>
      </c>
      <c r="K1920" s="8"/>
      <c r="L1920" s="8" t="str">
        <f t="shared" si="2827"/>
        <v xml:space="preserve"> </v>
      </c>
      <c r="M1920" s="109">
        <f t="shared" si="2828"/>
        <v>0</v>
      </c>
      <c r="N1920" s="109">
        <f t="shared" si="2829"/>
        <v>24.192</v>
      </c>
      <c r="O1920" s="109">
        <f t="shared" si="2830"/>
        <v>0</v>
      </c>
      <c r="P1920" s="109">
        <f t="shared" si="2831"/>
        <v>0</v>
      </c>
      <c r="Q1920" s="109">
        <f t="shared" si="2832"/>
        <v>24.192</v>
      </c>
      <c r="R1920" s="121" t="s">
        <v>2341</v>
      </c>
      <c r="T1920" s="188"/>
    </row>
    <row r="1921" spans="1:22" x14ac:dyDescent="0.25">
      <c r="A1921" s="100"/>
      <c r="B1921" s="3">
        <v>4</v>
      </c>
      <c r="C1921" s="5" t="s">
        <v>189</v>
      </c>
      <c r="D1921" s="3" t="s">
        <v>83</v>
      </c>
      <c r="E1921" s="100" t="str">
        <f>IFERROR(VLOOKUP(C1921,Resources!B:D,3,FALSE)," ")</f>
        <v>M</v>
      </c>
      <c r="F1921" s="8">
        <v>1</v>
      </c>
      <c r="G1921" s="8">
        <v>1</v>
      </c>
      <c r="H1921" s="8">
        <f>H1917*1.2</f>
        <v>8.0640000000000001</v>
      </c>
      <c r="I1921" s="109">
        <f>IFERROR(VLOOKUP(C1921,Resources!B:G,6,FALSE)," ")</f>
        <v>9.1</v>
      </c>
      <c r="J1921" s="109">
        <f t="shared" si="2826"/>
        <v>73.382400000000004</v>
      </c>
      <c r="K1921" s="8"/>
      <c r="L1921" s="8" t="str">
        <f t="shared" si="2827"/>
        <v xml:space="preserve"> </v>
      </c>
      <c r="M1921" s="109">
        <f t="shared" si="2828"/>
        <v>0</v>
      </c>
      <c r="N1921" s="109">
        <f t="shared" si="2829"/>
        <v>73.382400000000004</v>
      </c>
      <c r="O1921" s="109">
        <f t="shared" si="2830"/>
        <v>0</v>
      </c>
      <c r="P1921" s="109">
        <f t="shared" si="2831"/>
        <v>0</v>
      </c>
      <c r="Q1921" s="109">
        <f t="shared" si="2832"/>
        <v>73.382400000000004</v>
      </c>
      <c r="R1921" s="121" t="s">
        <v>2343</v>
      </c>
      <c r="T1921" s="188"/>
    </row>
    <row r="1922" spans="1:22" x14ac:dyDescent="0.25">
      <c r="A1922" s="100"/>
      <c r="B1922" s="3">
        <v>5</v>
      </c>
      <c r="C1922" s="5" t="s">
        <v>190</v>
      </c>
      <c r="D1922" s="3" t="s">
        <v>89</v>
      </c>
      <c r="E1922" s="100" t="str">
        <f>IFERROR(VLOOKUP(C1922,Resources!B:D,3,FALSE)," ")</f>
        <v>M</v>
      </c>
      <c r="F1922" s="8">
        <v>1</v>
      </c>
      <c r="G1922" s="8">
        <v>1</v>
      </c>
      <c r="H1922" s="8">
        <f>H1917*1.2/1.5</f>
        <v>5.3760000000000003</v>
      </c>
      <c r="I1922" s="109">
        <f>IFERROR(VLOOKUP(C1922,Resources!B:G,6,FALSE)," ")</f>
        <v>3</v>
      </c>
      <c r="J1922" s="109">
        <f t="shared" si="2826"/>
        <v>16.128</v>
      </c>
      <c r="K1922" s="8"/>
      <c r="L1922" s="8" t="str">
        <f t="shared" si="2827"/>
        <v xml:space="preserve"> </v>
      </c>
      <c r="M1922" s="109">
        <f t="shared" si="2828"/>
        <v>0</v>
      </c>
      <c r="N1922" s="109">
        <f t="shared" si="2829"/>
        <v>16.128</v>
      </c>
      <c r="O1922" s="109">
        <f t="shared" si="2830"/>
        <v>0</v>
      </c>
      <c r="P1922" s="109">
        <f t="shared" si="2831"/>
        <v>0</v>
      </c>
      <c r="Q1922" s="109">
        <f t="shared" si="2832"/>
        <v>16.128</v>
      </c>
      <c r="R1922" s="121" t="s">
        <v>2343</v>
      </c>
      <c r="T1922" s="188"/>
    </row>
    <row r="1923" spans="1:22" x14ac:dyDescent="0.25">
      <c r="A1923" s="101"/>
      <c r="B1923" s="4">
        <v>6</v>
      </c>
      <c r="C1923" s="6" t="s">
        <v>191</v>
      </c>
      <c r="D1923" s="4"/>
      <c r="E1923" s="101" t="str">
        <f>IFERROR(VLOOKUP(C1923,Resources!B:D,3,FALSE)," ")</f>
        <v xml:space="preserve"> </v>
      </c>
      <c r="F1923" s="9"/>
      <c r="G1923" s="9"/>
      <c r="H1923" s="9"/>
      <c r="I1923" s="38" t="str">
        <f>IFERROR(VLOOKUP(C1923,Resources!B:G,6,FALSE)," ")</f>
        <v xml:space="preserve"> </v>
      </c>
      <c r="J1923" s="38"/>
      <c r="K1923" s="9"/>
      <c r="L1923" s="9"/>
      <c r="M1923" s="38"/>
      <c r="N1923" s="38"/>
      <c r="O1923" s="38"/>
      <c r="P1923" s="38"/>
      <c r="Q1923" s="38"/>
      <c r="R1923" s="122"/>
      <c r="T1923" s="188"/>
    </row>
    <row r="1924" spans="1:22" x14ac:dyDescent="0.25">
      <c r="A1924" s="100" t="s">
        <v>2587</v>
      </c>
      <c r="B1924" s="3">
        <v>7</v>
      </c>
      <c r="C1924" s="5" t="s">
        <v>63</v>
      </c>
      <c r="D1924" s="3" t="s">
        <v>48</v>
      </c>
      <c r="E1924" s="100" t="str">
        <f>IFERROR(VLOOKUP(C1924,Resources!B:D,3,FALSE)," ")</f>
        <v>P</v>
      </c>
      <c r="F1924" s="8">
        <v>1</v>
      </c>
      <c r="G1924" s="103">
        <f>VLOOKUP($A1924,'Model Inputs'!$A:$D,4,FALSE)</f>
        <v>10</v>
      </c>
      <c r="H1924" s="8">
        <f>H1917*0.1</f>
        <v>0.67200000000000004</v>
      </c>
      <c r="I1924" s="109">
        <f>IFERROR(VLOOKUP(C1924,Resources!B:G,6,FALSE)," ")</f>
        <v>135</v>
      </c>
      <c r="J1924" s="109">
        <f t="shared" ref="J1924:J1926" si="2833">(H1924/(G1924/F1924))*I1924</f>
        <v>9.072000000000001</v>
      </c>
      <c r="K1924" s="8">
        <f t="shared" ref="K1924:K1926" si="2834">L1924*F1924</f>
        <v>6.720000000000001E-2</v>
      </c>
      <c r="L1924" s="8">
        <f t="shared" ref="L1924:L1926" si="2835">IF(E1924="M"," ",H1924/G1924)</f>
        <v>6.720000000000001E-2</v>
      </c>
      <c r="M1924" s="109">
        <f t="shared" ref="M1924:M1926" si="2836">IF($E1924="L",$J1924,0)</f>
        <v>0</v>
      </c>
      <c r="N1924" s="109">
        <f t="shared" ref="N1924:N1926" si="2837">IF($E1924="M",$J1924,0)</f>
        <v>0</v>
      </c>
      <c r="O1924" s="109">
        <f t="shared" ref="O1924:O1926" si="2838">IF($E1924="P",$J1924,0)</f>
        <v>9.072000000000001</v>
      </c>
      <c r="P1924" s="109">
        <f t="shared" ref="P1924:P1926" si="2839">IF($E1924="S",$J1924,0)</f>
        <v>0</v>
      </c>
      <c r="Q1924" s="109">
        <f t="shared" ref="Q1924:Q1926" si="2840">SUM(M1924:P1924)</f>
        <v>9.072000000000001</v>
      </c>
      <c r="R1924" s="121">
        <v>73</v>
      </c>
      <c r="T1924" s="188"/>
    </row>
    <row r="1925" spans="1:22" x14ac:dyDescent="0.25">
      <c r="A1925" s="100"/>
      <c r="B1925" s="3">
        <v>8</v>
      </c>
      <c r="C1925" s="5" t="s">
        <v>173</v>
      </c>
      <c r="D1925" s="3" t="s">
        <v>48</v>
      </c>
      <c r="E1925" s="100" t="str">
        <f>IFERROR(VLOOKUP(C1925,Resources!B:D,3,FALSE)," ")</f>
        <v>P</v>
      </c>
      <c r="F1925" s="8">
        <v>1</v>
      </c>
      <c r="G1925" s="8">
        <f>G1924</f>
        <v>10</v>
      </c>
      <c r="H1925" s="8">
        <f>H1924</f>
        <v>0.67200000000000004</v>
      </c>
      <c r="I1925" s="109">
        <f>IFERROR(VLOOKUP(C1925,Resources!B:G,6,FALSE)," ")</f>
        <v>95</v>
      </c>
      <c r="J1925" s="109">
        <f t="shared" si="2833"/>
        <v>6.3840000000000012</v>
      </c>
      <c r="K1925" s="8">
        <f t="shared" si="2834"/>
        <v>6.720000000000001E-2</v>
      </c>
      <c r="L1925" s="8">
        <f t="shared" si="2835"/>
        <v>6.720000000000001E-2</v>
      </c>
      <c r="M1925" s="109">
        <f t="shared" si="2836"/>
        <v>0</v>
      </c>
      <c r="N1925" s="109">
        <f t="shared" si="2837"/>
        <v>0</v>
      </c>
      <c r="O1925" s="109">
        <f t="shared" si="2838"/>
        <v>6.3840000000000012</v>
      </c>
      <c r="P1925" s="109">
        <f t="shared" si="2839"/>
        <v>0</v>
      </c>
      <c r="Q1925" s="109">
        <f t="shared" si="2840"/>
        <v>6.3840000000000012</v>
      </c>
      <c r="R1925" s="121">
        <v>73</v>
      </c>
      <c r="T1925" s="188"/>
    </row>
    <row r="1926" spans="1:22" x14ac:dyDescent="0.25">
      <c r="A1926" s="100"/>
      <c r="B1926" s="3">
        <v>9</v>
      </c>
      <c r="C1926" s="5" t="s">
        <v>8</v>
      </c>
      <c r="D1926" s="3" t="s">
        <v>48</v>
      </c>
      <c r="E1926" s="100" t="str">
        <f>IFERROR(VLOOKUP(C1926,Resources!B:D,3,FALSE)," ")</f>
        <v>L</v>
      </c>
      <c r="F1926" s="8">
        <v>1</v>
      </c>
      <c r="G1926" s="8">
        <f>G1924</f>
        <v>10</v>
      </c>
      <c r="H1926" s="8">
        <f>H1924</f>
        <v>0.67200000000000004</v>
      </c>
      <c r="I1926" s="109">
        <f>IFERROR(VLOOKUP(C1926,Resources!B:G,6,FALSE)," ")</f>
        <v>42</v>
      </c>
      <c r="J1926" s="109">
        <f t="shared" si="2833"/>
        <v>2.8224000000000005</v>
      </c>
      <c r="K1926" s="8">
        <f t="shared" si="2834"/>
        <v>6.720000000000001E-2</v>
      </c>
      <c r="L1926" s="8">
        <f t="shared" si="2835"/>
        <v>6.720000000000001E-2</v>
      </c>
      <c r="M1926" s="109">
        <f t="shared" si="2836"/>
        <v>2.8224000000000005</v>
      </c>
      <c r="N1926" s="109">
        <f t="shared" si="2837"/>
        <v>0</v>
      </c>
      <c r="O1926" s="109">
        <f t="shared" si="2838"/>
        <v>0</v>
      </c>
      <c r="P1926" s="109">
        <f t="shared" si="2839"/>
        <v>0</v>
      </c>
      <c r="Q1926" s="109">
        <f t="shared" si="2840"/>
        <v>2.8224000000000005</v>
      </c>
      <c r="R1926" s="121">
        <v>73</v>
      </c>
      <c r="T1926" s="188"/>
    </row>
    <row r="1927" spans="1:22" x14ac:dyDescent="0.25">
      <c r="A1927" s="101"/>
      <c r="B1927" s="4">
        <v>10</v>
      </c>
      <c r="C1927" s="6" t="s">
        <v>192</v>
      </c>
      <c r="D1927" s="4"/>
      <c r="E1927" s="101" t="str">
        <f>IFERROR(VLOOKUP(C1927,Resources!B:D,3,FALSE)," ")</f>
        <v xml:space="preserve"> </v>
      </c>
      <c r="F1927" s="9"/>
      <c r="G1927" s="9"/>
      <c r="H1927" s="9"/>
      <c r="I1927" s="38" t="str">
        <f>IFERROR(VLOOKUP(C1927,Resources!B:G,6,FALSE)," ")</f>
        <v xml:space="preserve"> </v>
      </c>
      <c r="J1927" s="38"/>
      <c r="K1927" s="9"/>
      <c r="L1927" s="9"/>
      <c r="M1927" s="38"/>
      <c r="N1927" s="38"/>
      <c r="O1927" s="38"/>
      <c r="P1927" s="38"/>
      <c r="Q1927" s="38"/>
      <c r="R1927" s="122"/>
      <c r="T1927" s="188"/>
    </row>
    <row r="1928" spans="1:22" x14ac:dyDescent="0.25">
      <c r="A1928" s="100"/>
      <c r="B1928" s="3">
        <v>11</v>
      </c>
      <c r="C1928" s="5" t="s">
        <v>84</v>
      </c>
      <c r="D1928" s="3" t="s">
        <v>29</v>
      </c>
      <c r="E1928" s="100" t="str">
        <f>IFERROR(VLOOKUP(C1928,Resources!B:D,3,FALSE)," ")</f>
        <v>M</v>
      </c>
      <c r="F1928" s="8">
        <v>1</v>
      </c>
      <c r="G1928" s="8">
        <v>1</v>
      </c>
      <c r="H1928" s="8">
        <f>H1917/0.9</f>
        <v>7.4666666666666659</v>
      </c>
      <c r="I1928" s="109">
        <f>IFERROR(VLOOKUP(C1928,Resources!B:G,6,FALSE)," ")</f>
        <v>0.8</v>
      </c>
      <c r="J1928" s="109">
        <f t="shared" ref="J1928:J1929" si="2841">(H1928/(G1928/F1928))*I1928</f>
        <v>5.9733333333333327</v>
      </c>
      <c r="K1928" s="8"/>
      <c r="L1928" s="8" t="str">
        <f t="shared" ref="L1928" si="2842">IF(E1928="M"," ",H1928/G1928)</f>
        <v xml:space="preserve"> </v>
      </c>
      <c r="M1928" s="109">
        <f t="shared" ref="M1928:M1929" si="2843">IF($E1928="L",$J1928,0)</f>
        <v>0</v>
      </c>
      <c r="N1928" s="109">
        <f t="shared" ref="N1928:N1929" si="2844">IF($E1928="M",$J1928,0)</f>
        <v>5.9733333333333327</v>
      </c>
      <c r="O1928" s="109">
        <f t="shared" ref="O1928:O1929" si="2845">IF($E1928="P",$J1928,0)</f>
        <v>0</v>
      </c>
      <c r="P1928" s="109">
        <f t="shared" ref="P1928:P1929" si="2846">IF($E1928="S",$J1928,0)</f>
        <v>0</v>
      </c>
      <c r="Q1928" s="109">
        <f t="shared" ref="Q1928:Q1929" si="2847">SUM(M1928:P1928)</f>
        <v>5.9733333333333327</v>
      </c>
      <c r="R1928" s="121" t="s">
        <v>2343</v>
      </c>
      <c r="T1928" s="188"/>
    </row>
    <row r="1929" spans="1:22" x14ac:dyDescent="0.25">
      <c r="A1929" s="100"/>
      <c r="B1929" s="3">
        <v>12</v>
      </c>
      <c r="C1929" s="5" t="s">
        <v>193</v>
      </c>
      <c r="D1929" s="3" t="s">
        <v>83</v>
      </c>
      <c r="E1929" s="100" t="str">
        <f>IFERROR(VLOOKUP(C1929,Resources!B:D,3,FALSE)," ")</f>
        <v>S</v>
      </c>
      <c r="F1929" s="8">
        <v>1</v>
      </c>
      <c r="G1929" s="8">
        <v>1</v>
      </c>
      <c r="H1929" s="8">
        <f>H1917</f>
        <v>6.72</v>
      </c>
      <c r="I1929" s="109">
        <f>IFERROR(VLOOKUP(C1929,Resources!B:G,6,FALSE)," ")</f>
        <v>32</v>
      </c>
      <c r="J1929" s="109">
        <f t="shared" si="2841"/>
        <v>215.04</v>
      </c>
      <c r="K1929" s="8"/>
      <c r="L1929" s="8">
        <f>H1917/25</f>
        <v>0.26879999999999998</v>
      </c>
      <c r="M1929" s="109">
        <f t="shared" si="2843"/>
        <v>0</v>
      </c>
      <c r="N1929" s="109">
        <f t="shared" si="2844"/>
        <v>0</v>
      </c>
      <c r="O1929" s="109">
        <f t="shared" si="2845"/>
        <v>0</v>
      </c>
      <c r="P1929" s="109">
        <f t="shared" si="2846"/>
        <v>215.04</v>
      </c>
      <c r="Q1929" s="109">
        <f t="shared" si="2847"/>
        <v>215.04</v>
      </c>
      <c r="R1929" s="121">
        <v>73</v>
      </c>
      <c r="T1929" s="188"/>
    </row>
    <row r="1930" spans="1:22" x14ac:dyDescent="0.25">
      <c r="A1930" s="100"/>
      <c r="B1930" s="3"/>
      <c r="C1930" s="5"/>
      <c r="D1930" s="3"/>
      <c r="E1930" s="100"/>
      <c r="F1930" s="8"/>
      <c r="G1930" s="8"/>
      <c r="H1930" s="8"/>
      <c r="I1930" s="109"/>
      <c r="J1930" s="109"/>
      <c r="K1930" s="8"/>
      <c r="L1930" s="8"/>
      <c r="M1930" s="109"/>
      <c r="N1930" s="109"/>
      <c r="O1930" s="109"/>
      <c r="P1930" s="109"/>
      <c r="Q1930" s="109"/>
      <c r="R1930" s="121"/>
      <c r="T1930" s="188"/>
    </row>
    <row r="1931" spans="1:22" s="10" customFormat="1" x14ac:dyDescent="0.25">
      <c r="A1931" s="126" t="s">
        <v>2588</v>
      </c>
      <c r="B1931" s="127">
        <v>1</v>
      </c>
      <c r="C1931" s="128" t="s">
        <v>2592</v>
      </c>
      <c r="D1931" s="127"/>
      <c r="E1931" s="126"/>
      <c r="F1931" s="129"/>
      <c r="G1931" s="129"/>
      <c r="H1931" s="103">
        <f>VLOOKUP($A1931,'Model Inputs'!$A:$D,4,FALSE)</f>
        <v>2</v>
      </c>
      <c r="I1931" s="130"/>
      <c r="J1931" s="130"/>
      <c r="K1931" s="129"/>
      <c r="L1931" s="129"/>
      <c r="M1931" s="130"/>
      <c r="N1931" s="130"/>
      <c r="O1931" s="130"/>
      <c r="P1931" s="130"/>
      <c r="Q1931" s="130"/>
      <c r="R1931" s="131"/>
      <c r="T1931" s="188"/>
      <c r="U1931"/>
      <c r="V1931"/>
    </row>
    <row r="1932" spans="1:22" x14ac:dyDescent="0.25">
      <c r="A1932" s="100"/>
      <c r="B1932" s="3">
        <v>1</v>
      </c>
      <c r="C1932" s="5" t="s">
        <v>115</v>
      </c>
      <c r="D1932" s="3" t="s">
        <v>33</v>
      </c>
      <c r="E1932" s="100" t="str">
        <f>IFERROR(VLOOKUP(C1932,Resources!B:D,3,FALSE)," ")</f>
        <v>P</v>
      </c>
      <c r="F1932" s="8">
        <v>1</v>
      </c>
      <c r="G1932" s="8">
        <v>2</v>
      </c>
      <c r="H1932" s="8">
        <f>H1931</f>
        <v>2</v>
      </c>
      <c r="I1932" s="109">
        <f>IFERROR(VLOOKUP(C1932,Resources!B:G,6,FALSE)," ")</f>
        <v>100</v>
      </c>
      <c r="J1932" s="109">
        <f t="shared" si="2824"/>
        <v>100</v>
      </c>
      <c r="K1932" s="8"/>
      <c r="L1932" s="8">
        <f>H1932/G1932</f>
        <v>1</v>
      </c>
      <c r="M1932" s="109">
        <f t="shared" si="2819"/>
        <v>0</v>
      </c>
      <c r="N1932" s="109">
        <f t="shared" si="2820"/>
        <v>0</v>
      </c>
      <c r="O1932" s="109">
        <f t="shared" si="2821"/>
        <v>100</v>
      </c>
      <c r="P1932" s="109">
        <f t="shared" si="2822"/>
        <v>0</v>
      </c>
      <c r="Q1932" s="109">
        <f t="shared" si="2825"/>
        <v>100</v>
      </c>
      <c r="R1932" s="121">
        <v>41</v>
      </c>
      <c r="T1932" s="188"/>
    </row>
    <row r="1933" spans="1:22" x14ac:dyDescent="0.25">
      <c r="A1933" s="100"/>
      <c r="B1933" s="3">
        <v>1</v>
      </c>
      <c r="C1933" s="5" t="s">
        <v>173</v>
      </c>
      <c r="D1933" s="3" t="s">
        <v>33</v>
      </c>
      <c r="E1933" s="100" t="s">
        <v>2020</v>
      </c>
      <c r="F1933" s="8">
        <v>1</v>
      </c>
      <c r="G1933" s="8">
        <v>2</v>
      </c>
      <c r="H1933" s="8">
        <f>H1931</f>
        <v>2</v>
      </c>
      <c r="I1933" s="109">
        <f>IFERROR(VLOOKUP(C1933,Resources!B:G,6,FALSE)," ")</f>
        <v>95</v>
      </c>
      <c r="J1933" s="109">
        <f t="shared" si="2824"/>
        <v>95</v>
      </c>
      <c r="K1933" s="8"/>
      <c r="L1933" s="8">
        <f t="shared" ref="L1933:L1934" si="2848">H1933/G1933</f>
        <v>1</v>
      </c>
      <c r="M1933" s="109">
        <f t="shared" si="2819"/>
        <v>0</v>
      </c>
      <c r="N1933" s="109">
        <f t="shared" si="2820"/>
        <v>95</v>
      </c>
      <c r="O1933" s="109">
        <f t="shared" si="2821"/>
        <v>0</v>
      </c>
      <c r="P1933" s="109">
        <f t="shared" si="2822"/>
        <v>0</v>
      </c>
      <c r="Q1933" s="109">
        <f t="shared" si="2825"/>
        <v>95</v>
      </c>
      <c r="R1933" s="121">
        <v>41</v>
      </c>
      <c r="T1933" s="188"/>
    </row>
    <row r="1934" spans="1:22" ht="15.95" customHeight="1" x14ac:dyDescent="0.25">
      <c r="A1934" s="100"/>
      <c r="B1934" s="3">
        <v>1</v>
      </c>
      <c r="C1934" s="5" t="s">
        <v>8</v>
      </c>
      <c r="D1934" s="3" t="s">
        <v>33</v>
      </c>
      <c r="E1934" s="100" t="str">
        <f>IFERROR(VLOOKUP(C1934,Resources!B:D,3,FALSE)," ")</f>
        <v>L</v>
      </c>
      <c r="F1934" s="8">
        <v>2</v>
      </c>
      <c r="G1934" s="8">
        <v>1</v>
      </c>
      <c r="H1934" s="8">
        <f>H1931</f>
        <v>2</v>
      </c>
      <c r="I1934" s="109">
        <f>IFERROR(VLOOKUP(C1934,Resources!B:G,6,FALSE)," ")</f>
        <v>42</v>
      </c>
      <c r="J1934" s="109">
        <f t="shared" si="2824"/>
        <v>168</v>
      </c>
      <c r="K1934" s="8"/>
      <c r="L1934" s="8">
        <f t="shared" si="2848"/>
        <v>2</v>
      </c>
      <c r="M1934" s="109">
        <f t="shared" si="2819"/>
        <v>168</v>
      </c>
      <c r="N1934" s="109">
        <f t="shared" si="2820"/>
        <v>0</v>
      </c>
      <c r="O1934" s="109">
        <f t="shared" si="2821"/>
        <v>0</v>
      </c>
      <c r="P1934" s="109">
        <f t="shared" si="2822"/>
        <v>0</v>
      </c>
      <c r="Q1934" s="109">
        <f t="shared" si="2825"/>
        <v>168</v>
      </c>
      <c r="R1934" s="121">
        <v>41</v>
      </c>
      <c r="T1934" s="188"/>
    </row>
    <row r="1935" spans="1:22" ht="15.95" customHeight="1" x14ac:dyDescent="0.25">
      <c r="A1935" s="100"/>
      <c r="B1935" s="3"/>
      <c r="C1935" s="5"/>
      <c r="D1935" s="3"/>
      <c r="E1935" s="100"/>
      <c r="F1935" s="8"/>
      <c r="G1935" s="8"/>
      <c r="H1935" s="8"/>
      <c r="I1935" s="109"/>
      <c r="J1935" s="109"/>
      <c r="K1935" s="8"/>
      <c r="L1935" s="8"/>
      <c r="M1935" s="109"/>
      <c r="N1935" s="109"/>
      <c r="O1935" s="109"/>
      <c r="P1935" s="109"/>
      <c r="Q1935" s="109"/>
      <c r="R1935" s="121"/>
      <c r="T1935" s="188"/>
    </row>
    <row r="1936" spans="1:22" s="10" customFormat="1" x14ac:dyDescent="0.25">
      <c r="A1936" s="126" t="s">
        <v>2589</v>
      </c>
      <c r="B1936" s="127">
        <v>1</v>
      </c>
      <c r="C1936" s="128" t="s">
        <v>2482</v>
      </c>
      <c r="D1936" s="127" t="s">
        <v>2593</v>
      </c>
      <c r="E1936" s="126"/>
      <c r="F1936" s="129"/>
      <c r="G1936" s="129"/>
      <c r="H1936" s="103">
        <f>VLOOKUP($A1936,'Model Inputs'!$A:$D,4,FALSE)</f>
        <v>50.61</v>
      </c>
      <c r="I1936" s="130"/>
      <c r="J1936" s="130"/>
      <c r="K1936" s="129"/>
      <c r="L1936" s="129"/>
      <c r="M1936" s="130"/>
      <c r="N1936" s="130"/>
      <c r="O1936" s="130"/>
      <c r="P1936" s="130"/>
      <c r="Q1936" s="130"/>
      <c r="R1936" s="131"/>
      <c r="T1936" s="188"/>
      <c r="U1936"/>
      <c r="V1936"/>
    </row>
    <row r="1937" spans="1:22" x14ac:dyDescent="0.25">
      <c r="A1937" s="101"/>
      <c r="B1937" s="4">
        <v>1</v>
      </c>
      <c r="C1937" s="6" t="s">
        <v>187</v>
      </c>
      <c r="D1937" s="4"/>
      <c r="E1937" s="101" t="str">
        <f>IFERROR(VLOOKUP(C1937,Resources!B:D,3,FALSE)," ")</f>
        <v xml:space="preserve"> </v>
      </c>
      <c r="F1937" s="9"/>
      <c r="G1937" s="9"/>
      <c r="H1937" s="9"/>
      <c r="I1937" s="38" t="str">
        <f>IFERROR(VLOOKUP(C1937,Resources!B:G,6,FALSE)," ")</f>
        <v xml:space="preserve"> </v>
      </c>
      <c r="J1937" s="38"/>
      <c r="K1937" s="9"/>
      <c r="L1937" s="9"/>
      <c r="M1937" s="38"/>
      <c r="N1937" s="38"/>
      <c r="O1937" s="38"/>
      <c r="P1937" s="38"/>
      <c r="Q1937" s="38"/>
      <c r="R1937" s="122"/>
      <c r="T1937" s="188"/>
    </row>
    <row r="1938" spans="1:22" x14ac:dyDescent="0.25">
      <c r="A1938" s="100"/>
      <c r="B1938" s="3">
        <v>2</v>
      </c>
      <c r="C1938" s="5" t="s">
        <v>188</v>
      </c>
      <c r="D1938" s="3" t="s">
        <v>86</v>
      </c>
      <c r="E1938" s="100" t="str">
        <f>IFERROR(VLOOKUP(C1938,Resources!B:D,3,FALSE)," ")</f>
        <v>M</v>
      </c>
      <c r="F1938" s="8">
        <v>1</v>
      </c>
      <c r="G1938" s="8">
        <v>1</v>
      </c>
      <c r="H1938" s="8">
        <f>H1936*0.1*1.1</f>
        <v>5.5671000000000008</v>
      </c>
      <c r="I1938" s="109">
        <f>IFERROR(VLOOKUP(C1938,Resources!B:G,6,FALSE)," ")</f>
        <v>170</v>
      </c>
      <c r="J1938" s="109">
        <f t="shared" ref="J1938:J1941" si="2849">(H1938/(G1938/F1938))*I1938</f>
        <v>946.40700000000015</v>
      </c>
      <c r="K1938" s="8"/>
      <c r="L1938" s="8" t="str">
        <f t="shared" ref="L1938:L1941" si="2850">IF(E1938="M"," ",H1938/G1938)</f>
        <v xml:space="preserve"> </v>
      </c>
      <c r="M1938" s="109">
        <f t="shared" ref="M1938:M1941" si="2851">IF($E1938="L",$J1938,0)</f>
        <v>0</v>
      </c>
      <c r="N1938" s="109">
        <f t="shared" ref="N1938:N1941" si="2852">IF($E1938="M",$J1938,0)</f>
        <v>946.40700000000015</v>
      </c>
      <c r="O1938" s="109">
        <f t="shared" ref="O1938:O1941" si="2853">IF($E1938="P",$J1938,0)</f>
        <v>0</v>
      </c>
      <c r="P1938" s="109">
        <f t="shared" ref="P1938:P1941" si="2854">IF($E1938="S",$J1938,0)</f>
        <v>0</v>
      </c>
      <c r="Q1938" s="109">
        <f t="shared" ref="Q1938:Q1941" si="2855">SUM(M1938:P1938)</f>
        <v>946.40700000000015</v>
      </c>
      <c r="R1938" s="121" t="s">
        <v>2334</v>
      </c>
      <c r="T1938" s="188"/>
    </row>
    <row r="1939" spans="1:22" x14ac:dyDescent="0.25">
      <c r="A1939" s="100"/>
      <c r="B1939" s="3">
        <v>3</v>
      </c>
      <c r="C1939" s="5" t="s">
        <v>81</v>
      </c>
      <c r="D1939" s="3" t="s">
        <v>82</v>
      </c>
      <c r="E1939" s="100" t="str">
        <f>IFERROR(VLOOKUP(C1939,Resources!B:D,3,FALSE)," ")</f>
        <v>M</v>
      </c>
      <c r="F1939" s="8">
        <v>1</v>
      </c>
      <c r="G1939" s="8">
        <v>1</v>
      </c>
      <c r="H1939" s="8">
        <f>H1936*0.1*1.5</f>
        <v>7.5914999999999999</v>
      </c>
      <c r="I1939" s="109">
        <f>IFERROR(VLOOKUP(C1939,Resources!B:G,6,FALSE)," ")</f>
        <v>24</v>
      </c>
      <c r="J1939" s="109">
        <f t="shared" si="2849"/>
        <v>182.196</v>
      </c>
      <c r="K1939" s="8"/>
      <c r="L1939" s="8" t="str">
        <f t="shared" si="2850"/>
        <v xml:space="preserve"> </v>
      </c>
      <c r="M1939" s="109">
        <f t="shared" si="2851"/>
        <v>0</v>
      </c>
      <c r="N1939" s="109">
        <f t="shared" si="2852"/>
        <v>182.196</v>
      </c>
      <c r="O1939" s="109">
        <f t="shared" si="2853"/>
        <v>0</v>
      </c>
      <c r="P1939" s="109">
        <f t="shared" si="2854"/>
        <v>0</v>
      </c>
      <c r="Q1939" s="109">
        <f t="shared" si="2855"/>
        <v>182.196</v>
      </c>
      <c r="R1939" s="121" t="s">
        <v>2341</v>
      </c>
      <c r="T1939" s="188"/>
    </row>
    <row r="1940" spans="1:22" x14ac:dyDescent="0.25">
      <c r="A1940" s="100"/>
      <c r="B1940" s="3">
        <v>4</v>
      </c>
      <c r="C1940" s="5" t="s">
        <v>189</v>
      </c>
      <c r="D1940" s="3" t="s">
        <v>83</v>
      </c>
      <c r="E1940" s="100" t="str">
        <f>IFERROR(VLOOKUP(C1940,Resources!B:D,3,FALSE)," ")</f>
        <v>M</v>
      </c>
      <c r="F1940" s="8">
        <v>1</v>
      </c>
      <c r="G1940" s="8">
        <v>1</v>
      </c>
      <c r="H1940" s="8">
        <f>H1936*1.2</f>
        <v>60.731999999999999</v>
      </c>
      <c r="I1940" s="109">
        <f>IFERROR(VLOOKUP(C1940,Resources!B:G,6,FALSE)," ")</f>
        <v>9.1</v>
      </c>
      <c r="J1940" s="109">
        <f t="shared" si="2849"/>
        <v>552.66120000000001</v>
      </c>
      <c r="K1940" s="8"/>
      <c r="L1940" s="8" t="str">
        <f t="shared" si="2850"/>
        <v xml:space="preserve"> </v>
      </c>
      <c r="M1940" s="109">
        <f t="shared" si="2851"/>
        <v>0</v>
      </c>
      <c r="N1940" s="109">
        <f t="shared" si="2852"/>
        <v>552.66120000000001</v>
      </c>
      <c r="O1940" s="109">
        <f t="shared" si="2853"/>
        <v>0</v>
      </c>
      <c r="P1940" s="109">
        <f t="shared" si="2854"/>
        <v>0</v>
      </c>
      <c r="Q1940" s="109">
        <f t="shared" si="2855"/>
        <v>552.66120000000001</v>
      </c>
      <c r="R1940" s="121" t="s">
        <v>2343</v>
      </c>
      <c r="T1940" s="188"/>
    </row>
    <row r="1941" spans="1:22" x14ac:dyDescent="0.25">
      <c r="A1941" s="100"/>
      <c r="B1941" s="3">
        <v>5</v>
      </c>
      <c r="C1941" s="5" t="s">
        <v>190</v>
      </c>
      <c r="D1941" s="3" t="s">
        <v>89</v>
      </c>
      <c r="E1941" s="100" t="str">
        <f>IFERROR(VLOOKUP(C1941,Resources!B:D,3,FALSE)," ")</f>
        <v>M</v>
      </c>
      <c r="F1941" s="8">
        <v>1</v>
      </c>
      <c r="G1941" s="8">
        <v>1</v>
      </c>
      <c r="H1941" s="8">
        <f>H1936*1.2/1.5</f>
        <v>40.488</v>
      </c>
      <c r="I1941" s="109">
        <f>IFERROR(VLOOKUP(C1941,Resources!B:G,6,FALSE)," ")</f>
        <v>3</v>
      </c>
      <c r="J1941" s="109">
        <f t="shared" si="2849"/>
        <v>121.464</v>
      </c>
      <c r="K1941" s="8"/>
      <c r="L1941" s="8" t="str">
        <f t="shared" si="2850"/>
        <v xml:space="preserve"> </v>
      </c>
      <c r="M1941" s="109">
        <f t="shared" si="2851"/>
        <v>0</v>
      </c>
      <c r="N1941" s="109">
        <f t="shared" si="2852"/>
        <v>121.464</v>
      </c>
      <c r="O1941" s="109">
        <f t="shared" si="2853"/>
        <v>0</v>
      </c>
      <c r="P1941" s="109">
        <f t="shared" si="2854"/>
        <v>0</v>
      </c>
      <c r="Q1941" s="109">
        <f t="shared" si="2855"/>
        <v>121.464</v>
      </c>
      <c r="R1941" s="121" t="s">
        <v>2343</v>
      </c>
      <c r="T1941" s="188"/>
    </row>
    <row r="1942" spans="1:22" x14ac:dyDescent="0.25">
      <c r="A1942" s="101"/>
      <c r="B1942" s="4">
        <v>6</v>
      </c>
      <c r="C1942" s="6" t="s">
        <v>191</v>
      </c>
      <c r="D1942" s="4"/>
      <c r="E1942" s="101" t="str">
        <f>IFERROR(VLOOKUP(C1942,Resources!B:D,3,FALSE)," ")</f>
        <v xml:space="preserve"> </v>
      </c>
      <c r="F1942" s="9"/>
      <c r="G1942" s="9"/>
      <c r="H1942" s="9"/>
      <c r="I1942" s="38" t="str">
        <f>IFERROR(VLOOKUP(C1942,Resources!B:G,6,FALSE)," ")</f>
        <v xml:space="preserve"> </v>
      </c>
      <c r="J1942" s="38"/>
      <c r="K1942" s="9"/>
      <c r="L1942" s="9"/>
      <c r="M1942" s="38"/>
      <c r="N1942" s="38"/>
      <c r="O1942" s="38"/>
      <c r="P1942" s="38"/>
      <c r="Q1942" s="38"/>
      <c r="R1942" s="122"/>
      <c r="T1942" s="188"/>
    </row>
    <row r="1943" spans="1:22" x14ac:dyDescent="0.25">
      <c r="A1943" s="100" t="s">
        <v>2590</v>
      </c>
      <c r="B1943" s="3">
        <v>7</v>
      </c>
      <c r="C1943" s="5" t="s">
        <v>63</v>
      </c>
      <c r="D1943" s="3" t="s">
        <v>48</v>
      </c>
      <c r="E1943" s="100" t="str">
        <f>IFERROR(VLOOKUP(C1943,Resources!B:D,3,FALSE)," ")</f>
        <v>P</v>
      </c>
      <c r="F1943" s="8">
        <v>1</v>
      </c>
      <c r="G1943" s="103">
        <f>VLOOKUP($A1943,'Model Inputs'!$A:$D,4,FALSE)</f>
        <v>10</v>
      </c>
      <c r="H1943" s="8">
        <f>H1936*0.1</f>
        <v>5.0609999999999999</v>
      </c>
      <c r="I1943" s="109">
        <f>IFERROR(VLOOKUP(C1943,Resources!B:G,6,FALSE)," ")</f>
        <v>135</v>
      </c>
      <c r="J1943" s="109">
        <f t="shared" ref="J1943:J1945" si="2856">(H1943/(G1943/F1943))*I1943</f>
        <v>68.323499999999996</v>
      </c>
      <c r="K1943" s="8">
        <f t="shared" ref="K1943:K1945" si="2857">L1943*F1943</f>
        <v>0.50609999999999999</v>
      </c>
      <c r="L1943" s="8">
        <f t="shared" ref="L1943:L1945" si="2858">IF(E1943="M"," ",H1943/G1943)</f>
        <v>0.50609999999999999</v>
      </c>
      <c r="M1943" s="109">
        <f t="shared" ref="M1943:M1945" si="2859">IF($E1943="L",$J1943,0)</f>
        <v>0</v>
      </c>
      <c r="N1943" s="109">
        <f t="shared" ref="N1943:N1945" si="2860">IF($E1943="M",$J1943,0)</f>
        <v>0</v>
      </c>
      <c r="O1943" s="109">
        <f t="shared" ref="O1943:O1945" si="2861">IF($E1943="P",$J1943,0)</f>
        <v>68.323499999999996</v>
      </c>
      <c r="P1943" s="109">
        <f t="shared" ref="P1943:P1945" si="2862">IF($E1943="S",$J1943,0)</f>
        <v>0</v>
      </c>
      <c r="Q1943" s="109">
        <f t="shared" ref="Q1943:Q1945" si="2863">SUM(M1943:P1943)</f>
        <v>68.323499999999996</v>
      </c>
      <c r="R1943" s="121">
        <v>73</v>
      </c>
      <c r="T1943" s="188"/>
    </row>
    <row r="1944" spans="1:22" x14ac:dyDescent="0.25">
      <c r="A1944" s="100"/>
      <c r="B1944" s="3">
        <v>8</v>
      </c>
      <c r="C1944" s="5" t="s">
        <v>173</v>
      </c>
      <c r="D1944" s="3" t="s">
        <v>48</v>
      </c>
      <c r="E1944" s="100" t="str">
        <f>IFERROR(VLOOKUP(C1944,Resources!B:D,3,FALSE)," ")</f>
        <v>P</v>
      </c>
      <c r="F1944" s="8">
        <v>1</v>
      </c>
      <c r="G1944" s="8">
        <f>G1943</f>
        <v>10</v>
      </c>
      <c r="H1944" s="8">
        <f>H1943</f>
        <v>5.0609999999999999</v>
      </c>
      <c r="I1944" s="109">
        <f>IFERROR(VLOOKUP(C1944,Resources!B:G,6,FALSE)," ")</f>
        <v>95</v>
      </c>
      <c r="J1944" s="109">
        <f t="shared" si="2856"/>
        <v>48.079499999999996</v>
      </c>
      <c r="K1944" s="8">
        <f t="shared" si="2857"/>
        <v>0.50609999999999999</v>
      </c>
      <c r="L1944" s="8">
        <f t="shared" si="2858"/>
        <v>0.50609999999999999</v>
      </c>
      <c r="M1944" s="109">
        <f t="shared" si="2859"/>
        <v>0</v>
      </c>
      <c r="N1944" s="109">
        <f t="shared" si="2860"/>
        <v>0</v>
      </c>
      <c r="O1944" s="109">
        <f t="shared" si="2861"/>
        <v>48.079499999999996</v>
      </c>
      <c r="P1944" s="109">
        <f t="shared" si="2862"/>
        <v>0</v>
      </c>
      <c r="Q1944" s="109">
        <f t="shared" si="2863"/>
        <v>48.079499999999996</v>
      </c>
      <c r="R1944" s="121">
        <v>73</v>
      </c>
      <c r="T1944" s="188"/>
    </row>
    <row r="1945" spans="1:22" x14ac:dyDescent="0.25">
      <c r="A1945" s="100"/>
      <c r="B1945" s="3">
        <v>9</v>
      </c>
      <c r="C1945" s="5" t="s">
        <v>8</v>
      </c>
      <c r="D1945" s="3" t="s">
        <v>48</v>
      </c>
      <c r="E1945" s="100" t="str">
        <f>IFERROR(VLOOKUP(C1945,Resources!B:D,3,FALSE)," ")</f>
        <v>L</v>
      </c>
      <c r="F1945" s="8">
        <v>1</v>
      </c>
      <c r="G1945" s="8">
        <f>G1943</f>
        <v>10</v>
      </c>
      <c r="H1945" s="8">
        <f>H1943</f>
        <v>5.0609999999999999</v>
      </c>
      <c r="I1945" s="109">
        <f>IFERROR(VLOOKUP(C1945,Resources!B:G,6,FALSE)," ")</f>
        <v>42</v>
      </c>
      <c r="J1945" s="109">
        <f t="shared" si="2856"/>
        <v>21.2562</v>
      </c>
      <c r="K1945" s="8">
        <f t="shared" si="2857"/>
        <v>0.50609999999999999</v>
      </c>
      <c r="L1945" s="8">
        <f t="shared" si="2858"/>
        <v>0.50609999999999999</v>
      </c>
      <c r="M1945" s="109">
        <f t="shared" si="2859"/>
        <v>21.2562</v>
      </c>
      <c r="N1945" s="109">
        <f t="shared" si="2860"/>
        <v>0</v>
      </c>
      <c r="O1945" s="109">
        <f t="shared" si="2861"/>
        <v>0</v>
      </c>
      <c r="P1945" s="109">
        <f t="shared" si="2862"/>
        <v>0</v>
      </c>
      <c r="Q1945" s="109">
        <f t="shared" si="2863"/>
        <v>21.2562</v>
      </c>
      <c r="R1945" s="121">
        <v>73</v>
      </c>
      <c r="T1945" s="188"/>
    </row>
    <row r="1946" spans="1:22" x14ac:dyDescent="0.25">
      <c r="A1946" s="101"/>
      <c r="B1946" s="4">
        <v>10</v>
      </c>
      <c r="C1946" s="6" t="s">
        <v>192</v>
      </c>
      <c r="D1946" s="4"/>
      <c r="E1946" s="101" t="str">
        <f>IFERROR(VLOOKUP(C1946,Resources!B:D,3,FALSE)," ")</f>
        <v xml:space="preserve"> </v>
      </c>
      <c r="F1946" s="9"/>
      <c r="G1946" s="9"/>
      <c r="H1946" s="9"/>
      <c r="I1946" s="38" t="str">
        <f>IFERROR(VLOOKUP(C1946,Resources!B:G,6,FALSE)," ")</f>
        <v xml:space="preserve"> </v>
      </c>
      <c r="J1946" s="38"/>
      <c r="K1946" s="9"/>
      <c r="L1946" s="9"/>
      <c r="M1946" s="38"/>
      <c r="N1946" s="38"/>
      <c r="O1946" s="38"/>
      <c r="P1946" s="38"/>
      <c r="Q1946" s="38"/>
      <c r="R1946" s="122"/>
      <c r="T1946" s="188"/>
    </row>
    <row r="1947" spans="1:22" x14ac:dyDescent="0.25">
      <c r="A1947" s="100"/>
      <c r="B1947" s="3">
        <v>11</v>
      </c>
      <c r="C1947" s="5" t="s">
        <v>84</v>
      </c>
      <c r="D1947" s="3" t="s">
        <v>29</v>
      </c>
      <c r="E1947" s="100" t="str">
        <f>IFERROR(VLOOKUP(C1947,Resources!B:D,3,FALSE)," ")</f>
        <v>M</v>
      </c>
      <c r="F1947" s="8">
        <v>1</v>
      </c>
      <c r="G1947" s="8">
        <v>1</v>
      </c>
      <c r="H1947" s="8">
        <f>H1936/0.9</f>
        <v>56.233333333333334</v>
      </c>
      <c r="I1947" s="109">
        <f>IFERROR(VLOOKUP(C1947,Resources!B:G,6,FALSE)," ")</f>
        <v>0.8</v>
      </c>
      <c r="J1947" s="109">
        <f t="shared" ref="J1947:J1948" si="2864">(H1947/(G1947/F1947))*I1947</f>
        <v>44.986666666666672</v>
      </c>
      <c r="K1947" s="8"/>
      <c r="L1947" s="8" t="str">
        <f t="shared" ref="L1947" si="2865">IF(E1947="M"," ",H1947/G1947)</f>
        <v xml:space="preserve"> </v>
      </c>
      <c r="M1947" s="109">
        <f t="shared" ref="M1947:M1948" si="2866">IF($E1947="L",$J1947,0)</f>
        <v>0</v>
      </c>
      <c r="N1947" s="109">
        <f t="shared" ref="N1947:N1948" si="2867">IF($E1947="M",$J1947,0)</f>
        <v>44.986666666666672</v>
      </c>
      <c r="O1947" s="109">
        <f t="shared" ref="O1947:O1948" si="2868">IF($E1947="P",$J1947,0)</f>
        <v>0</v>
      </c>
      <c r="P1947" s="109">
        <f t="shared" ref="P1947:P1948" si="2869">IF($E1947="S",$J1947,0)</f>
        <v>0</v>
      </c>
      <c r="Q1947" s="109">
        <f t="shared" ref="Q1947:Q1948" si="2870">SUM(M1947:P1947)</f>
        <v>44.986666666666672</v>
      </c>
      <c r="R1947" s="121" t="s">
        <v>2343</v>
      </c>
      <c r="T1947" s="188"/>
    </row>
    <row r="1948" spans="1:22" x14ac:dyDescent="0.25">
      <c r="A1948" s="100"/>
      <c r="B1948" s="3">
        <v>12</v>
      </c>
      <c r="C1948" s="5" t="s">
        <v>193</v>
      </c>
      <c r="D1948" s="3" t="s">
        <v>83</v>
      </c>
      <c r="E1948" s="100" t="str">
        <f>IFERROR(VLOOKUP(C1948,Resources!B:D,3,FALSE)," ")</f>
        <v>S</v>
      </c>
      <c r="F1948" s="8">
        <v>1</v>
      </c>
      <c r="G1948" s="8">
        <v>1</v>
      </c>
      <c r="H1948" s="8">
        <f>H1936</f>
        <v>50.61</v>
      </c>
      <c r="I1948" s="109">
        <f>IFERROR(VLOOKUP(C1948,Resources!B:G,6,FALSE)," ")</f>
        <v>32</v>
      </c>
      <c r="J1948" s="109">
        <f t="shared" si="2864"/>
        <v>1619.52</v>
      </c>
      <c r="K1948" s="8"/>
      <c r="L1948" s="8">
        <f>H1936/50</f>
        <v>1.0122</v>
      </c>
      <c r="M1948" s="109">
        <f t="shared" si="2866"/>
        <v>0</v>
      </c>
      <c r="N1948" s="109">
        <f t="shared" si="2867"/>
        <v>0</v>
      </c>
      <c r="O1948" s="109">
        <f t="shared" si="2868"/>
        <v>0</v>
      </c>
      <c r="P1948" s="109">
        <f t="shared" si="2869"/>
        <v>1619.52</v>
      </c>
      <c r="Q1948" s="109">
        <f t="shared" si="2870"/>
        <v>1619.52</v>
      </c>
      <c r="R1948" s="121">
        <v>73</v>
      </c>
      <c r="T1948" s="188"/>
    </row>
    <row r="1949" spans="1:22" x14ac:dyDescent="0.25">
      <c r="A1949" s="100"/>
      <c r="B1949" s="3"/>
      <c r="C1949" s="5"/>
      <c r="D1949" s="3"/>
      <c r="E1949" s="100"/>
      <c r="F1949" s="8"/>
      <c r="G1949" s="8"/>
      <c r="H1949" s="8"/>
      <c r="I1949" s="109"/>
      <c r="J1949" s="109"/>
      <c r="K1949" s="8"/>
      <c r="L1949" s="8"/>
      <c r="M1949" s="109"/>
      <c r="N1949" s="109"/>
      <c r="O1949" s="109"/>
      <c r="P1949" s="109"/>
      <c r="Q1949" s="109"/>
      <c r="R1949" s="121"/>
      <c r="T1949" s="188"/>
    </row>
    <row r="1950" spans="1:22" s="10" customFormat="1" x14ac:dyDescent="0.25">
      <c r="A1950" s="126" t="s">
        <v>2591</v>
      </c>
      <c r="B1950" s="127">
        <v>1</v>
      </c>
      <c r="C1950" s="128" t="s">
        <v>2483</v>
      </c>
      <c r="D1950" s="127" t="s">
        <v>2594</v>
      </c>
      <c r="E1950" s="126"/>
      <c r="F1950" s="129"/>
      <c r="G1950" s="129"/>
      <c r="H1950" s="103">
        <f>VLOOKUP($A1950,'Model Inputs'!$A:$D,4,FALSE)</f>
        <v>17</v>
      </c>
      <c r="I1950" s="130"/>
      <c r="J1950" s="130"/>
      <c r="K1950" s="129"/>
      <c r="L1950" s="129"/>
      <c r="M1950" s="130"/>
      <c r="N1950" s="130"/>
      <c r="O1950" s="130"/>
      <c r="P1950" s="130"/>
      <c r="Q1950" s="130"/>
      <c r="R1950" s="131"/>
      <c r="T1950" s="188"/>
      <c r="U1950"/>
      <c r="V1950"/>
    </row>
    <row r="1951" spans="1:22" x14ac:dyDescent="0.25">
      <c r="A1951" s="101"/>
      <c r="B1951" s="4">
        <v>1</v>
      </c>
      <c r="C1951" s="6" t="s">
        <v>187</v>
      </c>
      <c r="D1951" s="4"/>
      <c r="E1951" s="101" t="str">
        <f>IFERROR(VLOOKUP(C1951,Resources!B:D,3,FALSE)," ")</f>
        <v xml:space="preserve"> </v>
      </c>
      <c r="F1951" s="9"/>
      <c r="G1951" s="9"/>
      <c r="H1951" s="9"/>
      <c r="I1951" s="38" t="str">
        <f>IFERROR(VLOOKUP(C1951,Resources!B:G,6,FALSE)," ")</f>
        <v xml:space="preserve"> </v>
      </c>
      <c r="J1951" s="38"/>
      <c r="K1951" s="9"/>
      <c r="L1951" s="9"/>
      <c r="M1951" s="38"/>
      <c r="N1951" s="38"/>
      <c r="O1951" s="38"/>
      <c r="P1951" s="38"/>
      <c r="Q1951" s="38"/>
      <c r="R1951" s="122"/>
      <c r="T1951" s="188"/>
    </row>
    <row r="1952" spans="1:22" x14ac:dyDescent="0.25">
      <c r="A1952" s="100"/>
      <c r="B1952" s="3">
        <v>2</v>
      </c>
      <c r="C1952" s="5" t="s">
        <v>188</v>
      </c>
      <c r="D1952" s="3" t="s">
        <v>86</v>
      </c>
      <c r="E1952" s="100" t="str">
        <f>IFERROR(VLOOKUP(C1952,Resources!B:D,3,FALSE)," ")</f>
        <v>M</v>
      </c>
      <c r="F1952" s="8">
        <v>1</v>
      </c>
      <c r="G1952" s="8">
        <v>1</v>
      </c>
      <c r="H1952" s="8">
        <f>H1950*0.1*1.1</f>
        <v>1.8700000000000003</v>
      </c>
      <c r="I1952" s="109">
        <f>IFERROR(VLOOKUP(C1952,Resources!B:G,6,FALSE)," ")</f>
        <v>170</v>
      </c>
      <c r="J1952" s="109">
        <f t="shared" ref="J1952:J1955" si="2871">(H1952/(G1952/F1952))*I1952</f>
        <v>317.90000000000003</v>
      </c>
      <c r="K1952" s="8"/>
      <c r="L1952" s="8" t="str">
        <f t="shared" ref="L1952:L1955" si="2872">IF(E1952="M"," ",H1952/G1952)</f>
        <v xml:space="preserve"> </v>
      </c>
      <c r="M1952" s="109">
        <f t="shared" ref="M1952:M1955" si="2873">IF($E1952="L",$J1952,0)</f>
        <v>0</v>
      </c>
      <c r="N1952" s="109">
        <f t="shared" ref="N1952:N1955" si="2874">IF($E1952="M",$J1952,0)</f>
        <v>317.90000000000003</v>
      </c>
      <c r="O1952" s="109">
        <f t="shared" ref="O1952:O1955" si="2875">IF($E1952="P",$J1952,0)</f>
        <v>0</v>
      </c>
      <c r="P1952" s="109">
        <f t="shared" ref="P1952:P1955" si="2876">IF($E1952="S",$J1952,0)</f>
        <v>0</v>
      </c>
      <c r="Q1952" s="109">
        <f t="shared" ref="Q1952:Q1955" si="2877">SUM(M1952:P1952)</f>
        <v>317.90000000000003</v>
      </c>
      <c r="R1952" s="121" t="s">
        <v>2334</v>
      </c>
      <c r="T1952" s="188"/>
    </row>
    <row r="1953" spans="1:22" x14ac:dyDescent="0.25">
      <c r="A1953" s="100"/>
      <c r="B1953" s="3">
        <v>3</v>
      </c>
      <c r="C1953" s="5" t="s">
        <v>81</v>
      </c>
      <c r="D1953" s="3" t="s">
        <v>82</v>
      </c>
      <c r="E1953" s="100" t="str">
        <f>IFERROR(VLOOKUP(C1953,Resources!B:D,3,FALSE)," ")</f>
        <v>M</v>
      </c>
      <c r="F1953" s="8">
        <v>1</v>
      </c>
      <c r="G1953" s="8">
        <v>1</v>
      </c>
      <c r="H1953" s="8">
        <f>H1950*0.1*1.5</f>
        <v>2.5500000000000003</v>
      </c>
      <c r="I1953" s="109">
        <f>IFERROR(VLOOKUP(C1953,Resources!B:G,6,FALSE)," ")</f>
        <v>24</v>
      </c>
      <c r="J1953" s="109">
        <f t="shared" si="2871"/>
        <v>61.2</v>
      </c>
      <c r="K1953" s="8"/>
      <c r="L1953" s="8" t="str">
        <f t="shared" si="2872"/>
        <v xml:space="preserve"> </v>
      </c>
      <c r="M1953" s="109">
        <f t="shared" si="2873"/>
        <v>0</v>
      </c>
      <c r="N1953" s="109">
        <f t="shared" si="2874"/>
        <v>61.2</v>
      </c>
      <c r="O1953" s="109">
        <f t="shared" si="2875"/>
        <v>0</v>
      </c>
      <c r="P1953" s="109">
        <f t="shared" si="2876"/>
        <v>0</v>
      </c>
      <c r="Q1953" s="109">
        <f t="shared" si="2877"/>
        <v>61.2</v>
      </c>
      <c r="R1953" s="121" t="s">
        <v>2341</v>
      </c>
      <c r="T1953" s="188"/>
    </row>
    <row r="1954" spans="1:22" x14ac:dyDescent="0.25">
      <c r="A1954" s="100"/>
      <c r="B1954" s="3">
        <v>4</v>
      </c>
      <c r="C1954" s="5" t="s">
        <v>189</v>
      </c>
      <c r="D1954" s="3" t="s">
        <v>83</v>
      </c>
      <c r="E1954" s="100" t="str">
        <f>IFERROR(VLOOKUP(C1954,Resources!B:D,3,FALSE)," ")</f>
        <v>M</v>
      </c>
      <c r="F1954" s="8">
        <v>1</v>
      </c>
      <c r="G1954" s="8">
        <v>1</v>
      </c>
      <c r="H1954" s="8">
        <f>H1950*1.2</f>
        <v>20.399999999999999</v>
      </c>
      <c r="I1954" s="109">
        <f>IFERROR(VLOOKUP(C1954,Resources!B:G,6,FALSE)," ")</f>
        <v>9.1</v>
      </c>
      <c r="J1954" s="109">
        <f t="shared" si="2871"/>
        <v>185.64</v>
      </c>
      <c r="K1954" s="8"/>
      <c r="L1954" s="8" t="str">
        <f t="shared" si="2872"/>
        <v xml:space="preserve"> </v>
      </c>
      <c r="M1954" s="109">
        <f t="shared" si="2873"/>
        <v>0</v>
      </c>
      <c r="N1954" s="109">
        <f t="shared" si="2874"/>
        <v>185.64</v>
      </c>
      <c r="O1954" s="109">
        <f t="shared" si="2875"/>
        <v>0</v>
      </c>
      <c r="P1954" s="109">
        <f t="shared" si="2876"/>
        <v>0</v>
      </c>
      <c r="Q1954" s="109">
        <f t="shared" si="2877"/>
        <v>185.64</v>
      </c>
      <c r="R1954" s="121" t="s">
        <v>2343</v>
      </c>
      <c r="T1954" s="188"/>
    </row>
    <row r="1955" spans="1:22" x14ac:dyDescent="0.25">
      <c r="A1955" s="100"/>
      <c r="B1955" s="3">
        <v>5</v>
      </c>
      <c r="C1955" s="5" t="s">
        <v>190</v>
      </c>
      <c r="D1955" s="3" t="s">
        <v>89</v>
      </c>
      <c r="E1955" s="100" t="str">
        <f>IFERROR(VLOOKUP(C1955,Resources!B:D,3,FALSE)," ")</f>
        <v>M</v>
      </c>
      <c r="F1955" s="8">
        <v>1</v>
      </c>
      <c r="G1955" s="8">
        <v>1</v>
      </c>
      <c r="H1955" s="8">
        <f>H1950*1.2/1.5</f>
        <v>13.6</v>
      </c>
      <c r="I1955" s="109">
        <f>IFERROR(VLOOKUP(C1955,Resources!B:G,6,FALSE)," ")</f>
        <v>3</v>
      </c>
      <c r="J1955" s="109">
        <f t="shared" si="2871"/>
        <v>40.799999999999997</v>
      </c>
      <c r="K1955" s="8"/>
      <c r="L1955" s="8" t="str">
        <f t="shared" si="2872"/>
        <v xml:space="preserve"> </v>
      </c>
      <c r="M1955" s="109">
        <f t="shared" si="2873"/>
        <v>0</v>
      </c>
      <c r="N1955" s="109">
        <f t="shared" si="2874"/>
        <v>40.799999999999997</v>
      </c>
      <c r="O1955" s="109">
        <f t="shared" si="2875"/>
        <v>0</v>
      </c>
      <c r="P1955" s="109">
        <f t="shared" si="2876"/>
        <v>0</v>
      </c>
      <c r="Q1955" s="109">
        <f t="shared" si="2877"/>
        <v>40.799999999999997</v>
      </c>
      <c r="R1955" s="121" t="s">
        <v>2343</v>
      </c>
      <c r="T1955" s="188"/>
    </row>
    <row r="1956" spans="1:22" x14ac:dyDescent="0.25">
      <c r="A1956" s="101"/>
      <c r="B1956" s="4">
        <v>6</v>
      </c>
      <c r="C1956" s="6" t="s">
        <v>191</v>
      </c>
      <c r="D1956" s="4"/>
      <c r="E1956" s="101" t="str">
        <f>IFERROR(VLOOKUP(C1956,Resources!B:D,3,FALSE)," ")</f>
        <v xml:space="preserve"> </v>
      </c>
      <c r="F1956" s="9"/>
      <c r="G1956" s="9"/>
      <c r="H1956" s="9"/>
      <c r="I1956" s="38" t="str">
        <f>IFERROR(VLOOKUP(C1956,Resources!B:G,6,FALSE)," ")</f>
        <v xml:space="preserve"> </v>
      </c>
      <c r="J1956" s="38"/>
      <c r="K1956" s="9"/>
      <c r="L1956" s="9"/>
      <c r="M1956" s="38"/>
      <c r="N1956" s="38"/>
      <c r="O1956" s="38"/>
      <c r="P1956" s="38"/>
      <c r="Q1956" s="38"/>
      <c r="R1956" s="122"/>
      <c r="T1956" s="188"/>
    </row>
    <row r="1957" spans="1:22" x14ac:dyDescent="0.25">
      <c r="A1957" s="100" t="s">
        <v>2595</v>
      </c>
      <c r="B1957" s="3">
        <v>7</v>
      </c>
      <c r="C1957" s="5" t="s">
        <v>63</v>
      </c>
      <c r="D1957" s="3" t="s">
        <v>48</v>
      </c>
      <c r="E1957" s="100" t="str">
        <f>IFERROR(VLOOKUP(C1957,Resources!B:D,3,FALSE)," ")</f>
        <v>P</v>
      </c>
      <c r="F1957" s="8">
        <v>1</v>
      </c>
      <c r="G1957" s="103">
        <f>VLOOKUP($A1957,'Model Inputs'!$A:$D,4,FALSE)</f>
        <v>10</v>
      </c>
      <c r="H1957" s="8">
        <f>H1950*0.1</f>
        <v>1.7000000000000002</v>
      </c>
      <c r="I1957" s="109">
        <f>IFERROR(VLOOKUP(C1957,Resources!B:G,6,FALSE)," ")</f>
        <v>135</v>
      </c>
      <c r="J1957" s="109">
        <f t="shared" ref="J1957:J1959" si="2878">(H1957/(G1957/F1957))*I1957</f>
        <v>22.950000000000003</v>
      </c>
      <c r="K1957" s="8">
        <f t="shared" ref="K1957:K1959" si="2879">L1957*F1957</f>
        <v>0.17</v>
      </c>
      <c r="L1957" s="8">
        <f t="shared" ref="L1957:L1959" si="2880">IF(E1957="M"," ",H1957/G1957)</f>
        <v>0.17</v>
      </c>
      <c r="M1957" s="109">
        <f t="shared" ref="M1957:M1959" si="2881">IF($E1957="L",$J1957,0)</f>
        <v>0</v>
      </c>
      <c r="N1957" s="109">
        <f t="shared" ref="N1957:N1959" si="2882">IF($E1957="M",$J1957,0)</f>
        <v>0</v>
      </c>
      <c r="O1957" s="109">
        <f t="shared" ref="O1957:O1959" si="2883">IF($E1957="P",$J1957,0)</f>
        <v>22.950000000000003</v>
      </c>
      <c r="P1957" s="109">
        <f t="shared" ref="P1957:P1959" si="2884">IF($E1957="S",$J1957,0)</f>
        <v>0</v>
      </c>
      <c r="Q1957" s="109">
        <f t="shared" ref="Q1957:Q1959" si="2885">SUM(M1957:P1957)</f>
        <v>22.950000000000003</v>
      </c>
      <c r="R1957" s="121">
        <v>71</v>
      </c>
      <c r="T1957" s="188"/>
    </row>
    <row r="1958" spans="1:22" x14ac:dyDescent="0.25">
      <c r="A1958" s="100"/>
      <c r="B1958" s="3">
        <v>8</v>
      </c>
      <c r="C1958" s="5" t="s">
        <v>173</v>
      </c>
      <c r="D1958" s="3" t="s">
        <v>48</v>
      </c>
      <c r="E1958" s="100" t="str">
        <f>IFERROR(VLOOKUP(C1958,Resources!B:D,3,FALSE)," ")</f>
        <v>P</v>
      </c>
      <c r="F1958" s="8">
        <v>1</v>
      </c>
      <c r="G1958" s="8">
        <f>G1957</f>
        <v>10</v>
      </c>
      <c r="H1958" s="8">
        <f>H1957</f>
        <v>1.7000000000000002</v>
      </c>
      <c r="I1958" s="109">
        <f>IFERROR(VLOOKUP(C1958,Resources!B:G,6,FALSE)," ")</f>
        <v>95</v>
      </c>
      <c r="J1958" s="109">
        <f t="shared" si="2878"/>
        <v>16.150000000000002</v>
      </c>
      <c r="K1958" s="8">
        <f t="shared" si="2879"/>
        <v>0.17</v>
      </c>
      <c r="L1958" s="8">
        <f t="shared" si="2880"/>
        <v>0.17</v>
      </c>
      <c r="M1958" s="109">
        <f t="shared" si="2881"/>
        <v>0</v>
      </c>
      <c r="N1958" s="109">
        <f t="shared" si="2882"/>
        <v>0</v>
      </c>
      <c r="O1958" s="109">
        <f t="shared" si="2883"/>
        <v>16.150000000000002</v>
      </c>
      <c r="P1958" s="109">
        <f t="shared" si="2884"/>
        <v>0</v>
      </c>
      <c r="Q1958" s="109">
        <f t="shared" si="2885"/>
        <v>16.150000000000002</v>
      </c>
      <c r="R1958" s="121">
        <v>71</v>
      </c>
      <c r="T1958" s="188"/>
    </row>
    <row r="1959" spans="1:22" x14ac:dyDescent="0.25">
      <c r="A1959" s="100"/>
      <c r="B1959" s="3">
        <v>9</v>
      </c>
      <c r="C1959" s="5" t="s">
        <v>8</v>
      </c>
      <c r="D1959" s="3" t="s">
        <v>48</v>
      </c>
      <c r="E1959" s="100" t="str">
        <f>IFERROR(VLOOKUP(C1959,Resources!B:D,3,FALSE)," ")</f>
        <v>L</v>
      </c>
      <c r="F1959" s="8">
        <v>1</v>
      </c>
      <c r="G1959" s="8">
        <f>G1957</f>
        <v>10</v>
      </c>
      <c r="H1959" s="8">
        <f>H1957</f>
        <v>1.7000000000000002</v>
      </c>
      <c r="I1959" s="109">
        <f>IFERROR(VLOOKUP(C1959,Resources!B:G,6,FALSE)," ")</f>
        <v>42</v>
      </c>
      <c r="J1959" s="109">
        <f t="shared" si="2878"/>
        <v>7.1400000000000006</v>
      </c>
      <c r="K1959" s="8">
        <f t="shared" si="2879"/>
        <v>0.17</v>
      </c>
      <c r="L1959" s="8">
        <f t="shared" si="2880"/>
        <v>0.17</v>
      </c>
      <c r="M1959" s="109">
        <f t="shared" si="2881"/>
        <v>7.1400000000000006</v>
      </c>
      <c r="N1959" s="109">
        <f t="shared" si="2882"/>
        <v>0</v>
      </c>
      <c r="O1959" s="109">
        <f t="shared" si="2883"/>
        <v>0</v>
      </c>
      <c r="P1959" s="109">
        <f t="shared" si="2884"/>
        <v>0</v>
      </c>
      <c r="Q1959" s="109">
        <f t="shared" si="2885"/>
        <v>7.1400000000000006</v>
      </c>
      <c r="R1959" s="121">
        <v>41</v>
      </c>
      <c r="T1959" s="188"/>
    </row>
    <row r="1960" spans="1:22" x14ac:dyDescent="0.25">
      <c r="A1960" s="101"/>
      <c r="B1960" s="4">
        <v>10</v>
      </c>
      <c r="C1960" s="6" t="s">
        <v>192</v>
      </c>
      <c r="D1960" s="4"/>
      <c r="E1960" s="101" t="str">
        <f>IFERROR(VLOOKUP(C1960,Resources!B:D,3,FALSE)," ")</f>
        <v xml:space="preserve"> </v>
      </c>
      <c r="F1960" s="9"/>
      <c r="G1960" s="9"/>
      <c r="H1960" s="9"/>
      <c r="I1960" s="38" t="str">
        <f>IFERROR(VLOOKUP(C1960,Resources!B:G,6,FALSE)," ")</f>
        <v xml:space="preserve"> </v>
      </c>
      <c r="J1960" s="38"/>
      <c r="K1960" s="9"/>
      <c r="L1960" s="9"/>
      <c r="M1960" s="38"/>
      <c r="N1960" s="38"/>
      <c r="O1960" s="38"/>
      <c r="P1960" s="38"/>
      <c r="Q1960" s="38"/>
      <c r="R1960" s="122"/>
      <c r="T1960" s="188"/>
    </row>
    <row r="1961" spans="1:22" x14ac:dyDescent="0.25">
      <c r="A1961" s="100"/>
      <c r="B1961" s="3">
        <v>11</v>
      </c>
      <c r="C1961" s="5" t="s">
        <v>84</v>
      </c>
      <c r="D1961" s="3" t="s">
        <v>29</v>
      </c>
      <c r="E1961" s="100" t="str">
        <f>IFERROR(VLOOKUP(C1961,Resources!B:D,3,FALSE)," ")</f>
        <v>M</v>
      </c>
      <c r="F1961" s="8">
        <v>1</v>
      </c>
      <c r="G1961" s="8">
        <v>1</v>
      </c>
      <c r="H1961" s="8">
        <f>H1950/0.9</f>
        <v>18.888888888888889</v>
      </c>
      <c r="I1961" s="109">
        <f>IFERROR(VLOOKUP(C1961,Resources!B:G,6,FALSE)," ")</f>
        <v>0.8</v>
      </c>
      <c r="J1961" s="109">
        <f t="shared" ref="J1961:J1962" si="2886">(H1961/(G1961/F1961))*I1961</f>
        <v>15.111111111111112</v>
      </c>
      <c r="K1961" s="8"/>
      <c r="L1961" s="8" t="str">
        <f t="shared" ref="L1961" si="2887">IF(E1961="M"," ",H1961/G1961)</f>
        <v xml:space="preserve"> </v>
      </c>
      <c r="M1961" s="109">
        <f t="shared" ref="M1961:M1962" si="2888">IF($E1961="L",$J1961,0)</f>
        <v>0</v>
      </c>
      <c r="N1961" s="109">
        <f t="shared" ref="N1961:N1962" si="2889">IF($E1961="M",$J1961,0)</f>
        <v>15.111111111111112</v>
      </c>
      <c r="O1961" s="109">
        <f t="shared" ref="O1961:O1962" si="2890">IF($E1961="P",$J1961,0)</f>
        <v>0</v>
      </c>
      <c r="P1961" s="109">
        <f t="shared" ref="P1961:P1962" si="2891">IF($E1961="S",$J1961,0)</f>
        <v>0</v>
      </c>
      <c r="Q1961" s="109">
        <f t="shared" ref="Q1961:Q1962" si="2892">SUM(M1961:P1961)</f>
        <v>15.111111111111112</v>
      </c>
      <c r="R1961" s="121" t="s">
        <v>2343</v>
      </c>
      <c r="T1961" s="188"/>
    </row>
    <row r="1962" spans="1:22" x14ac:dyDescent="0.25">
      <c r="A1962" s="100"/>
      <c r="B1962" s="3">
        <v>12</v>
      </c>
      <c r="C1962" s="5" t="s">
        <v>193</v>
      </c>
      <c r="D1962" s="3" t="s">
        <v>83</v>
      </c>
      <c r="E1962" s="100" t="str">
        <f>IFERROR(VLOOKUP(C1962,Resources!B:D,3,FALSE)," ")</f>
        <v>S</v>
      </c>
      <c r="F1962" s="8">
        <v>1</v>
      </c>
      <c r="G1962" s="8">
        <v>1</v>
      </c>
      <c r="H1962" s="8">
        <f>H1950</f>
        <v>17</v>
      </c>
      <c r="I1962" s="109">
        <f>IFERROR(VLOOKUP(C1962,Resources!B:G,6,FALSE)," ")</f>
        <v>32</v>
      </c>
      <c r="J1962" s="109">
        <f t="shared" si="2886"/>
        <v>544</v>
      </c>
      <c r="K1962" s="8"/>
      <c r="L1962" s="8">
        <f>H1950/25</f>
        <v>0.68</v>
      </c>
      <c r="M1962" s="109">
        <f t="shared" si="2888"/>
        <v>0</v>
      </c>
      <c r="N1962" s="109">
        <f t="shared" si="2889"/>
        <v>0</v>
      </c>
      <c r="O1962" s="109">
        <f t="shared" si="2890"/>
        <v>0</v>
      </c>
      <c r="P1962" s="109">
        <f t="shared" si="2891"/>
        <v>544</v>
      </c>
      <c r="Q1962" s="109">
        <f t="shared" si="2892"/>
        <v>544</v>
      </c>
      <c r="R1962" s="121">
        <v>41</v>
      </c>
      <c r="T1962" s="188"/>
    </row>
    <row r="1963" spans="1:22" s="138" customFormat="1" x14ac:dyDescent="0.25">
      <c r="A1963" s="132"/>
      <c r="B1963" s="133"/>
      <c r="C1963" s="134"/>
      <c r="D1963" s="133"/>
      <c r="E1963" s="132"/>
      <c r="F1963" s="135"/>
      <c r="G1963" s="135"/>
      <c r="H1963" s="135"/>
      <c r="I1963" s="136"/>
      <c r="J1963" s="136"/>
      <c r="K1963" s="135"/>
      <c r="L1963" s="135"/>
      <c r="M1963" s="136"/>
      <c r="N1963" s="136"/>
      <c r="O1963" s="136"/>
      <c r="P1963" s="136"/>
      <c r="Q1963" s="136"/>
      <c r="R1963" s="137"/>
      <c r="T1963" s="188"/>
      <c r="U1963"/>
      <c r="V1963"/>
    </row>
    <row r="1964" spans="1:22" ht="15.95" customHeight="1" x14ac:dyDescent="0.25">
      <c r="A1964" s="100"/>
      <c r="B1964" s="3">
        <v>2</v>
      </c>
      <c r="C1964" s="5" t="s">
        <v>21</v>
      </c>
      <c r="D1964" s="3" t="s">
        <v>33</v>
      </c>
      <c r="E1964" s="100" t="str">
        <f>IFERROR(VLOOKUP(C1964,Resources!B:D,3,FALSE)," ")</f>
        <v>L</v>
      </c>
      <c r="F1964" s="8">
        <v>2</v>
      </c>
      <c r="G1964" s="8">
        <v>1</v>
      </c>
      <c r="H1964" s="8">
        <f>H1912*4/40</f>
        <v>0.1</v>
      </c>
      <c r="I1964" s="109">
        <f>IFERROR(VLOOKUP(C1964,Resources!B:G,6,FALSE)," ")</f>
        <v>3250</v>
      </c>
      <c r="J1964" s="109">
        <f t="shared" ref="J1964:J1965" si="2893">(H1964/(G1964/F1964))*I1964</f>
        <v>650</v>
      </c>
      <c r="K1964" s="8"/>
      <c r="L1964" s="8">
        <f t="shared" ref="L1964:L1965" si="2894">H1964/G1964</f>
        <v>0.1</v>
      </c>
      <c r="M1964" s="109">
        <f t="shared" si="2819"/>
        <v>650</v>
      </c>
      <c r="N1964" s="109">
        <f t="shared" si="2820"/>
        <v>0</v>
      </c>
      <c r="O1964" s="109">
        <f t="shared" si="2821"/>
        <v>0</v>
      </c>
      <c r="P1964" s="109">
        <f t="shared" si="2822"/>
        <v>0</v>
      </c>
      <c r="Q1964" s="109">
        <f t="shared" ref="Q1964:Q1965" si="2895">SUM(M1964:P1964)</f>
        <v>650</v>
      </c>
      <c r="R1964" s="121">
        <v>901</v>
      </c>
      <c r="T1964" s="188"/>
    </row>
    <row r="1965" spans="1:22" ht="15.95" customHeight="1" x14ac:dyDescent="0.25">
      <c r="A1965" s="100"/>
      <c r="B1965" s="3">
        <v>3</v>
      </c>
      <c r="C1965" s="5" t="s">
        <v>2042</v>
      </c>
      <c r="D1965" s="3" t="s">
        <v>33</v>
      </c>
      <c r="E1965" s="100" t="str">
        <f>IFERROR(VLOOKUP(C1965,Resources!B:D,3,FALSE)," ")</f>
        <v>L</v>
      </c>
      <c r="F1965" s="8">
        <v>2</v>
      </c>
      <c r="G1965" s="8">
        <v>1</v>
      </c>
      <c r="H1965" s="8">
        <f>H1912*2/40</f>
        <v>0.05</v>
      </c>
      <c r="I1965" s="109">
        <f>IFERROR(VLOOKUP(C1965,Resources!B:G,6,FALSE)," ")</f>
        <v>4250</v>
      </c>
      <c r="J1965" s="109">
        <f t="shared" si="2893"/>
        <v>425</v>
      </c>
      <c r="K1965" s="8"/>
      <c r="L1965" s="8">
        <f t="shared" si="2894"/>
        <v>0.05</v>
      </c>
      <c r="M1965" s="109">
        <f t="shared" si="2819"/>
        <v>425</v>
      </c>
      <c r="N1965" s="109">
        <f t="shared" si="2820"/>
        <v>0</v>
      </c>
      <c r="O1965" s="109">
        <f t="shared" si="2821"/>
        <v>0</v>
      </c>
      <c r="P1965" s="109">
        <f t="shared" si="2822"/>
        <v>0</v>
      </c>
      <c r="Q1965" s="109">
        <f t="shared" si="2895"/>
        <v>425</v>
      </c>
      <c r="R1965" s="121">
        <v>901</v>
      </c>
      <c r="T1965" s="188"/>
    </row>
    <row r="1966" spans="1:22" s="138" customFormat="1" ht="15.95" customHeight="1" x14ac:dyDescent="0.25">
      <c r="A1966" s="132"/>
      <c r="B1966" s="133"/>
      <c r="C1966" s="134"/>
      <c r="D1966" s="133"/>
      <c r="E1966" s="132"/>
      <c r="F1966" s="135"/>
      <c r="G1966" s="135"/>
      <c r="H1966" s="135"/>
      <c r="I1966" s="136"/>
      <c r="J1966" s="136"/>
      <c r="K1966" s="135"/>
      <c r="L1966" s="135"/>
      <c r="M1966" s="136"/>
      <c r="N1966" s="136"/>
      <c r="O1966" s="136"/>
      <c r="P1966" s="136"/>
      <c r="Q1966" s="136"/>
      <c r="R1966" s="137"/>
      <c r="T1966" s="188"/>
      <c r="U1966"/>
      <c r="V1966"/>
    </row>
    <row r="1967" spans="1:22" ht="45" x14ac:dyDescent="0.25">
      <c r="A1967" s="114" t="s">
        <v>2596</v>
      </c>
      <c r="B1967" s="1" t="s">
        <v>2490</v>
      </c>
      <c r="C1967" s="1" t="s">
        <v>2491</v>
      </c>
      <c r="D1967" s="2" t="s">
        <v>86</v>
      </c>
      <c r="E1967" s="99"/>
      <c r="F1967" s="7"/>
      <c r="G1967" s="7"/>
      <c r="H1967" s="103">
        <f>VLOOKUP($A1967,'Model Inputs'!$A:$D,4,FALSE)</f>
        <v>11.6</v>
      </c>
      <c r="I1967" s="108"/>
      <c r="J1967" s="108">
        <f>SUBTOTAL(9,J1968)</f>
        <v>2169.1999999999998</v>
      </c>
      <c r="K1967" s="7"/>
      <c r="L1967" s="7">
        <f>ROUNDUP(L1968,0)</f>
        <v>1</v>
      </c>
      <c r="M1967" s="108">
        <f t="shared" ref="M1967:Q1967" si="2896">SUBTOTAL(9,M1968)</f>
        <v>0</v>
      </c>
      <c r="N1967" s="108">
        <f t="shared" si="2896"/>
        <v>2169.1999999999998</v>
      </c>
      <c r="O1967" s="108">
        <f t="shared" si="2896"/>
        <v>0</v>
      </c>
      <c r="P1967" s="108">
        <f t="shared" si="2896"/>
        <v>0</v>
      </c>
      <c r="Q1967" s="108">
        <f t="shared" si="2896"/>
        <v>2169.1999999999998</v>
      </c>
      <c r="R1967" s="120"/>
      <c r="T1967" s="188"/>
    </row>
    <row r="1968" spans="1:22" x14ac:dyDescent="0.25">
      <c r="A1968" s="100"/>
      <c r="B1968" s="3">
        <v>1</v>
      </c>
      <c r="C1968" s="5" t="s">
        <v>188</v>
      </c>
      <c r="D1968" s="3" t="s">
        <v>86</v>
      </c>
      <c r="E1968" s="100" t="str">
        <f>IFERROR(VLOOKUP(C1968,Resources!B:D,3,FALSE)," ")</f>
        <v>M</v>
      </c>
      <c r="F1968" s="8">
        <v>1</v>
      </c>
      <c r="G1968" s="8">
        <v>1</v>
      </c>
      <c r="H1968" s="8">
        <f>H1967*1.1</f>
        <v>12.76</v>
      </c>
      <c r="I1968" s="109">
        <f>IFERROR(VLOOKUP(C1968,Resources!B:G,6,FALSE)," ")</f>
        <v>170</v>
      </c>
      <c r="J1968" s="109">
        <f t="shared" ref="J1968" si="2897">(H1968/(G1968/F1968))*I1968</f>
        <v>2169.1999999999998</v>
      </c>
      <c r="K1968" s="8"/>
      <c r="L1968" s="8">
        <f>H1968/30</f>
        <v>0.42533333333333334</v>
      </c>
      <c r="M1968" s="109">
        <f t="shared" ref="M1968" si="2898">IF($E1968="L",$J1968,0)</f>
        <v>0</v>
      </c>
      <c r="N1968" s="109">
        <f t="shared" ref="N1968" si="2899">IF($E1968="M",$J1968,0)</f>
        <v>2169.1999999999998</v>
      </c>
      <c r="O1968" s="109">
        <f t="shared" ref="O1968" si="2900">IF($E1968="P",$J1968,0)</f>
        <v>0</v>
      </c>
      <c r="P1968" s="109">
        <f t="shared" ref="P1968" si="2901">IF($E1968="S",$J1968,0)</f>
        <v>0</v>
      </c>
      <c r="Q1968" s="109">
        <f t="shared" ref="Q1968" si="2902">SUM(M1968:P1968)</f>
        <v>2169.1999999999998</v>
      </c>
      <c r="R1968" s="121" t="s">
        <v>2334</v>
      </c>
      <c r="T1968" s="188"/>
    </row>
    <row r="1969" spans="1:22" s="138" customFormat="1" x14ac:dyDescent="0.25">
      <c r="A1969" s="132"/>
      <c r="B1969" s="133"/>
      <c r="C1969" s="134"/>
      <c r="D1969" s="133"/>
      <c r="E1969" s="132"/>
      <c r="F1969" s="135"/>
      <c r="G1969" s="135"/>
      <c r="H1969" s="135"/>
      <c r="I1969" s="136"/>
      <c r="J1969" s="136"/>
      <c r="K1969" s="135"/>
      <c r="L1969" s="135"/>
      <c r="M1969" s="136"/>
      <c r="N1969" s="136"/>
      <c r="O1969" s="136"/>
      <c r="P1969" s="136"/>
      <c r="Q1969" s="136"/>
      <c r="R1969" s="137"/>
      <c r="T1969" s="188"/>
      <c r="U1969"/>
      <c r="V1969"/>
    </row>
    <row r="1970" spans="1:22" ht="45" x14ac:dyDescent="0.25">
      <c r="A1970" s="114" t="s">
        <v>2597</v>
      </c>
      <c r="B1970" s="1" t="s">
        <v>2421</v>
      </c>
      <c r="C1970" s="1" t="s">
        <v>2422</v>
      </c>
      <c r="D1970" s="2" t="s">
        <v>48</v>
      </c>
      <c r="E1970" s="99"/>
      <c r="F1970" s="7"/>
      <c r="G1970" s="7"/>
      <c r="H1970" s="103">
        <f>VLOOKUP($A1970,'Model Inputs'!$A:$D,4,FALSE)</f>
        <v>1</v>
      </c>
      <c r="I1970" s="108"/>
      <c r="J1970" s="108">
        <f>SUBTOTAL(9,J1971)</f>
        <v>325</v>
      </c>
      <c r="K1970" s="7"/>
      <c r="L1970" s="7">
        <v>0</v>
      </c>
      <c r="M1970" s="108">
        <f t="shared" ref="M1970" si="2903">SUBTOTAL(9,M1971)</f>
        <v>325</v>
      </c>
      <c r="N1970" s="108">
        <f t="shared" ref="N1970" si="2904">SUBTOTAL(9,N1971)</f>
        <v>0</v>
      </c>
      <c r="O1970" s="108">
        <f t="shared" ref="O1970" si="2905">SUBTOTAL(9,O1971)</f>
        <v>0</v>
      </c>
      <c r="P1970" s="108">
        <f t="shared" ref="P1970" si="2906">SUBTOTAL(9,P1971)</f>
        <v>0</v>
      </c>
      <c r="Q1970" s="108">
        <f t="shared" ref="Q1970" si="2907">SUBTOTAL(9,Q1971)</f>
        <v>325</v>
      </c>
      <c r="R1970" s="120" t="s">
        <v>781</v>
      </c>
      <c r="T1970" s="188"/>
    </row>
    <row r="1971" spans="1:22" ht="15.95" customHeight="1" x14ac:dyDescent="0.25">
      <c r="A1971" s="100"/>
      <c r="B1971" s="3">
        <v>1</v>
      </c>
      <c r="C1971" s="5" t="s">
        <v>21</v>
      </c>
      <c r="D1971" s="3" t="s">
        <v>33</v>
      </c>
      <c r="E1971" s="100" t="str">
        <f>IFERROR(VLOOKUP(C1971,Resources!B:D,3,FALSE)," ")</f>
        <v>L</v>
      </c>
      <c r="F1971" s="8">
        <v>2</v>
      </c>
      <c r="G1971" s="8">
        <v>1</v>
      </c>
      <c r="H1971" s="8">
        <f>H1970*2/40</f>
        <v>0.05</v>
      </c>
      <c r="I1971" s="109">
        <f>IFERROR(VLOOKUP(C1971,Resources!B:G,6,FALSE)," ")</f>
        <v>3250</v>
      </c>
      <c r="J1971" s="109">
        <f t="shared" ref="J1971" si="2908">(H1971/(G1971/F1971))*I1971</f>
        <v>325</v>
      </c>
      <c r="K1971" s="8"/>
      <c r="L1971" s="8">
        <f t="shared" ref="L1971" si="2909">H1971/G1971</f>
        <v>0.05</v>
      </c>
      <c r="M1971" s="109">
        <f t="shared" ref="M1971" si="2910">IF($E1971="L",$J1971,0)</f>
        <v>325</v>
      </c>
      <c r="N1971" s="109">
        <f t="shared" ref="N1971" si="2911">IF($E1971="M",$J1971,0)</f>
        <v>0</v>
      </c>
      <c r="O1971" s="109">
        <f t="shared" ref="O1971" si="2912">IF($E1971="P",$J1971,0)</f>
        <v>0</v>
      </c>
      <c r="P1971" s="109">
        <f t="shared" ref="P1971" si="2913">IF($E1971="S",$J1971,0)</f>
        <v>0</v>
      </c>
      <c r="Q1971" s="109">
        <f t="shared" ref="Q1971" si="2914">SUM(M1971:P1971)</f>
        <v>325</v>
      </c>
      <c r="R1971" s="121">
        <v>901</v>
      </c>
      <c r="T1971" s="188"/>
    </row>
    <row r="1972" spans="1:22" x14ac:dyDescent="0.25">
      <c r="T1972" s="188"/>
    </row>
    <row r="1973" spans="1:22" ht="30" x14ac:dyDescent="0.25">
      <c r="A1973" s="114" t="s">
        <v>2598</v>
      </c>
      <c r="B1973" s="1" t="s">
        <v>2453</v>
      </c>
      <c r="C1973" s="1" t="s">
        <v>2454</v>
      </c>
      <c r="D1973" s="2" t="s">
        <v>2416</v>
      </c>
      <c r="E1973" s="99"/>
      <c r="F1973" s="7"/>
      <c r="G1973" s="7"/>
      <c r="H1973" s="7">
        <v>1</v>
      </c>
      <c r="I1973" s="108"/>
      <c r="J1973" s="108">
        <f>SUBTOTAL(9,J1976:J1984)</f>
        <v>2308.0209302325584</v>
      </c>
      <c r="K1973" s="7"/>
      <c r="L1973" s="7">
        <f>ROUNDUP(L1979,0)+ROUNDUP(L1982,0)+1</f>
        <v>3</v>
      </c>
      <c r="M1973" s="108">
        <f t="shared" ref="M1973:Q1973" si="2915">SUBTOTAL(9,M1976:M1984)</f>
        <v>84</v>
      </c>
      <c r="N1973" s="108">
        <f t="shared" si="2915"/>
        <v>974.02093023255816</v>
      </c>
      <c r="O1973" s="108">
        <f t="shared" si="2915"/>
        <v>50</v>
      </c>
      <c r="P1973" s="108">
        <f t="shared" si="2915"/>
        <v>1200</v>
      </c>
      <c r="Q1973" s="108">
        <f t="shared" si="2915"/>
        <v>2308.0209302325584</v>
      </c>
      <c r="R1973" s="120" t="s">
        <v>781</v>
      </c>
      <c r="T1973" s="188"/>
    </row>
    <row r="1974" spans="1:22" ht="30" x14ac:dyDescent="0.25">
      <c r="A1974" s="100" t="s">
        <v>2599</v>
      </c>
      <c r="B1974" s="3">
        <v>1</v>
      </c>
      <c r="C1974" s="5" t="s">
        <v>2455</v>
      </c>
      <c r="D1974" s="3" t="s">
        <v>89</v>
      </c>
      <c r="E1974" s="100"/>
      <c r="F1974" s="8"/>
      <c r="G1974" s="8"/>
      <c r="H1974" s="103">
        <f>VLOOKUP($A1974,'Model Inputs'!$A:$D,4,FALSE)</f>
        <v>40</v>
      </c>
      <c r="I1974" s="109"/>
      <c r="J1974" s="109"/>
      <c r="K1974" s="8"/>
      <c r="L1974" s="8"/>
      <c r="M1974" s="109"/>
      <c r="N1974" s="109"/>
      <c r="O1974" s="109"/>
      <c r="P1974" s="109"/>
      <c r="Q1974" s="109"/>
      <c r="R1974" s="121"/>
      <c r="T1974" s="188"/>
    </row>
    <row r="1975" spans="1:22" ht="30" x14ac:dyDescent="0.25">
      <c r="A1975" s="101"/>
      <c r="B1975" s="4"/>
      <c r="C1975" s="6" t="s">
        <v>196</v>
      </c>
      <c r="D1975" s="4"/>
      <c r="E1975" s="101" t="str">
        <f>IFERROR(VLOOKUP(C1975,Resources!B:D,3,FALSE)," ")</f>
        <v xml:space="preserve"> </v>
      </c>
      <c r="F1975" s="9"/>
      <c r="G1975" s="9"/>
      <c r="H1975" s="9"/>
      <c r="I1975" s="38" t="str">
        <f>IFERROR(VLOOKUP(C1975,Resources!B:G,6,FALSE)," ")</f>
        <v xml:space="preserve"> </v>
      </c>
      <c r="J1975" s="38"/>
      <c r="K1975" s="9"/>
      <c r="L1975" s="9"/>
      <c r="M1975" s="38"/>
      <c r="N1975" s="38"/>
      <c r="O1975" s="38"/>
      <c r="P1975" s="38"/>
      <c r="Q1975" s="38"/>
      <c r="R1975" s="122"/>
      <c r="T1975" s="188"/>
    </row>
    <row r="1976" spans="1:22" x14ac:dyDescent="0.25">
      <c r="A1976" s="100" t="s">
        <v>2600</v>
      </c>
      <c r="B1976" s="3">
        <v>2</v>
      </c>
      <c r="C1976" s="5" t="s">
        <v>197</v>
      </c>
      <c r="D1976" s="3" t="s">
        <v>86</v>
      </c>
      <c r="E1976" s="100" t="str">
        <f>IFERROR(VLOOKUP(C1976,Resources!B:D,3,FALSE)," ")</f>
        <v>M</v>
      </c>
      <c r="F1976" s="103">
        <f>VLOOKUP($A1976,'Model Inputs'!$A:$D,4,FALSE)</f>
        <v>8.6</v>
      </c>
      <c r="G1976" s="8">
        <v>1</v>
      </c>
      <c r="H1976" s="8">
        <f>H1974/F1976</f>
        <v>4.6511627906976747</v>
      </c>
      <c r="I1976" s="109">
        <f>IFERROR(VLOOKUP(C1976,Resources!B:G,6,FALSE)," ")</f>
        <v>190</v>
      </c>
      <c r="J1976" s="109">
        <f>I1976*H1976</f>
        <v>883.7209302325582</v>
      </c>
      <c r="K1976" s="8"/>
      <c r="L1976" s="8" t="str">
        <f t="shared" ref="L1976:L1978" si="2916">IF(E1976="M"," ",H1976/G1976)</f>
        <v xml:space="preserve"> </v>
      </c>
      <c r="M1976" s="109">
        <f t="shared" ref="M1976:M1979" si="2917">IF($E1976="L",$J1976,0)</f>
        <v>0</v>
      </c>
      <c r="N1976" s="109">
        <f t="shared" ref="N1976:N1979" si="2918">IF($E1976="M",$J1976,0)</f>
        <v>883.7209302325582</v>
      </c>
      <c r="O1976" s="109">
        <f t="shared" ref="O1976:O1979" si="2919">IF($E1976="P",$J1976,0)</f>
        <v>0</v>
      </c>
      <c r="P1976" s="109">
        <f t="shared" ref="P1976:P1979" si="2920">IF($E1976="S",$J1976,0)</f>
        <v>0</v>
      </c>
      <c r="Q1976" s="109">
        <f t="shared" ref="Q1976:Q1979" si="2921">SUM(M1976:P1976)</f>
        <v>883.7209302325582</v>
      </c>
      <c r="R1976" s="121" t="s">
        <v>2337</v>
      </c>
      <c r="T1976" s="188"/>
    </row>
    <row r="1977" spans="1:22" x14ac:dyDescent="0.25">
      <c r="A1977" s="100" t="s">
        <v>2602</v>
      </c>
      <c r="B1977" s="3">
        <v>3</v>
      </c>
      <c r="C1977" s="5" t="s">
        <v>81</v>
      </c>
      <c r="D1977" s="3" t="s">
        <v>82</v>
      </c>
      <c r="E1977" s="100" t="str">
        <f>IFERROR(VLOOKUP(C1977,Resources!B:D,3,FALSE)," ")</f>
        <v>M</v>
      </c>
      <c r="F1977" s="103">
        <f>VLOOKUP($A1977,'Model Inputs'!$A:$D,4,FALSE)</f>
        <v>75</v>
      </c>
      <c r="G1977" s="8">
        <v>1</v>
      </c>
      <c r="H1977" s="8">
        <f>H1974/F1977</f>
        <v>0.53333333333333333</v>
      </c>
      <c r="I1977" s="109">
        <f>IFERROR(VLOOKUP(C1977,Resources!B:G,6,FALSE)," ")</f>
        <v>24</v>
      </c>
      <c r="J1977" s="109">
        <f t="shared" ref="J1977:J1978" si="2922">I1977*H1977</f>
        <v>12.8</v>
      </c>
      <c r="K1977" s="8"/>
      <c r="L1977" s="8" t="str">
        <f t="shared" si="2916"/>
        <v xml:space="preserve"> </v>
      </c>
      <c r="M1977" s="109">
        <f t="shared" si="2917"/>
        <v>0</v>
      </c>
      <c r="N1977" s="109">
        <f t="shared" si="2918"/>
        <v>12.8</v>
      </c>
      <c r="O1977" s="109">
        <f t="shared" si="2919"/>
        <v>0</v>
      </c>
      <c r="P1977" s="109">
        <f t="shared" si="2920"/>
        <v>0</v>
      </c>
      <c r="Q1977" s="109">
        <f t="shared" si="2921"/>
        <v>12.8</v>
      </c>
      <c r="R1977" s="121" t="s">
        <v>2341</v>
      </c>
      <c r="T1977" s="188"/>
    </row>
    <row r="1978" spans="1:22" x14ac:dyDescent="0.25">
      <c r="A1978" s="100" t="s">
        <v>2603</v>
      </c>
      <c r="B1978" s="3">
        <v>4</v>
      </c>
      <c r="C1978" s="5" t="s">
        <v>109</v>
      </c>
      <c r="D1978" s="3" t="s">
        <v>82</v>
      </c>
      <c r="E1978" s="100" t="str">
        <f>IFERROR(VLOOKUP(C1978,Resources!B:D,3,FALSE)," ")</f>
        <v>M</v>
      </c>
      <c r="F1978" s="103">
        <f>VLOOKUP($A1978,'Model Inputs'!$A:$D,4,FALSE)</f>
        <v>8</v>
      </c>
      <c r="G1978" s="8">
        <v>1</v>
      </c>
      <c r="H1978" s="8">
        <f>H1977/F1978</f>
        <v>6.6666666666666666E-2</v>
      </c>
      <c r="I1978" s="109">
        <f>IFERROR(VLOOKUP(C1978,Resources!B:G,6,FALSE)," ")</f>
        <v>450</v>
      </c>
      <c r="J1978" s="109">
        <f t="shared" si="2922"/>
        <v>30</v>
      </c>
      <c r="K1978" s="8"/>
      <c r="L1978" s="8" t="str">
        <f t="shared" si="2916"/>
        <v xml:space="preserve"> </v>
      </c>
      <c r="M1978" s="109">
        <f t="shared" si="2917"/>
        <v>0</v>
      </c>
      <c r="N1978" s="109">
        <f t="shared" si="2918"/>
        <v>30</v>
      </c>
      <c r="O1978" s="109">
        <f t="shared" si="2919"/>
        <v>0</v>
      </c>
      <c r="P1978" s="109">
        <f t="shared" si="2920"/>
        <v>0</v>
      </c>
      <c r="Q1978" s="109">
        <f t="shared" si="2921"/>
        <v>30</v>
      </c>
      <c r="R1978" s="121">
        <v>71</v>
      </c>
      <c r="T1978" s="188"/>
    </row>
    <row r="1979" spans="1:22" x14ac:dyDescent="0.25">
      <c r="A1979" s="100"/>
      <c r="B1979" s="3">
        <v>5</v>
      </c>
      <c r="C1979" s="5" t="s">
        <v>198</v>
      </c>
      <c r="D1979" s="3" t="s">
        <v>89</v>
      </c>
      <c r="E1979" s="100" t="str">
        <f>IFERROR(VLOOKUP(C1979,Resources!B:D,3,FALSE)," ")</f>
        <v>S</v>
      </c>
      <c r="F1979" s="8">
        <v>1</v>
      </c>
      <c r="G1979" s="8">
        <v>1</v>
      </c>
      <c r="H1979" s="8">
        <f>H1974</f>
        <v>40</v>
      </c>
      <c r="I1979" s="109">
        <f>IFERROR(VLOOKUP(C1979,Resources!B:G,6,FALSE)," ")</f>
        <v>30</v>
      </c>
      <c r="J1979" s="109">
        <f t="shared" ref="J1979" si="2923">(H1979/(G1979/F1979))*I1979</f>
        <v>1200</v>
      </c>
      <c r="K1979" s="8"/>
      <c r="L1979" s="8">
        <f>H1979/200</f>
        <v>0.2</v>
      </c>
      <c r="M1979" s="109">
        <f t="shared" si="2917"/>
        <v>0</v>
      </c>
      <c r="N1979" s="109">
        <f t="shared" si="2918"/>
        <v>0</v>
      </c>
      <c r="O1979" s="109">
        <f t="shared" si="2919"/>
        <v>0</v>
      </c>
      <c r="P1979" s="109">
        <f t="shared" si="2920"/>
        <v>1200</v>
      </c>
      <c r="Q1979" s="109">
        <f t="shared" si="2921"/>
        <v>1200</v>
      </c>
      <c r="R1979" s="121">
        <v>71</v>
      </c>
      <c r="T1979" s="188"/>
    </row>
    <row r="1980" spans="1:22" x14ac:dyDescent="0.25">
      <c r="A1980" s="101"/>
      <c r="B1980" s="4"/>
      <c r="C1980" s="6"/>
      <c r="D1980" s="4"/>
      <c r="E1980" s="101" t="str">
        <f>IFERROR(VLOOKUP(C1980,Resources!B:D,3,FALSE)," ")</f>
        <v xml:space="preserve"> </v>
      </c>
      <c r="F1980" s="9"/>
      <c r="G1980" s="9"/>
      <c r="H1980" s="9"/>
      <c r="I1980" s="38" t="str">
        <f>IFERROR(VLOOKUP(C1980,Resources!B:G,6,FALSE)," ")</f>
        <v xml:space="preserve"> </v>
      </c>
      <c r="J1980" s="38"/>
      <c r="K1980" s="9"/>
      <c r="L1980" s="9"/>
      <c r="M1980" s="38"/>
      <c r="N1980" s="38"/>
      <c r="O1980" s="38"/>
      <c r="P1980" s="38"/>
      <c r="Q1980" s="38"/>
      <c r="R1980" s="122"/>
      <c r="T1980" s="188"/>
    </row>
    <row r="1981" spans="1:22" s="10" customFormat="1" ht="30" x14ac:dyDescent="0.25">
      <c r="A1981" s="126" t="s">
        <v>2601</v>
      </c>
      <c r="B1981" s="127">
        <v>6</v>
      </c>
      <c r="C1981" s="128" t="s">
        <v>2456</v>
      </c>
      <c r="D1981" s="127"/>
      <c r="E1981" s="126"/>
      <c r="F1981" s="129"/>
      <c r="G1981" s="129"/>
      <c r="H1981" s="103">
        <f>VLOOKUP($A1981,'Model Inputs'!$A:$D,4,FALSE)</f>
        <v>1</v>
      </c>
      <c r="I1981" s="130"/>
      <c r="J1981" s="130"/>
      <c r="K1981" s="129"/>
      <c r="L1981" s="129"/>
      <c r="M1981" s="130"/>
      <c r="N1981" s="130"/>
      <c r="O1981" s="130"/>
      <c r="P1981" s="130"/>
      <c r="Q1981" s="130"/>
      <c r="R1981" s="131"/>
      <c r="T1981" s="188"/>
      <c r="U1981"/>
      <c r="V1981"/>
    </row>
    <row r="1982" spans="1:22" x14ac:dyDescent="0.25">
      <c r="A1982" s="100"/>
      <c r="B1982" s="3">
        <v>7</v>
      </c>
      <c r="C1982" s="5" t="s">
        <v>115</v>
      </c>
      <c r="D1982" s="3" t="s">
        <v>33</v>
      </c>
      <c r="E1982" s="100" t="str">
        <f>IFERROR(VLOOKUP(C1982,Resources!B:D,3,FALSE)," ")</f>
        <v>P</v>
      </c>
      <c r="F1982" s="8">
        <v>1</v>
      </c>
      <c r="G1982" s="8">
        <v>2</v>
      </c>
      <c r="H1982" s="8">
        <f>H1981</f>
        <v>1</v>
      </c>
      <c r="I1982" s="109">
        <f>IFERROR(VLOOKUP(C1982,Resources!B:G,6,FALSE)," ")</f>
        <v>100</v>
      </c>
      <c r="J1982" s="109">
        <f t="shared" ref="J1982:J1984" si="2924">(H1982/(G1982/F1982))*I1982</f>
        <v>50</v>
      </c>
      <c r="K1982" s="8"/>
      <c r="L1982" s="8">
        <f>H1982/G1982</f>
        <v>0.5</v>
      </c>
      <c r="M1982" s="109">
        <f t="shared" ref="M1982:M1984" si="2925">IF($E1982="L",$J1982,0)</f>
        <v>0</v>
      </c>
      <c r="N1982" s="109">
        <f t="shared" ref="N1982:N1984" si="2926">IF($E1982="M",$J1982,0)</f>
        <v>0</v>
      </c>
      <c r="O1982" s="109">
        <f t="shared" ref="O1982:O1984" si="2927">IF($E1982="P",$J1982,0)</f>
        <v>50</v>
      </c>
      <c r="P1982" s="109">
        <f t="shared" ref="P1982:P1984" si="2928">IF($E1982="S",$J1982,0)</f>
        <v>0</v>
      </c>
      <c r="Q1982" s="109">
        <f t="shared" ref="Q1982:Q1984" si="2929">SUM(M1982:P1982)</f>
        <v>50</v>
      </c>
      <c r="R1982" s="121">
        <v>41</v>
      </c>
      <c r="T1982" s="188"/>
    </row>
    <row r="1983" spans="1:22" x14ac:dyDescent="0.25">
      <c r="A1983" s="100"/>
      <c r="B1983" s="3">
        <v>8</v>
      </c>
      <c r="C1983" s="5" t="s">
        <v>173</v>
      </c>
      <c r="D1983" s="3" t="s">
        <v>33</v>
      </c>
      <c r="E1983" s="100" t="s">
        <v>2020</v>
      </c>
      <c r="F1983" s="8">
        <v>1</v>
      </c>
      <c r="G1983" s="8">
        <v>2</v>
      </c>
      <c r="H1983" s="8">
        <f>H1981</f>
        <v>1</v>
      </c>
      <c r="I1983" s="109">
        <f>IFERROR(VLOOKUP(C1983,Resources!B:G,6,FALSE)," ")</f>
        <v>95</v>
      </c>
      <c r="J1983" s="109">
        <f t="shared" si="2924"/>
        <v>47.5</v>
      </c>
      <c r="K1983" s="8"/>
      <c r="L1983" s="8">
        <f t="shared" ref="L1983:L1984" si="2930">H1983/G1983</f>
        <v>0.5</v>
      </c>
      <c r="M1983" s="109">
        <f t="shared" si="2925"/>
        <v>0</v>
      </c>
      <c r="N1983" s="109">
        <f t="shared" si="2926"/>
        <v>47.5</v>
      </c>
      <c r="O1983" s="109">
        <f t="shared" si="2927"/>
        <v>0</v>
      </c>
      <c r="P1983" s="109">
        <f t="shared" si="2928"/>
        <v>0</v>
      </c>
      <c r="Q1983" s="109">
        <f t="shared" si="2929"/>
        <v>47.5</v>
      </c>
      <c r="R1983" s="121">
        <v>41</v>
      </c>
      <c r="T1983" s="188"/>
    </row>
    <row r="1984" spans="1:22" ht="15.95" customHeight="1" x14ac:dyDescent="0.25">
      <c r="A1984" s="100"/>
      <c r="B1984" s="3">
        <v>9</v>
      </c>
      <c r="C1984" s="5" t="s">
        <v>8</v>
      </c>
      <c r="D1984" s="3" t="s">
        <v>33</v>
      </c>
      <c r="E1984" s="100" t="str">
        <f>IFERROR(VLOOKUP(C1984,Resources!B:D,3,FALSE)," ")</f>
        <v>L</v>
      </c>
      <c r="F1984" s="8">
        <v>2</v>
      </c>
      <c r="G1984" s="8">
        <v>1</v>
      </c>
      <c r="H1984" s="8">
        <f>H1981</f>
        <v>1</v>
      </c>
      <c r="I1984" s="109">
        <f>IFERROR(VLOOKUP(C1984,Resources!B:G,6,FALSE)," ")</f>
        <v>42</v>
      </c>
      <c r="J1984" s="109">
        <f t="shared" si="2924"/>
        <v>84</v>
      </c>
      <c r="K1984" s="8"/>
      <c r="L1984" s="8">
        <f t="shared" si="2930"/>
        <v>1</v>
      </c>
      <c r="M1984" s="109">
        <f t="shared" si="2925"/>
        <v>84</v>
      </c>
      <c r="N1984" s="109">
        <f t="shared" si="2926"/>
        <v>0</v>
      </c>
      <c r="O1984" s="109">
        <f t="shared" si="2927"/>
        <v>0</v>
      </c>
      <c r="P1984" s="109">
        <f t="shared" si="2928"/>
        <v>0</v>
      </c>
      <c r="Q1984" s="109">
        <f t="shared" si="2929"/>
        <v>84</v>
      </c>
      <c r="R1984" s="121">
        <v>41</v>
      </c>
      <c r="T1984" s="188"/>
    </row>
    <row r="1985" spans="1:20" x14ac:dyDescent="0.25">
      <c r="A1985" s="101"/>
      <c r="B1985" s="4"/>
      <c r="C1985" s="6"/>
      <c r="D1985" s="4"/>
      <c r="I1985" s="38"/>
      <c r="M1985" s="38"/>
      <c r="N1985" s="38"/>
      <c r="O1985" s="38"/>
      <c r="P1985" s="38"/>
      <c r="Q1985" s="38"/>
      <c r="R1985" s="123"/>
      <c r="T1985" s="188"/>
    </row>
    <row r="1986" spans="1:20" ht="30" x14ac:dyDescent="0.25">
      <c r="A1986" s="114" t="s">
        <v>2604</v>
      </c>
      <c r="B1986" s="1" t="s">
        <v>2425</v>
      </c>
      <c r="C1986" s="1" t="s">
        <v>2426</v>
      </c>
      <c r="D1986" s="2" t="s">
        <v>89</v>
      </c>
      <c r="E1986" s="99"/>
      <c r="F1986" s="7"/>
      <c r="G1986" s="7"/>
      <c r="H1986" s="103">
        <f>VLOOKUP($A1986,'Model Inputs'!$A:$D,4,FALSE)</f>
        <v>44</v>
      </c>
      <c r="I1986" s="108"/>
      <c r="J1986" s="108">
        <f>SUBTOTAL(9,J1988:J1991)</f>
        <v>5723.08</v>
      </c>
      <c r="K1986" s="7"/>
      <c r="L1986" s="7">
        <f>ROUNDUP(L1991,0)+1</f>
        <v>2</v>
      </c>
      <c r="M1986" s="108">
        <f t="shared" ref="M1986:Q1986" si="2931">SUBTOTAL(9,M1988:M1991)</f>
        <v>0</v>
      </c>
      <c r="N1986" s="108">
        <f t="shared" si="2931"/>
        <v>2863.08</v>
      </c>
      <c r="O1986" s="108">
        <f t="shared" si="2931"/>
        <v>0</v>
      </c>
      <c r="P1986" s="108">
        <f t="shared" si="2931"/>
        <v>2860</v>
      </c>
      <c r="Q1986" s="108">
        <f t="shared" si="2931"/>
        <v>5723.08</v>
      </c>
      <c r="R1986" s="120"/>
      <c r="T1986" s="188"/>
    </row>
    <row r="1987" spans="1:20" ht="30" x14ac:dyDescent="0.25">
      <c r="A1987" s="101"/>
      <c r="B1987" s="4">
        <v>1</v>
      </c>
      <c r="C1987" s="6" t="s">
        <v>196</v>
      </c>
      <c r="D1987" s="4"/>
      <c r="E1987" s="101" t="str">
        <f>IFERROR(VLOOKUP(C1987,Resources!B:D,3,FALSE)," ")</f>
        <v xml:space="preserve"> </v>
      </c>
      <c r="F1987" s="9"/>
      <c r="G1987" s="9"/>
      <c r="H1987" s="9"/>
      <c r="I1987" s="38" t="str">
        <f>IFERROR(VLOOKUP(C1987,Resources!B:G,6,FALSE)," ")</f>
        <v xml:space="preserve"> </v>
      </c>
      <c r="J1987" s="38"/>
      <c r="K1987" s="9"/>
      <c r="L1987" s="9"/>
      <c r="M1987" s="38"/>
      <c r="N1987" s="38"/>
      <c r="O1987" s="38"/>
      <c r="P1987" s="38"/>
      <c r="Q1987" s="38"/>
      <c r="R1987" s="122"/>
      <c r="T1987" s="188"/>
    </row>
    <row r="1988" spans="1:20" x14ac:dyDescent="0.25">
      <c r="A1988" s="100" t="s">
        <v>2747</v>
      </c>
      <c r="B1988" s="3">
        <v>2</v>
      </c>
      <c r="C1988" s="5" t="s">
        <v>85</v>
      </c>
      <c r="D1988" s="3" t="s">
        <v>86</v>
      </c>
      <c r="E1988" s="100" t="str">
        <f>IFERROR(VLOOKUP(C1988,Resources!B:D,3,FALSE)," ")</f>
        <v>M</v>
      </c>
      <c r="F1988" s="103">
        <f>VLOOKUP($A1988,'Model Inputs'!$A:$D,4,FALSE)</f>
        <v>3</v>
      </c>
      <c r="G1988" s="8">
        <v>1</v>
      </c>
      <c r="H1988" s="8">
        <f>H1986/F1988</f>
        <v>14.666666666666666</v>
      </c>
      <c r="I1988" s="109">
        <f>IFERROR(VLOOKUP(C1988,Resources!B:G,6,FALSE)," ")</f>
        <v>192</v>
      </c>
      <c r="J1988" s="109">
        <f>I1988*H1988</f>
        <v>2816</v>
      </c>
      <c r="K1988" s="8"/>
      <c r="L1988" s="8" t="str">
        <f t="shared" ref="L1988:L1990" si="2932">IF(E1988="M"," ",H1988/G1988)</f>
        <v xml:space="preserve"> </v>
      </c>
      <c r="M1988" s="109">
        <f t="shared" ref="M1988:M1991" si="2933">IF($E1988="L",$J1988,0)</f>
        <v>0</v>
      </c>
      <c r="N1988" s="109">
        <f t="shared" ref="N1988:N1991" si="2934">IF($E1988="M",$J1988,0)</f>
        <v>2816</v>
      </c>
      <c r="O1988" s="109">
        <f t="shared" ref="O1988:O1991" si="2935">IF($E1988="P",$J1988,0)</f>
        <v>0</v>
      </c>
      <c r="P1988" s="109">
        <f t="shared" ref="P1988:P1991" si="2936">IF($E1988="S",$J1988,0)</f>
        <v>0</v>
      </c>
      <c r="Q1988" s="109">
        <f t="shared" ref="Q1988:Q1991" si="2937">SUM(M1988:P1988)</f>
        <v>2816</v>
      </c>
      <c r="R1988" s="121" t="s">
        <v>2337</v>
      </c>
      <c r="T1988" s="188"/>
    </row>
    <row r="1989" spans="1:20" x14ac:dyDescent="0.25">
      <c r="A1989" s="100" t="s">
        <v>2605</v>
      </c>
      <c r="B1989" s="3">
        <v>3</v>
      </c>
      <c r="C1989" s="5" t="s">
        <v>81</v>
      </c>
      <c r="D1989" s="3" t="s">
        <v>82</v>
      </c>
      <c r="E1989" s="100" t="str">
        <f>IFERROR(VLOOKUP(C1989,Resources!B:D,3,FALSE)," ")</f>
        <v>M</v>
      </c>
      <c r="F1989" s="103">
        <f>VLOOKUP($A1989,'Model Inputs'!$A:$D,4,FALSE)</f>
        <v>75</v>
      </c>
      <c r="G1989" s="8">
        <v>1</v>
      </c>
      <c r="H1989" s="8">
        <f>H1986/F1989</f>
        <v>0.58666666666666667</v>
      </c>
      <c r="I1989" s="109">
        <f>IFERROR(VLOOKUP(C1989,Resources!B:G,6,FALSE)," ")</f>
        <v>24</v>
      </c>
      <c r="J1989" s="109">
        <f t="shared" ref="J1989:J1990" si="2938">I1989*H1989</f>
        <v>14.08</v>
      </c>
      <c r="K1989" s="8"/>
      <c r="L1989" s="8" t="str">
        <f t="shared" si="2932"/>
        <v xml:space="preserve"> </v>
      </c>
      <c r="M1989" s="109">
        <f t="shared" si="2933"/>
        <v>0</v>
      </c>
      <c r="N1989" s="109">
        <f t="shared" si="2934"/>
        <v>14.08</v>
      </c>
      <c r="O1989" s="109">
        <f t="shared" si="2935"/>
        <v>0</v>
      </c>
      <c r="P1989" s="109">
        <f t="shared" si="2936"/>
        <v>0</v>
      </c>
      <c r="Q1989" s="109">
        <f t="shared" si="2937"/>
        <v>14.08</v>
      </c>
      <c r="R1989" s="121" t="s">
        <v>2341</v>
      </c>
      <c r="T1989" s="188"/>
    </row>
    <row r="1990" spans="1:20" x14ac:dyDescent="0.25">
      <c r="A1990" s="100" t="s">
        <v>2606</v>
      </c>
      <c r="B1990" s="3">
        <v>4</v>
      </c>
      <c r="C1990" s="5" t="s">
        <v>109</v>
      </c>
      <c r="D1990" s="3" t="s">
        <v>82</v>
      </c>
      <c r="E1990" s="100" t="str">
        <f>IFERROR(VLOOKUP(C1990,Resources!B:D,3,FALSE)," ")</f>
        <v>M</v>
      </c>
      <c r="F1990" s="103">
        <f>VLOOKUP($A1990,'Model Inputs'!$A:$D,4,FALSE)</f>
        <v>8</v>
      </c>
      <c r="G1990" s="8">
        <v>1</v>
      </c>
      <c r="H1990" s="8">
        <f>H1989/F1990</f>
        <v>7.3333333333333334E-2</v>
      </c>
      <c r="I1990" s="109">
        <f>IFERROR(VLOOKUP(C1990,Resources!B:G,6,FALSE)," ")</f>
        <v>450</v>
      </c>
      <c r="J1990" s="109">
        <f t="shared" si="2938"/>
        <v>33</v>
      </c>
      <c r="K1990" s="8"/>
      <c r="L1990" s="8" t="str">
        <f t="shared" si="2932"/>
        <v xml:space="preserve"> </v>
      </c>
      <c r="M1990" s="109">
        <f t="shared" si="2933"/>
        <v>0</v>
      </c>
      <c r="N1990" s="109">
        <f t="shared" si="2934"/>
        <v>33</v>
      </c>
      <c r="O1990" s="109">
        <f t="shared" si="2935"/>
        <v>0</v>
      </c>
      <c r="P1990" s="109">
        <f t="shared" si="2936"/>
        <v>0</v>
      </c>
      <c r="Q1990" s="109">
        <f t="shared" si="2937"/>
        <v>33</v>
      </c>
      <c r="R1990" s="121">
        <v>71</v>
      </c>
      <c r="T1990" s="188"/>
    </row>
    <row r="1991" spans="1:20" x14ac:dyDescent="0.25">
      <c r="A1991" s="100"/>
      <c r="B1991" s="3">
        <v>5</v>
      </c>
      <c r="C1991" s="5" t="s">
        <v>2247</v>
      </c>
      <c r="D1991" s="3" t="s">
        <v>89</v>
      </c>
      <c r="E1991" s="100" t="str">
        <f>IFERROR(VLOOKUP(C1991,Resources!B:D,3,FALSE)," ")</f>
        <v>S</v>
      </c>
      <c r="F1991" s="8">
        <v>1</v>
      </c>
      <c r="G1991" s="8">
        <v>1</v>
      </c>
      <c r="H1991" s="8">
        <f>H1986</f>
        <v>44</v>
      </c>
      <c r="I1991" s="109">
        <f>IFERROR(VLOOKUP(C1991,Resources!B:G,6,FALSE)," ")</f>
        <v>65</v>
      </c>
      <c r="J1991" s="109">
        <f t="shared" ref="J1991" si="2939">(H1991/(G1991/F1991))*I1991</f>
        <v>2860</v>
      </c>
      <c r="K1991" s="8"/>
      <c r="L1991" s="8">
        <f>H1991/50</f>
        <v>0.88</v>
      </c>
      <c r="M1991" s="109">
        <f t="shared" si="2933"/>
        <v>0</v>
      </c>
      <c r="N1991" s="109">
        <f t="shared" si="2934"/>
        <v>0</v>
      </c>
      <c r="O1991" s="109">
        <f t="shared" si="2935"/>
        <v>0</v>
      </c>
      <c r="P1991" s="109">
        <f t="shared" si="2936"/>
        <v>2860</v>
      </c>
      <c r="Q1991" s="109">
        <f t="shared" si="2937"/>
        <v>2860</v>
      </c>
      <c r="R1991" s="121">
        <v>71</v>
      </c>
      <c r="T1991" s="188"/>
    </row>
    <row r="1992" spans="1:20" x14ac:dyDescent="0.25">
      <c r="A1992" s="101"/>
      <c r="B1992" s="4"/>
      <c r="C1992" s="6"/>
      <c r="D1992" s="4"/>
      <c r="E1992" s="101" t="str">
        <f>IFERROR(VLOOKUP(C1992,Resources!B:D,3,FALSE)," ")</f>
        <v xml:space="preserve"> </v>
      </c>
      <c r="F1992" s="9"/>
      <c r="G1992" s="9"/>
      <c r="H1992" s="9"/>
      <c r="I1992" s="38" t="str">
        <f>IFERROR(VLOOKUP(C1992,Resources!B:G,6,FALSE)," ")</f>
        <v xml:space="preserve"> </v>
      </c>
      <c r="J1992" s="38"/>
      <c r="K1992" s="9"/>
      <c r="L1992" s="9"/>
      <c r="M1992" s="38"/>
      <c r="N1992" s="38"/>
      <c r="O1992" s="38"/>
      <c r="P1992" s="38"/>
      <c r="Q1992" s="38"/>
      <c r="R1992" s="122"/>
      <c r="T1992" s="188"/>
    </row>
    <row r="1993" spans="1:20" ht="30" x14ac:dyDescent="0.25">
      <c r="A1993" s="114" t="s">
        <v>2607</v>
      </c>
      <c r="B1993" s="1" t="s">
        <v>2433</v>
      </c>
      <c r="C1993" s="1" t="s">
        <v>2608</v>
      </c>
      <c r="D1993" s="2" t="s">
        <v>83</v>
      </c>
      <c r="E1993" s="99"/>
      <c r="F1993" s="7"/>
      <c r="G1993" s="7"/>
      <c r="H1993" s="103">
        <f>VLOOKUP($A1993,'Model Inputs'!$A:$D,4,FALSE)</f>
        <v>400</v>
      </c>
      <c r="I1993" s="108">
        <f>J1993/H1993</f>
        <v>13.716575000000001</v>
      </c>
      <c r="J1993" s="108">
        <f>SUBTOTAL(9,J1995:J2001)</f>
        <v>5486.63</v>
      </c>
      <c r="K1993" s="7"/>
      <c r="L1993" s="7">
        <f>ROUNDUP(MAX(L1997:L2001),0)+1</f>
        <v>2</v>
      </c>
      <c r="M1993" s="108">
        <f t="shared" ref="M1993:Q1993" si="2940">SUBTOTAL(9,M1995:M2001)</f>
        <v>1134</v>
      </c>
      <c r="N1993" s="108">
        <f t="shared" si="2940"/>
        <v>1188</v>
      </c>
      <c r="O1993" s="108">
        <f t="shared" si="2940"/>
        <v>3164.63</v>
      </c>
      <c r="P1993" s="108">
        <f t="shared" si="2940"/>
        <v>0</v>
      </c>
      <c r="Q1993" s="108">
        <f t="shared" si="2940"/>
        <v>5486.63</v>
      </c>
      <c r="R1993" s="120"/>
      <c r="T1993" s="188"/>
    </row>
    <row r="1994" spans="1:20" x14ac:dyDescent="0.25">
      <c r="A1994" s="100"/>
      <c r="B1994" s="3">
        <v>1</v>
      </c>
      <c r="C1994" s="128" t="s">
        <v>187</v>
      </c>
      <c r="D1994" s="3"/>
      <c r="E1994" s="100"/>
      <c r="F1994" s="8"/>
      <c r="G1994" s="8"/>
      <c r="H1994" s="8"/>
      <c r="I1994" s="109"/>
      <c r="J1994" s="109"/>
      <c r="K1994" s="8"/>
      <c r="L1994" s="8"/>
      <c r="M1994" s="109"/>
      <c r="N1994" s="109"/>
      <c r="O1994" s="109"/>
      <c r="P1994" s="109"/>
      <c r="Q1994" s="109"/>
      <c r="R1994" s="121"/>
      <c r="T1994" s="188"/>
    </row>
    <row r="1995" spans="1:20" x14ac:dyDescent="0.25">
      <c r="A1995" s="100"/>
      <c r="B1995" s="3">
        <v>2</v>
      </c>
      <c r="C1995" s="5" t="s">
        <v>109</v>
      </c>
      <c r="D1995" s="3" t="s">
        <v>33</v>
      </c>
      <c r="E1995" s="100" t="str">
        <f>IFERROR(VLOOKUP(C1995,Resources!B:D,3,FALSE)," ")</f>
        <v>M</v>
      </c>
      <c r="F1995" s="8">
        <v>1</v>
      </c>
      <c r="G1995" s="8">
        <v>2</v>
      </c>
      <c r="H1995" s="8">
        <f>H1993*0.012*1.1</f>
        <v>5.28</v>
      </c>
      <c r="I1995" s="109">
        <f>IFERROR(VLOOKUP(C1995,Resources!B:G,6,FALSE)," ")</f>
        <v>450</v>
      </c>
      <c r="J1995" s="109">
        <f t="shared" ref="J1995:J1997" si="2941">(H1995/(G1995/F1995))*I1995</f>
        <v>1188</v>
      </c>
      <c r="K1995" s="8"/>
      <c r="L1995" s="8"/>
      <c r="M1995" s="109">
        <f t="shared" ref="M1995:M2001" si="2942">IF($E1995="L",$J1995,0)</f>
        <v>0</v>
      </c>
      <c r="N1995" s="109">
        <f t="shared" ref="N1995:N2001" si="2943">IF($E1995="M",$J1995,0)</f>
        <v>1188</v>
      </c>
      <c r="O1995" s="109">
        <f t="shared" ref="O1995:O2001" si="2944">IF($E1995="P",$J1995,0)</f>
        <v>0</v>
      </c>
      <c r="P1995" s="109">
        <f t="shared" ref="P1995:P2001" si="2945">IF($E1995="S",$J1995,0)</f>
        <v>0</v>
      </c>
      <c r="Q1995" s="109">
        <f t="shared" ref="Q1995:Q1997" si="2946">SUM(M1995:P1995)</f>
        <v>1188</v>
      </c>
      <c r="R1995" s="121" t="s">
        <v>2338</v>
      </c>
      <c r="T1995" s="188"/>
    </row>
    <row r="1996" spans="1:20" x14ac:dyDescent="0.25">
      <c r="A1996" s="100"/>
      <c r="B1996" s="3">
        <v>3</v>
      </c>
      <c r="C1996" s="128" t="s">
        <v>2609</v>
      </c>
      <c r="D1996" s="3"/>
      <c r="E1996" s="100"/>
      <c r="F1996" s="8"/>
      <c r="G1996" s="8"/>
      <c r="H1996" s="8"/>
      <c r="I1996" s="109"/>
      <c r="J1996" s="109"/>
      <c r="K1996" s="8"/>
      <c r="L1996" s="8"/>
      <c r="M1996" s="109"/>
      <c r="N1996" s="109"/>
      <c r="O1996" s="109"/>
      <c r="P1996" s="109"/>
      <c r="Q1996" s="109"/>
      <c r="R1996" s="121"/>
      <c r="T1996" s="188"/>
    </row>
    <row r="1997" spans="1:20" x14ac:dyDescent="0.25">
      <c r="A1997" s="100"/>
      <c r="B1997" s="3">
        <v>4</v>
      </c>
      <c r="C1997" s="5" t="s">
        <v>2197</v>
      </c>
      <c r="D1997" s="3" t="s">
        <v>33</v>
      </c>
      <c r="E1997" s="100" t="s">
        <v>2021</v>
      </c>
      <c r="F1997" s="8">
        <v>1</v>
      </c>
      <c r="G1997" s="8">
        <f>400/9</f>
        <v>44.444444444444443</v>
      </c>
      <c r="H1997" s="8">
        <f>H1993</f>
        <v>400</v>
      </c>
      <c r="I1997" s="109">
        <f>IFERROR(VLOOKUP(C1997,Resources!B:G,6,FALSE)," ")</f>
        <v>66.069999999999993</v>
      </c>
      <c r="J1997" s="109">
        <f t="shared" si="2941"/>
        <v>594.62999999999988</v>
      </c>
      <c r="K1997" s="8"/>
      <c r="L1997" s="8">
        <f>(H1997/G1997)/Workhrs</f>
        <v>1</v>
      </c>
      <c r="M1997" s="109">
        <f t="shared" si="2942"/>
        <v>0</v>
      </c>
      <c r="N1997" s="109">
        <f t="shared" si="2943"/>
        <v>0</v>
      </c>
      <c r="O1997" s="109">
        <f t="shared" si="2944"/>
        <v>594.62999999999988</v>
      </c>
      <c r="P1997" s="109">
        <f t="shared" si="2945"/>
        <v>0</v>
      </c>
      <c r="Q1997" s="109">
        <f t="shared" si="2946"/>
        <v>594.62999999999988</v>
      </c>
      <c r="R1997" s="121">
        <v>68</v>
      </c>
      <c r="T1997" s="188"/>
    </row>
    <row r="1998" spans="1:20" x14ac:dyDescent="0.25">
      <c r="A1998" s="100"/>
      <c r="B1998" s="3">
        <v>5</v>
      </c>
      <c r="C1998" s="5" t="s">
        <v>64</v>
      </c>
      <c r="D1998" s="3" t="s">
        <v>33</v>
      </c>
      <c r="E1998" s="100" t="s">
        <v>2021</v>
      </c>
      <c r="F1998" s="8">
        <v>1</v>
      </c>
      <c r="G1998" s="8">
        <f>G1997</f>
        <v>44.444444444444443</v>
      </c>
      <c r="H1998" s="8">
        <f>H1997</f>
        <v>400</v>
      </c>
      <c r="I1998" s="109">
        <f>IFERROR(VLOOKUP(C1998,Resources!B:G,6,FALSE)," ")</f>
        <v>100</v>
      </c>
      <c r="J1998" s="109">
        <f t="shared" ref="J1998:J2001" si="2947">(H1998/(G1998/F1998))*I1998</f>
        <v>900</v>
      </c>
      <c r="K1998" s="8"/>
      <c r="L1998" s="8">
        <f>(H1998/G1998)/Workhrs</f>
        <v>1</v>
      </c>
      <c r="M1998" s="109">
        <f t="shared" si="2942"/>
        <v>0</v>
      </c>
      <c r="N1998" s="109">
        <f t="shared" si="2943"/>
        <v>0</v>
      </c>
      <c r="O1998" s="109">
        <f t="shared" si="2944"/>
        <v>900</v>
      </c>
      <c r="P1998" s="109">
        <f t="shared" si="2945"/>
        <v>0</v>
      </c>
      <c r="Q1998" s="109">
        <f t="shared" ref="Q1998:Q2001" si="2948">SUM(M1998:P1998)</f>
        <v>900</v>
      </c>
      <c r="R1998" s="121">
        <v>68</v>
      </c>
      <c r="T1998" s="188"/>
    </row>
    <row r="1999" spans="1:20" x14ac:dyDescent="0.25">
      <c r="A1999" s="100"/>
      <c r="B1999" s="3">
        <v>6</v>
      </c>
      <c r="C1999" s="5" t="s">
        <v>2211</v>
      </c>
      <c r="D1999" s="3" t="s">
        <v>33</v>
      </c>
      <c r="E1999" s="100" t="s">
        <v>2021</v>
      </c>
      <c r="F1999" s="8">
        <v>1</v>
      </c>
      <c r="G1999" s="8">
        <f>G1997*9</f>
        <v>400</v>
      </c>
      <c r="H1999" s="8">
        <f>H1997</f>
        <v>400</v>
      </c>
      <c r="I1999" s="109">
        <f>IFERROR(VLOOKUP(C1999,Resources!B:G,6,FALSE)," ")</f>
        <v>365</v>
      </c>
      <c r="J1999" s="109">
        <f t="shared" si="2947"/>
        <v>365</v>
      </c>
      <c r="K1999" s="8"/>
      <c r="L1999" s="8">
        <f t="shared" ref="L1999" si="2949">H1999/G1999</f>
        <v>1</v>
      </c>
      <c r="M1999" s="109">
        <f t="shared" si="2942"/>
        <v>0</v>
      </c>
      <c r="N1999" s="109">
        <f t="shared" si="2943"/>
        <v>0</v>
      </c>
      <c r="O1999" s="109">
        <f t="shared" si="2944"/>
        <v>365</v>
      </c>
      <c r="P1999" s="109">
        <f t="shared" si="2945"/>
        <v>0</v>
      </c>
      <c r="Q1999" s="109">
        <f t="shared" si="2948"/>
        <v>365</v>
      </c>
      <c r="R1999" s="121">
        <v>68</v>
      </c>
      <c r="T1999" s="188"/>
    </row>
    <row r="2000" spans="1:20" x14ac:dyDescent="0.25">
      <c r="A2000" s="100"/>
      <c r="B2000" s="3">
        <v>7</v>
      </c>
      <c r="C2000" s="5" t="s">
        <v>39</v>
      </c>
      <c r="D2000" s="3" t="s">
        <v>33</v>
      </c>
      <c r="E2000" s="100" t="s">
        <v>2021</v>
      </c>
      <c r="F2000" s="8">
        <v>1</v>
      </c>
      <c r="G2000" s="8">
        <f>G1997</f>
        <v>44.444444444444443</v>
      </c>
      <c r="H2000" s="8">
        <f>H1997</f>
        <v>400</v>
      </c>
      <c r="I2000" s="109">
        <f>IFERROR(VLOOKUP(C2000,Resources!B:G,6,FALSE)," ")</f>
        <v>145</v>
      </c>
      <c r="J2000" s="109">
        <f t="shared" si="2947"/>
        <v>1305</v>
      </c>
      <c r="K2000" s="8"/>
      <c r="L2000" s="8">
        <f>(H2000/G2000)/Workhrs</f>
        <v>1</v>
      </c>
      <c r="M2000" s="109">
        <f t="shared" si="2942"/>
        <v>0</v>
      </c>
      <c r="N2000" s="109">
        <f t="shared" si="2943"/>
        <v>0</v>
      </c>
      <c r="O2000" s="109">
        <f t="shared" si="2944"/>
        <v>1305</v>
      </c>
      <c r="P2000" s="109">
        <f t="shared" si="2945"/>
        <v>0</v>
      </c>
      <c r="Q2000" s="109">
        <f t="shared" si="2948"/>
        <v>1305</v>
      </c>
      <c r="R2000" s="121">
        <v>68</v>
      </c>
      <c r="T2000" s="188"/>
    </row>
    <row r="2001" spans="1:22" x14ac:dyDescent="0.25">
      <c r="A2001" s="100"/>
      <c r="B2001" s="3">
        <v>8</v>
      </c>
      <c r="C2001" s="5" t="s">
        <v>8</v>
      </c>
      <c r="D2001" s="3" t="s">
        <v>33</v>
      </c>
      <c r="E2001" s="100" t="s">
        <v>2019</v>
      </c>
      <c r="F2001" s="8">
        <v>3</v>
      </c>
      <c r="G2001" s="8">
        <f>G1997</f>
        <v>44.444444444444443</v>
      </c>
      <c r="H2001" s="8">
        <f>H1997</f>
        <v>400</v>
      </c>
      <c r="I2001" s="109">
        <f>IFERROR(VLOOKUP(C2001,Resources!B:G,6,FALSE)," ")</f>
        <v>42</v>
      </c>
      <c r="J2001" s="109">
        <f t="shared" si="2947"/>
        <v>1134</v>
      </c>
      <c r="K2001" s="8"/>
      <c r="L2001" s="8">
        <f>(H2001/G2001)/Workhrs</f>
        <v>1</v>
      </c>
      <c r="M2001" s="109">
        <f t="shared" si="2942"/>
        <v>1134</v>
      </c>
      <c r="N2001" s="109">
        <f t="shared" si="2943"/>
        <v>0</v>
      </c>
      <c r="O2001" s="109">
        <f t="shared" si="2944"/>
        <v>0</v>
      </c>
      <c r="P2001" s="109">
        <f t="shared" si="2945"/>
        <v>0</v>
      </c>
      <c r="Q2001" s="109">
        <f t="shared" si="2948"/>
        <v>1134</v>
      </c>
      <c r="R2001" s="121">
        <v>68</v>
      </c>
      <c r="T2001" s="188"/>
    </row>
    <row r="2002" spans="1:22" s="138" customFormat="1" x14ac:dyDescent="0.25">
      <c r="A2002" s="139"/>
      <c r="B2002" s="140"/>
      <c r="C2002" s="140"/>
      <c r="D2002" s="141"/>
      <c r="E2002" s="142"/>
      <c r="F2002" s="143"/>
      <c r="G2002" s="143"/>
      <c r="H2002" s="143"/>
      <c r="I2002" s="144"/>
      <c r="J2002" s="144"/>
      <c r="K2002" s="143"/>
      <c r="L2002" s="143"/>
      <c r="M2002" s="144"/>
      <c r="N2002" s="144"/>
      <c r="O2002" s="144"/>
      <c r="P2002" s="144"/>
      <c r="Q2002" s="144"/>
      <c r="R2002" s="145"/>
      <c r="T2002" s="188"/>
      <c r="U2002"/>
      <c r="V2002"/>
    </row>
    <row r="2003" spans="1:22" ht="30" x14ac:dyDescent="0.25">
      <c r="A2003" s="114" t="s">
        <v>2611</v>
      </c>
      <c r="B2003" s="1" t="s">
        <v>2484</v>
      </c>
      <c r="C2003" s="1" t="s">
        <v>2485</v>
      </c>
      <c r="D2003" s="2" t="s">
        <v>2610</v>
      </c>
      <c r="E2003" s="99"/>
      <c r="F2003" s="7"/>
      <c r="G2003" s="7"/>
      <c r="H2003" s="103">
        <f>VLOOKUP($A2003,'Model Inputs'!$A:$D,4,FALSE)</f>
        <v>1</v>
      </c>
      <c r="I2003" s="108"/>
      <c r="J2003" s="108">
        <f>SUBTOTAL(9,J2005:J2026)</f>
        <v>45538.59986842105</v>
      </c>
      <c r="K2003" s="7"/>
      <c r="L2003" s="7">
        <f>ROUNDUP((MAX(L2010:L2013)+MAX(L2019:L2022))/Workhrs,0)</f>
        <v>6</v>
      </c>
      <c r="M2003" s="108">
        <f t="shared" ref="M2003:Q2003" si="2950">SUBTOTAL(9,M2005:M2026)</f>
        <v>7535.5873684210528</v>
      </c>
      <c r="N2003" s="108">
        <f t="shared" si="2950"/>
        <v>3803.2500000000005</v>
      </c>
      <c r="O2003" s="108">
        <f t="shared" si="2950"/>
        <v>34199.762499999997</v>
      </c>
      <c r="P2003" s="108">
        <f t="shared" si="2950"/>
        <v>0</v>
      </c>
      <c r="Q2003" s="108">
        <f t="shared" si="2950"/>
        <v>45538.59986842105</v>
      </c>
      <c r="R2003" s="120" t="s">
        <v>781</v>
      </c>
      <c r="T2003" s="188"/>
    </row>
    <row r="2004" spans="1:22" x14ac:dyDescent="0.25">
      <c r="A2004" s="30" t="s">
        <v>2612</v>
      </c>
      <c r="B2004" t="s">
        <v>2417</v>
      </c>
      <c r="C2004" s="16" t="s">
        <v>2486</v>
      </c>
      <c r="D2004" t="s">
        <v>86</v>
      </c>
      <c r="H2004" s="103">
        <f>VLOOKUP($A2004,'Model Inputs'!$A:$D,4,FALSE)</f>
        <v>539.9</v>
      </c>
      <c r="T2004" s="188"/>
    </row>
    <row r="2005" spans="1:22" x14ac:dyDescent="0.25">
      <c r="A2005" s="100" t="s">
        <v>2613</v>
      </c>
      <c r="B2005" s="3">
        <v>1</v>
      </c>
      <c r="C2005" s="5" t="s">
        <v>63</v>
      </c>
      <c r="D2005" s="3" t="s">
        <v>48</v>
      </c>
      <c r="E2005" s="100" t="str">
        <f>IFERROR(VLOOKUP(C2005,Resources!B:D,3,FALSE)," ")</f>
        <v>P</v>
      </c>
      <c r="F2005" s="8">
        <v>1</v>
      </c>
      <c r="G2005" s="103">
        <f>VLOOKUP($A2005,'Model Inputs'!$A:$D,4,FALSE)</f>
        <v>40</v>
      </c>
      <c r="H2005" s="8">
        <f>H2004</f>
        <v>539.9</v>
      </c>
      <c r="I2005" s="109">
        <f>IFERROR(VLOOKUP(C2005,Resources!B:G,6,FALSE)," ")</f>
        <v>135</v>
      </c>
      <c r="J2005" s="109">
        <f t="shared" ref="J2005:J2008" si="2951">(H2005/(G2005/F2005))*I2005</f>
        <v>1822.1624999999999</v>
      </c>
      <c r="K2005" s="8">
        <f t="shared" ref="K2005:K2008" si="2952">L2005*F2005</f>
        <v>13.497499999999999</v>
      </c>
      <c r="L2005" s="8">
        <f t="shared" ref="L2005:L2008" si="2953">IF(E2005="M"," ",H2005/G2005)</f>
        <v>13.497499999999999</v>
      </c>
      <c r="M2005" s="109">
        <f t="shared" ref="M2005:M2008" si="2954">IF($E2005="L",$J2005,0)</f>
        <v>0</v>
      </c>
      <c r="N2005" s="109">
        <f t="shared" ref="N2005:N2008" si="2955">IF($E2005="M",$J2005,0)</f>
        <v>0</v>
      </c>
      <c r="O2005" s="109">
        <f t="shared" ref="O2005:O2008" si="2956">IF($E2005="P",$J2005,0)</f>
        <v>1822.1624999999999</v>
      </c>
      <c r="P2005" s="109">
        <f t="shared" ref="P2005:P2008" si="2957">IF($E2005="S",$J2005,0)</f>
        <v>0</v>
      </c>
      <c r="Q2005" s="109">
        <f t="shared" ref="Q2005:Q2008" si="2958">SUM(M2005:P2005)</f>
        <v>1822.1624999999999</v>
      </c>
      <c r="R2005" s="121">
        <v>57</v>
      </c>
      <c r="T2005" s="188"/>
    </row>
    <row r="2006" spans="1:22" x14ac:dyDescent="0.25">
      <c r="A2006" s="100" t="s">
        <v>2614</v>
      </c>
      <c r="B2006" s="3">
        <v>2</v>
      </c>
      <c r="C2006" s="5" t="s">
        <v>44</v>
      </c>
      <c r="D2006" s="3" t="s">
        <v>48</v>
      </c>
      <c r="E2006" s="100" t="str">
        <f>IFERROR(VLOOKUP(C2006,Resources!B:D,3,FALSE)," ")</f>
        <v>P</v>
      </c>
      <c r="F2006" s="103">
        <f>VLOOKUP($A2006,'Model Inputs'!$A:$D,4,FALSE)</f>
        <v>4</v>
      </c>
      <c r="G2006" s="8">
        <f>G2005</f>
        <v>40</v>
      </c>
      <c r="H2006" s="8">
        <f>H2004</f>
        <v>539.9</v>
      </c>
      <c r="I2006" s="109">
        <f>IFERROR(VLOOKUP(C2006,Resources!B:G,6,FALSE)," ")</f>
        <v>145</v>
      </c>
      <c r="J2006" s="109">
        <f t="shared" si="2951"/>
        <v>7828.5499999999993</v>
      </c>
      <c r="K2006" s="8">
        <f t="shared" si="2952"/>
        <v>53.989999999999995</v>
      </c>
      <c r="L2006" s="8">
        <f t="shared" si="2953"/>
        <v>13.497499999999999</v>
      </c>
      <c r="M2006" s="109">
        <f t="shared" si="2954"/>
        <v>0</v>
      </c>
      <c r="N2006" s="109">
        <f t="shared" si="2955"/>
        <v>0</v>
      </c>
      <c r="O2006" s="109">
        <f t="shared" si="2956"/>
        <v>7828.5499999999993</v>
      </c>
      <c r="P2006" s="109">
        <f t="shared" si="2957"/>
        <v>0</v>
      </c>
      <c r="Q2006" s="109">
        <f t="shared" si="2958"/>
        <v>7828.5499999999993</v>
      </c>
      <c r="R2006" s="121">
        <v>57</v>
      </c>
      <c r="T2006" s="188"/>
    </row>
    <row r="2007" spans="1:22" x14ac:dyDescent="0.25">
      <c r="A2007" s="100"/>
      <c r="B2007" s="3">
        <v>3</v>
      </c>
      <c r="C2007" s="5" t="s">
        <v>64</v>
      </c>
      <c r="D2007" s="3" t="s">
        <v>48</v>
      </c>
      <c r="E2007" s="100" t="str">
        <f>IFERROR(VLOOKUP(C2007,Resources!B:D,3,FALSE)," ")</f>
        <v>P</v>
      </c>
      <c r="F2007" s="8">
        <v>1</v>
      </c>
      <c r="G2007" s="8">
        <f>G2005</f>
        <v>40</v>
      </c>
      <c r="H2007" s="8">
        <f>H2004</f>
        <v>539.9</v>
      </c>
      <c r="I2007" s="109">
        <f>IFERROR(VLOOKUP(C2007,Resources!B:G,6,FALSE)," ")</f>
        <v>100</v>
      </c>
      <c r="J2007" s="109">
        <f t="shared" si="2951"/>
        <v>1349.7499999999998</v>
      </c>
      <c r="K2007" s="8">
        <f t="shared" si="2952"/>
        <v>13.497499999999999</v>
      </c>
      <c r="L2007" s="8">
        <f t="shared" si="2953"/>
        <v>13.497499999999999</v>
      </c>
      <c r="M2007" s="109">
        <f t="shared" si="2954"/>
        <v>0</v>
      </c>
      <c r="N2007" s="109">
        <f t="shared" si="2955"/>
        <v>0</v>
      </c>
      <c r="O2007" s="109">
        <f t="shared" si="2956"/>
        <v>1349.7499999999998</v>
      </c>
      <c r="P2007" s="109">
        <f t="shared" si="2957"/>
        <v>0</v>
      </c>
      <c r="Q2007" s="109">
        <f t="shared" si="2958"/>
        <v>1349.7499999999998</v>
      </c>
      <c r="R2007" s="121">
        <v>57</v>
      </c>
      <c r="T2007" s="188"/>
    </row>
    <row r="2008" spans="1:22" x14ac:dyDescent="0.25">
      <c r="A2008" s="100"/>
      <c r="B2008" s="3">
        <v>4</v>
      </c>
      <c r="C2008" s="5" t="s">
        <v>8</v>
      </c>
      <c r="D2008" s="3" t="s">
        <v>48</v>
      </c>
      <c r="E2008" s="100" t="str">
        <f>IFERROR(VLOOKUP(C2008,Resources!B:D,3,FALSE)," ")</f>
        <v>L</v>
      </c>
      <c r="F2008" s="8">
        <v>1</v>
      </c>
      <c r="G2008" s="8">
        <f>G2005</f>
        <v>40</v>
      </c>
      <c r="H2008" s="8">
        <f>H2004</f>
        <v>539.9</v>
      </c>
      <c r="I2008" s="109">
        <f>IFERROR(VLOOKUP(C2008,Resources!B:G,6,FALSE)," ")</f>
        <v>42</v>
      </c>
      <c r="J2008" s="109">
        <f t="shared" si="2951"/>
        <v>566.89499999999998</v>
      </c>
      <c r="K2008" s="8">
        <f t="shared" si="2952"/>
        <v>13.497499999999999</v>
      </c>
      <c r="L2008" s="8">
        <f t="shared" si="2953"/>
        <v>13.497499999999999</v>
      </c>
      <c r="M2008" s="109">
        <f t="shared" si="2954"/>
        <v>566.89499999999998</v>
      </c>
      <c r="N2008" s="109">
        <f t="shared" si="2955"/>
        <v>0</v>
      </c>
      <c r="O2008" s="109">
        <f t="shared" si="2956"/>
        <v>0</v>
      </c>
      <c r="P2008" s="109">
        <f t="shared" si="2957"/>
        <v>0</v>
      </c>
      <c r="Q2008" s="109">
        <f t="shared" si="2958"/>
        <v>566.89499999999998</v>
      </c>
      <c r="R2008" s="121">
        <v>57</v>
      </c>
      <c r="T2008" s="188"/>
    </row>
    <row r="2009" spans="1:22" ht="30" x14ac:dyDescent="0.25">
      <c r="B2009" t="s">
        <v>2417</v>
      </c>
      <c r="C2009" s="16" t="s">
        <v>2487</v>
      </c>
      <c r="D2009" t="s">
        <v>86</v>
      </c>
      <c r="H2009" s="147">
        <f>H2004</f>
        <v>539.9</v>
      </c>
      <c r="T2009" s="188"/>
    </row>
    <row r="2010" spans="1:22" x14ac:dyDescent="0.25">
      <c r="A2010" s="100" t="s">
        <v>2615</v>
      </c>
      <c r="B2010" s="3">
        <v>5</v>
      </c>
      <c r="C2010" s="5" t="s">
        <v>63</v>
      </c>
      <c r="D2010" s="3" t="s">
        <v>48</v>
      </c>
      <c r="E2010" s="100" t="str">
        <f>IFERROR(VLOOKUP(C2010,Resources!B:D,3,FALSE)," ")</f>
        <v>P</v>
      </c>
      <c r="F2010" s="8">
        <v>1</v>
      </c>
      <c r="G2010" s="103">
        <f>VLOOKUP($A2010,'Model Inputs'!$A:$D,4,FALSE)</f>
        <v>15</v>
      </c>
      <c r="H2010" s="8">
        <f>H2009</f>
        <v>539.9</v>
      </c>
      <c r="I2010" s="109">
        <f>IFERROR(VLOOKUP(C2010,Resources!B:G,6,FALSE)," ")</f>
        <v>135</v>
      </c>
      <c r="J2010" s="109">
        <f t="shared" ref="J2010:J2013" si="2959">(H2010/(G2010/F2010))*I2010</f>
        <v>4859.0999999999995</v>
      </c>
      <c r="K2010" s="8">
        <f t="shared" ref="K2010:K2013" si="2960">L2010*F2010</f>
        <v>35.993333333333332</v>
      </c>
      <c r="L2010" s="8">
        <f t="shared" ref="L2010:L2013" si="2961">IF(E2010="M"," ",H2010/G2010)</f>
        <v>35.993333333333332</v>
      </c>
      <c r="M2010" s="109">
        <f t="shared" ref="M2010:M2013" si="2962">IF($E2010="L",$J2010,0)</f>
        <v>0</v>
      </c>
      <c r="N2010" s="109">
        <f t="shared" ref="N2010:N2013" si="2963">IF($E2010="M",$J2010,0)</f>
        <v>0</v>
      </c>
      <c r="O2010" s="109">
        <f t="shared" ref="O2010:O2013" si="2964">IF($E2010="P",$J2010,0)</f>
        <v>4859.0999999999995</v>
      </c>
      <c r="P2010" s="109">
        <f t="shared" ref="P2010:P2013" si="2965">IF($E2010="S",$J2010,0)</f>
        <v>0</v>
      </c>
      <c r="Q2010" s="109">
        <f t="shared" ref="Q2010:Q2013" si="2966">SUM(M2010:P2010)</f>
        <v>4859.0999999999995</v>
      </c>
      <c r="R2010" s="121">
        <v>57</v>
      </c>
      <c r="T2010" s="188"/>
    </row>
    <row r="2011" spans="1:22" x14ac:dyDescent="0.25">
      <c r="A2011" s="100" t="s">
        <v>2616</v>
      </c>
      <c r="B2011" s="3">
        <v>6</v>
      </c>
      <c r="C2011" s="5" t="s">
        <v>44</v>
      </c>
      <c r="D2011" s="3" t="s">
        <v>48</v>
      </c>
      <c r="E2011" s="100" t="str">
        <f>IFERROR(VLOOKUP(C2011,Resources!B:D,3,FALSE)," ")</f>
        <v>P</v>
      </c>
      <c r="F2011" s="103">
        <f>VLOOKUP($A2011,'Model Inputs'!$A:$D,4,FALSE)</f>
        <v>2</v>
      </c>
      <c r="G2011" s="8">
        <f>G2010</f>
        <v>15</v>
      </c>
      <c r="H2011" s="8">
        <f>H2009</f>
        <v>539.9</v>
      </c>
      <c r="I2011" s="109">
        <f>IFERROR(VLOOKUP(C2011,Resources!B:G,6,FALSE)," ")</f>
        <v>145</v>
      </c>
      <c r="J2011" s="109">
        <f t="shared" si="2959"/>
        <v>10438.066666666666</v>
      </c>
      <c r="K2011" s="8">
        <f t="shared" si="2960"/>
        <v>71.986666666666665</v>
      </c>
      <c r="L2011" s="8">
        <f t="shared" si="2961"/>
        <v>35.993333333333332</v>
      </c>
      <c r="M2011" s="109">
        <f t="shared" si="2962"/>
        <v>0</v>
      </c>
      <c r="N2011" s="109">
        <f t="shared" si="2963"/>
        <v>0</v>
      </c>
      <c r="O2011" s="109">
        <f t="shared" si="2964"/>
        <v>10438.066666666666</v>
      </c>
      <c r="P2011" s="109">
        <f t="shared" si="2965"/>
        <v>0</v>
      </c>
      <c r="Q2011" s="109">
        <f t="shared" si="2966"/>
        <v>10438.066666666666</v>
      </c>
      <c r="R2011" s="121">
        <v>57</v>
      </c>
      <c r="T2011" s="188"/>
    </row>
    <row r="2012" spans="1:22" x14ac:dyDescent="0.25">
      <c r="A2012" s="100"/>
      <c r="B2012" s="3">
        <v>7</v>
      </c>
      <c r="C2012" s="5" t="s">
        <v>64</v>
      </c>
      <c r="D2012" s="3" t="s">
        <v>48</v>
      </c>
      <c r="E2012" s="100" t="str">
        <f>IFERROR(VLOOKUP(C2012,Resources!B:D,3,FALSE)," ")</f>
        <v>P</v>
      </c>
      <c r="F2012" s="8">
        <v>1</v>
      </c>
      <c r="G2012" s="8">
        <f>G2010</f>
        <v>15</v>
      </c>
      <c r="H2012" s="8">
        <f>H2009</f>
        <v>539.9</v>
      </c>
      <c r="I2012" s="109">
        <f>IFERROR(VLOOKUP(C2012,Resources!B:G,6,FALSE)," ")</f>
        <v>100</v>
      </c>
      <c r="J2012" s="109">
        <f t="shared" si="2959"/>
        <v>3599.333333333333</v>
      </c>
      <c r="K2012" s="8">
        <f t="shared" si="2960"/>
        <v>35.993333333333332</v>
      </c>
      <c r="L2012" s="8">
        <f t="shared" si="2961"/>
        <v>35.993333333333332</v>
      </c>
      <c r="M2012" s="109">
        <f t="shared" si="2962"/>
        <v>0</v>
      </c>
      <c r="N2012" s="109">
        <f t="shared" si="2963"/>
        <v>0</v>
      </c>
      <c r="O2012" s="109">
        <f t="shared" si="2964"/>
        <v>3599.333333333333</v>
      </c>
      <c r="P2012" s="109">
        <f t="shared" si="2965"/>
        <v>0</v>
      </c>
      <c r="Q2012" s="109">
        <f t="shared" si="2966"/>
        <v>3599.333333333333</v>
      </c>
      <c r="R2012" s="121">
        <v>57</v>
      </c>
      <c r="T2012" s="188"/>
    </row>
    <row r="2013" spans="1:22" x14ac:dyDescent="0.25">
      <c r="A2013" s="100"/>
      <c r="B2013" s="3">
        <v>8</v>
      </c>
      <c r="C2013" s="5" t="s">
        <v>8</v>
      </c>
      <c r="D2013" s="3" t="s">
        <v>48</v>
      </c>
      <c r="E2013" s="100" t="str">
        <f>IFERROR(VLOOKUP(C2013,Resources!B:D,3,FALSE)," ")</f>
        <v>L</v>
      </c>
      <c r="F2013" s="8">
        <v>1</v>
      </c>
      <c r="G2013" s="8">
        <f>G2010</f>
        <v>15</v>
      </c>
      <c r="H2013" s="8">
        <f>H2009</f>
        <v>539.9</v>
      </c>
      <c r="I2013" s="109">
        <f>IFERROR(VLOOKUP(C2013,Resources!B:G,6,FALSE)," ")</f>
        <v>42</v>
      </c>
      <c r="J2013" s="109">
        <f t="shared" si="2959"/>
        <v>1511.72</v>
      </c>
      <c r="K2013" s="8">
        <f t="shared" si="2960"/>
        <v>35.993333333333332</v>
      </c>
      <c r="L2013" s="8">
        <f t="shared" si="2961"/>
        <v>35.993333333333332</v>
      </c>
      <c r="M2013" s="109">
        <f t="shared" si="2962"/>
        <v>1511.72</v>
      </c>
      <c r="N2013" s="109">
        <f t="shared" si="2963"/>
        <v>0</v>
      </c>
      <c r="O2013" s="109">
        <f t="shared" si="2964"/>
        <v>0</v>
      </c>
      <c r="P2013" s="109">
        <f t="shared" si="2965"/>
        <v>0</v>
      </c>
      <c r="Q2013" s="109">
        <f t="shared" si="2966"/>
        <v>1511.72</v>
      </c>
      <c r="R2013" s="121">
        <v>57</v>
      </c>
      <c r="T2013" s="188"/>
    </row>
    <row r="2014" spans="1:22" ht="30" x14ac:dyDescent="0.25">
      <c r="B2014" t="s">
        <v>2417</v>
      </c>
      <c r="C2014" s="16" t="s">
        <v>2488</v>
      </c>
      <c r="D2014" t="s">
        <v>83</v>
      </c>
      <c r="H2014" s="147">
        <v>1383</v>
      </c>
      <c r="T2014" s="188"/>
    </row>
    <row r="2015" spans="1:22" x14ac:dyDescent="0.25">
      <c r="A2015" s="100"/>
      <c r="B2015" s="3">
        <v>9</v>
      </c>
      <c r="C2015" s="5" t="s">
        <v>2089</v>
      </c>
      <c r="D2015" s="3" t="s">
        <v>83</v>
      </c>
      <c r="E2015" s="100" t="str">
        <f>IFERROR(VLOOKUP(C2015,Resources!B:D,3,FALSE)," ")</f>
        <v>M</v>
      </c>
      <c r="F2015" s="8">
        <v>1</v>
      </c>
      <c r="G2015" s="8">
        <v>1</v>
      </c>
      <c r="H2015" s="8">
        <f>H2014*1.1</f>
        <v>1521.3000000000002</v>
      </c>
      <c r="I2015" s="109">
        <f>IFERROR(VLOOKUP(C2015,Resources!B:G,6,FALSE)," ")</f>
        <v>2.5</v>
      </c>
      <c r="J2015" s="109">
        <f t="shared" ref="J2015:J2017" si="2967">(H2015/(G2015/F2015))*I2015</f>
        <v>3803.2500000000005</v>
      </c>
      <c r="K2015" s="8"/>
      <c r="L2015" s="8" t="str">
        <f t="shared" ref="L2015:L2017" si="2968">IF(E2015="M"," ",H2015/G2015)</f>
        <v xml:space="preserve"> </v>
      </c>
      <c r="M2015" s="109">
        <f t="shared" ref="M2015:M2017" si="2969">IF($E2015="L",$J2015,0)</f>
        <v>0</v>
      </c>
      <c r="N2015" s="109">
        <f t="shared" ref="N2015:N2017" si="2970">IF($E2015="M",$J2015,0)</f>
        <v>3803.2500000000005</v>
      </c>
      <c r="O2015" s="109">
        <f t="shared" ref="O2015:O2017" si="2971">IF($E2015="P",$J2015,0)</f>
        <v>0</v>
      </c>
      <c r="P2015" s="109">
        <f t="shared" ref="P2015:P2017" si="2972">IF($E2015="S",$J2015,0)</f>
        <v>0</v>
      </c>
      <c r="Q2015" s="109">
        <f t="shared" ref="Q2015:Q2017" si="2973">SUM(M2015:P2015)</f>
        <v>3803.2500000000005</v>
      </c>
      <c r="R2015" s="121">
        <v>222</v>
      </c>
      <c r="T2015" s="188"/>
    </row>
    <row r="2016" spans="1:22" x14ac:dyDescent="0.25">
      <c r="A2016" s="100" t="s">
        <v>2617</v>
      </c>
      <c r="B2016" s="3">
        <v>10</v>
      </c>
      <c r="C2016" s="5" t="s">
        <v>8</v>
      </c>
      <c r="D2016" s="3" t="s">
        <v>48</v>
      </c>
      <c r="E2016" s="100" t="str">
        <f>IFERROR(VLOOKUP(C2016,Resources!B:D,3,FALSE)," ")</f>
        <v>L</v>
      </c>
      <c r="F2016" s="8">
        <v>3</v>
      </c>
      <c r="G2016" s="103">
        <f>VLOOKUP($A2016,'Model Inputs'!$A:$D,4,FALSE)</f>
        <v>570</v>
      </c>
      <c r="H2016" s="8">
        <f>H2015</f>
        <v>1521.3000000000002</v>
      </c>
      <c r="I2016" s="109">
        <f>IFERROR(VLOOKUP(C2016,Resources!B:G,6,FALSE)," ")</f>
        <v>42</v>
      </c>
      <c r="J2016" s="109">
        <f t="shared" si="2967"/>
        <v>336.28736842105269</v>
      </c>
      <c r="K2016" s="8">
        <f t="shared" ref="K2016:K2017" si="2974">L2016*F2016</f>
        <v>8.0068421052631589</v>
      </c>
      <c r="L2016" s="8">
        <f t="shared" si="2968"/>
        <v>2.668947368421053</v>
      </c>
      <c r="M2016" s="109">
        <f t="shared" si="2969"/>
        <v>336.28736842105269</v>
      </c>
      <c r="N2016" s="109">
        <f t="shared" si="2970"/>
        <v>0</v>
      </c>
      <c r="O2016" s="109">
        <f t="shared" si="2971"/>
        <v>0</v>
      </c>
      <c r="P2016" s="109">
        <f t="shared" si="2972"/>
        <v>0</v>
      </c>
      <c r="Q2016" s="109">
        <f t="shared" si="2973"/>
        <v>336.28736842105269</v>
      </c>
      <c r="R2016" s="121">
        <v>222</v>
      </c>
      <c r="T2016" s="188"/>
    </row>
    <row r="2017" spans="1:22" x14ac:dyDescent="0.25">
      <c r="A2017" s="100"/>
      <c r="B2017" s="3">
        <v>11</v>
      </c>
      <c r="C2017" s="5" t="s">
        <v>45</v>
      </c>
      <c r="D2017" s="3" t="s">
        <v>48</v>
      </c>
      <c r="E2017" s="100" t="str">
        <f>IFERROR(VLOOKUP(C2017,Resources!B:D,3,FALSE)," ")</f>
        <v>P</v>
      </c>
      <c r="F2017" s="8">
        <v>1</v>
      </c>
      <c r="G2017" s="8">
        <f>G2016</f>
        <v>570</v>
      </c>
      <c r="H2017" s="8">
        <f>H2015</f>
        <v>1521.3000000000002</v>
      </c>
      <c r="I2017" s="109">
        <f>IFERROR(VLOOKUP(C2017,Resources!B:G,6,FALSE)," ")</f>
        <v>95</v>
      </c>
      <c r="J2017" s="109">
        <f t="shared" si="2967"/>
        <v>253.55000000000004</v>
      </c>
      <c r="K2017" s="8">
        <f t="shared" si="2974"/>
        <v>2.668947368421053</v>
      </c>
      <c r="L2017" s="8">
        <f t="shared" si="2968"/>
        <v>2.668947368421053</v>
      </c>
      <c r="M2017" s="109">
        <f t="shared" si="2969"/>
        <v>0</v>
      </c>
      <c r="N2017" s="109">
        <f t="shared" si="2970"/>
        <v>0</v>
      </c>
      <c r="O2017" s="109">
        <f t="shared" si="2971"/>
        <v>253.55000000000004</v>
      </c>
      <c r="P2017" s="109">
        <f t="shared" si="2972"/>
        <v>0</v>
      </c>
      <c r="Q2017" s="109">
        <f t="shared" si="2973"/>
        <v>253.55000000000004</v>
      </c>
      <c r="R2017" s="121">
        <v>222</v>
      </c>
      <c r="T2017" s="188"/>
    </row>
    <row r="2018" spans="1:22" ht="30" x14ac:dyDescent="0.25">
      <c r="C2018" s="16" t="s">
        <v>2489</v>
      </c>
      <c r="D2018" t="s">
        <v>86</v>
      </c>
      <c r="H2018" s="148">
        <f>H2004</f>
        <v>539.9</v>
      </c>
      <c r="T2018" s="188"/>
    </row>
    <row r="2019" spans="1:22" x14ac:dyDescent="0.25">
      <c r="A2019" s="100" t="s">
        <v>2618</v>
      </c>
      <c r="B2019" s="3">
        <v>12</v>
      </c>
      <c r="C2019" s="5" t="s">
        <v>39</v>
      </c>
      <c r="D2019" s="3" t="s">
        <v>48</v>
      </c>
      <c r="E2019" s="100" t="str">
        <f>IFERROR(VLOOKUP(C2019,Resources!B:D,3,FALSE)," ")</f>
        <v>P</v>
      </c>
      <c r="F2019" s="8">
        <v>1</v>
      </c>
      <c r="G2019" s="103">
        <f>VLOOKUP($A2019,'Model Inputs'!$A:$D,4,FALSE)</f>
        <v>40</v>
      </c>
      <c r="H2019" s="8">
        <f>H2018</f>
        <v>539.9</v>
      </c>
      <c r="I2019" s="109">
        <f>IFERROR(VLOOKUP(C2019,Resources!B:G,6,FALSE)," ")</f>
        <v>145</v>
      </c>
      <c r="J2019" s="109">
        <f t="shared" ref="J2019:J2022" si="2975">(H2019/(G2019/F2019))*I2019</f>
        <v>1957.1374999999998</v>
      </c>
      <c r="K2019" s="8">
        <f t="shared" ref="K2019:K2022" si="2976">L2019*F2019</f>
        <v>13.497499999999999</v>
      </c>
      <c r="L2019" s="8">
        <f t="shared" ref="L2019:L2022" si="2977">IF(E2019="M"," ",H2019/G2019)</f>
        <v>13.497499999999999</v>
      </c>
      <c r="M2019" s="109">
        <f t="shared" ref="M2019:M2022" si="2978">IF($E2019="L",$J2019,0)</f>
        <v>0</v>
      </c>
      <c r="N2019" s="109">
        <f t="shared" ref="N2019:N2022" si="2979">IF($E2019="M",$J2019,0)</f>
        <v>0</v>
      </c>
      <c r="O2019" s="109">
        <f t="shared" ref="O2019:O2022" si="2980">IF($E2019="P",$J2019,0)</f>
        <v>1957.1374999999998</v>
      </c>
      <c r="P2019" s="109">
        <f t="shared" ref="P2019:P2022" si="2981">IF($E2019="S",$J2019,0)</f>
        <v>0</v>
      </c>
      <c r="Q2019" s="109">
        <f t="shared" ref="Q2019:Q2022" si="2982">SUM(M2019:P2019)</f>
        <v>1957.1374999999998</v>
      </c>
      <c r="R2019" s="121">
        <v>57</v>
      </c>
      <c r="T2019" s="188"/>
    </row>
    <row r="2020" spans="1:22" x14ac:dyDescent="0.25">
      <c r="A2020" s="100"/>
      <c r="B2020" s="3">
        <v>13</v>
      </c>
      <c r="C2020" s="5" t="s">
        <v>69</v>
      </c>
      <c r="D2020" s="3" t="s">
        <v>48</v>
      </c>
      <c r="E2020" s="100" t="str">
        <f>IFERROR(VLOOKUP(C2020,Resources!B:D,3,FALSE)," ")</f>
        <v>P</v>
      </c>
      <c r="F2020" s="8">
        <v>1</v>
      </c>
      <c r="G2020" s="8">
        <f>G2019</f>
        <v>40</v>
      </c>
      <c r="H2020" s="8">
        <f>H2019</f>
        <v>539.9</v>
      </c>
      <c r="I2020" s="109">
        <f>IFERROR(VLOOKUP(C2020,Resources!B:G,6,FALSE)," ")</f>
        <v>55</v>
      </c>
      <c r="J2020" s="109">
        <f t="shared" si="2975"/>
        <v>742.36249999999995</v>
      </c>
      <c r="K2020" s="8">
        <f t="shared" si="2976"/>
        <v>13.497499999999999</v>
      </c>
      <c r="L2020" s="8">
        <f t="shared" si="2977"/>
        <v>13.497499999999999</v>
      </c>
      <c r="M2020" s="109">
        <f t="shared" si="2978"/>
        <v>0</v>
      </c>
      <c r="N2020" s="109">
        <f t="shared" si="2979"/>
        <v>0</v>
      </c>
      <c r="O2020" s="109">
        <f t="shared" si="2980"/>
        <v>742.36249999999995</v>
      </c>
      <c r="P2020" s="109">
        <f t="shared" si="2981"/>
        <v>0</v>
      </c>
      <c r="Q2020" s="109">
        <f t="shared" si="2982"/>
        <v>742.36249999999995</v>
      </c>
      <c r="R2020" s="121">
        <v>57</v>
      </c>
      <c r="T2020" s="188"/>
    </row>
    <row r="2021" spans="1:22" x14ac:dyDescent="0.25">
      <c r="A2021" s="100"/>
      <c r="B2021" s="3">
        <v>14</v>
      </c>
      <c r="C2021" s="5" t="s">
        <v>64</v>
      </c>
      <c r="D2021" s="3" t="s">
        <v>48</v>
      </c>
      <c r="E2021" s="100" t="str">
        <f>IFERROR(VLOOKUP(C2021,Resources!B:D,3,FALSE)," ")</f>
        <v>P</v>
      </c>
      <c r="F2021" s="8">
        <v>1</v>
      </c>
      <c r="G2021" s="8">
        <f>G2019</f>
        <v>40</v>
      </c>
      <c r="H2021" s="8">
        <f t="shared" ref="H2021:H2022" si="2983">H2020</f>
        <v>539.9</v>
      </c>
      <c r="I2021" s="109">
        <f>IFERROR(VLOOKUP(C2021,Resources!B:G,6,FALSE)," ")</f>
        <v>100</v>
      </c>
      <c r="J2021" s="109">
        <f t="shared" si="2975"/>
        <v>1349.7499999999998</v>
      </c>
      <c r="K2021" s="8">
        <f t="shared" si="2976"/>
        <v>13.497499999999999</v>
      </c>
      <c r="L2021" s="8">
        <f t="shared" si="2977"/>
        <v>13.497499999999999</v>
      </c>
      <c r="M2021" s="109">
        <f t="shared" si="2978"/>
        <v>0</v>
      </c>
      <c r="N2021" s="109">
        <f t="shared" si="2979"/>
        <v>0</v>
      </c>
      <c r="O2021" s="109">
        <f t="shared" si="2980"/>
        <v>1349.7499999999998</v>
      </c>
      <c r="P2021" s="109">
        <f t="shared" si="2981"/>
        <v>0</v>
      </c>
      <c r="Q2021" s="109">
        <f t="shared" si="2982"/>
        <v>1349.7499999999998</v>
      </c>
      <c r="R2021" s="121">
        <v>57</v>
      </c>
      <c r="T2021" s="188"/>
    </row>
    <row r="2022" spans="1:22" x14ac:dyDescent="0.25">
      <c r="A2022" s="100"/>
      <c r="B2022" s="3">
        <v>15</v>
      </c>
      <c r="C2022" s="5" t="s">
        <v>8</v>
      </c>
      <c r="D2022" s="3" t="s">
        <v>48</v>
      </c>
      <c r="E2022" s="100" t="str">
        <f>IFERROR(VLOOKUP(C2022,Resources!B:D,3,FALSE)," ")</f>
        <v>L</v>
      </c>
      <c r="F2022" s="8">
        <v>3</v>
      </c>
      <c r="G2022" s="8">
        <f>G2019</f>
        <v>40</v>
      </c>
      <c r="H2022" s="8">
        <f t="shared" si="2983"/>
        <v>539.9</v>
      </c>
      <c r="I2022" s="109">
        <f>IFERROR(VLOOKUP(C2022,Resources!B:G,6,FALSE)," ")</f>
        <v>42</v>
      </c>
      <c r="J2022" s="109">
        <f t="shared" si="2975"/>
        <v>1700.6849999999999</v>
      </c>
      <c r="K2022" s="8">
        <f t="shared" si="2976"/>
        <v>40.492499999999993</v>
      </c>
      <c r="L2022" s="8">
        <f t="shared" si="2977"/>
        <v>13.497499999999999</v>
      </c>
      <c r="M2022" s="109">
        <f t="shared" si="2978"/>
        <v>1700.6849999999999</v>
      </c>
      <c r="N2022" s="109">
        <f t="shared" si="2979"/>
        <v>0</v>
      </c>
      <c r="O2022" s="109">
        <f t="shared" si="2980"/>
        <v>0</v>
      </c>
      <c r="P2022" s="109">
        <f t="shared" si="2981"/>
        <v>0</v>
      </c>
      <c r="Q2022" s="109">
        <f t="shared" si="2982"/>
        <v>1700.6849999999999</v>
      </c>
      <c r="R2022" s="121">
        <v>57</v>
      </c>
      <c r="T2022" s="188"/>
    </row>
    <row r="2023" spans="1:22" x14ac:dyDescent="0.25">
      <c r="H2023" s="146"/>
      <c r="T2023" s="188"/>
    </row>
    <row r="2024" spans="1:22" ht="15.95" customHeight="1" x14ac:dyDescent="0.25">
      <c r="A2024" s="100"/>
      <c r="B2024" s="3">
        <v>16</v>
      </c>
      <c r="C2024" s="5" t="s">
        <v>47</v>
      </c>
      <c r="D2024" s="3" t="s">
        <v>33</v>
      </c>
      <c r="E2024" s="100" t="str">
        <f>IFERROR(VLOOKUP(C2024,Resources!B:D,3,FALSE)," ")</f>
        <v>L</v>
      </c>
      <c r="F2024" s="8">
        <v>2</v>
      </c>
      <c r="G2024" s="8">
        <v>1</v>
      </c>
      <c r="H2024" s="8">
        <f>H2003*14/40</f>
        <v>0.35</v>
      </c>
      <c r="I2024" s="109">
        <f>IFERROR(VLOOKUP(C2024,Resources!B:G,6,FALSE)," ")</f>
        <v>3350</v>
      </c>
      <c r="J2024" s="109">
        <f t="shared" ref="J2024" si="2984">(H2024/(G2024/F2024))*I2024</f>
        <v>2345</v>
      </c>
      <c r="K2024" s="8"/>
      <c r="L2024" s="8">
        <f t="shared" ref="L2024" si="2985">H2024/G2024</f>
        <v>0.35</v>
      </c>
      <c r="M2024" s="109">
        <f t="shared" ref="M2024:M2026" si="2986">IF($E2024="L",$J2024,0)</f>
        <v>2345</v>
      </c>
      <c r="N2024" s="109">
        <f t="shared" ref="N2024:N2026" si="2987">IF($E2024="M",$J2024,0)</f>
        <v>0</v>
      </c>
      <c r="O2024" s="109">
        <f t="shared" ref="O2024:O2026" si="2988">IF($E2024="P",$J2024,0)</f>
        <v>0</v>
      </c>
      <c r="P2024" s="109">
        <f t="shared" ref="P2024:P2026" si="2989">IF($E2024="S",$J2024,0)</f>
        <v>0</v>
      </c>
      <c r="Q2024" s="109">
        <f t="shared" ref="Q2024" si="2990">SUM(M2024:P2024)</f>
        <v>2345</v>
      </c>
      <c r="R2024" s="121">
        <v>901</v>
      </c>
      <c r="T2024" s="188"/>
    </row>
    <row r="2025" spans="1:22" ht="15.95" customHeight="1" x14ac:dyDescent="0.25">
      <c r="A2025" s="100"/>
      <c r="B2025" s="3">
        <v>17</v>
      </c>
      <c r="C2025" s="5" t="s">
        <v>21</v>
      </c>
      <c r="D2025" s="3" t="s">
        <v>33</v>
      </c>
      <c r="E2025" s="100" t="str">
        <f>IFERROR(VLOOKUP(C2025,Resources!B:D,3,FALSE)," ")</f>
        <v>L</v>
      </c>
      <c r="F2025" s="8">
        <v>2</v>
      </c>
      <c r="G2025" s="8">
        <v>1</v>
      </c>
      <c r="H2025" s="8">
        <f>H2003*4/40</f>
        <v>0.1</v>
      </c>
      <c r="I2025" s="109">
        <f>IFERROR(VLOOKUP(C2025,Resources!B:G,6,FALSE)," ")</f>
        <v>3250</v>
      </c>
      <c r="J2025" s="109">
        <f t="shared" ref="J2025:J2026" si="2991">(H2025/(G2025/F2025))*I2025</f>
        <v>650</v>
      </c>
      <c r="K2025" s="8"/>
      <c r="L2025" s="8">
        <f t="shared" ref="L2025:L2026" si="2992">H2025/G2025</f>
        <v>0.1</v>
      </c>
      <c r="M2025" s="109">
        <f t="shared" si="2986"/>
        <v>650</v>
      </c>
      <c r="N2025" s="109">
        <f t="shared" si="2987"/>
        <v>0</v>
      </c>
      <c r="O2025" s="109">
        <f t="shared" si="2988"/>
        <v>0</v>
      </c>
      <c r="P2025" s="109">
        <f t="shared" si="2989"/>
        <v>0</v>
      </c>
      <c r="Q2025" s="109">
        <f t="shared" ref="Q2025:Q2026" si="2993">SUM(M2025:P2025)</f>
        <v>650</v>
      </c>
      <c r="R2025" s="121">
        <v>902</v>
      </c>
      <c r="T2025" s="188"/>
    </row>
    <row r="2026" spans="1:22" ht="15.95" customHeight="1" x14ac:dyDescent="0.25">
      <c r="A2026" s="100"/>
      <c r="B2026" s="3">
        <v>18</v>
      </c>
      <c r="C2026" s="5" t="s">
        <v>2042</v>
      </c>
      <c r="D2026" s="3" t="s">
        <v>33</v>
      </c>
      <c r="E2026" s="100" t="str">
        <f>IFERROR(VLOOKUP(C2026,Resources!B:D,3,FALSE)," ")</f>
        <v>L</v>
      </c>
      <c r="F2026" s="8">
        <v>2</v>
      </c>
      <c r="G2026" s="8">
        <v>1</v>
      </c>
      <c r="H2026" s="8">
        <f>H2003*2/40</f>
        <v>0.05</v>
      </c>
      <c r="I2026" s="109">
        <f>IFERROR(VLOOKUP(C2026,Resources!B:G,6,FALSE)," ")</f>
        <v>4250</v>
      </c>
      <c r="J2026" s="109">
        <f t="shared" si="2991"/>
        <v>425</v>
      </c>
      <c r="K2026" s="8"/>
      <c r="L2026" s="8">
        <f t="shared" si="2992"/>
        <v>0.05</v>
      </c>
      <c r="M2026" s="109">
        <f t="shared" si="2986"/>
        <v>425</v>
      </c>
      <c r="N2026" s="109">
        <f t="shared" si="2987"/>
        <v>0</v>
      </c>
      <c r="O2026" s="109">
        <f t="shared" si="2988"/>
        <v>0</v>
      </c>
      <c r="P2026" s="109">
        <f t="shared" si="2989"/>
        <v>0</v>
      </c>
      <c r="Q2026" s="109">
        <f t="shared" si="2993"/>
        <v>425</v>
      </c>
      <c r="R2026" s="121">
        <v>901</v>
      </c>
      <c r="T2026" s="188"/>
    </row>
    <row r="2027" spans="1:22" x14ac:dyDescent="0.25">
      <c r="A2027" s="101"/>
      <c r="B2027" s="4"/>
      <c r="C2027" s="6"/>
      <c r="D2027" s="4"/>
      <c r="I2027" s="38"/>
      <c r="M2027" s="38"/>
      <c r="N2027" s="38"/>
      <c r="O2027" s="38"/>
      <c r="P2027" s="38"/>
      <c r="Q2027" s="38"/>
      <c r="R2027" s="123"/>
      <c r="T2027" s="188"/>
    </row>
    <row r="2028" spans="1:22" ht="30" x14ac:dyDescent="0.25">
      <c r="A2028" s="114" t="s">
        <v>2619</v>
      </c>
      <c r="B2028" s="1" t="s">
        <v>2434</v>
      </c>
      <c r="C2028" s="1" t="s">
        <v>2435</v>
      </c>
      <c r="D2028" s="2" t="s">
        <v>2416</v>
      </c>
      <c r="E2028" s="99"/>
      <c r="F2028" s="7"/>
      <c r="G2028" s="7"/>
      <c r="H2028" s="7">
        <v>1</v>
      </c>
      <c r="I2028" s="108"/>
      <c r="J2028" s="108">
        <f>SUBTOTAL(9,J2031:J2069)</f>
        <v>21720.472398507034</v>
      </c>
      <c r="K2028" s="7"/>
      <c r="L2028" s="7">
        <f>SUM(L2030,L2036,L2042,L2048,L2068)</f>
        <v>7</v>
      </c>
      <c r="M2028" s="108">
        <f t="shared" ref="M2028:Q2028" si="2994">SUBTOTAL(9,M2031:M2069)</f>
        <v>358.6</v>
      </c>
      <c r="N2028" s="108">
        <f t="shared" si="2994"/>
        <v>16139.038077519381</v>
      </c>
      <c r="O2028" s="108">
        <f t="shared" si="2994"/>
        <v>184.00000000000003</v>
      </c>
      <c r="P2028" s="108">
        <f t="shared" si="2994"/>
        <v>5038.8343209876548</v>
      </c>
      <c r="Q2028" s="108">
        <f t="shared" si="2994"/>
        <v>21720.472398507034</v>
      </c>
      <c r="R2028" s="120" t="s">
        <v>781</v>
      </c>
      <c r="T2028" s="188"/>
    </row>
    <row r="2029" spans="1:22" s="10" customFormat="1" x14ac:dyDescent="0.25">
      <c r="A2029" s="29" t="s">
        <v>2622</v>
      </c>
      <c r="B2029" s="10" t="s">
        <v>2417</v>
      </c>
      <c r="C2029" s="11" t="s">
        <v>2436</v>
      </c>
      <c r="D2029" s="10" t="s">
        <v>89</v>
      </c>
      <c r="H2029" s="103">
        <f>VLOOKUP($A2029,'Model Inputs'!$A:$D,4,FALSE)</f>
        <v>66.400000000000006</v>
      </c>
      <c r="I2029" s="113"/>
      <c r="J2029" s="113"/>
      <c r="M2029" s="113"/>
      <c r="N2029" s="113"/>
      <c r="O2029" s="113"/>
      <c r="P2029" s="113"/>
      <c r="Q2029" s="113"/>
      <c r="R2029" s="119"/>
      <c r="T2029" s="188"/>
      <c r="U2029"/>
      <c r="V2029"/>
    </row>
    <row r="2030" spans="1:22" s="75" customFormat="1" ht="30" x14ac:dyDescent="0.25">
      <c r="A2030" s="149"/>
      <c r="B2030" s="150">
        <v>1</v>
      </c>
      <c r="C2030" s="151" t="s">
        <v>196</v>
      </c>
      <c r="D2030" s="150"/>
      <c r="E2030" s="149" t="str">
        <f>IFERROR(VLOOKUP(C2030,Resources!B:D,3,FALSE)," ")</f>
        <v xml:space="preserve"> </v>
      </c>
      <c r="F2030" s="152"/>
      <c r="G2030" s="152"/>
      <c r="H2030" s="152"/>
      <c r="I2030" s="153" t="str">
        <f>IFERROR(VLOOKUP(C2030,Resources!B:G,6,FALSE)," ")</f>
        <v xml:space="preserve"> </v>
      </c>
      <c r="J2030" s="153"/>
      <c r="K2030" s="152"/>
      <c r="L2030" s="152">
        <f>ROUNDUP(L2034,0)</f>
        <v>1</v>
      </c>
      <c r="M2030" s="153"/>
      <c r="N2030" s="153"/>
      <c r="O2030" s="153"/>
      <c r="P2030" s="153"/>
      <c r="Q2030" s="153"/>
      <c r="R2030" s="154"/>
      <c r="T2030" s="188"/>
      <c r="U2030"/>
      <c r="V2030"/>
    </row>
    <row r="2031" spans="1:22" x14ac:dyDescent="0.25">
      <c r="A2031" s="100"/>
      <c r="B2031" s="3">
        <v>2</v>
      </c>
      <c r="C2031" s="5" t="s">
        <v>197</v>
      </c>
      <c r="D2031" s="3" t="s">
        <v>86</v>
      </c>
      <c r="E2031" s="100" t="str">
        <f>IFERROR(VLOOKUP(C2031,Resources!B:D,3,FALSE)," ")</f>
        <v>M</v>
      </c>
      <c r="F2031" s="8">
        <v>1</v>
      </c>
      <c r="G2031" s="8">
        <v>1</v>
      </c>
      <c r="H2031" s="8">
        <f>H2029/8.6</f>
        <v>7.7209302325581408</v>
      </c>
      <c r="I2031" s="109">
        <f>IFERROR(VLOOKUP(C2031,Resources!B:G,6,FALSE)," ")</f>
        <v>190</v>
      </c>
      <c r="J2031" s="109">
        <f t="shared" ref="J2031:J2034" si="2995">(H2031/(G2031/F2031))*I2031</f>
        <v>1466.9767441860467</v>
      </c>
      <c r="K2031" s="8"/>
      <c r="L2031" s="8" t="str">
        <f t="shared" ref="L2031:L2033" si="2996">IF(E2031="M"," ",H2031/G2031)</f>
        <v xml:space="preserve"> </v>
      </c>
      <c r="M2031" s="109">
        <f t="shared" ref="M2031:M2034" si="2997">IF($E2031="L",$J2031,0)</f>
        <v>0</v>
      </c>
      <c r="N2031" s="109">
        <f t="shared" ref="N2031:N2034" si="2998">IF($E2031="M",$J2031,0)</f>
        <v>1466.9767441860467</v>
      </c>
      <c r="O2031" s="109">
        <f t="shared" ref="O2031:O2034" si="2999">IF($E2031="P",$J2031,0)</f>
        <v>0</v>
      </c>
      <c r="P2031" s="109">
        <f t="shared" ref="P2031:P2034" si="3000">IF($E2031="S",$J2031,0)</f>
        <v>0</v>
      </c>
      <c r="Q2031" s="109">
        <f t="shared" ref="Q2031:Q2034" si="3001">SUM(M2031:P2031)</f>
        <v>1466.9767441860467</v>
      </c>
      <c r="R2031" s="121" t="s">
        <v>2337</v>
      </c>
      <c r="T2031" s="188"/>
    </row>
    <row r="2032" spans="1:22" x14ac:dyDescent="0.25">
      <c r="A2032" s="100"/>
      <c r="B2032" s="3">
        <v>3</v>
      </c>
      <c r="C2032" s="5" t="s">
        <v>81</v>
      </c>
      <c r="D2032" s="3" t="s">
        <v>82</v>
      </c>
      <c r="E2032" s="100" t="str">
        <f>IFERROR(VLOOKUP(C2032,Resources!B:D,3,FALSE)," ")</f>
        <v>M</v>
      </c>
      <c r="F2032" s="8">
        <v>1</v>
      </c>
      <c r="G2032" s="8">
        <v>1</v>
      </c>
      <c r="H2032" s="8">
        <f>H2029/75</f>
        <v>0.88533333333333342</v>
      </c>
      <c r="I2032" s="109">
        <f>IFERROR(VLOOKUP(C2032,Resources!B:G,6,FALSE)," ")</f>
        <v>24</v>
      </c>
      <c r="J2032" s="109">
        <f t="shared" si="2995"/>
        <v>21.248000000000001</v>
      </c>
      <c r="K2032" s="8"/>
      <c r="L2032" s="8" t="str">
        <f t="shared" si="2996"/>
        <v xml:space="preserve"> </v>
      </c>
      <c r="M2032" s="109">
        <f t="shared" si="2997"/>
        <v>0</v>
      </c>
      <c r="N2032" s="109">
        <f t="shared" si="2998"/>
        <v>21.248000000000001</v>
      </c>
      <c r="O2032" s="109">
        <f t="shared" si="2999"/>
        <v>0</v>
      </c>
      <c r="P2032" s="109">
        <f t="shared" si="3000"/>
        <v>0</v>
      </c>
      <c r="Q2032" s="109">
        <f t="shared" si="3001"/>
        <v>21.248000000000001</v>
      </c>
      <c r="R2032" s="121" t="s">
        <v>2341</v>
      </c>
      <c r="T2032" s="188"/>
    </row>
    <row r="2033" spans="1:22" x14ac:dyDescent="0.25">
      <c r="A2033" s="100"/>
      <c r="B2033" s="3">
        <v>4</v>
      </c>
      <c r="C2033" s="5" t="s">
        <v>109</v>
      </c>
      <c r="D2033" s="3" t="s">
        <v>82</v>
      </c>
      <c r="E2033" s="100" t="str">
        <f>IFERROR(VLOOKUP(C2033,Resources!B:D,3,FALSE)," ")</f>
        <v>M</v>
      </c>
      <c r="F2033" s="8">
        <v>1</v>
      </c>
      <c r="G2033" s="8">
        <v>1</v>
      </c>
      <c r="H2033" s="8">
        <f>H2032/8</f>
        <v>0.11066666666666668</v>
      </c>
      <c r="I2033" s="109">
        <f>IFERROR(VLOOKUP(C2033,Resources!B:G,6,FALSE)," ")</f>
        <v>450</v>
      </c>
      <c r="J2033" s="109">
        <f t="shared" si="2995"/>
        <v>49.800000000000004</v>
      </c>
      <c r="K2033" s="8"/>
      <c r="L2033" s="8" t="str">
        <f t="shared" si="2996"/>
        <v xml:space="preserve"> </v>
      </c>
      <c r="M2033" s="109">
        <f t="shared" si="2997"/>
        <v>0</v>
      </c>
      <c r="N2033" s="109">
        <f t="shared" si="2998"/>
        <v>49.800000000000004</v>
      </c>
      <c r="O2033" s="109">
        <f t="shared" si="2999"/>
        <v>0</v>
      </c>
      <c r="P2033" s="109">
        <f t="shared" si="3000"/>
        <v>0</v>
      </c>
      <c r="Q2033" s="109">
        <f t="shared" si="3001"/>
        <v>49.800000000000004</v>
      </c>
      <c r="R2033" s="121" t="s">
        <v>2338</v>
      </c>
      <c r="T2033" s="188"/>
    </row>
    <row r="2034" spans="1:22" x14ac:dyDescent="0.25">
      <c r="A2034" s="100"/>
      <c r="B2034" s="3">
        <v>5</v>
      </c>
      <c r="C2034" s="5" t="s">
        <v>198</v>
      </c>
      <c r="D2034" s="3" t="s">
        <v>89</v>
      </c>
      <c r="E2034" s="100" t="str">
        <f>IFERROR(VLOOKUP(C2034,Resources!B:D,3,FALSE)," ")</f>
        <v>S</v>
      </c>
      <c r="F2034" s="8">
        <v>1</v>
      </c>
      <c r="G2034" s="8">
        <v>1</v>
      </c>
      <c r="H2034" s="8">
        <f>H2029</f>
        <v>66.400000000000006</v>
      </c>
      <c r="I2034" s="109">
        <f>IFERROR(VLOOKUP(C2034,Resources!B:G,6,FALSE)," ")</f>
        <v>30</v>
      </c>
      <c r="J2034" s="109">
        <f t="shared" si="2995"/>
        <v>1992.0000000000002</v>
      </c>
      <c r="K2034" s="8"/>
      <c r="L2034" s="8">
        <f>H2034/200</f>
        <v>0.33200000000000002</v>
      </c>
      <c r="M2034" s="109">
        <f t="shared" si="2997"/>
        <v>0</v>
      </c>
      <c r="N2034" s="109">
        <f t="shared" si="2998"/>
        <v>0</v>
      </c>
      <c r="O2034" s="109">
        <f t="shared" si="2999"/>
        <v>0</v>
      </c>
      <c r="P2034" s="109">
        <f t="shared" si="3000"/>
        <v>1992.0000000000002</v>
      </c>
      <c r="Q2034" s="109">
        <f t="shared" si="3001"/>
        <v>1992.0000000000002</v>
      </c>
      <c r="R2034" s="121">
        <v>71</v>
      </c>
      <c r="T2034" s="188"/>
    </row>
    <row r="2035" spans="1:22" x14ac:dyDescent="0.25">
      <c r="T2035" s="188"/>
    </row>
    <row r="2036" spans="1:22" s="10" customFormat="1" x14ac:dyDescent="0.25">
      <c r="A2036" s="29" t="s">
        <v>2621</v>
      </c>
      <c r="B2036" s="10" t="s">
        <v>2417</v>
      </c>
      <c r="C2036" s="11" t="s">
        <v>2437</v>
      </c>
      <c r="D2036" s="10" t="s">
        <v>86</v>
      </c>
      <c r="H2036" s="103">
        <f>VLOOKUP($A2036,'Model Inputs'!$A:$D,4,FALSE)</f>
        <v>70</v>
      </c>
      <c r="I2036" s="113"/>
      <c r="J2036" s="113"/>
      <c r="L2036" s="13">
        <f>ROUNDUP(L2037,0)</f>
        <v>1</v>
      </c>
      <c r="M2036" s="113"/>
      <c r="N2036" s="113"/>
      <c r="O2036" s="113"/>
      <c r="P2036" s="113"/>
      <c r="Q2036" s="113"/>
      <c r="R2036" s="119" t="s">
        <v>781</v>
      </c>
      <c r="T2036" s="188"/>
      <c r="U2036"/>
      <c r="V2036"/>
    </row>
    <row r="2037" spans="1:22" x14ac:dyDescent="0.25">
      <c r="A2037" s="100"/>
      <c r="B2037" s="3">
        <v>1</v>
      </c>
      <c r="C2037" s="5" t="s">
        <v>188</v>
      </c>
      <c r="D2037" s="3" t="s">
        <v>86</v>
      </c>
      <c r="E2037" s="100" t="str">
        <f>IFERROR(VLOOKUP(C2037,Resources!B:D,3,FALSE)," ")</f>
        <v>M</v>
      </c>
      <c r="F2037" s="8">
        <v>1</v>
      </c>
      <c r="G2037" s="8">
        <v>1</v>
      </c>
      <c r="H2037" s="8">
        <f>H2036*1.1</f>
        <v>77</v>
      </c>
      <c r="I2037" s="109">
        <f>IFERROR(VLOOKUP(C2037,Resources!B:G,6,FALSE)," ")</f>
        <v>170</v>
      </c>
      <c r="J2037" s="109">
        <f t="shared" ref="J2037" si="3002">(H2037/(G2037/F2037))*I2037</f>
        <v>13090</v>
      </c>
      <c r="K2037" s="8"/>
      <c r="L2037" s="8">
        <f>H2037/100</f>
        <v>0.77</v>
      </c>
      <c r="M2037" s="109">
        <f t="shared" ref="M2037" si="3003">IF($E2037="L",$J2037,0)</f>
        <v>0</v>
      </c>
      <c r="N2037" s="109">
        <f t="shared" ref="N2037" si="3004">IF($E2037="M",$J2037,0)</f>
        <v>13090</v>
      </c>
      <c r="O2037" s="109">
        <f t="shared" ref="O2037" si="3005">IF($E2037="P",$J2037,0)</f>
        <v>0</v>
      </c>
      <c r="P2037" s="109">
        <f t="shared" ref="P2037" si="3006">IF($E2037="S",$J2037,0)</f>
        <v>0</v>
      </c>
      <c r="Q2037" s="109">
        <f t="shared" ref="Q2037" si="3007">SUM(M2037:P2037)</f>
        <v>13090</v>
      </c>
      <c r="R2037" s="121" t="s">
        <v>2334</v>
      </c>
      <c r="T2037" s="188"/>
    </row>
    <row r="2038" spans="1:22" x14ac:dyDescent="0.25">
      <c r="T2038" s="188"/>
    </row>
    <row r="2039" spans="1:22" s="10" customFormat="1" x14ac:dyDescent="0.25">
      <c r="A2039" s="29" t="s">
        <v>2623</v>
      </c>
      <c r="B2039" s="10" t="s">
        <v>2417</v>
      </c>
      <c r="C2039" s="11" t="s">
        <v>2438</v>
      </c>
      <c r="D2039" s="10" t="s">
        <v>82</v>
      </c>
      <c r="H2039" s="103">
        <f>VLOOKUP($A2039,'Model Inputs'!$A:$D,4,FALSE)</f>
        <v>81</v>
      </c>
      <c r="I2039" s="113"/>
      <c r="J2039" s="113"/>
      <c r="L2039" s="10">
        <v>0</v>
      </c>
      <c r="M2039" s="113"/>
      <c r="N2039" s="113"/>
      <c r="O2039" s="113"/>
      <c r="P2039" s="113"/>
      <c r="Q2039" s="113"/>
      <c r="R2039" s="119"/>
      <c r="T2039" s="188"/>
      <c r="U2039"/>
      <c r="V2039"/>
    </row>
    <row r="2040" spans="1:22" x14ac:dyDescent="0.25">
      <c r="A2040" s="100"/>
      <c r="B2040" s="3">
        <v>2</v>
      </c>
      <c r="C2040" s="5" t="s">
        <v>2241</v>
      </c>
      <c r="D2040" s="3" t="s">
        <v>82</v>
      </c>
      <c r="E2040" s="100" t="str">
        <f>IFERROR(VLOOKUP(C2040,Resources!B:D,3,FALSE)," ")</f>
        <v>S</v>
      </c>
      <c r="F2040" s="8">
        <v>1</v>
      </c>
      <c r="G2040" s="8">
        <v>1</v>
      </c>
      <c r="H2040" s="8">
        <f>H2048*1.05</f>
        <v>2.1</v>
      </c>
      <c r="I2040" s="109">
        <f>IFERROR(VLOOKUP(C2040,Resources!B:G,6,FALSE)," ")</f>
        <v>251</v>
      </c>
      <c r="J2040" s="109">
        <f t="shared" ref="J2040" si="3008">(H2040/(G2040/F2040))*I2040</f>
        <v>527.1</v>
      </c>
      <c r="K2040" s="8"/>
      <c r="L2040" s="8">
        <f>ROUNDUP(H2040/200,0)</f>
        <v>1</v>
      </c>
      <c r="M2040" s="109">
        <f>IF($E2040="L",$J2040,0)</f>
        <v>0</v>
      </c>
      <c r="N2040" s="109">
        <f>IF($E2040="M",$J2040,0)</f>
        <v>0</v>
      </c>
      <c r="O2040" s="109">
        <f>IF($E2040="P",$J2040,0)</f>
        <v>0</v>
      </c>
      <c r="P2040" s="109">
        <f>IF($E2040="S",$J2040,0)</f>
        <v>527.1</v>
      </c>
      <c r="Q2040" s="109">
        <f t="shared" ref="Q2040" si="3009">SUM(M2040:P2040)</f>
        <v>527.1</v>
      </c>
      <c r="R2040" s="121">
        <v>65</v>
      </c>
      <c r="T2040" s="188"/>
    </row>
    <row r="2041" spans="1:22" x14ac:dyDescent="0.25">
      <c r="T2041" s="188"/>
    </row>
    <row r="2042" spans="1:22" s="10" customFormat="1" ht="30" x14ac:dyDescent="0.25">
      <c r="A2042" s="29" t="s">
        <v>2624</v>
      </c>
      <c r="B2042" s="10" t="s">
        <v>2417</v>
      </c>
      <c r="C2042" s="11" t="s">
        <v>2439</v>
      </c>
      <c r="D2042" s="10" t="s">
        <v>29</v>
      </c>
      <c r="H2042" s="103">
        <f>VLOOKUP($A2042,'Model Inputs'!$A:$D,4,FALSE)</f>
        <v>2</v>
      </c>
      <c r="I2042" s="113"/>
      <c r="J2042" s="113"/>
      <c r="L2042" s="13">
        <f>ROUNDUP(L2046,0)</f>
        <v>1</v>
      </c>
      <c r="M2042" s="113"/>
      <c r="N2042" s="113"/>
      <c r="O2042" s="113"/>
      <c r="P2042" s="113"/>
      <c r="Q2042" s="113"/>
      <c r="R2042" s="119" t="s">
        <v>781</v>
      </c>
      <c r="T2042" s="188"/>
      <c r="U2042"/>
      <c r="V2042"/>
    </row>
    <row r="2043" spans="1:22" x14ac:dyDescent="0.25">
      <c r="A2043" s="100"/>
      <c r="B2043" s="3">
        <v>1</v>
      </c>
      <c r="C2043" s="5" t="s">
        <v>2620</v>
      </c>
      <c r="D2043" s="3"/>
      <c r="E2043" s="100" t="str">
        <f>IFERROR(VLOOKUP(C2043,Resources!B:D,3,FALSE)," ")</f>
        <v xml:space="preserve"> </v>
      </c>
      <c r="F2043" s="8"/>
      <c r="G2043" s="8"/>
      <c r="H2043" s="8">
        <f>H2042</f>
        <v>2</v>
      </c>
      <c r="I2043" s="109" t="str">
        <f>IFERROR(VLOOKUP(C2043,Resources!B:G,6,FALSE)," ")</f>
        <v xml:space="preserve"> </v>
      </c>
      <c r="J2043" s="109"/>
      <c r="K2043" s="8"/>
      <c r="L2043" s="8"/>
      <c r="M2043" s="109"/>
      <c r="N2043" s="109"/>
      <c r="O2043" s="109"/>
      <c r="P2043" s="109"/>
      <c r="Q2043" s="109"/>
      <c r="R2043" s="121"/>
      <c r="T2043" s="188"/>
    </row>
    <row r="2044" spans="1:22" x14ac:dyDescent="0.25">
      <c r="A2044" s="100"/>
      <c r="B2044" s="3">
        <v>2</v>
      </c>
      <c r="C2044" s="5" t="s">
        <v>266</v>
      </c>
      <c r="D2044" s="3" t="s">
        <v>89</v>
      </c>
      <c r="E2044" s="100" t="str">
        <f>IFERROR(VLOOKUP(C2044,Resources!B:D,3,FALSE)," ")</f>
        <v>M</v>
      </c>
      <c r="F2044" s="8">
        <v>1</v>
      </c>
      <c r="G2044" s="8">
        <v>1</v>
      </c>
      <c r="H2044" s="8">
        <f>H2043*6</f>
        <v>12</v>
      </c>
      <c r="I2044" s="109">
        <f>IFERROR(VLOOKUP(C2044,Resources!B:G,6,FALSE)," ")</f>
        <v>25</v>
      </c>
      <c r="J2044" s="109">
        <f t="shared" ref="J2044:J2046" si="3010">(H2044/(G2044/F2044))*I2044</f>
        <v>300</v>
      </c>
      <c r="K2044" s="8"/>
      <c r="L2044" s="8" t="str">
        <f t="shared" ref="L2044:L2045" si="3011">IF(E2044="M"," ",H2044/G2044)</f>
        <v xml:space="preserve"> </v>
      </c>
      <c r="M2044" s="109">
        <f t="shared" ref="M2044:M2046" si="3012">IF($E2044="L",$J2044,0)</f>
        <v>0</v>
      </c>
      <c r="N2044" s="109">
        <f t="shared" ref="N2044:N2046" si="3013">IF($E2044="M",$J2044,0)</f>
        <v>300</v>
      </c>
      <c r="O2044" s="109">
        <f t="shared" ref="O2044:O2046" si="3014">IF($E2044="P",$J2044,0)</f>
        <v>0</v>
      </c>
      <c r="P2044" s="109">
        <f t="shared" ref="P2044:P2046" si="3015">IF($E2044="S",$J2044,0)</f>
        <v>0</v>
      </c>
      <c r="Q2044" s="109">
        <f t="shared" ref="Q2044:Q2046" si="3016">SUM(M2044:P2044)</f>
        <v>300</v>
      </c>
      <c r="R2044" s="121" t="s">
        <v>2346</v>
      </c>
      <c r="T2044" s="188"/>
    </row>
    <row r="2045" spans="1:22" x14ac:dyDescent="0.25">
      <c r="A2045" s="100"/>
      <c r="B2045" s="3">
        <v>3</v>
      </c>
      <c r="C2045" s="5" t="s">
        <v>267</v>
      </c>
      <c r="D2045" s="3" t="s">
        <v>29</v>
      </c>
      <c r="E2045" s="100" t="str">
        <f>IFERROR(VLOOKUP(C2045,Resources!B:D,3,FALSE)," ")</f>
        <v>M</v>
      </c>
      <c r="F2045" s="8">
        <v>1</v>
      </c>
      <c r="G2045" s="8">
        <v>1</v>
      </c>
      <c r="H2045" s="8">
        <f>H2043</f>
        <v>2</v>
      </c>
      <c r="I2045" s="109">
        <f>IFERROR(VLOOKUP(C2045,Resources!B:G,6,FALSE)," ")</f>
        <v>75</v>
      </c>
      <c r="J2045" s="109">
        <f t="shared" si="3010"/>
        <v>150</v>
      </c>
      <c r="K2045" s="8"/>
      <c r="L2045" s="8" t="str">
        <f t="shared" si="3011"/>
        <v xml:space="preserve"> </v>
      </c>
      <c r="M2045" s="109">
        <f t="shared" si="3012"/>
        <v>0</v>
      </c>
      <c r="N2045" s="109">
        <f t="shared" si="3013"/>
        <v>150</v>
      </c>
      <c r="O2045" s="109">
        <f t="shared" si="3014"/>
        <v>0</v>
      </c>
      <c r="P2045" s="109">
        <f t="shared" si="3015"/>
        <v>0</v>
      </c>
      <c r="Q2045" s="109">
        <f t="shared" si="3016"/>
        <v>150</v>
      </c>
      <c r="R2045" s="121" t="s">
        <v>2346</v>
      </c>
      <c r="T2045" s="188"/>
    </row>
    <row r="2046" spans="1:22" x14ac:dyDescent="0.25">
      <c r="A2046" s="100" t="s">
        <v>2625</v>
      </c>
      <c r="B2046" s="3">
        <v>4</v>
      </c>
      <c r="C2046" s="5" t="s">
        <v>268</v>
      </c>
      <c r="D2046" s="3" t="s">
        <v>48</v>
      </c>
      <c r="E2046" s="100" t="str">
        <f>IFERROR(VLOOKUP(C2046,Resources!B:D,3,FALSE)," ")</f>
        <v>S</v>
      </c>
      <c r="F2046" s="8">
        <v>1</v>
      </c>
      <c r="G2046" s="103">
        <f>VLOOKUP($A2046,'Model Inputs'!$A:$D,4,FALSE)</f>
        <v>0.5</v>
      </c>
      <c r="H2046" s="8">
        <f>H2043</f>
        <v>2</v>
      </c>
      <c r="I2046" s="109">
        <f>IFERROR(VLOOKUP(C2046,Resources!B:G,6,FALSE)," ")</f>
        <v>85</v>
      </c>
      <c r="J2046" s="109">
        <f t="shared" si="3010"/>
        <v>340</v>
      </c>
      <c r="K2046" s="8">
        <f t="shared" ref="K2046" si="3017">L2046*F2046</f>
        <v>0.44444444444444442</v>
      </c>
      <c r="L2046" s="8">
        <f>IF(E2046="M"," ",H2046/(G2046*Workhrs))</f>
        <v>0.44444444444444442</v>
      </c>
      <c r="M2046" s="109">
        <f t="shared" si="3012"/>
        <v>0</v>
      </c>
      <c r="N2046" s="109">
        <f t="shared" si="3013"/>
        <v>0</v>
      </c>
      <c r="O2046" s="109">
        <f t="shared" si="3014"/>
        <v>0</v>
      </c>
      <c r="P2046" s="109">
        <f t="shared" si="3015"/>
        <v>340</v>
      </c>
      <c r="Q2046" s="109">
        <f t="shared" si="3016"/>
        <v>340</v>
      </c>
      <c r="R2046" s="121">
        <v>81</v>
      </c>
      <c r="T2046" s="188"/>
    </row>
    <row r="2047" spans="1:22" x14ac:dyDescent="0.25">
      <c r="T2047" s="188"/>
    </row>
    <row r="2048" spans="1:22" s="10" customFormat="1" x14ac:dyDescent="0.25">
      <c r="A2048" s="29" t="s">
        <v>2626</v>
      </c>
      <c r="B2048" s="10" t="s">
        <v>2417</v>
      </c>
      <c r="C2048" s="11" t="s">
        <v>2440</v>
      </c>
      <c r="D2048" s="10" t="s">
        <v>2416</v>
      </c>
      <c r="H2048" s="103">
        <f>VLOOKUP($A2048,'Model Inputs'!$A:$D,4,FALSE)</f>
        <v>2</v>
      </c>
      <c r="I2048" s="113"/>
      <c r="J2048" s="113"/>
      <c r="L2048" s="223">
        <f>ROUNDUP(MAX(L2055:L2057),0)+ROUNDUP(L2060,0)+1</f>
        <v>3</v>
      </c>
      <c r="M2048" s="113"/>
      <c r="N2048" s="113"/>
      <c r="O2048" s="113"/>
      <c r="P2048" s="113"/>
      <c r="Q2048" s="113"/>
      <c r="R2048" s="119"/>
      <c r="T2048" s="188"/>
      <c r="U2048"/>
      <c r="V2048"/>
    </row>
    <row r="2049" spans="1:22" s="75" customFormat="1" x14ac:dyDescent="0.25">
      <c r="A2049" s="149"/>
      <c r="B2049" s="150">
        <v>1</v>
      </c>
      <c r="C2049" s="151" t="s">
        <v>187</v>
      </c>
      <c r="D2049" s="150"/>
      <c r="E2049" s="149" t="str">
        <f>IFERROR(VLOOKUP(C2049,Resources!B:D,3,FALSE)," ")</f>
        <v xml:space="preserve"> </v>
      </c>
      <c r="F2049" s="152"/>
      <c r="G2049" s="152"/>
      <c r="H2049" s="152"/>
      <c r="I2049" s="153" t="str">
        <f>IFERROR(VLOOKUP(C2049,Resources!B:G,6,FALSE)," ")</f>
        <v xml:space="preserve"> </v>
      </c>
      <c r="J2049" s="153"/>
      <c r="K2049" s="152"/>
      <c r="L2049" s="152"/>
      <c r="M2049" s="153"/>
      <c r="N2049" s="153"/>
      <c r="O2049" s="153"/>
      <c r="P2049" s="153"/>
      <c r="Q2049" s="153"/>
      <c r="R2049" s="154"/>
      <c r="T2049" s="188"/>
      <c r="U2049"/>
      <c r="V2049"/>
    </row>
    <row r="2050" spans="1:22" x14ac:dyDescent="0.25">
      <c r="A2050" s="100"/>
      <c r="B2050" s="3">
        <v>2</v>
      </c>
      <c r="C2050" s="5" t="s">
        <v>85</v>
      </c>
      <c r="D2050" s="3" t="s">
        <v>86</v>
      </c>
      <c r="E2050" s="100" t="str">
        <f>IFERROR(VLOOKUP(C2050,Resources!B:D,3,FALSE)," ")</f>
        <v>M</v>
      </c>
      <c r="F2050" s="8">
        <v>1</v>
      </c>
      <c r="G2050" s="8">
        <v>1</v>
      </c>
      <c r="H2050" s="8">
        <f>H2048*12*0.125*1.1</f>
        <v>3.3000000000000003</v>
      </c>
      <c r="I2050" s="109">
        <f>IFERROR(VLOOKUP(C2050,Resources!B:G,6,FALSE)," ")</f>
        <v>192</v>
      </c>
      <c r="J2050" s="109">
        <f t="shared" ref="J2050:J2053" si="3018">(H2050/(G2050/F2050))*I2050</f>
        <v>633.6</v>
      </c>
      <c r="K2050" s="8"/>
      <c r="L2050" s="8" t="str">
        <f t="shared" ref="L2050:L2053" si="3019">IF(E2050="M"," ",H2050/G2050)</f>
        <v xml:space="preserve"> </v>
      </c>
      <c r="M2050" s="109">
        <f t="shared" ref="M2050:M2053" si="3020">IF($E2050="L",$J2050,0)</f>
        <v>0</v>
      </c>
      <c r="N2050" s="109">
        <f t="shared" ref="N2050:N2053" si="3021">IF($E2050="M",$J2050,0)</f>
        <v>633.6</v>
      </c>
      <c r="O2050" s="109">
        <f t="shared" ref="O2050:O2053" si="3022">IF($E2050="P",$J2050,0)</f>
        <v>0</v>
      </c>
      <c r="P2050" s="109">
        <f t="shared" ref="P2050:P2053" si="3023">IF($E2050="S",$J2050,0)</f>
        <v>0</v>
      </c>
      <c r="Q2050" s="109">
        <f t="shared" ref="Q2050:Q2053" si="3024">SUM(M2050:P2050)</f>
        <v>633.6</v>
      </c>
      <c r="R2050" s="121" t="s">
        <v>2335</v>
      </c>
      <c r="T2050" s="188"/>
    </row>
    <row r="2051" spans="1:22" x14ac:dyDescent="0.25">
      <c r="A2051" s="100"/>
      <c r="B2051" s="3">
        <v>3</v>
      </c>
      <c r="C2051" s="5" t="s">
        <v>81</v>
      </c>
      <c r="D2051" s="3" t="s">
        <v>82</v>
      </c>
      <c r="E2051" s="100" t="str">
        <f>IFERROR(VLOOKUP(C2051,Resources!B:D,3,FALSE)," ")</f>
        <v>M</v>
      </c>
      <c r="F2051" s="8">
        <v>1</v>
      </c>
      <c r="G2051" s="8">
        <v>1</v>
      </c>
      <c r="H2051" s="8">
        <f>H2048*12*0.1*1.5</f>
        <v>3.6000000000000005</v>
      </c>
      <c r="I2051" s="109">
        <f>IFERROR(VLOOKUP(C2051,Resources!B:G,6,FALSE)," ")</f>
        <v>24</v>
      </c>
      <c r="J2051" s="109">
        <f t="shared" si="3018"/>
        <v>86.4</v>
      </c>
      <c r="K2051" s="8"/>
      <c r="L2051" s="8" t="str">
        <f t="shared" si="3019"/>
        <v xml:space="preserve"> </v>
      </c>
      <c r="M2051" s="109">
        <f t="shared" si="3020"/>
        <v>0</v>
      </c>
      <c r="N2051" s="109">
        <f t="shared" si="3021"/>
        <v>86.4</v>
      </c>
      <c r="O2051" s="109">
        <f t="shared" si="3022"/>
        <v>0</v>
      </c>
      <c r="P2051" s="109">
        <f t="shared" si="3023"/>
        <v>0</v>
      </c>
      <c r="Q2051" s="109">
        <f t="shared" si="3024"/>
        <v>86.4</v>
      </c>
      <c r="R2051" s="121" t="s">
        <v>2341</v>
      </c>
      <c r="T2051" s="188"/>
    </row>
    <row r="2052" spans="1:22" x14ac:dyDescent="0.25">
      <c r="A2052" s="100"/>
      <c r="B2052" s="3">
        <v>4</v>
      </c>
      <c r="C2052" s="5" t="s">
        <v>189</v>
      </c>
      <c r="D2052" s="3" t="s">
        <v>83</v>
      </c>
      <c r="E2052" s="100" t="str">
        <f>IFERROR(VLOOKUP(C2052,Resources!B:D,3,FALSE)," ")</f>
        <v>M</v>
      </c>
      <c r="F2052" s="8">
        <v>1</v>
      </c>
      <c r="G2052" s="8">
        <v>1</v>
      </c>
      <c r="H2052" s="8">
        <f>H2048*12*1.2</f>
        <v>28.799999999999997</v>
      </c>
      <c r="I2052" s="109">
        <f>IFERROR(VLOOKUP(C2052,Resources!B:G,6,FALSE)," ")</f>
        <v>9.1</v>
      </c>
      <c r="J2052" s="109">
        <f t="shared" si="3018"/>
        <v>262.08</v>
      </c>
      <c r="K2052" s="8"/>
      <c r="L2052" s="8" t="str">
        <f t="shared" si="3019"/>
        <v xml:space="preserve"> </v>
      </c>
      <c r="M2052" s="109">
        <f t="shared" si="3020"/>
        <v>0</v>
      </c>
      <c r="N2052" s="109">
        <f t="shared" si="3021"/>
        <v>262.08</v>
      </c>
      <c r="O2052" s="109">
        <f t="shared" si="3022"/>
        <v>0</v>
      </c>
      <c r="P2052" s="109">
        <f t="shared" si="3023"/>
        <v>0</v>
      </c>
      <c r="Q2052" s="109">
        <f t="shared" si="3024"/>
        <v>262.08</v>
      </c>
      <c r="R2052" s="121" t="s">
        <v>2343</v>
      </c>
      <c r="T2052" s="188"/>
    </row>
    <row r="2053" spans="1:22" x14ac:dyDescent="0.25">
      <c r="A2053" s="100"/>
      <c r="B2053" s="3">
        <v>5</v>
      </c>
      <c r="C2053" s="5" t="s">
        <v>190</v>
      </c>
      <c r="D2053" s="3" t="s">
        <v>89</v>
      </c>
      <c r="E2053" s="100" t="str">
        <f>IFERROR(VLOOKUP(C2053,Resources!B:D,3,FALSE)," ")</f>
        <v>M</v>
      </c>
      <c r="F2053" s="8">
        <v>1</v>
      </c>
      <c r="G2053" s="8">
        <v>1</v>
      </c>
      <c r="H2053" s="8">
        <f>H2048*12*1.2/1.5</f>
        <v>19.2</v>
      </c>
      <c r="I2053" s="109">
        <f>IFERROR(VLOOKUP(C2053,Resources!B:G,6,FALSE)," ")</f>
        <v>3</v>
      </c>
      <c r="J2053" s="109">
        <f t="shared" si="3018"/>
        <v>57.599999999999994</v>
      </c>
      <c r="K2053" s="8"/>
      <c r="L2053" s="8" t="str">
        <f t="shared" si="3019"/>
        <v xml:space="preserve"> </v>
      </c>
      <c r="M2053" s="109">
        <f t="shared" si="3020"/>
        <v>0</v>
      </c>
      <c r="N2053" s="109">
        <f t="shared" si="3021"/>
        <v>57.599999999999994</v>
      </c>
      <c r="O2053" s="109">
        <f t="shared" si="3022"/>
        <v>0</v>
      </c>
      <c r="P2053" s="109">
        <f t="shared" si="3023"/>
        <v>0</v>
      </c>
      <c r="Q2053" s="109">
        <f t="shared" si="3024"/>
        <v>57.599999999999994</v>
      </c>
      <c r="R2053" s="121">
        <v>73</v>
      </c>
      <c r="T2053" s="188"/>
    </row>
    <row r="2054" spans="1:22" s="75" customFormat="1" x14ac:dyDescent="0.25">
      <c r="A2054" s="149"/>
      <c r="B2054" s="150">
        <v>6</v>
      </c>
      <c r="C2054" s="151" t="s">
        <v>191</v>
      </c>
      <c r="D2054" s="150"/>
      <c r="E2054" s="149" t="str">
        <f>IFERROR(VLOOKUP(C2054,Resources!B:D,3,FALSE)," ")</f>
        <v xml:space="preserve"> </v>
      </c>
      <c r="F2054" s="152"/>
      <c r="G2054" s="152"/>
      <c r="H2054" s="152"/>
      <c r="I2054" s="153" t="str">
        <f>IFERROR(VLOOKUP(C2054,Resources!B:G,6,FALSE)," ")</f>
        <v xml:space="preserve"> </v>
      </c>
      <c r="J2054" s="153"/>
      <c r="K2054" s="152"/>
      <c r="L2054" s="152"/>
      <c r="M2054" s="153"/>
      <c r="N2054" s="153"/>
      <c r="O2054" s="153"/>
      <c r="P2054" s="153"/>
      <c r="Q2054" s="153"/>
      <c r="R2054" s="154"/>
      <c r="T2054" s="188"/>
      <c r="U2054"/>
      <c r="V2054"/>
    </row>
    <row r="2055" spans="1:22" x14ac:dyDescent="0.25">
      <c r="A2055" s="100" t="s">
        <v>2627</v>
      </c>
      <c r="B2055" s="3">
        <v>7</v>
      </c>
      <c r="C2055" s="5" t="s">
        <v>63</v>
      </c>
      <c r="D2055" s="3" t="s">
        <v>48</v>
      </c>
      <c r="E2055" s="100" t="str">
        <f>IFERROR(VLOOKUP(C2055,Resources!B:D,3,FALSE)," ")</f>
        <v>P</v>
      </c>
      <c r="F2055" s="8">
        <v>1</v>
      </c>
      <c r="G2055" s="103">
        <f>VLOOKUP($A2055,'Model Inputs'!$A:$D,4,FALSE)</f>
        <v>3</v>
      </c>
      <c r="H2055" s="8">
        <f>H2048*12*0.1</f>
        <v>2.4000000000000004</v>
      </c>
      <c r="I2055" s="109">
        <f>IFERROR(VLOOKUP(C2055,Resources!B:G,6,FALSE)," ")</f>
        <v>135</v>
      </c>
      <c r="J2055" s="109">
        <f t="shared" ref="J2055:J2057" si="3025">(H2055/(G2055/F2055))*I2055</f>
        <v>108.00000000000001</v>
      </c>
      <c r="K2055" s="8">
        <f t="shared" ref="K2055:K2057" si="3026">L2055*F2055</f>
        <v>0.80000000000000016</v>
      </c>
      <c r="L2055" s="8">
        <f t="shared" ref="L2055:L2057" si="3027">IF(E2055="M"," ",H2055/G2055)</f>
        <v>0.80000000000000016</v>
      </c>
      <c r="M2055" s="109">
        <f t="shared" ref="M2055:M2057" si="3028">IF($E2055="L",$J2055,0)</f>
        <v>0</v>
      </c>
      <c r="N2055" s="109">
        <f t="shared" ref="N2055:N2057" si="3029">IF($E2055="M",$J2055,0)</f>
        <v>0</v>
      </c>
      <c r="O2055" s="109">
        <f t="shared" ref="O2055:O2057" si="3030">IF($E2055="P",$J2055,0)</f>
        <v>108.00000000000001</v>
      </c>
      <c r="P2055" s="109">
        <f t="shared" ref="P2055:P2057" si="3031">IF($E2055="S",$J2055,0)</f>
        <v>0</v>
      </c>
      <c r="Q2055" s="109">
        <f t="shared" ref="Q2055:Q2057" si="3032">SUM(M2055:P2055)</f>
        <v>108.00000000000001</v>
      </c>
      <c r="R2055" s="121">
        <v>73</v>
      </c>
      <c r="T2055" s="188"/>
    </row>
    <row r="2056" spans="1:22" x14ac:dyDescent="0.25">
      <c r="A2056" s="100"/>
      <c r="B2056" s="3">
        <v>8</v>
      </c>
      <c r="C2056" s="5" t="s">
        <v>173</v>
      </c>
      <c r="D2056" s="3" t="s">
        <v>48</v>
      </c>
      <c r="E2056" s="100" t="str">
        <f>IFERROR(VLOOKUP(C2056,Resources!B:D,3,FALSE)," ")</f>
        <v>P</v>
      </c>
      <c r="F2056" s="8">
        <v>1</v>
      </c>
      <c r="G2056" s="8">
        <f>G2055</f>
        <v>3</v>
      </c>
      <c r="H2056" s="8">
        <f>H2055</f>
        <v>2.4000000000000004</v>
      </c>
      <c r="I2056" s="109">
        <f>IFERROR(VLOOKUP(C2056,Resources!B:G,6,FALSE)," ")</f>
        <v>95</v>
      </c>
      <c r="J2056" s="109">
        <f t="shared" si="3025"/>
        <v>76.000000000000014</v>
      </c>
      <c r="K2056" s="8">
        <f t="shared" si="3026"/>
        <v>0.80000000000000016</v>
      </c>
      <c r="L2056" s="8">
        <f t="shared" si="3027"/>
        <v>0.80000000000000016</v>
      </c>
      <c r="M2056" s="109">
        <f t="shared" si="3028"/>
        <v>0</v>
      </c>
      <c r="N2056" s="109">
        <f t="shared" si="3029"/>
        <v>0</v>
      </c>
      <c r="O2056" s="109">
        <f t="shared" si="3030"/>
        <v>76.000000000000014</v>
      </c>
      <c r="P2056" s="109">
        <f t="shared" si="3031"/>
        <v>0</v>
      </c>
      <c r="Q2056" s="109">
        <f t="shared" si="3032"/>
        <v>76.000000000000014</v>
      </c>
      <c r="R2056" s="121">
        <v>73</v>
      </c>
      <c r="T2056" s="188"/>
    </row>
    <row r="2057" spans="1:22" x14ac:dyDescent="0.25">
      <c r="A2057" s="100"/>
      <c r="B2057" s="3">
        <v>9</v>
      </c>
      <c r="C2057" s="5" t="s">
        <v>8</v>
      </c>
      <c r="D2057" s="3" t="s">
        <v>48</v>
      </c>
      <c r="E2057" s="100" t="str">
        <f>IFERROR(VLOOKUP(C2057,Resources!B:D,3,FALSE)," ")</f>
        <v>L</v>
      </c>
      <c r="F2057" s="8">
        <v>1</v>
      </c>
      <c r="G2057" s="8">
        <f>G2055</f>
        <v>3</v>
      </c>
      <c r="H2057" s="8">
        <f>H2055</f>
        <v>2.4000000000000004</v>
      </c>
      <c r="I2057" s="109">
        <f>IFERROR(VLOOKUP(C2057,Resources!B:G,6,FALSE)," ")</f>
        <v>42</v>
      </c>
      <c r="J2057" s="109">
        <f t="shared" si="3025"/>
        <v>33.600000000000009</v>
      </c>
      <c r="K2057" s="8">
        <f t="shared" si="3026"/>
        <v>0.80000000000000016</v>
      </c>
      <c r="L2057" s="8">
        <f t="shared" si="3027"/>
        <v>0.80000000000000016</v>
      </c>
      <c r="M2057" s="109">
        <f t="shared" si="3028"/>
        <v>33.600000000000009</v>
      </c>
      <c r="N2057" s="109">
        <f t="shared" si="3029"/>
        <v>0</v>
      </c>
      <c r="O2057" s="109">
        <f t="shared" si="3030"/>
        <v>0</v>
      </c>
      <c r="P2057" s="109">
        <f t="shared" si="3031"/>
        <v>0</v>
      </c>
      <c r="Q2057" s="109">
        <f t="shared" si="3032"/>
        <v>33.600000000000009</v>
      </c>
      <c r="R2057" s="121">
        <v>73</v>
      </c>
      <c r="T2057" s="188"/>
    </row>
    <row r="2058" spans="1:22" s="75" customFormat="1" x14ac:dyDescent="0.25">
      <c r="A2058" s="149"/>
      <c r="B2058" s="150">
        <v>10</v>
      </c>
      <c r="C2058" s="151" t="s">
        <v>192</v>
      </c>
      <c r="D2058" s="150"/>
      <c r="E2058" s="149" t="str">
        <f>IFERROR(VLOOKUP(C2058,Resources!B:D,3,FALSE)," ")</f>
        <v xml:space="preserve"> </v>
      </c>
      <c r="F2058" s="152"/>
      <c r="G2058" s="152"/>
      <c r="H2058" s="152"/>
      <c r="I2058" s="153" t="str">
        <f>IFERROR(VLOOKUP(C2058,Resources!B:G,6,FALSE)," ")</f>
        <v xml:space="preserve"> </v>
      </c>
      <c r="J2058" s="153"/>
      <c r="K2058" s="152"/>
      <c r="L2058" s="152"/>
      <c r="M2058" s="153"/>
      <c r="N2058" s="153"/>
      <c r="O2058" s="153"/>
      <c r="P2058" s="153"/>
      <c r="Q2058" s="153"/>
      <c r="R2058" s="154"/>
      <c r="T2058" s="188"/>
      <c r="U2058"/>
      <c r="V2058"/>
    </row>
    <row r="2059" spans="1:22" x14ac:dyDescent="0.25">
      <c r="A2059" s="100"/>
      <c r="B2059" s="3">
        <v>11</v>
      </c>
      <c r="C2059" s="5" t="s">
        <v>84</v>
      </c>
      <c r="D2059" s="3" t="s">
        <v>29</v>
      </c>
      <c r="E2059" s="100" t="str">
        <f>IFERROR(VLOOKUP(C2059,Resources!B:D,3,FALSE)," ")</f>
        <v>M</v>
      </c>
      <c r="F2059" s="8">
        <v>1</v>
      </c>
      <c r="G2059" s="8">
        <v>1</v>
      </c>
      <c r="H2059" s="8">
        <f>H2048*12/0.9</f>
        <v>26.666666666666664</v>
      </c>
      <c r="I2059" s="109">
        <f>IFERROR(VLOOKUP(C2059,Resources!B:G,6,FALSE)," ")</f>
        <v>0.8</v>
      </c>
      <c r="J2059" s="109">
        <f t="shared" ref="J2059:J2060" si="3033">(H2059/(G2059/F2059))*I2059</f>
        <v>21.333333333333332</v>
      </c>
      <c r="K2059" s="8"/>
      <c r="L2059" s="8" t="str">
        <f t="shared" ref="L2059" si="3034">IF(E2059="M"," ",H2059/G2059)</f>
        <v xml:space="preserve"> </v>
      </c>
      <c r="M2059" s="109">
        <f t="shared" ref="M2059:M2060" si="3035">IF($E2059="L",$J2059,0)</f>
        <v>0</v>
      </c>
      <c r="N2059" s="109">
        <f t="shared" ref="N2059:N2060" si="3036">IF($E2059="M",$J2059,0)</f>
        <v>21.333333333333332</v>
      </c>
      <c r="O2059" s="109">
        <f t="shared" ref="O2059:O2060" si="3037">IF($E2059="P",$J2059,0)</f>
        <v>0</v>
      </c>
      <c r="P2059" s="109">
        <f t="shared" ref="P2059:P2060" si="3038">IF($E2059="S",$J2059,0)</f>
        <v>0</v>
      </c>
      <c r="Q2059" s="109">
        <f t="shared" ref="Q2059:Q2060" si="3039">SUM(M2059:P2059)</f>
        <v>21.333333333333332</v>
      </c>
      <c r="R2059" s="121" t="s">
        <v>2343</v>
      </c>
      <c r="T2059" s="188"/>
    </row>
    <row r="2060" spans="1:22" x14ac:dyDescent="0.25">
      <c r="A2060" s="100"/>
      <c r="B2060" s="3">
        <v>12</v>
      </c>
      <c r="C2060" s="5" t="s">
        <v>193</v>
      </c>
      <c r="D2060" s="3" t="s">
        <v>83</v>
      </c>
      <c r="E2060" s="100" t="str">
        <f>IFERROR(VLOOKUP(C2060,Resources!B:D,3,FALSE)," ")</f>
        <v>S</v>
      </c>
      <c r="F2060" s="8">
        <v>1</v>
      </c>
      <c r="G2060" s="8">
        <v>1</v>
      </c>
      <c r="H2060" s="8">
        <f>H2048*6</f>
        <v>12</v>
      </c>
      <c r="I2060" s="109">
        <f>IFERROR(VLOOKUP(C2060,Resources!B:G,6,FALSE)," ")</f>
        <v>32</v>
      </c>
      <c r="J2060" s="109">
        <f t="shared" si="3033"/>
        <v>384</v>
      </c>
      <c r="K2060" s="8"/>
      <c r="L2060" s="8">
        <f>H2048/2</f>
        <v>1</v>
      </c>
      <c r="M2060" s="109">
        <f t="shared" si="3035"/>
        <v>0</v>
      </c>
      <c r="N2060" s="109">
        <f t="shared" si="3036"/>
        <v>0</v>
      </c>
      <c r="O2060" s="109">
        <f t="shared" si="3037"/>
        <v>0</v>
      </c>
      <c r="P2060" s="109">
        <f t="shared" si="3038"/>
        <v>384</v>
      </c>
      <c r="Q2060" s="109">
        <f t="shared" si="3039"/>
        <v>384</v>
      </c>
      <c r="R2060" s="121">
        <v>73</v>
      </c>
      <c r="T2060" s="188"/>
    </row>
    <row r="2061" spans="1:22" x14ac:dyDescent="0.25">
      <c r="T2061" s="188"/>
    </row>
    <row r="2062" spans="1:22" s="10" customFormat="1" ht="30" x14ac:dyDescent="0.25">
      <c r="A2062" s="29"/>
      <c r="B2062" s="10" t="s">
        <v>2417</v>
      </c>
      <c r="C2062" s="11" t="s">
        <v>2441</v>
      </c>
      <c r="D2062" s="10" t="s">
        <v>48</v>
      </c>
      <c r="H2062" s="10">
        <v>2</v>
      </c>
      <c r="I2062" s="113"/>
      <c r="J2062" s="113"/>
      <c r="L2062" s="10">
        <v>0</v>
      </c>
      <c r="M2062" s="113"/>
      <c r="N2062" s="113"/>
      <c r="O2062" s="113"/>
      <c r="P2062" s="113"/>
      <c r="Q2062" s="113"/>
      <c r="R2062" s="119" t="s">
        <v>781</v>
      </c>
      <c r="T2062" s="188"/>
      <c r="U2062"/>
      <c r="V2062"/>
    </row>
    <row r="2063" spans="1:22" ht="15.95" customHeight="1" x14ac:dyDescent="0.25">
      <c r="A2063" s="100"/>
      <c r="B2063" s="3">
        <v>3</v>
      </c>
      <c r="C2063" s="5" t="s">
        <v>21</v>
      </c>
      <c r="D2063" s="3" t="s">
        <v>33</v>
      </c>
      <c r="E2063" s="100" t="str">
        <f>IFERROR(VLOOKUP(C2063,Resources!B:D,3,FALSE)," ")</f>
        <v>L</v>
      </c>
      <c r="F2063" s="8">
        <v>2</v>
      </c>
      <c r="G2063" s="8">
        <v>1</v>
      </c>
      <c r="H2063" s="8">
        <f>H2062/40</f>
        <v>0.05</v>
      </c>
      <c r="I2063" s="109">
        <f>IFERROR(VLOOKUP(C2063,Resources!B:G,6,FALSE)," ")</f>
        <v>3250</v>
      </c>
      <c r="J2063" s="109">
        <f t="shared" ref="J2063" si="3040">(H2063/(G2063/F2063))*I2063</f>
        <v>325</v>
      </c>
      <c r="K2063" s="8"/>
      <c r="L2063" s="8">
        <f t="shared" ref="L2063" si="3041">H2063/G2063</f>
        <v>0.05</v>
      </c>
      <c r="M2063" s="109">
        <f t="shared" ref="M2063" si="3042">IF($E2063="L",$J2063,0)</f>
        <v>325</v>
      </c>
      <c r="N2063" s="109">
        <f t="shared" ref="N2063" si="3043">IF($E2063="M",$J2063,0)</f>
        <v>0</v>
      </c>
      <c r="O2063" s="109">
        <f t="shared" ref="O2063" si="3044">IF($E2063="P",$J2063,0)</f>
        <v>0</v>
      </c>
      <c r="P2063" s="109">
        <f t="shared" ref="P2063" si="3045">IF($E2063="S",$J2063,0)</f>
        <v>0</v>
      </c>
      <c r="Q2063" s="109">
        <f t="shared" ref="Q2063" si="3046">SUM(M2063:P2063)</f>
        <v>325</v>
      </c>
      <c r="R2063" s="121">
        <v>901</v>
      </c>
      <c r="T2063" s="188"/>
    </row>
    <row r="2064" spans="1:22" x14ac:dyDescent="0.25">
      <c r="T2064" s="188"/>
    </row>
    <row r="2065" spans="1:22" s="10" customFormat="1" ht="30" x14ac:dyDescent="0.25">
      <c r="A2065" s="29" t="s">
        <v>2628</v>
      </c>
      <c r="B2065" s="10" t="s">
        <v>2417</v>
      </c>
      <c r="C2065" s="11" t="s">
        <v>2442</v>
      </c>
      <c r="D2065" s="10" t="s">
        <v>89</v>
      </c>
      <c r="H2065" s="103">
        <f>VLOOKUP($A2065,'Model Inputs'!$A:$D,4,FALSE)</f>
        <v>80</v>
      </c>
      <c r="I2065" s="113"/>
      <c r="J2065" s="113"/>
      <c r="L2065" s="10">
        <v>0</v>
      </c>
      <c r="M2065" s="113"/>
      <c r="N2065" s="113"/>
      <c r="O2065" s="113"/>
      <c r="P2065" s="113"/>
      <c r="Q2065" s="113"/>
      <c r="R2065" s="119"/>
      <c r="T2065" s="188"/>
      <c r="U2065"/>
      <c r="V2065"/>
    </row>
    <row r="2066" spans="1:22" x14ac:dyDescent="0.25">
      <c r="A2066" s="100"/>
      <c r="B2066" s="3">
        <v>1</v>
      </c>
      <c r="C2066" s="5" t="s">
        <v>289</v>
      </c>
      <c r="D2066" s="3" t="s">
        <v>83</v>
      </c>
      <c r="E2066" s="100" t="str">
        <f>IFERROR(VLOOKUP(C2066,Resources!B:D,3,FALSE)," ")</f>
        <v>S</v>
      </c>
      <c r="F2066" s="8">
        <v>1</v>
      </c>
      <c r="G2066" s="8">
        <v>1</v>
      </c>
      <c r="H2066" s="8">
        <f>H2065*5000/405</f>
        <v>987.65432098765427</v>
      </c>
      <c r="I2066" s="109">
        <f>IFERROR(VLOOKUP(C2066,Resources!B:G,6,FALSE)," ")</f>
        <v>1</v>
      </c>
      <c r="J2066" s="109">
        <f t="shared" ref="J2066" si="3047">(H2066/(G2066/F2066))*I2066</f>
        <v>987.65432098765427</v>
      </c>
      <c r="K2066" s="8"/>
      <c r="L2066" s="8">
        <f>H2065/2000</f>
        <v>0.04</v>
      </c>
      <c r="M2066" s="109">
        <f t="shared" ref="M2066" si="3048">IF($E2066="L",$J2066,0)</f>
        <v>0</v>
      </c>
      <c r="N2066" s="109">
        <f t="shared" ref="N2066" si="3049">IF($E2066="M",$J2066,0)</f>
        <v>0</v>
      </c>
      <c r="O2066" s="109">
        <f t="shared" ref="O2066" si="3050">IF($E2066="P",$J2066,0)</f>
        <v>0</v>
      </c>
      <c r="P2066" s="109">
        <f t="shared" ref="P2066" si="3051">IF($E2066="S",$J2066,0)</f>
        <v>987.65432098765427</v>
      </c>
      <c r="Q2066" s="109">
        <f t="shared" ref="Q2066" si="3052">SUM(M2066:P2066)</f>
        <v>987.65432098765427</v>
      </c>
      <c r="R2066" s="121">
        <v>66</v>
      </c>
      <c r="T2066" s="188"/>
    </row>
    <row r="2067" spans="1:22" x14ac:dyDescent="0.25">
      <c r="T2067" s="188"/>
    </row>
    <row r="2068" spans="1:22" s="10" customFormat="1" x14ac:dyDescent="0.25">
      <c r="A2068" s="29" t="s">
        <v>2629</v>
      </c>
      <c r="B2068" s="10" t="s">
        <v>2417</v>
      </c>
      <c r="C2068" s="11" t="s">
        <v>2443</v>
      </c>
      <c r="D2068" s="10" t="s">
        <v>83</v>
      </c>
      <c r="H2068" s="103">
        <f>VLOOKUP($A2068,'Model Inputs'!$A:$D,4,FALSE)</f>
        <v>130</v>
      </c>
      <c r="I2068" s="113"/>
      <c r="J2068" s="113"/>
      <c r="L2068" s="13">
        <f>ROUNDUP(L2069,0)</f>
        <v>1</v>
      </c>
      <c r="M2068" s="113"/>
      <c r="N2068" s="113"/>
      <c r="O2068" s="113"/>
      <c r="P2068" s="113"/>
      <c r="Q2068" s="113"/>
      <c r="R2068" s="119"/>
      <c r="T2068" s="188"/>
      <c r="U2068"/>
      <c r="V2068"/>
    </row>
    <row r="2069" spans="1:22" x14ac:dyDescent="0.25">
      <c r="A2069" s="100"/>
      <c r="B2069" s="3">
        <v>1</v>
      </c>
      <c r="C2069" s="5" t="s">
        <v>2263</v>
      </c>
      <c r="D2069" s="3" t="s">
        <v>83</v>
      </c>
      <c r="E2069" s="100" t="str">
        <f>IFERROR(VLOOKUP(C2069,Resources!B:D,3,FALSE)," ")</f>
        <v>S</v>
      </c>
      <c r="F2069" s="8">
        <v>1</v>
      </c>
      <c r="G2069" s="8">
        <v>1</v>
      </c>
      <c r="H2069" s="8">
        <f>H2068*1.05</f>
        <v>136.5</v>
      </c>
      <c r="I2069" s="109">
        <f>IFERROR(VLOOKUP(C2069,Resources!B:G,6,FALSE)," ")</f>
        <v>5.92</v>
      </c>
      <c r="J2069" s="109">
        <f t="shared" ref="J2069" si="3053">(H2069/(G2069/F2069))*I2069</f>
        <v>808.08</v>
      </c>
      <c r="K2069" s="8"/>
      <c r="L2069" s="8">
        <f>ROUNDUP(H2069/8000,0)</f>
        <v>1</v>
      </c>
      <c r="M2069" s="109">
        <f t="shared" ref="M2069" si="3054">IF($E2069="L",$J2069,0)</f>
        <v>0</v>
      </c>
      <c r="N2069" s="109">
        <f t="shared" ref="N2069" si="3055">IF($E2069="M",$J2069,0)</f>
        <v>0</v>
      </c>
      <c r="O2069" s="109">
        <f t="shared" ref="O2069" si="3056">IF($E2069="P",$J2069,0)</f>
        <v>0</v>
      </c>
      <c r="P2069" s="109">
        <f t="shared" ref="P2069" si="3057">IF($E2069="S",$J2069,0)</f>
        <v>808.08</v>
      </c>
      <c r="Q2069" s="109">
        <f t="shared" ref="Q2069" si="3058">SUM(M2069:P2069)</f>
        <v>808.08</v>
      </c>
      <c r="R2069" s="121">
        <v>64</v>
      </c>
      <c r="T2069" s="188"/>
    </row>
    <row r="2070" spans="1:22" x14ac:dyDescent="0.25">
      <c r="T2070" s="188"/>
    </row>
    <row r="2071" spans="1:22" ht="30" x14ac:dyDescent="0.25">
      <c r="A2071" s="114" t="s">
        <v>2632</v>
      </c>
      <c r="B2071" s="1" t="s">
        <v>2457</v>
      </c>
      <c r="C2071" s="1" t="s">
        <v>2458</v>
      </c>
      <c r="D2071" s="2" t="s">
        <v>2416</v>
      </c>
      <c r="E2071" s="99"/>
      <c r="F2071" s="7"/>
      <c r="G2071" s="7"/>
      <c r="H2071" s="7">
        <v>1</v>
      </c>
      <c r="I2071" s="108"/>
      <c r="J2071" s="108">
        <f>SUBTOTAL(9,J2073:J2148)</f>
        <v>191104.07029122807</v>
      </c>
      <c r="K2071" s="7"/>
      <c r="L2071" s="7"/>
      <c r="M2071" s="108">
        <f t="shared" ref="M2071:Q2071" si="3059">SUBTOTAL(9,M2073:M2148)</f>
        <v>11722.931157894736</v>
      </c>
      <c r="N2071" s="108">
        <f t="shared" si="3059"/>
        <v>106206.59580000001</v>
      </c>
      <c r="O2071" s="108">
        <f t="shared" si="3059"/>
        <v>63674.543333333328</v>
      </c>
      <c r="P2071" s="108">
        <f t="shared" si="3059"/>
        <v>9500</v>
      </c>
      <c r="Q2071" s="108">
        <f t="shared" si="3059"/>
        <v>191104.07029122807</v>
      </c>
      <c r="R2071" s="120" t="s">
        <v>781</v>
      </c>
      <c r="T2071" s="188"/>
    </row>
    <row r="2072" spans="1:22" s="10" customFormat="1" ht="45" x14ac:dyDescent="0.25">
      <c r="A2072" s="29" t="s">
        <v>2633</v>
      </c>
      <c r="B2072" s="10" t="s">
        <v>2417</v>
      </c>
      <c r="C2072" s="11" t="s">
        <v>2630</v>
      </c>
      <c r="D2072" s="10" t="s">
        <v>2416</v>
      </c>
      <c r="H2072" s="103">
        <f>VLOOKUP($A2072,'Model Inputs'!$A:$D,4,FALSE)</f>
        <v>1</v>
      </c>
      <c r="I2072" s="113"/>
      <c r="J2072" s="113"/>
      <c r="M2072" s="113"/>
      <c r="N2072" s="113"/>
      <c r="O2072" s="113"/>
      <c r="P2072" s="113"/>
      <c r="Q2072" s="113"/>
      <c r="R2072" s="119"/>
      <c r="T2072" s="188"/>
      <c r="U2072"/>
      <c r="V2072"/>
    </row>
    <row r="2073" spans="1:22" x14ac:dyDescent="0.25">
      <c r="A2073" s="100"/>
      <c r="B2073" s="3">
        <v>7</v>
      </c>
      <c r="C2073" s="5" t="s">
        <v>115</v>
      </c>
      <c r="D2073" s="3" t="s">
        <v>33</v>
      </c>
      <c r="E2073" s="100" t="s">
        <v>2021</v>
      </c>
      <c r="F2073" s="8">
        <v>1</v>
      </c>
      <c r="G2073" s="8">
        <v>1</v>
      </c>
      <c r="H2073" s="8">
        <f>H2072</f>
        <v>1</v>
      </c>
      <c r="I2073" s="109">
        <f>IFERROR(VLOOKUP(C2073,Resources!B:G,6,FALSE)," ")</f>
        <v>100</v>
      </c>
      <c r="J2073" s="109">
        <f t="shared" ref="J2073" si="3060">(H2073/(G2073/F2073))*I2073</f>
        <v>100</v>
      </c>
      <c r="K2073" s="8"/>
      <c r="L2073" s="8">
        <f t="shared" ref="L2073:L2078" si="3061">(H2073/G2073)/Workhrs</f>
        <v>0.1111111111111111</v>
      </c>
      <c r="M2073" s="109">
        <f t="shared" ref="M2073:M2078" si="3062">IF($E2073="L",$J2073,0)</f>
        <v>0</v>
      </c>
      <c r="N2073" s="109">
        <f t="shared" ref="N2073:N2078" si="3063">IF($E2073="M",$J2073,0)</f>
        <v>0</v>
      </c>
      <c r="O2073" s="109">
        <f t="shared" ref="O2073:O2078" si="3064">IF($E2073="P",$J2073,0)</f>
        <v>100</v>
      </c>
      <c r="P2073" s="109">
        <f t="shared" ref="P2073:P2078" si="3065">IF($E2073="S",$J2073,0)</f>
        <v>0</v>
      </c>
      <c r="Q2073" s="109">
        <f t="shared" ref="Q2073" si="3066">SUM(M2073:P2073)</f>
        <v>100</v>
      </c>
      <c r="R2073" s="121">
        <v>61</v>
      </c>
      <c r="T2073" s="188"/>
    </row>
    <row r="2074" spans="1:22" x14ac:dyDescent="0.25">
      <c r="A2074" s="100"/>
      <c r="B2074" s="3">
        <v>8</v>
      </c>
      <c r="C2074" s="5" t="s">
        <v>64</v>
      </c>
      <c r="D2074" s="3" t="s">
        <v>33</v>
      </c>
      <c r="E2074" s="100" t="s">
        <v>2021</v>
      </c>
      <c r="F2074" s="8">
        <v>1</v>
      </c>
      <c r="G2074" s="8">
        <v>1</v>
      </c>
      <c r="H2074" s="8">
        <f>H2072</f>
        <v>1</v>
      </c>
      <c r="I2074" s="109">
        <f>IFERROR(VLOOKUP(C2074,Resources!B:G,6,FALSE)," ")</f>
        <v>100</v>
      </c>
      <c r="J2074" s="109">
        <f t="shared" ref="J2074:J2076" si="3067">(H2074/(G2074/F2074))*I2074</f>
        <v>100</v>
      </c>
      <c r="K2074" s="8"/>
      <c r="L2074" s="8">
        <f t="shared" si="3061"/>
        <v>0.1111111111111111</v>
      </c>
      <c r="M2074" s="109">
        <f t="shared" si="3062"/>
        <v>0</v>
      </c>
      <c r="N2074" s="109">
        <f t="shared" si="3063"/>
        <v>0</v>
      </c>
      <c r="O2074" s="109">
        <f t="shared" si="3064"/>
        <v>100</v>
      </c>
      <c r="P2074" s="109">
        <f t="shared" si="3065"/>
        <v>0</v>
      </c>
      <c r="Q2074" s="109">
        <f t="shared" ref="Q2074:Q2076" si="3068">SUM(M2074:P2074)</f>
        <v>100</v>
      </c>
      <c r="R2074" s="121">
        <v>61</v>
      </c>
      <c r="T2074" s="188"/>
    </row>
    <row r="2075" spans="1:22" x14ac:dyDescent="0.25">
      <c r="A2075" s="100"/>
      <c r="B2075" s="3">
        <v>9</v>
      </c>
      <c r="C2075" s="5" t="s">
        <v>39</v>
      </c>
      <c r="D2075" s="3" t="s">
        <v>33</v>
      </c>
      <c r="E2075" s="100" t="s">
        <v>2021</v>
      </c>
      <c r="F2075" s="8">
        <v>1</v>
      </c>
      <c r="G2075" s="8">
        <v>1</v>
      </c>
      <c r="H2075" s="8">
        <f>H2072</f>
        <v>1</v>
      </c>
      <c r="I2075" s="109">
        <f>IFERROR(VLOOKUP(C2075,Resources!B:G,6,FALSE)," ")</f>
        <v>145</v>
      </c>
      <c r="J2075" s="109">
        <f t="shared" si="3067"/>
        <v>145</v>
      </c>
      <c r="K2075" s="8"/>
      <c r="L2075" s="8">
        <f t="shared" si="3061"/>
        <v>0.1111111111111111</v>
      </c>
      <c r="M2075" s="109">
        <f t="shared" si="3062"/>
        <v>0</v>
      </c>
      <c r="N2075" s="109">
        <f t="shared" si="3063"/>
        <v>0</v>
      </c>
      <c r="O2075" s="109">
        <f t="shared" si="3064"/>
        <v>145</v>
      </c>
      <c r="P2075" s="109">
        <f t="shared" si="3065"/>
        <v>0</v>
      </c>
      <c r="Q2075" s="109">
        <f t="shared" si="3068"/>
        <v>145</v>
      </c>
      <c r="R2075" s="121">
        <v>61</v>
      </c>
      <c r="T2075" s="188"/>
    </row>
    <row r="2076" spans="1:22" x14ac:dyDescent="0.25">
      <c r="A2076" s="100"/>
      <c r="B2076" s="3">
        <v>10</v>
      </c>
      <c r="C2076" s="5" t="s">
        <v>42</v>
      </c>
      <c r="D2076" s="3" t="s">
        <v>33</v>
      </c>
      <c r="E2076" s="100" t="s">
        <v>2021</v>
      </c>
      <c r="F2076" s="8">
        <v>1</v>
      </c>
      <c r="G2076" s="8">
        <v>1</v>
      </c>
      <c r="H2076" s="8">
        <f>H2072*0.25</f>
        <v>0.25</v>
      </c>
      <c r="I2076" s="109">
        <f>IFERROR(VLOOKUP(C2076,Resources!B:G,6,FALSE)," ")</f>
        <v>365</v>
      </c>
      <c r="J2076" s="109">
        <f t="shared" si="3067"/>
        <v>91.25</v>
      </c>
      <c r="K2076" s="8"/>
      <c r="L2076" s="8">
        <f t="shared" si="3061"/>
        <v>2.7777777777777776E-2</v>
      </c>
      <c r="M2076" s="109">
        <f t="shared" si="3062"/>
        <v>0</v>
      </c>
      <c r="N2076" s="109">
        <f t="shared" si="3063"/>
        <v>0</v>
      </c>
      <c r="O2076" s="109">
        <f t="shared" si="3064"/>
        <v>91.25</v>
      </c>
      <c r="P2076" s="109">
        <f t="shared" si="3065"/>
        <v>0</v>
      </c>
      <c r="Q2076" s="109">
        <f t="shared" si="3068"/>
        <v>91.25</v>
      </c>
      <c r="R2076" s="121">
        <v>61</v>
      </c>
      <c r="T2076" s="188"/>
    </row>
    <row r="2077" spans="1:22" x14ac:dyDescent="0.25">
      <c r="A2077" s="100"/>
      <c r="B2077" s="3">
        <v>11</v>
      </c>
      <c r="C2077" s="5" t="s">
        <v>8</v>
      </c>
      <c r="D2077" s="3" t="s">
        <v>33</v>
      </c>
      <c r="E2077" s="100" t="s">
        <v>2019</v>
      </c>
      <c r="F2077" s="8">
        <v>5</v>
      </c>
      <c r="G2077" s="8">
        <f t="shared" ref="G2077" si="3069">G2074</f>
        <v>1</v>
      </c>
      <c r="H2077" s="8">
        <f>H2072</f>
        <v>1</v>
      </c>
      <c r="I2077" s="109">
        <f>IFERROR(VLOOKUP(C2077,Resources!B:G,6,FALSE)," ")</f>
        <v>42</v>
      </c>
      <c r="J2077" s="109">
        <f t="shared" ref="J2077:J2078" si="3070">(H2077/(G2077/F2077))*I2077</f>
        <v>210</v>
      </c>
      <c r="K2077" s="8"/>
      <c r="L2077" s="8">
        <f t="shared" si="3061"/>
        <v>0.1111111111111111</v>
      </c>
      <c r="M2077" s="109">
        <f t="shared" si="3062"/>
        <v>210</v>
      </c>
      <c r="N2077" s="109">
        <f t="shared" si="3063"/>
        <v>0</v>
      </c>
      <c r="O2077" s="109">
        <f t="shared" si="3064"/>
        <v>0</v>
      </c>
      <c r="P2077" s="109">
        <f t="shared" si="3065"/>
        <v>0</v>
      </c>
      <c r="Q2077" s="109">
        <f t="shared" ref="Q2077:Q2078" si="3071">SUM(M2077:P2077)</f>
        <v>210</v>
      </c>
      <c r="R2077" s="121">
        <v>61</v>
      </c>
      <c r="T2077" s="188"/>
    </row>
    <row r="2078" spans="1:22" x14ac:dyDescent="0.25">
      <c r="A2078" s="100"/>
      <c r="B2078" s="3">
        <v>12</v>
      </c>
      <c r="C2078" s="5" t="s">
        <v>47</v>
      </c>
      <c r="D2078" s="3" t="s">
        <v>33</v>
      </c>
      <c r="E2078" s="100" t="s">
        <v>2019</v>
      </c>
      <c r="F2078" s="8">
        <v>1</v>
      </c>
      <c r="G2078" s="8">
        <f t="shared" ref="G2078" si="3072">G2075</f>
        <v>1</v>
      </c>
      <c r="H2078" s="8">
        <f>H2072/40</f>
        <v>2.5000000000000001E-2</v>
      </c>
      <c r="I2078" s="109">
        <f>IFERROR(VLOOKUP(C2078,Resources!B:G,6,FALSE)," ")</f>
        <v>3350</v>
      </c>
      <c r="J2078" s="109">
        <f t="shared" si="3070"/>
        <v>83.75</v>
      </c>
      <c r="K2078" s="8"/>
      <c r="L2078" s="8">
        <f t="shared" si="3061"/>
        <v>2.7777777777777779E-3</v>
      </c>
      <c r="M2078" s="109">
        <f t="shared" si="3062"/>
        <v>83.75</v>
      </c>
      <c r="N2078" s="109">
        <f t="shared" si="3063"/>
        <v>0</v>
      </c>
      <c r="O2078" s="109">
        <f t="shared" si="3064"/>
        <v>0</v>
      </c>
      <c r="P2078" s="109">
        <f t="shared" si="3065"/>
        <v>0</v>
      </c>
      <c r="Q2078" s="109">
        <f t="shared" si="3071"/>
        <v>83.75</v>
      </c>
      <c r="R2078" s="121">
        <v>902</v>
      </c>
      <c r="T2078" s="188"/>
    </row>
    <row r="2079" spans="1:22" s="10" customFormat="1" ht="30" x14ac:dyDescent="0.25">
      <c r="A2079" s="29" t="s">
        <v>2634</v>
      </c>
      <c r="B2079" s="10" t="s">
        <v>2417</v>
      </c>
      <c r="C2079" s="11" t="s">
        <v>2631</v>
      </c>
      <c r="D2079" s="10" t="s">
        <v>2416</v>
      </c>
      <c r="H2079" s="103">
        <f>VLOOKUP($A2079,'Model Inputs'!$A:$D,4,FALSE)</f>
        <v>1</v>
      </c>
      <c r="I2079" s="113"/>
      <c r="J2079" s="113"/>
      <c r="M2079" s="113"/>
      <c r="N2079" s="113"/>
      <c r="O2079" s="113"/>
      <c r="P2079" s="113"/>
      <c r="Q2079" s="113"/>
      <c r="R2079" s="119"/>
      <c r="T2079" s="188"/>
      <c r="U2079"/>
      <c r="V2079"/>
    </row>
    <row r="2080" spans="1:22" x14ac:dyDescent="0.25">
      <c r="A2080" s="100"/>
      <c r="B2080" s="3">
        <v>7</v>
      </c>
      <c r="C2080" s="5" t="s">
        <v>115</v>
      </c>
      <c r="D2080" s="3" t="s">
        <v>33</v>
      </c>
      <c r="E2080" s="100" t="s">
        <v>2021</v>
      </c>
      <c r="F2080" s="8">
        <v>1</v>
      </c>
      <c r="G2080" s="8">
        <v>1</v>
      </c>
      <c r="H2080" s="8">
        <f>H2079</f>
        <v>1</v>
      </c>
      <c r="I2080" s="109">
        <f>IFERROR(VLOOKUP(C2080,Resources!B:G,6,FALSE)," ")</f>
        <v>100</v>
      </c>
      <c r="J2080" s="109">
        <f t="shared" ref="J2080:J2083" si="3073">(H2080/(G2080/F2080))*I2080</f>
        <v>100</v>
      </c>
      <c r="K2080" s="8"/>
      <c r="L2080" s="8">
        <f>(H2080/G2080)/Workhrs</f>
        <v>0.1111111111111111</v>
      </c>
      <c r="M2080" s="109">
        <f t="shared" ref="M2080:M2083" si="3074">IF($E2080="L",$J2080,0)</f>
        <v>0</v>
      </c>
      <c r="N2080" s="109">
        <f t="shared" ref="N2080:N2083" si="3075">IF($E2080="M",$J2080,0)</f>
        <v>0</v>
      </c>
      <c r="O2080" s="109">
        <f t="shared" ref="O2080:O2083" si="3076">IF($E2080="P",$J2080,0)</f>
        <v>100</v>
      </c>
      <c r="P2080" s="109">
        <f t="shared" ref="P2080:P2083" si="3077">IF($E2080="S",$J2080,0)</f>
        <v>0</v>
      </c>
      <c r="Q2080" s="109">
        <f t="shared" ref="Q2080:Q2083" si="3078">SUM(M2080:P2080)</f>
        <v>100</v>
      </c>
      <c r="R2080" s="121">
        <v>61</v>
      </c>
      <c r="T2080" s="188"/>
    </row>
    <row r="2081" spans="1:22" x14ac:dyDescent="0.25">
      <c r="A2081" s="100"/>
      <c r="B2081" s="3">
        <v>8</v>
      </c>
      <c r="C2081" s="5" t="s">
        <v>64</v>
      </c>
      <c r="D2081" s="3" t="s">
        <v>33</v>
      </c>
      <c r="E2081" s="100" t="s">
        <v>2021</v>
      </c>
      <c r="F2081" s="8">
        <v>1</v>
      </c>
      <c r="G2081" s="8">
        <v>1</v>
      </c>
      <c r="H2081" s="8">
        <f>H2079</f>
        <v>1</v>
      </c>
      <c r="I2081" s="109">
        <f>IFERROR(VLOOKUP(C2081,Resources!B:G,6,FALSE)," ")</f>
        <v>100</v>
      </c>
      <c r="J2081" s="109">
        <f t="shared" si="3073"/>
        <v>100</v>
      </c>
      <c r="K2081" s="8"/>
      <c r="L2081" s="8">
        <f>(H2081/G2081)/Workhrs</f>
        <v>0.1111111111111111</v>
      </c>
      <c r="M2081" s="109">
        <f t="shared" si="3074"/>
        <v>0</v>
      </c>
      <c r="N2081" s="109">
        <f t="shared" si="3075"/>
        <v>0</v>
      </c>
      <c r="O2081" s="109">
        <f t="shared" si="3076"/>
        <v>100</v>
      </c>
      <c r="P2081" s="109">
        <f t="shared" si="3077"/>
        <v>0</v>
      </c>
      <c r="Q2081" s="109">
        <f t="shared" si="3078"/>
        <v>100</v>
      </c>
      <c r="R2081" s="121">
        <v>61</v>
      </c>
      <c r="T2081" s="188"/>
    </row>
    <row r="2082" spans="1:22" x14ac:dyDescent="0.25">
      <c r="A2082" s="100"/>
      <c r="B2082" s="3">
        <v>11</v>
      </c>
      <c r="C2082" s="5" t="s">
        <v>8</v>
      </c>
      <c r="D2082" s="3" t="s">
        <v>33</v>
      </c>
      <c r="E2082" s="100" t="s">
        <v>2019</v>
      </c>
      <c r="F2082" s="8">
        <v>3</v>
      </c>
      <c r="G2082" s="8">
        <f>G2081</f>
        <v>1</v>
      </c>
      <c r="H2082" s="8">
        <f>H2079</f>
        <v>1</v>
      </c>
      <c r="I2082" s="109">
        <f>IFERROR(VLOOKUP(C2082,Resources!B:G,6,FALSE)," ")</f>
        <v>42</v>
      </c>
      <c r="J2082" s="109">
        <f t="shared" si="3073"/>
        <v>126</v>
      </c>
      <c r="K2082" s="8"/>
      <c r="L2082" s="8">
        <f>(H2082/G2082)/Workhrs</f>
        <v>0.1111111111111111</v>
      </c>
      <c r="M2082" s="109">
        <f t="shared" si="3074"/>
        <v>126</v>
      </c>
      <c r="N2082" s="109">
        <f t="shared" si="3075"/>
        <v>0</v>
      </c>
      <c r="O2082" s="109">
        <f t="shared" si="3076"/>
        <v>0</v>
      </c>
      <c r="P2082" s="109">
        <f t="shared" si="3077"/>
        <v>0</v>
      </c>
      <c r="Q2082" s="109">
        <f t="shared" si="3078"/>
        <v>126</v>
      </c>
      <c r="R2082" s="121">
        <v>61</v>
      </c>
      <c r="T2082" s="188"/>
    </row>
    <row r="2083" spans="1:22" x14ac:dyDescent="0.25">
      <c r="A2083" s="100"/>
      <c r="B2083" s="3">
        <v>12</v>
      </c>
      <c r="C2083" s="5" t="s">
        <v>47</v>
      </c>
      <c r="D2083" s="3" t="s">
        <v>33</v>
      </c>
      <c r="E2083" s="100" t="s">
        <v>2019</v>
      </c>
      <c r="F2083" s="8">
        <v>1</v>
      </c>
      <c r="G2083" s="8">
        <v>1</v>
      </c>
      <c r="H2083" s="8">
        <f>H2079/40</f>
        <v>2.5000000000000001E-2</v>
      </c>
      <c r="I2083" s="109">
        <f>IFERROR(VLOOKUP(C2083,Resources!B:G,6,FALSE)," ")</f>
        <v>3350</v>
      </c>
      <c r="J2083" s="109">
        <f t="shared" si="3073"/>
        <v>83.75</v>
      </c>
      <c r="K2083" s="8"/>
      <c r="L2083" s="8">
        <f>(H2083/G2083)/Workhrs</f>
        <v>2.7777777777777779E-3</v>
      </c>
      <c r="M2083" s="109">
        <f t="shared" si="3074"/>
        <v>83.75</v>
      </c>
      <c r="N2083" s="109">
        <f t="shared" si="3075"/>
        <v>0</v>
      </c>
      <c r="O2083" s="109">
        <f t="shared" si="3076"/>
        <v>0</v>
      </c>
      <c r="P2083" s="109">
        <f t="shared" si="3077"/>
        <v>0</v>
      </c>
      <c r="Q2083" s="109">
        <f t="shared" si="3078"/>
        <v>83.75</v>
      </c>
      <c r="R2083" s="121">
        <v>902</v>
      </c>
      <c r="T2083" s="188"/>
    </row>
    <row r="2084" spans="1:22" s="10" customFormat="1" x14ac:dyDescent="0.25">
      <c r="A2084" s="29" t="s">
        <v>2635</v>
      </c>
      <c r="B2084" s="10" t="s">
        <v>2417</v>
      </c>
      <c r="C2084" s="11" t="s">
        <v>2430</v>
      </c>
      <c r="D2084" s="10" t="s">
        <v>48</v>
      </c>
      <c r="H2084" s="103">
        <f>VLOOKUP($A2084,'Model Inputs'!$A:$D,4,FALSE)</f>
        <v>14</v>
      </c>
      <c r="I2084" s="113"/>
      <c r="J2084" s="113"/>
      <c r="M2084" s="113"/>
      <c r="N2084" s="113"/>
      <c r="O2084" s="113"/>
      <c r="P2084" s="113"/>
      <c r="Q2084" s="113"/>
      <c r="R2084" s="119"/>
      <c r="T2084" s="188"/>
      <c r="U2084"/>
      <c r="V2084"/>
    </row>
    <row r="2085" spans="1:22" x14ac:dyDescent="0.25">
      <c r="A2085" s="100"/>
      <c r="B2085" s="3">
        <v>12</v>
      </c>
      <c r="C2085" s="5" t="s">
        <v>47</v>
      </c>
      <c r="D2085" s="3" t="s">
        <v>33</v>
      </c>
      <c r="E2085" s="100" t="s">
        <v>2019</v>
      </c>
      <c r="F2085" s="8">
        <v>1</v>
      </c>
      <c r="G2085" s="8">
        <v>1</v>
      </c>
      <c r="H2085" s="8">
        <f>H2084/40</f>
        <v>0.35</v>
      </c>
      <c r="I2085" s="109">
        <f>IFERROR(VLOOKUP(C2085,Resources!B:G,6,FALSE)," ")</f>
        <v>3350</v>
      </c>
      <c r="J2085" s="109">
        <f t="shared" ref="J2085" si="3079">(H2085/(G2085/F2085))*I2085</f>
        <v>1172.5</v>
      </c>
      <c r="K2085" s="8"/>
      <c r="L2085" s="8">
        <f>(H2085/G2085)/Workhrs</f>
        <v>3.888888888888889E-2</v>
      </c>
      <c r="M2085" s="109">
        <f t="shared" ref="M2085" si="3080">IF($E2085="L",$J2085,0)</f>
        <v>1172.5</v>
      </c>
      <c r="N2085" s="109">
        <f t="shared" ref="N2085" si="3081">IF($E2085="M",$J2085,0)</f>
        <v>0</v>
      </c>
      <c r="O2085" s="109">
        <f t="shared" ref="O2085" si="3082">IF($E2085="P",$J2085,0)</f>
        <v>0</v>
      </c>
      <c r="P2085" s="109">
        <f t="shared" ref="P2085" si="3083">IF($E2085="S",$J2085,0)</f>
        <v>0</v>
      </c>
      <c r="Q2085" s="109">
        <f t="shared" ref="Q2085" si="3084">SUM(M2085:P2085)</f>
        <v>1172.5</v>
      </c>
      <c r="R2085" s="121">
        <v>902</v>
      </c>
      <c r="T2085" s="188"/>
    </row>
    <row r="2086" spans="1:22" s="10" customFormat="1" ht="30" x14ac:dyDescent="0.25">
      <c r="A2086" s="29" t="s">
        <v>2636</v>
      </c>
      <c r="B2086" s="10" t="s">
        <v>2417</v>
      </c>
      <c r="C2086" s="11" t="s">
        <v>2459</v>
      </c>
      <c r="D2086" s="10" t="s">
        <v>48</v>
      </c>
      <c r="H2086" s="103">
        <f>VLOOKUP($A2086,'Model Inputs'!$A:$D,4,FALSE)</f>
        <v>23</v>
      </c>
      <c r="I2086" s="113"/>
      <c r="J2086" s="113"/>
      <c r="M2086" s="113"/>
      <c r="N2086" s="113"/>
      <c r="O2086" s="113"/>
      <c r="P2086" s="113"/>
      <c r="Q2086" s="113"/>
      <c r="R2086" s="119"/>
      <c r="T2086" s="188"/>
      <c r="U2086"/>
      <c r="V2086"/>
    </row>
    <row r="2087" spans="1:22" x14ac:dyDescent="0.25">
      <c r="A2087" s="100"/>
      <c r="B2087" s="3">
        <v>11</v>
      </c>
      <c r="C2087" s="5" t="s">
        <v>2045</v>
      </c>
      <c r="D2087" s="3" t="s">
        <v>33</v>
      </c>
      <c r="E2087" s="100" t="s">
        <v>2019</v>
      </c>
      <c r="F2087" s="8">
        <v>1</v>
      </c>
      <c r="G2087" s="8">
        <v>1</v>
      </c>
      <c r="H2087" s="8">
        <f>H2086</f>
        <v>23</v>
      </c>
      <c r="I2087" s="109">
        <f>IFERROR(VLOOKUP(C2087,Resources!B:G,6,FALSE)," ")</f>
        <v>42</v>
      </c>
      <c r="J2087" s="109">
        <f t="shared" ref="J2087" si="3085">(H2087/(G2087/F2087))*I2087</f>
        <v>966</v>
      </c>
      <c r="K2087" s="8"/>
      <c r="L2087" s="8">
        <f>(H2087/G2087)/Workhrs</f>
        <v>2.5555555555555554</v>
      </c>
      <c r="M2087" s="109">
        <f t="shared" ref="M2087" si="3086">IF($E2087="L",$J2087,0)</f>
        <v>966</v>
      </c>
      <c r="N2087" s="109">
        <f t="shared" ref="N2087" si="3087">IF($E2087="M",$J2087,0)</f>
        <v>0</v>
      </c>
      <c r="O2087" s="109">
        <f t="shared" ref="O2087" si="3088">IF($E2087="P",$J2087,0)</f>
        <v>0</v>
      </c>
      <c r="P2087" s="109">
        <f t="shared" ref="P2087" si="3089">IF($E2087="S",$J2087,0)</f>
        <v>0</v>
      </c>
      <c r="Q2087" s="109">
        <f t="shared" ref="Q2087" si="3090">SUM(M2087:P2087)</f>
        <v>966</v>
      </c>
      <c r="R2087" s="121">
        <v>141</v>
      </c>
      <c r="T2087" s="188"/>
    </row>
    <row r="2088" spans="1:22" s="155" customFormat="1" x14ac:dyDescent="0.25">
      <c r="A2088" s="226" t="s">
        <v>2976</v>
      </c>
      <c r="B2088" s="141"/>
      <c r="C2088" s="140" t="s">
        <v>2975</v>
      </c>
      <c r="D2088" s="141"/>
      <c r="E2088" s="142"/>
      <c r="F2088" s="143"/>
      <c r="G2088" s="143"/>
      <c r="H2088" s="143"/>
      <c r="I2088" s="144"/>
      <c r="J2088" s="144"/>
      <c r="K2088" s="143"/>
      <c r="L2088" s="143">
        <f>SUM(L2089,L2094,L2099,L2104,L2108)</f>
        <v>12</v>
      </c>
      <c r="M2088" s="144"/>
      <c r="N2088" s="144"/>
      <c r="O2088" s="144"/>
      <c r="P2088" s="144"/>
      <c r="Q2088" s="144"/>
      <c r="R2088" s="145"/>
      <c r="T2088" s="225"/>
    </row>
    <row r="2089" spans="1:22" s="10" customFormat="1" ht="30" x14ac:dyDescent="0.25">
      <c r="A2089" s="29" t="s">
        <v>2637</v>
      </c>
      <c r="B2089" s="10" t="s">
        <v>2417</v>
      </c>
      <c r="C2089" s="11" t="s">
        <v>2460</v>
      </c>
      <c r="D2089" s="10" t="s">
        <v>86</v>
      </c>
      <c r="H2089" s="103">
        <f>VLOOKUP($A2089,'Model Inputs'!$A:$D,4,FALSE)</f>
        <v>155</v>
      </c>
      <c r="I2089" s="113"/>
      <c r="J2089" s="113"/>
      <c r="L2089" s="10">
        <f>ROUNDUP(MAX(L2090:L2093)/Workhrs,0)</f>
        <v>2</v>
      </c>
      <c r="M2089" s="113"/>
      <c r="N2089" s="113"/>
      <c r="O2089" s="113"/>
      <c r="P2089" s="113"/>
      <c r="Q2089" s="113"/>
      <c r="R2089" s="119"/>
      <c r="T2089" s="188"/>
      <c r="U2089"/>
      <c r="V2089"/>
    </row>
    <row r="2090" spans="1:22" x14ac:dyDescent="0.25">
      <c r="A2090" s="100" t="s">
        <v>2638</v>
      </c>
      <c r="B2090" s="3">
        <v>5</v>
      </c>
      <c r="C2090" s="5" t="s">
        <v>63</v>
      </c>
      <c r="D2090" s="3" t="s">
        <v>48</v>
      </c>
      <c r="E2090" s="100" t="str">
        <f>IFERROR(VLOOKUP(C2090,Resources!B:D,3,FALSE)," ")</f>
        <v>P</v>
      </c>
      <c r="F2090" s="8">
        <v>1</v>
      </c>
      <c r="G2090" s="103">
        <f>VLOOKUP($A2090,'Model Inputs'!$A:$D,4,FALSE)</f>
        <v>15</v>
      </c>
      <c r="H2090" s="8">
        <f>H2089</f>
        <v>155</v>
      </c>
      <c r="I2090" s="109">
        <f>IFERROR(VLOOKUP(C2090,Resources!B:G,6,FALSE)," ")</f>
        <v>135</v>
      </c>
      <c r="J2090" s="109">
        <f t="shared" ref="J2090:J2093" si="3091">(H2090/(G2090/F2090))*I2090</f>
        <v>1395</v>
      </c>
      <c r="K2090" s="8">
        <f t="shared" ref="K2090:K2093" si="3092">L2090*F2090</f>
        <v>10.333333333333334</v>
      </c>
      <c r="L2090" s="8">
        <f t="shared" ref="L2090:L2093" si="3093">IF(E2090="M"," ",H2090/G2090)</f>
        <v>10.333333333333334</v>
      </c>
      <c r="M2090" s="109">
        <f t="shared" ref="M2090:M2093" si="3094">IF($E2090="L",$J2090,0)</f>
        <v>0</v>
      </c>
      <c r="N2090" s="109">
        <f t="shared" ref="N2090:N2093" si="3095">IF($E2090="M",$J2090,0)</f>
        <v>0</v>
      </c>
      <c r="O2090" s="109">
        <f t="shared" ref="O2090:O2093" si="3096">IF($E2090="P",$J2090,0)</f>
        <v>1395</v>
      </c>
      <c r="P2090" s="109">
        <f t="shared" ref="P2090:P2093" si="3097">IF($E2090="S",$J2090,0)</f>
        <v>0</v>
      </c>
      <c r="Q2090" s="109">
        <f t="shared" ref="Q2090:Q2093" si="3098">SUM(M2090:P2090)</f>
        <v>1395</v>
      </c>
      <c r="R2090" s="121">
        <v>57</v>
      </c>
      <c r="T2090" s="188"/>
    </row>
    <row r="2091" spans="1:22" x14ac:dyDescent="0.25">
      <c r="A2091" s="100" t="s">
        <v>2639</v>
      </c>
      <c r="B2091" s="3">
        <v>6</v>
      </c>
      <c r="C2091" s="5" t="s">
        <v>44</v>
      </c>
      <c r="D2091" s="3" t="s">
        <v>48</v>
      </c>
      <c r="E2091" s="100" t="str">
        <f>IFERROR(VLOOKUP(C2091,Resources!B:D,3,FALSE)," ")</f>
        <v>P</v>
      </c>
      <c r="F2091" s="103">
        <f>VLOOKUP($A2091,'Model Inputs'!$A:$D,4,FALSE)</f>
        <v>2</v>
      </c>
      <c r="G2091" s="8">
        <f>G2090</f>
        <v>15</v>
      </c>
      <c r="H2091" s="8">
        <f>H2089</f>
        <v>155</v>
      </c>
      <c r="I2091" s="109">
        <f>IFERROR(VLOOKUP(C2091,Resources!B:G,6,FALSE)," ")</f>
        <v>145</v>
      </c>
      <c r="J2091" s="109">
        <f t="shared" si="3091"/>
        <v>2996.666666666667</v>
      </c>
      <c r="K2091" s="8">
        <f t="shared" si="3092"/>
        <v>20.666666666666668</v>
      </c>
      <c r="L2091" s="8">
        <f t="shared" si="3093"/>
        <v>10.333333333333334</v>
      </c>
      <c r="M2091" s="109">
        <f t="shared" si="3094"/>
        <v>0</v>
      </c>
      <c r="N2091" s="109">
        <f t="shared" si="3095"/>
        <v>0</v>
      </c>
      <c r="O2091" s="109">
        <f t="shared" si="3096"/>
        <v>2996.666666666667</v>
      </c>
      <c r="P2091" s="109">
        <f t="shared" si="3097"/>
        <v>0</v>
      </c>
      <c r="Q2091" s="109">
        <f t="shared" si="3098"/>
        <v>2996.666666666667</v>
      </c>
      <c r="R2091" s="121">
        <v>57</v>
      </c>
      <c r="T2091" s="188"/>
    </row>
    <row r="2092" spans="1:22" x14ac:dyDescent="0.25">
      <c r="A2092" s="100"/>
      <c r="B2092" s="3">
        <v>7</v>
      </c>
      <c r="C2092" s="5" t="s">
        <v>64</v>
      </c>
      <c r="D2092" s="3" t="s">
        <v>48</v>
      </c>
      <c r="E2092" s="100" t="str">
        <f>IFERROR(VLOOKUP(C2092,Resources!B:D,3,FALSE)," ")</f>
        <v>P</v>
      </c>
      <c r="F2092" s="8">
        <v>1</v>
      </c>
      <c r="G2092" s="8">
        <f>G2090</f>
        <v>15</v>
      </c>
      <c r="H2092" s="8">
        <f>H2089</f>
        <v>155</v>
      </c>
      <c r="I2092" s="109">
        <f>IFERROR(VLOOKUP(C2092,Resources!B:G,6,FALSE)," ")</f>
        <v>100</v>
      </c>
      <c r="J2092" s="109">
        <f t="shared" si="3091"/>
        <v>1033.3333333333335</v>
      </c>
      <c r="K2092" s="8">
        <f t="shared" si="3092"/>
        <v>10.333333333333334</v>
      </c>
      <c r="L2092" s="8">
        <f t="shared" si="3093"/>
        <v>10.333333333333334</v>
      </c>
      <c r="M2092" s="109">
        <f t="shared" si="3094"/>
        <v>0</v>
      </c>
      <c r="N2092" s="109">
        <f t="shared" si="3095"/>
        <v>0</v>
      </c>
      <c r="O2092" s="109">
        <f t="shared" si="3096"/>
        <v>1033.3333333333335</v>
      </c>
      <c r="P2092" s="109">
        <f t="shared" si="3097"/>
        <v>0</v>
      </c>
      <c r="Q2092" s="109">
        <f t="shared" si="3098"/>
        <v>1033.3333333333335</v>
      </c>
      <c r="R2092" s="121">
        <v>57</v>
      </c>
      <c r="T2092" s="188"/>
    </row>
    <row r="2093" spans="1:22" x14ac:dyDescent="0.25">
      <c r="A2093" s="100"/>
      <c r="B2093" s="3">
        <v>8</v>
      </c>
      <c r="C2093" s="5" t="s">
        <v>8</v>
      </c>
      <c r="D2093" s="3" t="s">
        <v>48</v>
      </c>
      <c r="E2093" s="100" t="str">
        <f>IFERROR(VLOOKUP(C2093,Resources!B:D,3,FALSE)," ")</f>
        <v>L</v>
      </c>
      <c r="F2093" s="8">
        <v>1</v>
      </c>
      <c r="G2093" s="8">
        <f>G2090</f>
        <v>15</v>
      </c>
      <c r="H2093" s="8">
        <f>H2089</f>
        <v>155</v>
      </c>
      <c r="I2093" s="109">
        <f>IFERROR(VLOOKUP(C2093,Resources!B:G,6,FALSE)," ")</f>
        <v>42</v>
      </c>
      <c r="J2093" s="109">
        <f t="shared" si="3091"/>
        <v>434</v>
      </c>
      <c r="K2093" s="8">
        <f t="shared" si="3092"/>
        <v>10.333333333333334</v>
      </c>
      <c r="L2093" s="8">
        <f t="shared" si="3093"/>
        <v>10.333333333333334</v>
      </c>
      <c r="M2093" s="109">
        <f t="shared" si="3094"/>
        <v>434</v>
      </c>
      <c r="N2093" s="109">
        <f t="shared" si="3095"/>
        <v>0</v>
      </c>
      <c r="O2093" s="109">
        <f t="shared" si="3096"/>
        <v>0</v>
      </c>
      <c r="P2093" s="109">
        <f t="shared" si="3097"/>
        <v>0</v>
      </c>
      <c r="Q2093" s="109">
        <f t="shared" si="3098"/>
        <v>434</v>
      </c>
      <c r="R2093" s="121">
        <v>57</v>
      </c>
      <c r="T2093" s="188"/>
    </row>
    <row r="2094" spans="1:22" s="10" customFormat="1" ht="30" x14ac:dyDescent="0.25">
      <c r="A2094" s="29" t="s">
        <v>2640</v>
      </c>
      <c r="B2094" s="10" t="s">
        <v>2417</v>
      </c>
      <c r="C2094" s="11" t="s">
        <v>2461</v>
      </c>
      <c r="D2094" s="10" t="s">
        <v>86</v>
      </c>
      <c r="H2094" s="103">
        <f>VLOOKUP($A2094,'Model Inputs'!$A:$D,4,FALSE)</f>
        <v>470</v>
      </c>
      <c r="I2094" s="113"/>
      <c r="J2094" s="113"/>
      <c r="L2094" s="10">
        <f>ROUNDUP(MAX(L2095:L2098)/Workhrs,0)</f>
        <v>4</v>
      </c>
      <c r="M2094" s="113"/>
      <c r="N2094" s="113"/>
      <c r="O2094" s="113"/>
      <c r="P2094" s="113"/>
      <c r="Q2094" s="113"/>
      <c r="R2094" s="119"/>
      <c r="T2094" s="188"/>
      <c r="U2094"/>
      <c r="V2094"/>
    </row>
    <row r="2095" spans="1:22" x14ac:dyDescent="0.25">
      <c r="A2095" s="100" t="s">
        <v>2641</v>
      </c>
      <c r="B2095" s="3">
        <v>5</v>
      </c>
      <c r="C2095" s="5" t="s">
        <v>63</v>
      </c>
      <c r="D2095" s="3" t="s">
        <v>48</v>
      </c>
      <c r="E2095" s="100" t="str">
        <f>IFERROR(VLOOKUP(C2095,Resources!B:D,3,FALSE)," ")</f>
        <v>P</v>
      </c>
      <c r="F2095" s="8">
        <v>1</v>
      </c>
      <c r="G2095" s="103">
        <f>VLOOKUP($A2095,'Model Inputs'!$A:$D,4,FALSE)</f>
        <v>15</v>
      </c>
      <c r="H2095" s="8">
        <f>H2094</f>
        <v>470</v>
      </c>
      <c r="I2095" s="109">
        <f>IFERROR(VLOOKUP(C2095,Resources!B:G,6,FALSE)," ")</f>
        <v>135</v>
      </c>
      <c r="J2095" s="109">
        <f t="shared" ref="J2095:J2098" si="3099">(H2095/(G2095/F2095))*I2095</f>
        <v>4230</v>
      </c>
      <c r="K2095" s="8">
        <f t="shared" ref="K2095:K2098" si="3100">L2095*F2095</f>
        <v>31.333333333333332</v>
      </c>
      <c r="L2095" s="8">
        <f t="shared" ref="L2095:L2098" si="3101">IF(E2095="M"," ",H2095/G2095)</f>
        <v>31.333333333333332</v>
      </c>
      <c r="M2095" s="109">
        <f t="shared" ref="M2095:M2098" si="3102">IF($E2095="L",$J2095,0)</f>
        <v>0</v>
      </c>
      <c r="N2095" s="109">
        <f t="shared" ref="N2095:N2098" si="3103">IF($E2095="M",$J2095,0)</f>
        <v>0</v>
      </c>
      <c r="O2095" s="109">
        <f t="shared" ref="O2095:O2098" si="3104">IF($E2095="P",$J2095,0)</f>
        <v>4230</v>
      </c>
      <c r="P2095" s="109">
        <f t="shared" ref="P2095:P2098" si="3105">IF($E2095="S",$J2095,0)</f>
        <v>0</v>
      </c>
      <c r="Q2095" s="109">
        <f t="shared" ref="Q2095:Q2098" si="3106">SUM(M2095:P2095)</f>
        <v>4230</v>
      </c>
      <c r="R2095" s="121">
        <v>57</v>
      </c>
      <c r="T2095" s="188"/>
    </row>
    <row r="2096" spans="1:22" x14ac:dyDescent="0.25">
      <c r="A2096" s="100" t="s">
        <v>2642</v>
      </c>
      <c r="B2096" s="3">
        <v>6</v>
      </c>
      <c r="C2096" s="5" t="s">
        <v>44</v>
      </c>
      <c r="D2096" s="3" t="s">
        <v>48</v>
      </c>
      <c r="E2096" s="100" t="str">
        <f>IFERROR(VLOOKUP(C2096,Resources!B:D,3,FALSE)," ")</f>
        <v>P</v>
      </c>
      <c r="F2096" s="103">
        <f>VLOOKUP($A2096,'Model Inputs'!$A:$D,4,FALSE)</f>
        <v>2</v>
      </c>
      <c r="G2096" s="8">
        <f>G2095</f>
        <v>15</v>
      </c>
      <c r="H2096" s="8">
        <f>H2094</f>
        <v>470</v>
      </c>
      <c r="I2096" s="109">
        <f>IFERROR(VLOOKUP(C2096,Resources!B:G,6,FALSE)," ")</f>
        <v>145</v>
      </c>
      <c r="J2096" s="109">
        <f t="shared" si="3099"/>
        <v>9086.6666666666661</v>
      </c>
      <c r="K2096" s="8">
        <f t="shared" si="3100"/>
        <v>62.666666666666664</v>
      </c>
      <c r="L2096" s="8">
        <f t="shared" si="3101"/>
        <v>31.333333333333332</v>
      </c>
      <c r="M2096" s="109">
        <f t="shared" si="3102"/>
        <v>0</v>
      </c>
      <c r="N2096" s="109">
        <f t="shared" si="3103"/>
        <v>0</v>
      </c>
      <c r="O2096" s="109">
        <f t="shared" si="3104"/>
        <v>9086.6666666666661</v>
      </c>
      <c r="P2096" s="109">
        <f t="shared" si="3105"/>
        <v>0</v>
      </c>
      <c r="Q2096" s="109">
        <f t="shared" si="3106"/>
        <v>9086.6666666666661</v>
      </c>
      <c r="R2096" s="121">
        <v>57</v>
      </c>
      <c r="T2096" s="188"/>
    </row>
    <row r="2097" spans="1:22" x14ac:dyDescent="0.25">
      <c r="A2097" s="100"/>
      <c r="B2097" s="3">
        <v>7</v>
      </c>
      <c r="C2097" s="5" t="s">
        <v>64</v>
      </c>
      <c r="D2097" s="3" t="s">
        <v>48</v>
      </c>
      <c r="E2097" s="100" t="str">
        <f>IFERROR(VLOOKUP(C2097,Resources!B:D,3,FALSE)," ")</f>
        <v>P</v>
      </c>
      <c r="F2097" s="8">
        <v>1</v>
      </c>
      <c r="G2097" s="8">
        <f>G2095</f>
        <v>15</v>
      </c>
      <c r="H2097" s="8">
        <f>H2094</f>
        <v>470</v>
      </c>
      <c r="I2097" s="109">
        <f>IFERROR(VLOOKUP(C2097,Resources!B:G,6,FALSE)," ")</f>
        <v>100</v>
      </c>
      <c r="J2097" s="109">
        <f t="shared" si="3099"/>
        <v>3133.333333333333</v>
      </c>
      <c r="K2097" s="8">
        <f t="shared" si="3100"/>
        <v>31.333333333333332</v>
      </c>
      <c r="L2097" s="8">
        <f t="shared" si="3101"/>
        <v>31.333333333333332</v>
      </c>
      <c r="M2097" s="109">
        <f t="shared" si="3102"/>
        <v>0</v>
      </c>
      <c r="N2097" s="109">
        <f t="shared" si="3103"/>
        <v>0</v>
      </c>
      <c r="O2097" s="109">
        <f t="shared" si="3104"/>
        <v>3133.333333333333</v>
      </c>
      <c r="P2097" s="109">
        <f t="shared" si="3105"/>
        <v>0</v>
      </c>
      <c r="Q2097" s="109">
        <f t="shared" si="3106"/>
        <v>3133.333333333333</v>
      </c>
      <c r="R2097" s="121">
        <v>57</v>
      </c>
      <c r="T2097" s="188"/>
    </row>
    <row r="2098" spans="1:22" x14ac:dyDescent="0.25">
      <c r="A2098" s="100"/>
      <c r="B2098" s="3">
        <v>8</v>
      </c>
      <c r="C2098" s="5" t="s">
        <v>8</v>
      </c>
      <c r="D2098" s="3" t="s">
        <v>48</v>
      </c>
      <c r="E2098" s="100" t="str">
        <f>IFERROR(VLOOKUP(C2098,Resources!B:D,3,FALSE)," ")</f>
        <v>L</v>
      </c>
      <c r="F2098" s="8">
        <v>1</v>
      </c>
      <c r="G2098" s="8">
        <f>G2095</f>
        <v>15</v>
      </c>
      <c r="H2098" s="8">
        <f>H2094</f>
        <v>470</v>
      </c>
      <c r="I2098" s="109">
        <f>IFERROR(VLOOKUP(C2098,Resources!B:G,6,FALSE)," ")</f>
        <v>42</v>
      </c>
      <c r="J2098" s="109">
        <f t="shared" si="3099"/>
        <v>1316</v>
      </c>
      <c r="K2098" s="8">
        <f t="shared" si="3100"/>
        <v>31.333333333333332</v>
      </c>
      <c r="L2098" s="8">
        <f t="shared" si="3101"/>
        <v>31.333333333333332</v>
      </c>
      <c r="M2098" s="109">
        <f t="shared" si="3102"/>
        <v>1316</v>
      </c>
      <c r="N2098" s="109">
        <f t="shared" si="3103"/>
        <v>0</v>
      </c>
      <c r="O2098" s="109">
        <f t="shared" si="3104"/>
        <v>0</v>
      </c>
      <c r="P2098" s="109">
        <f t="shared" si="3105"/>
        <v>0</v>
      </c>
      <c r="Q2098" s="109">
        <f t="shared" si="3106"/>
        <v>1316</v>
      </c>
      <c r="R2098" s="121">
        <v>57</v>
      </c>
      <c r="T2098" s="188"/>
    </row>
    <row r="2099" spans="1:22" s="10" customFormat="1" ht="30" x14ac:dyDescent="0.25">
      <c r="A2099" s="29" t="s">
        <v>2643</v>
      </c>
      <c r="B2099" s="10" t="s">
        <v>2417</v>
      </c>
      <c r="C2099" s="11" t="s">
        <v>2462</v>
      </c>
      <c r="D2099" s="10" t="s">
        <v>86</v>
      </c>
      <c r="H2099" s="103">
        <f>VLOOKUP($A2099,'Model Inputs'!$A:$D,4,FALSE)</f>
        <v>940</v>
      </c>
      <c r="I2099" s="113"/>
      <c r="J2099" s="113"/>
      <c r="L2099" s="10">
        <f>ROUNDUP(MAX(L2100:L2103)/Workhrs,0)</f>
        <v>3</v>
      </c>
      <c r="M2099" s="113"/>
      <c r="N2099" s="113"/>
      <c r="O2099" s="113"/>
      <c r="P2099" s="113"/>
      <c r="Q2099" s="113"/>
      <c r="R2099" s="119"/>
      <c r="T2099" s="188"/>
      <c r="U2099"/>
      <c r="V2099"/>
    </row>
    <row r="2100" spans="1:22" x14ac:dyDescent="0.25">
      <c r="A2100" s="100" t="s">
        <v>2644</v>
      </c>
      <c r="B2100" s="3">
        <v>12</v>
      </c>
      <c r="C2100" s="5" t="s">
        <v>39</v>
      </c>
      <c r="D2100" s="3" t="s">
        <v>48</v>
      </c>
      <c r="E2100" s="100" t="str">
        <f>IFERROR(VLOOKUP(C2100,Resources!B:D,3,FALSE)," ")</f>
        <v>P</v>
      </c>
      <c r="F2100" s="8">
        <v>1</v>
      </c>
      <c r="G2100" s="103">
        <f>VLOOKUP($A2100,'Model Inputs'!$A:$D,4,FALSE)</f>
        <v>40</v>
      </c>
      <c r="H2100" s="8">
        <f>H2099</f>
        <v>940</v>
      </c>
      <c r="I2100" s="109">
        <f>IFERROR(VLOOKUP(C2100,Resources!B:G,6,FALSE)," ")</f>
        <v>145</v>
      </c>
      <c r="J2100" s="109">
        <f t="shared" ref="J2100:J2103" si="3107">(H2100/(G2100/F2100))*I2100</f>
        <v>3407.5</v>
      </c>
      <c r="K2100" s="8">
        <f t="shared" ref="K2100:K2103" si="3108">L2100*F2100</f>
        <v>23.5</v>
      </c>
      <c r="L2100" s="8">
        <f t="shared" ref="L2100:L2103" si="3109">IF(E2100="M"," ",H2100/G2100)</f>
        <v>23.5</v>
      </c>
      <c r="M2100" s="109">
        <f t="shared" ref="M2100:M2103" si="3110">IF($E2100="L",$J2100,0)</f>
        <v>0</v>
      </c>
      <c r="N2100" s="109">
        <f t="shared" ref="N2100:N2103" si="3111">IF($E2100="M",$J2100,0)</f>
        <v>0</v>
      </c>
      <c r="O2100" s="109">
        <f t="shared" ref="O2100:O2103" si="3112">IF($E2100="P",$J2100,0)</f>
        <v>3407.5</v>
      </c>
      <c r="P2100" s="109">
        <f t="shared" ref="P2100:P2103" si="3113">IF($E2100="S",$J2100,0)</f>
        <v>0</v>
      </c>
      <c r="Q2100" s="109">
        <f t="shared" ref="Q2100:Q2103" si="3114">SUM(M2100:P2100)</f>
        <v>3407.5</v>
      </c>
      <c r="R2100" s="121">
        <v>57</v>
      </c>
      <c r="T2100" s="188"/>
    </row>
    <row r="2101" spans="1:22" x14ac:dyDescent="0.25">
      <c r="A2101" s="100"/>
      <c r="B2101" s="3">
        <v>13</v>
      </c>
      <c r="C2101" s="5" t="s">
        <v>69</v>
      </c>
      <c r="D2101" s="3" t="s">
        <v>48</v>
      </c>
      <c r="E2101" s="100" t="str">
        <f>IFERROR(VLOOKUP(C2101,Resources!B:D,3,FALSE)," ")</f>
        <v>P</v>
      </c>
      <c r="F2101" s="8">
        <v>1</v>
      </c>
      <c r="G2101" s="8">
        <f>G2100</f>
        <v>40</v>
      </c>
      <c r="H2101" s="8">
        <f>H2100</f>
        <v>940</v>
      </c>
      <c r="I2101" s="109">
        <f>IFERROR(VLOOKUP(C2101,Resources!B:G,6,FALSE)," ")</f>
        <v>55</v>
      </c>
      <c r="J2101" s="109">
        <f t="shared" si="3107"/>
        <v>1292.5</v>
      </c>
      <c r="K2101" s="8">
        <f t="shared" si="3108"/>
        <v>23.5</v>
      </c>
      <c r="L2101" s="8">
        <f t="shared" si="3109"/>
        <v>23.5</v>
      </c>
      <c r="M2101" s="109">
        <f t="shared" si="3110"/>
        <v>0</v>
      </c>
      <c r="N2101" s="109">
        <f t="shared" si="3111"/>
        <v>0</v>
      </c>
      <c r="O2101" s="109">
        <f t="shared" si="3112"/>
        <v>1292.5</v>
      </c>
      <c r="P2101" s="109">
        <f t="shared" si="3113"/>
        <v>0</v>
      </c>
      <c r="Q2101" s="109">
        <f t="shared" si="3114"/>
        <v>1292.5</v>
      </c>
      <c r="R2101" s="121">
        <v>57</v>
      </c>
      <c r="T2101" s="188"/>
    </row>
    <row r="2102" spans="1:22" x14ac:dyDescent="0.25">
      <c r="A2102" s="100"/>
      <c r="B2102" s="3">
        <v>14</v>
      </c>
      <c r="C2102" s="5" t="s">
        <v>64</v>
      </c>
      <c r="D2102" s="3" t="s">
        <v>48</v>
      </c>
      <c r="E2102" s="100" t="str">
        <f>IFERROR(VLOOKUP(C2102,Resources!B:D,3,FALSE)," ")</f>
        <v>P</v>
      </c>
      <c r="F2102" s="8">
        <v>1</v>
      </c>
      <c r="G2102" s="8">
        <f>G2100</f>
        <v>40</v>
      </c>
      <c r="H2102" s="8">
        <f t="shared" ref="H2102:H2103" si="3115">H2101</f>
        <v>940</v>
      </c>
      <c r="I2102" s="109">
        <f>IFERROR(VLOOKUP(C2102,Resources!B:G,6,FALSE)," ")</f>
        <v>100</v>
      </c>
      <c r="J2102" s="109">
        <f t="shared" si="3107"/>
        <v>2350</v>
      </c>
      <c r="K2102" s="8">
        <f t="shared" si="3108"/>
        <v>23.5</v>
      </c>
      <c r="L2102" s="8">
        <f t="shared" si="3109"/>
        <v>23.5</v>
      </c>
      <c r="M2102" s="109">
        <f t="shared" si="3110"/>
        <v>0</v>
      </c>
      <c r="N2102" s="109">
        <f t="shared" si="3111"/>
        <v>0</v>
      </c>
      <c r="O2102" s="109">
        <f t="shared" si="3112"/>
        <v>2350</v>
      </c>
      <c r="P2102" s="109">
        <f t="shared" si="3113"/>
        <v>0</v>
      </c>
      <c r="Q2102" s="109">
        <f t="shared" si="3114"/>
        <v>2350</v>
      </c>
      <c r="R2102" s="121">
        <v>57</v>
      </c>
      <c r="T2102" s="188"/>
    </row>
    <row r="2103" spans="1:22" x14ac:dyDescent="0.25">
      <c r="A2103" s="100"/>
      <c r="B2103" s="3">
        <v>15</v>
      </c>
      <c r="C2103" s="5" t="s">
        <v>8</v>
      </c>
      <c r="D2103" s="3" t="s">
        <v>48</v>
      </c>
      <c r="E2103" s="100" t="str">
        <f>IFERROR(VLOOKUP(C2103,Resources!B:D,3,FALSE)," ")</f>
        <v>L</v>
      </c>
      <c r="F2103" s="8">
        <v>3</v>
      </c>
      <c r="G2103" s="8">
        <f>G2100</f>
        <v>40</v>
      </c>
      <c r="H2103" s="8">
        <f t="shared" si="3115"/>
        <v>940</v>
      </c>
      <c r="I2103" s="109">
        <f>IFERROR(VLOOKUP(C2103,Resources!B:G,6,FALSE)," ")</f>
        <v>42</v>
      </c>
      <c r="J2103" s="109">
        <f t="shared" si="3107"/>
        <v>2961</v>
      </c>
      <c r="K2103" s="8">
        <f t="shared" si="3108"/>
        <v>70.5</v>
      </c>
      <c r="L2103" s="8">
        <f t="shared" si="3109"/>
        <v>23.5</v>
      </c>
      <c r="M2103" s="109">
        <f t="shared" si="3110"/>
        <v>2961</v>
      </c>
      <c r="N2103" s="109">
        <f t="shared" si="3111"/>
        <v>0</v>
      </c>
      <c r="O2103" s="109">
        <f t="shared" si="3112"/>
        <v>0</v>
      </c>
      <c r="P2103" s="109">
        <f t="shared" si="3113"/>
        <v>0</v>
      </c>
      <c r="Q2103" s="109">
        <f t="shared" si="3114"/>
        <v>2961</v>
      </c>
      <c r="R2103" s="121">
        <v>57</v>
      </c>
      <c r="T2103" s="188"/>
    </row>
    <row r="2104" spans="1:22" s="10" customFormat="1" ht="30" x14ac:dyDescent="0.25">
      <c r="A2104" s="29" t="s">
        <v>2645</v>
      </c>
      <c r="B2104" s="10" t="s">
        <v>2417</v>
      </c>
      <c r="C2104" s="11" t="s">
        <v>2463</v>
      </c>
      <c r="D2104" s="10" t="s">
        <v>83</v>
      </c>
      <c r="H2104" s="103">
        <f>VLOOKUP($A2104,'Model Inputs'!$A:$D,4,FALSE)</f>
        <v>5372.6</v>
      </c>
      <c r="I2104" s="113"/>
      <c r="J2104" s="113"/>
      <c r="L2104" s="10">
        <f>ROUNDUP(MAX(L2106:L2107)/Workhrs,0)</f>
        <v>2</v>
      </c>
      <c r="M2104" s="113"/>
      <c r="N2104" s="113"/>
      <c r="O2104" s="113"/>
      <c r="P2104" s="113"/>
      <c r="Q2104" s="113"/>
      <c r="R2104" s="119"/>
      <c r="T2104" s="188"/>
      <c r="U2104"/>
      <c r="V2104"/>
    </row>
    <row r="2105" spans="1:22" x14ac:dyDescent="0.25">
      <c r="A2105" s="100" t="s">
        <v>2646</v>
      </c>
      <c r="B2105" s="3">
        <v>1</v>
      </c>
      <c r="C2105" s="5" t="s">
        <v>2180</v>
      </c>
      <c r="D2105" s="3" t="s">
        <v>83</v>
      </c>
      <c r="E2105" s="100" t="str">
        <f>IFERROR(VLOOKUP(C2105,Resources!B:D,3,FALSE)," ")</f>
        <v>M</v>
      </c>
      <c r="F2105" s="103">
        <f>VLOOKUP($A2105,'Model Inputs'!$A:$D,4,FALSE)</f>
        <v>1.1000000000000001</v>
      </c>
      <c r="G2105" s="8">
        <v>1</v>
      </c>
      <c r="H2105" s="8">
        <f>H2104*F2105</f>
        <v>5909.8600000000006</v>
      </c>
      <c r="I2105" s="109">
        <f>IFERROR(VLOOKUP(C2105,Resources!B:G,6,FALSE)," ")</f>
        <v>5.03</v>
      </c>
      <c r="J2105" s="109">
        <f>I2105*H2105</f>
        <v>29726.595800000003</v>
      </c>
      <c r="K2105" s="8"/>
      <c r="L2105" s="8" t="str">
        <f t="shared" ref="L2105:L2107" si="3116">IF(E2105="M"," ",H2105/G2105)</f>
        <v xml:space="preserve"> </v>
      </c>
      <c r="M2105" s="109">
        <f t="shared" ref="M2105:M2107" si="3117">IF($E2105="L",$J2105,0)</f>
        <v>0</v>
      </c>
      <c r="N2105" s="109">
        <f t="shared" ref="N2105:N2107" si="3118">IF($E2105="M",$J2105,0)</f>
        <v>29726.595800000003</v>
      </c>
      <c r="O2105" s="109">
        <f t="shared" ref="O2105:O2107" si="3119">IF($E2105="P",$J2105,0)</f>
        <v>0</v>
      </c>
      <c r="P2105" s="109">
        <f t="shared" ref="P2105:P2107" si="3120">IF($E2105="S",$J2105,0)</f>
        <v>0</v>
      </c>
      <c r="Q2105" s="109">
        <f t="shared" ref="Q2105:Q2107" si="3121">SUM(M2105:P2105)</f>
        <v>29726.595800000003</v>
      </c>
      <c r="R2105" s="121">
        <v>222</v>
      </c>
      <c r="T2105" s="188"/>
    </row>
    <row r="2106" spans="1:22" x14ac:dyDescent="0.25">
      <c r="A2106" s="100" t="s">
        <v>2647</v>
      </c>
      <c r="B2106" s="3">
        <v>2</v>
      </c>
      <c r="C2106" s="5" t="s">
        <v>8</v>
      </c>
      <c r="D2106" s="3" t="s">
        <v>48</v>
      </c>
      <c r="E2106" s="100" t="str">
        <f>IFERROR(VLOOKUP(C2106,Resources!B:D,3,FALSE)," ")</f>
        <v>L</v>
      </c>
      <c r="F2106" s="8">
        <v>3</v>
      </c>
      <c r="G2106" s="103">
        <f>VLOOKUP($A2106,'Model Inputs'!$A:$D,4,FALSE)</f>
        <v>570</v>
      </c>
      <c r="H2106" s="8">
        <f>H2105</f>
        <v>5909.8600000000006</v>
      </c>
      <c r="I2106" s="109">
        <f>IFERROR(VLOOKUP(C2106,Resources!B:G,6,FALSE)," ")</f>
        <v>42</v>
      </c>
      <c r="J2106" s="109">
        <f t="shared" ref="J2106:J2107" si="3122">(H2106/(G2106/F2106))*I2106</f>
        <v>1306.3901052631581</v>
      </c>
      <c r="K2106" s="8">
        <f t="shared" ref="K2106:K2107" si="3123">L2106*F2106</f>
        <v>31.104526315789474</v>
      </c>
      <c r="L2106" s="8">
        <f t="shared" si="3116"/>
        <v>10.368175438596491</v>
      </c>
      <c r="M2106" s="109">
        <f t="shared" si="3117"/>
        <v>1306.3901052631581</v>
      </c>
      <c r="N2106" s="109">
        <f t="shared" si="3118"/>
        <v>0</v>
      </c>
      <c r="O2106" s="109">
        <f t="shared" si="3119"/>
        <v>0</v>
      </c>
      <c r="P2106" s="109">
        <f t="shared" si="3120"/>
        <v>0</v>
      </c>
      <c r="Q2106" s="109">
        <f t="shared" si="3121"/>
        <v>1306.3901052631581</v>
      </c>
      <c r="R2106" s="121">
        <v>222</v>
      </c>
      <c r="T2106" s="188"/>
    </row>
    <row r="2107" spans="1:22" x14ac:dyDescent="0.25">
      <c r="A2107" s="100"/>
      <c r="B2107" s="3">
        <v>3</v>
      </c>
      <c r="C2107" s="5" t="s">
        <v>45</v>
      </c>
      <c r="D2107" s="3" t="s">
        <v>48</v>
      </c>
      <c r="E2107" s="100" t="str">
        <f>IFERROR(VLOOKUP(C2107,Resources!B:D,3,FALSE)," ")</f>
        <v>P</v>
      </c>
      <c r="F2107" s="8">
        <v>1</v>
      </c>
      <c r="G2107" s="8">
        <f>G2106</f>
        <v>570</v>
      </c>
      <c r="H2107" s="8">
        <f>H2105</f>
        <v>5909.8600000000006</v>
      </c>
      <c r="I2107" s="109">
        <f>IFERROR(VLOOKUP(C2107,Resources!B:G,6,FALSE)," ")</f>
        <v>95</v>
      </c>
      <c r="J2107" s="109">
        <f t="shared" si="3122"/>
        <v>984.97666666666669</v>
      </c>
      <c r="K2107" s="8">
        <f t="shared" si="3123"/>
        <v>10.368175438596491</v>
      </c>
      <c r="L2107" s="8">
        <f t="shared" si="3116"/>
        <v>10.368175438596491</v>
      </c>
      <c r="M2107" s="109">
        <f t="shared" si="3117"/>
        <v>0</v>
      </c>
      <c r="N2107" s="109">
        <f t="shared" si="3118"/>
        <v>0</v>
      </c>
      <c r="O2107" s="109">
        <f t="shared" si="3119"/>
        <v>984.97666666666669</v>
      </c>
      <c r="P2107" s="109">
        <f t="shared" si="3120"/>
        <v>0</v>
      </c>
      <c r="Q2107" s="109">
        <f t="shared" si="3121"/>
        <v>984.97666666666669</v>
      </c>
      <c r="R2107" s="121">
        <v>222</v>
      </c>
      <c r="T2107" s="188"/>
    </row>
    <row r="2108" spans="1:22" s="10" customFormat="1" ht="30" x14ac:dyDescent="0.25">
      <c r="A2108" s="29" t="s">
        <v>2648</v>
      </c>
      <c r="B2108" s="10" t="s">
        <v>2417</v>
      </c>
      <c r="C2108" s="11" t="s">
        <v>2464</v>
      </c>
      <c r="D2108" s="10" t="s">
        <v>83</v>
      </c>
      <c r="H2108" s="103">
        <f>VLOOKUP($A2108,'Model Inputs'!$A:$D,4,FALSE)</f>
        <v>3054</v>
      </c>
      <c r="I2108" s="113"/>
      <c r="J2108" s="113"/>
      <c r="L2108" s="10">
        <f>ROUNDUP(MAX(L2110:L2111)/Workhrs,0)</f>
        <v>1</v>
      </c>
      <c r="M2108" s="113"/>
      <c r="N2108" s="113"/>
      <c r="O2108" s="113"/>
      <c r="P2108" s="113"/>
      <c r="Q2108" s="113"/>
      <c r="R2108" s="119"/>
      <c r="T2108" s="188"/>
      <c r="U2108"/>
      <c r="V2108"/>
    </row>
    <row r="2109" spans="1:22" x14ac:dyDescent="0.25">
      <c r="A2109" s="100" t="s">
        <v>2649</v>
      </c>
      <c r="B2109" s="3">
        <v>1</v>
      </c>
      <c r="C2109" s="5" t="s">
        <v>2089</v>
      </c>
      <c r="D2109" s="3" t="s">
        <v>83</v>
      </c>
      <c r="E2109" s="100" t="str">
        <f>IFERROR(VLOOKUP(C2109,Resources!B:D,3,FALSE)," ")</f>
        <v>M</v>
      </c>
      <c r="F2109" s="103">
        <f>VLOOKUP($A2109,'Model Inputs'!$A:$D,4,FALSE)</f>
        <v>1.1000000000000001</v>
      </c>
      <c r="G2109" s="8">
        <v>1</v>
      </c>
      <c r="H2109" s="8">
        <f>H2108*F2109</f>
        <v>3359.4</v>
      </c>
      <c r="I2109" s="109">
        <f>IFERROR(VLOOKUP(C2109,Resources!B:G,6,FALSE)," ")</f>
        <v>2.5</v>
      </c>
      <c r="J2109" s="109">
        <f>I2109*H2109</f>
        <v>8398.5</v>
      </c>
      <c r="K2109" s="8"/>
      <c r="L2109" s="8" t="str">
        <f t="shared" ref="L2109:L2111" si="3124">IF(E2109="M"," ",H2109/G2109)</f>
        <v xml:space="preserve"> </v>
      </c>
      <c r="M2109" s="109">
        <f t="shared" ref="M2109:M2111" si="3125">IF($E2109="L",$J2109,0)</f>
        <v>0</v>
      </c>
      <c r="N2109" s="109">
        <f t="shared" ref="N2109:N2111" si="3126">IF($E2109="M",$J2109,0)</f>
        <v>8398.5</v>
      </c>
      <c r="O2109" s="109">
        <f t="shared" ref="O2109:O2111" si="3127">IF($E2109="P",$J2109,0)</f>
        <v>0</v>
      </c>
      <c r="P2109" s="109">
        <f t="shared" ref="P2109:P2111" si="3128">IF($E2109="S",$J2109,0)</f>
        <v>0</v>
      </c>
      <c r="Q2109" s="109">
        <f t="shared" ref="Q2109:Q2111" si="3129">SUM(M2109:P2109)</f>
        <v>8398.5</v>
      </c>
      <c r="R2109" s="121">
        <v>222</v>
      </c>
      <c r="T2109" s="188"/>
    </row>
    <row r="2110" spans="1:22" x14ac:dyDescent="0.25">
      <c r="A2110" s="100" t="s">
        <v>2650</v>
      </c>
      <c r="B2110" s="3">
        <v>2</v>
      </c>
      <c r="C2110" s="5" t="s">
        <v>8</v>
      </c>
      <c r="D2110" s="3" t="s">
        <v>48</v>
      </c>
      <c r="E2110" s="100" t="str">
        <f>IFERROR(VLOOKUP(C2110,Resources!B:D,3,FALSE)," ")</f>
        <v>L</v>
      </c>
      <c r="F2110" s="8">
        <v>3</v>
      </c>
      <c r="G2110" s="103">
        <f>VLOOKUP($A2110,'Model Inputs'!$A:$D,4,FALSE)</f>
        <v>570</v>
      </c>
      <c r="H2110" s="8">
        <f>H2109</f>
        <v>3359.4</v>
      </c>
      <c r="I2110" s="109">
        <f>IFERROR(VLOOKUP(C2110,Resources!B:G,6,FALSE)," ")</f>
        <v>42</v>
      </c>
      <c r="J2110" s="109">
        <f t="shared" ref="J2110:J2111" si="3130">(H2110/(G2110/F2110))*I2110</f>
        <v>742.6042105263158</v>
      </c>
      <c r="K2110" s="8">
        <f t="shared" ref="K2110:K2111" si="3131">L2110*F2110</f>
        <v>17.681052631578947</v>
      </c>
      <c r="L2110" s="8">
        <f t="shared" si="3124"/>
        <v>5.8936842105263159</v>
      </c>
      <c r="M2110" s="109">
        <f t="shared" si="3125"/>
        <v>742.6042105263158</v>
      </c>
      <c r="N2110" s="109">
        <f t="shared" si="3126"/>
        <v>0</v>
      </c>
      <c r="O2110" s="109">
        <f t="shared" si="3127"/>
        <v>0</v>
      </c>
      <c r="P2110" s="109">
        <f t="shared" si="3128"/>
        <v>0</v>
      </c>
      <c r="Q2110" s="109">
        <f t="shared" si="3129"/>
        <v>742.6042105263158</v>
      </c>
      <c r="R2110" s="121">
        <v>222</v>
      </c>
      <c r="T2110" s="188"/>
    </row>
    <row r="2111" spans="1:22" x14ac:dyDescent="0.25">
      <c r="A2111" s="100"/>
      <c r="B2111" s="3">
        <v>3</v>
      </c>
      <c r="C2111" s="5" t="s">
        <v>45</v>
      </c>
      <c r="D2111" s="3" t="s">
        <v>48</v>
      </c>
      <c r="E2111" s="100" t="str">
        <f>IFERROR(VLOOKUP(C2111,Resources!B:D,3,FALSE)," ")</f>
        <v>P</v>
      </c>
      <c r="F2111" s="8">
        <v>1</v>
      </c>
      <c r="G2111" s="8">
        <f>G2110</f>
        <v>570</v>
      </c>
      <c r="H2111" s="8">
        <f>H2109</f>
        <v>3359.4</v>
      </c>
      <c r="I2111" s="109">
        <f>IFERROR(VLOOKUP(C2111,Resources!B:G,6,FALSE)," ")</f>
        <v>95</v>
      </c>
      <c r="J2111" s="109">
        <f t="shared" si="3130"/>
        <v>559.9</v>
      </c>
      <c r="K2111" s="8">
        <f t="shared" si="3131"/>
        <v>5.8936842105263159</v>
      </c>
      <c r="L2111" s="8">
        <f t="shared" si="3124"/>
        <v>5.8936842105263159</v>
      </c>
      <c r="M2111" s="109">
        <f t="shared" si="3125"/>
        <v>0</v>
      </c>
      <c r="N2111" s="109">
        <f t="shared" si="3126"/>
        <v>0</v>
      </c>
      <c r="O2111" s="109">
        <f t="shared" si="3127"/>
        <v>559.9</v>
      </c>
      <c r="P2111" s="109">
        <f t="shared" si="3128"/>
        <v>0</v>
      </c>
      <c r="Q2111" s="109">
        <f t="shared" si="3129"/>
        <v>559.9</v>
      </c>
      <c r="R2111" s="121">
        <v>222</v>
      </c>
      <c r="T2111" s="188"/>
    </row>
    <row r="2112" spans="1:22" s="10" customFormat="1" x14ac:dyDescent="0.25">
      <c r="A2112" s="29" t="s">
        <v>2651</v>
      </c>
      <c r="B2112" s="10" t="s">
        <v>2417</v>
      </c>
      <c r="C2112" s="11" t="s">
        <v>2465</v>
      </c>
      <c r="D2112" s="10" t="s">
        <v>82</v>
      </c>
      <c r="H2112" s="103">
        <f>VLOOKUP($A2112,'Model Inputs'!$A:$D,4,FALSE)</f>
        <v>816.58</v>
      </c>
      <c r="I2112" s="113"/>
      <c r="J2112" s="113"/>
      <c r="M2112" s="113"/>
      <c r="N2112" s="113"/>
      <c r="O2112" s="113"/>
      <c r="P2112" s="113"/>
      <c r="Q2112" s="113"/>
      <c r="R2112" s="119"/>
      <c r="T2112" s="188"/>
      <c r="U2112"/>
      <c r="V2112"/>
    </row>
    <row r="2113" spans="1:22" x14ac:dyDescent="0.25">
      <c r="A2113" s="100"/>
      <c r="B2113" s="3">
        <v>11</v>
      </c>
      <c r="C2113" s="5" t="s">
        <v>2119</v>
      </c>
      <c r="D2113" s="3" t="s">
        <v>82</v>
      </c>
      <c r="E2113" s="100" t="str">
        <f>IFERROR(VLOOKUP(C2113,Resources!B:D,3,FALSE)," ")</f>
        <v>M</v>
      </c>
      <c r="F2113" s="8">
        <v>1</v>
      </c>
      <c r="G2113" s="8">
        <v>1</v>
      </c>
      <c r="H2113" s="8">
        <f>H2112</f>
        <v>816.58</v>
      </c>
      <c r="I2113" s="109">
        <f>IFERROR(VLOOKUP(C2113,Resources!B:G,6,FALSE)," ")</f>
        <v>37.5</v>
      </c>
      <c r="J2113" s="109">
        <f t="shared" ref="J2113" si="3132">(H2113/(G2113/F2113))*I2113</f>
        <v>30621.75</v>
      </c>
      <c r="K2113" s="8"/>
      <c r="L2113" s="8" t="str">
        <f t="shared" ref="L2113" si="3133">IF(E2113="M"," ",H2113/G2113)</f>
        <v xml:space="preserve"> </v>
      </c>
      <c r="M2113" s="109">
        <f t="shared" ref="M2113" si="3134">IF($E2113="L",$J2113,0)</f>
        <v>0</v>
      </c>
      <c r="N2113" s="109">
        <f t="shared" ref="N2113" si="3135">IF($E2113="M",$J2113,0)</f>
        <v>30621.75</v>
      </c>
      <c r="O2113" s="109">
        <f t="shared" ref="O2113" si="3136">IF($E2113="P",$J2113,0)</f>
        <v>0</v>
      </c>
      <c r="P2113" s="109">
        <f t="shared" ref="P2113" si="3137">IF($E2113="S",$J2113,0)</f>
        <v>0</v>
      </c>
      <c r="Q2113" s="109">
        <f t="shared" ref="Q2113" si="3138">SUM(M2113:P2113)</f>
        <v>30621.75</v>
      </c>
      <c r="R2113" s="121" t="s">
        <v>2340</v>
      </c>
      <c r="T2113" s="188"/>
    </row>
    <row r="2114" spans="1:22" s="10" customFormat="1" x14ac:dyDescent="0.25">
      <c r="A2114" s="29" t="s">
        <v>2652</v>
      </c>
      <c r="B2114" s="10" t="s">
        <v>2417</v>
      </c>
      <c r="C2114" s="11" t="s">
        <v>2466</v>
      </c>
      <c r="D2114" s="10" t="s">
        <v>48</v>
      </c>
      <c r="H2114" s="103">
        <f>VLOOKUP($A2114,'Model Inputs'!$A:$D,4,FALSE)</f>
        <v>111</v>
      </c>
      <c r="I2114" s="113"/>
      <c r="J2114" s="113"/>
      <c r="M2114" s="113"/>
      <c r="N2114" s="113"/>
      <c r="O2114" s="113"/>
      <c r="P2114" s="113"/>
      <c r="Q2114" s="113"/>
      <c r="R2114" s="119"/>
      <c r="T2114" s="188"/>
      <c r="U2114"/>
      <c r="V2114"/>
    </row>
    <row r="2115" spans="1:22" x14ac:dyDescent="0.25">
      <c r="A2115" s="100"/>
      <c r="B2115" s="3">
        <v>3</v>
      </c>
      <c r="C2115" s="5" t="s">
        <v>44</v>
      </c>
      <c r="D2115" s="3" t="s">
        <v>48</v>
      </c>
      <c r="E2115" s="100" t="str">
        <f>IFERROR(VLOOKUP(C2115,Resources!B:D,3,FALSE)," ")</f>
        <v>P</v>
      </c>
      <c r="F2115" s="8">
        <v>1</v>
      </c>
      <c r="G2115" s="8">
        <v>1</v>
      </c>
      <c r="H2115" s="8">
        <f>H2114</f>
        <v>111</v>
      </c>
      <c r="I2115" s="109">
        <f>IFERROR(VLOOKUP(C2115,Resources!B:G,6,FALSE)," ")</f>
        <v>145</v>
      </c>
      <c r="J2115" s="109">
        <f t="shared" ref="J2115" si="3139">(H2115/(G2115/F2115))*I2115</f>
        <v>16095</v>
      </c>
      <c r="K2115" s="8">
        <f t="shared" ref="K2115" si="3140">L2115*F2115</f>
        <v>111</v>
      </c>
      <c r="L2115" s="8">
        <f t="shared" ref="L2115" si="3141">IF(E2115="M"," ",H2115/G2115)</f>
        <v>111</v>
      </c>
      <c r="M2115" s="109">
        <f t="shared" ref="M2115" si="3142">IF($E2115="L",$J2115,0)</f>
        <v>0</v>
      </c>
      <c r="N2115" s="109">
        <f t="shared" ref="N2115" si="3143">IF($E2115="M",$J2115,0)</f>
        <v>0</v>
      </c>
      <c r="O2115" s="109">
        <f t="shared" ref="O2115" si="3144">IF($E2115="P",$J2115,0)</f>
        <v>16095</v>
      </c>
      <c r="P2115" s="109">
        <f t="shared" ref="P2115" si="3145">IF($E2115="S",$J2115,0)</f>
        <v>0</v>
      </c>
      <c r="Q2115" s="109">
        <f t="shared" ref="Q2115" si="3146">SUM(M2115:P2115)</f>
        <v>16095</v>
      </c>
      <c r="R2115" s="121">
        <v>221</v>
      </c>
      <c r="T2115" s="188"/>
    </row>
    <row r="2116" spans="1:22" s="10" customFormat="1" x14ac:dyDescent="0.25">
      <c r="A2116" s="29" t="s">
        <v>2653</v>
      </c>
      <c r="B2116" s="10" t="s">
        <v>2417</v>
      </c>
      <c r="C2116" s="11" t="s">
        <v>2467</v>
      </c>
      <c r="D2116" s="10" t="s">
        <v>48</v>
      </c>
      <c r="H2116" s="103">
        <f>VLOOKUP($A2116,'Model Inputs'!$A:$D,4,FALSE)</f>
        <v>4</v>
      </c>
      <c r="I2116" s="113"/>
      <c r="J2116" s="113"/>
      <c r="M2116" s="113"/>
      <c r="N2116" s="113"/>
      <c r="O2116" s="113"/>
      <c r="P2116" s="113"/>
      <c r="Q2116" s="113"/>
      <c r="R2116" s="119"/>
      <c r="T2116" s="188"/>
      <c r="U2116"/>
      <c r="V2116"/>
    </row>
    <row r="2117" spans="1:22" x14ac:dyDescent="0.25">
      <c r="A2117" s="100"/>
      <c r="B2117" s="3">
        <v>12</v>
      </c>
      <c r="C2117" s="5" t="s">
        <v>2042</v>
      </c>
      <c r="D2117" s="3" t="s">
        <v>33</v>
      </c>
      <c r="E2117" s="100" t="s">
        <v>2019</v>
      </c>
      <c r="F2117" s="8">
        <v>1</v>
      </c>
      <c r="G2117" s="8">
        <v>1</v>
      </c>
      <c r="H2117" s="8">
        <f>H2116/40</f>
        <v>0.1</v>
      </c>
      <c r="I2117" s="109">
        <f>IFERROR(VLOOKUP(C2117,Resources!B:G,6,FALSE)," ")</f>
        <v>4250</v>
      </c>
      <c r="J2117" s="109">
        <f t="shared" ref="J2117" si="3147">(H2117/(G2117/F2117))*I2117</f>
        <v>425</v>
      </c>
      <c r="K2117" s="8"/>
      <c r="L2117" s="8">
        <f>(H2117/G2117)/Workhrs</f>
        <v>1.1111111111111112E-2</v>
      </c>
      <c r="M2117" s="109">
        <f t="shared" ref="M2117" si="3148">IF($E2117="L",$J2117,0)</f>
        <v>425</v>
      </c>
      <c r="N2117" s="109">
        <f t="shared" ref="N2117" si="3149">IF($E2117="M",$J2117,0)</f>
        <v>0</v>
      </c>
      <c r="O2117" s="109">
        <f t="shared" ref="O2117" si="3150">IF($E2117="P",$J2117,0)</f>
        <v>0</v>
      </c>
      <c r="P2117" s="109">
        <f t="shared" ref="P2117" si="3151">IF($E2117="S",$J2117,0)</f>
        <v>0</v>
      </c>
      <c r="Q2117" s="109">
        <f t="shared" ref="Q2117" si="3152">SUM(M2117:P2117)</f>
        <v>425</v>
      </c>
      <c r="R2117" s="121">
        <v>901</v>
      </c>
      <c r="T2117" s="188"/>
    </row>
    <row r="2118" spans="1:22" s="10" customFormat="1" x14ac:dyDescent="0.25">
      <c r="A2118" s="29" t="s">
        <v>2654</v>
      </c>
      <c r="B2118" s="10" t="s">
        <v>2417</v>
      </c>
      <c r="C2118" s="11" t="s">
        <v>2468</v>
      </c>
      <c r="D2118" s="10" t="s">
        <v>48</v>
      </c>
      <c r="H2118" s="103">
        <f>VLOOKUP($A2118,'Model Inputs'!$A:$D,4,FALSE)</f>
        <v>8</v>
      </c>
      <c r="I2118" s="113"/>
      <c r="J2118" s="113"/>
      <c r="M2118" s="113"/>
      <c r="N2118" s="113"/>
      <c r="O2118" s="113"/>
      <c r="P2118" s="113"/>
      <c r="Q2118" s="113"/>
      <c r="R2118" s="119"/>
      <c r="T2118" s="188"/>
      <c r="U2118"/>
      <c r="V2118"/>
    </row>
    <row r="2119" spans="1:22" x14ac:dyDescent="0.25">
      <c r="A2119" s="100"/>
      <c r="B2119" s="3">
        <v>12</v>
      </c>
      <c r="C2119" s="5" t="s">
        <v>21</v>
      </c>
      <c r="D2119" s="3" t="s">
        <v>33</v>
      </c>
      <c r="E2119" s="100" t="s">
        <v>2019</v>
      </c>
      <c r="F2119" s="8">
        <v>1</v>
      </c>
      <c r="G2119" s="8">
        <v>1</v>
      </c>
      <c r="H2119" s="8">
        <f>H2118/40</f>
        <v>0.2</v>
      </c>
      <c r="I2119" s="109">
        <f>IFERROR(VLOOKUP(C2119,Resources!B:G,6,FALSE)," ")</f>
        <v>3250</v>
      </c>
      <c r="J2119" s="109">
        <f t="shared" ref="J2119" si="3153">(H2119/(G2119/F2119))*I2119</f>
        <v>650</v>
      </c>
      <c r="K2119" s="8"/>
      <c r="L2119" s="8">
        <f>(H2119/G2119)/Workhrs</f>
        <v>2.2222222222222223E-2</v>
      </c>
      <c r="M2119" s="109">
        <f t="shared" ref="M2119" si="3154">IF($E2119="L",$J2119,0)</f>
        <v>650</v>
      </c>
      <c r="N2119" s="109">
        <f t="shared" ref="N2119" si="3155">IF($E2119="M",$J2119,0)</f>
        <v>0</v>
      </c>
      <c r="O2119" s="109">
        <f t="shared" ref="O2119" si="3156">IF($E2119="P",$J2119,0)</f>
        <v>0</v>
      </c>
      <c r="P2119" s="109">
        <f t="shared" ref="P2119" si="3157">IF($E2119="S",$J2119,0)</f>
        <v>0</v>
      </c>
      <c r="Q2119" s="109">
        <f t="shared" ref="Q2119" si="3158">SUM(M2119:P2119)</f>
        <v>650</v>
      </c>
      <c r="R2119" s="121">
        <v>901</v>
      </c>
      <c r="T2119" s="188"/>
    </row>
    <row r="2120" spans="1:22" s="155" customFormat="1" x14ac:dyDescent="0.25">
      <c r="A2120" s="226" t="s">
        <v>2978</v>
      </c>
      <c r="B2120" s="141"/>
      <c r="C2120" s="140" t="s">
        <v>2977</v>
      </c>
      <c r="D2120" s="141"/>
      <c r="E2120" s="142"/>
      <c r="F2120" s="143"/>
      <c r="G2120" s="143"/>
      <c r="H2120" s="143"/>
      <c r="I2120" s="144"/>
      <c r="J2120" s="144"/>
      <c r="K2120" s="143"/>
      <c r="L2120" s="143">
        <f>SUM(L2121,L2126,L2131)</f>
        <v>3</v>
      </c>
      <c r="M2120" s="144"/>
      <c r="N2120" s="144"/>
      <c r="O2120" s="144"/>
      <c r="P2120" s="144"/>
      <c r="Q2120" s="144"/>
      <c r="R2120" s="145"/>
      <c r="T2120" s="225"/>
    </row>
    <row r="2121" spans="1:22" s="10" customFormat="1" ht="30" x14ac:dyDescent="0.25">
      <c r="A2121" s="29" t="s">
        <v>2655</v>
      </c>
      <c r="B2121" s="10" t="s">
        <v>2417</v>
      </c>
      <c r="C2121" s="11" t="s">
        <v>2469</v>
      </c>
      <c r="D2121" s="10" t="s">
        <v>86</v>
      </c>
      <c r="H2121" s="103">
        <f>VLOOKUP($A2121,'Model Inputs'!$A:$D,4,FALSE)</f>
        <v>83</v>
      </c>
      <c r="I2121" s="113"/>
      <c r="J2121" s="113"/>
      <c r="L2121" s="10">
        <f>ROUNDUP(MAX(L2122:L2125)/Workhrs,0)</f>
        <v>1</v>
      </c>
      <c r="M2121" s="113"/>
      <c r="N2121" s="113"/>
      <c r="O2121" s="113"/>
      <c r="P2121" s="113"/>
      <c r="Q2121" s="113"/>
      <c r="R2121" s="119"/>
      <c r="T2121" s="188"/>
      <c r="U2121"/>
      <c r="V2121"/>
    </row>
    <row r="2122" spans="1:22" x14ac:dyDescent="0.25">
      <c r="A2122" s="100" t="s">
        <v>2656</v>
      </c>
      <c r="B2122" s="3">
        <v>5</v>
      </c>
      <c r="C2122" s="5" t="s">
        <v>63</v>
      </c>
      <c r="D2122" s="3" t="s">
        <v>48</v>
      </c>
      <c r="E2122" s="100" t="str">
        <f>IFERROR(VLOOKUP(C2122,Resources!B:D,3,FALSE)," ")</f>
        <v>P</v>
      </c>
      <c r="F2122" s="8">
        <v>1</v>
      </c>
      <c r="G2122" s="103">
        <f>VLOOKUP($A2122,'Model Inputs'!$A:$D,4,FALSE)</f>
        <v>15</v>
      </c>
      <c r="H2122" s="8">
        <f>H2121</f>
        <v>83</v>
      </c>
      <c r="I2122" s="109">
        <f>IFERROR(VLOOKUP(C2122,Resources!B:G,6,FALSE)," ")</f>
        <v>135</v>
      </c>
      <c r="J2122" s="109">
        <f t="shared" ref="J2122:J2125" si="3159">(H2122/(G2122/F2122))*I2122</f>
        <v>747</v>
      </c>
      <c r="K2122" s="8">
        <f t="shared" ref="K2122:K2125" si="3160">L2122*F2122</f>
        <v>5.5333333333333332</v>
      </c>
      <c r="L2122" s="8">
        <f t="shared" ref="L2122:L2125" si="3161">IF(E2122="M"," ",H2122/G2122)</f>
        <v>5.5333333333333332</v>
      </c>
      <c r="M2122" s="109">
        <f t="shared" ref="M2122:M2125" si="3162">IF($E2122="L",$J2122,0)</f>
        <v>0</v>
      </c>
      <c r="N2122" s="109">
        <f t="shared" ref="N2122:N2125" si="3163">IF($E2122="M",$J2122,0)</f>
        <v>0</v>
      </c>
      <c r="O2122" s="109">
        <f t="shared" ref="O2122:O2125" si="3164">IF($E2122="P",$J2122,0)</f>
        <v>747</v>
      </c>
      <c r="P2122" s="109">
        <f t="shared" ref="P2122:P2125" si="3165">IF($E2122="S",$J2122,0)</f>
        <v>0</v>
      </c>
      <c r="Q2122" s="109">
        <f t="shared" ref="Q2122:Q2125" si="3166">SUM(M2122:P2122)</f>
        <v>747</v>
      </c>
      <c r="R2122" s="121">
        <v>57</v>
      </c>
      <c r="T2122" s="188"/>
    </row>
    <row r="2123" spans="1:22" x14ac:dyDescent="0.25">
      <c r="A2123" s="100" t="s">
        <v>2657</v>
      </c>
      <c r="B2123" s="3">
        <v>6</v>
      </c>
      <c r="C2123" s="5" t="s">
        <v>44</v>
      </c>
      <c r="D2123" s="3" t="s">
        <v>48</v>
      </c>
      <c r="E2123" s="100" t="str">
        <f>IFERROR(VLOOKUP(C2123,Resources!B:D,3,FALSE)," ")</f>
        <v>P</v>
      </c>
      <c r="F2123" s="103">
        <f>VLOOKUP($A2123,'Model Inputs'!$A:$D,4,FALSE)</f>
        <v>2</v>
      </c>
      <c r="G2123" s="8">
        <f>G2122</f>
        <v>15</v>
      </c>
      <c r="H2123" s="8">
        <f>H2121</f>
        <v>83</v>
      </c>
      <c r="I2123" s="109">
        <f>IFERROR(VLOOKUP(C2123,Resources!B:G,6,FALSE)," ")</f>
        <v>145</v>
      </c>
      <c r="J2123" s="109">
        <f t="shared" si="3159"/>
        <v>1604.6666666666667</v>
      </c>
      <c r="K2123" s="8">
        <f t="shared" si="3160"/>
        <v>11.066666666666666</v>
      </c>
      <c r="L2123" s="8">
        <f t="shared" si="3161"/>
        <v>5.5333333333333332</v>
      </c>
      <c r="M2123" s="109">
        <f t="shared" si="3162"/>
        <v>0</v>
      </c>
      <c r="N2123" s="109">
        <f t="shared" si="3163"/>
        <v>0</v>
      </c>
      <c r="O2123" s="109">
        <f t="shared" si="3164"/>
        <v>1604.6666666666667</v>
      </c>
      <c r="P2123" s="109">
        <f t="shared" si="3165"/>
        <v>0</v>
      </c>
      <c r="Q2123" s="109">
        <f t="shared" si="3166"/>
        <v>1604.6666666666667</v>
      </c>
      <c r="R2123" s="121">
        <v>57</v>
      </c>
      <c r="T2123" s="188"/>
    </row>
    <row r="2124" spans="1:22" x14ac:dyDescent="0.25">
      <c r="A2124" s="100"/>
      <c r="B2124" s="3">
        <v>7</v>
      </c>
      <c r="C2124" s="5" t="s">
        <v>64</v>
      </c>
      <c r="D2124" s="3" t="s">
        <v>48</v>
      </c>
      <c r="E2124" s="100" t="str">
        <f>IFERROR(VLOOKUP(C2124,Resources!B:D,3,FALSE)," ")</f>
        <v>P</v>
      </c>
      <c r="F2124" s="8">
        <v>1</v>
      </c>
      <c r="G2124" s="8">
        <f>G2122</f>
        <v>15</v>
      </c>
      <c r="H2124" s="8">
        <f>H2121</f>
        <v>83</v>
      </c>
      <c r="I2124" s="109">
        <f>IFERROR(VLOOKUP(C2124,Resources!B:G,6,FALSE)," ")</f>
        <v>100</v>
      </c>
      <c r="J2124" s="109">
        <f t="shared" si="3159"/>
        <v>553.33333333333337</v>
      </c>
      <c r="K2124" s="8">
        <f t="shared" si="3160"/>
        <v>5.5333333333333332</v>
      </c>
      <c r="L2124" s="8">
        <f t="shared" si="3161"/>
        <v>5.5333333333333332</v>
      </c>
      <c r="M2124" s="109">
        <f t="shared" si="3162"/>
        <v>0</v>
      </c>
      <c r="N2124" s="109">
        <f t="shared" si="3163"/>
        <v>0</v>
      </c>
      <c r="O2124" s="109">
        <f t="shared" si="3164"/>
        <v>553.33333333333337</v>
      </c>
      <c r="P2124" s="109">
        <f t="shared" si="3165"/>
        <v>0</v>
      </c>
      <c r="Q2124" s="109">
        <f t="shared" si="3166"/>
        <v>553.33333333333337</v>
      </c>
      <c r="R2124" s="121">
        <v>57</v>
      </c>
      <c r="T2124" s="188"/>
    </row>
    <row r="2125" spans="1:22" x14ac:dyDescent="0.25">
      <c r="A2125" s="100"/>
      <c r="B2125" s="3">
        <v>8</v>
      </c>
      <c r="C2125" s="5" t="s">
        <v>8</v>
      </c>
      <c r="D2125" s="3" t="s">
        <v>48</v>
      </c>
      <c r="E2125" s="100" t="str">
        <f>IFERROR(VLOOKUP(C2125,Resources!B:D,3,FALSE)," ")</f>
        <v>L</v>
      </c>
      <c r="F2125" s="8">
        <v>1</v>
      </c>
      <c r="G2125" s="8">
        <f>G2122</f>
        <v>15</v>
      </c>
      <c r="H2125" s="8">
        <f>H2121</f>
        <v>83</v>
      </c>
      <c r="I2125" s="109">
        <f>IFERROR(VLOOKUP(C2125,Resources!B:G,6,FALSE)," ")</f>
        <v>42</v>
      </c>
      <c r="J2125" s="109">
        <f t="shared" si="3159"/>
        <v>232.4</v>
      </c>
      <c r="K2125" s="8">
        <f t="shared" si="3160"/>
        <v>5.5333333333333332</v>
      </c>
      <c r="L2125" s="8">
        <f t="shared" si="3161"/>
        <v>5.5333333333333332</v>
      </c>
      <c r="M2125" s="109">
        <f t="shared" si="3162"/>
        <v>232.4</v>
      </c>
      <c r="N2125" s="109">
        <f t="shared" si="3163"/>
        <v>0</v>
      </c>
      <c r="O2125" s="109">
        <f t="shared" si="3164"/>
        <v>0</v>
      </c>
      <c r="P2125" s="109">
        <f t="shared" si="3165"/>
        <v>0</v>
      </c>
      <c r="Q2125" s="109">
        <f t="shared" si="3166"/>
        <v>232.4</v>
      </c>
      <c r="R2125" s="121">
        <v>57</v>
      </c>
      <c r="T2125" s="188"/>
    </row>
    <row r="2126" spans="1:22" s="10" customFormat="1" ht="30" x14ac:dyDescent="0.25">
      <c r="A2126" s="227" t="s">
        <v>2658</v>
      </c>
      <c r="B2126" s="10" t="s">
        <v>2417</v>
      </c>
      <c r="C2126" s="11" t="s">
        <v>2470</v>
      </c>
      <c r="D2126" s="10" t="s">
        <v>86</v>
      </c>
      <c r="H2126" s="103">
        <f>VLOOKUP($A2126,'Model Inputs'!$A:$D,4,FALSE)</f>
        <v>116</v>
      </c>
      <c r="I2126" s="113"/>
      <c r="J2126" s="113"/>
      <c r="L2126" s="10">
        <f>ROUNDUP(MAX(L2127:L2130)/Workhrs,0)</f>
        <v>1</v>
      </c>
      <c r="M2126" s="113"/>
      <c r="N2126" s="113"/>
      <c r="O2126" s="113"/>
      <c r="P2126" s="113"/>
      <c r="Q2126" s="113"/>
      <c r="R2126" s="119"/>
      <c r="T2126" s="188"/>
      <c r="U2126"/>
      <c r="V2126"/>
    </row>
    <row r="2127" spans="1:22" x14ac:dyDescent="0.25">
      <c r="A2127" s="100" t="s">
        <v>2659</v>
      </c>
      <c r="B2127" s="3">
        <v>12</v>
      </c>
      <c r="C2127" s="5" t="s">
        <v>39</v>
      </c>
      <c r="D2127" s="3" t="s">
        <v>48</v>
      </c>
      <c r="E2127" s="100" t="str">
        <f>IFERROR(VLOOKUP(C2127,Resources!B:D,3,FALSE)," ")</f>
        <v>P</v>
      </c>
      <c r="F2127" s="8">
        <v>1</v>
      </c>
      <c r="G2127" s="103">
        <f>VLOOKUP($A2127,'Model Inputs'!$A:$D,4,FALSE)</f>
        <v>40</v>
      </c>
      <c r="H2127" s="8">
        <f>H2126</f>
        <v>116</v>
      </c>
      <c r="I2127" s="109">
        <f>IFERROR(VLOOKUP(C2127,Resources!B:G,6,FALSE)," ")</f>
        <v>145</v>
      </c>
      <c r="J2127" s="109">
        <f t="shared" ref="J2127:J2130" si="3167">(H2127/(G2127/F2127))*I2127</f>
        <v>420.5</v>
      </c>
      <c r="K2127" s="8">
        <f t="shared" ref="K2127:K2130" si="3168">L2127*F2127</f>
        <v>2.9</v>
      </c>
      <c r="L2127" s="8">
        <f t="shared" ref="L2127:L2130" si="3169">IF(E2127="M"," ",H2127/G2127)</f>
        <v>2.9</v>
      </c>
      <c r="M2127" s="109">
        <f t="shared" ref="M2127:M2130" si="3170">IF($E2127="L",$J2127,0)</f>
        <v>0</v>
      </c>
      <c r="N2127" s="109">
        <f t="shared" ref="N2127:N2130" si="3171">IF($E2127="M",$J2127,0)</f>
        <v>0</v>
      </c>
      <c r="O2127" s="109">
        <f t="shared" ref="O2127:O2130" si="3172">IF($E2127="P",$J2127,0)</f>
        <v>420.5</v>
      </c>
      <c r="P2127" s="109">
        <f t="shared" ref="P2127:P2130" si="3173">IF($E2127="S",$J2127,0)</f>
        <v>0</v>
      </c>
      <c r="Q2127" s="109">
        <f t="shared" ref="Q2127:Q2130" si="3174">SUM(M2127:P2127)</f>
        <v>420.5</v>
      </c>
      <c r="R2127" s="121">
        <v>57</v>
      </c>
      <c r="T2127" s="188"/>
    </row>
    <row r="2128" spans="1:22" x14ac:dyDescent="0.25">
      <c r="A2128" s="100"/>
      <c r="B2128" s="3">
        <v>13</v>
      </c>
      <c r="C2128" s="5" t="s">
        <v>69</v>
      </c>
      <c r="D2128" s="3" t="s">
        <v>48</v>
      </c>
      <c r="E2128" s="100" t="str">
        <f>IFERROR(VLOOKUP(C2128,Resources!B:D,3,FALSE)," ")</f>
        <v>P</v>
      </c>
      <c r="F2128" s="8">
        <v>1</v>
      </c>
      <c r="G2128" s="8">
        <f>G2127</f>
        <v>40</v>
      </c>
      <c r="H2128" s="8">
        <f>H2127</f>
        <v>116</v>
      </c>
      <c r="I2128" s="109">
        <f>IFERROR(VLOOKUP(C2128,Resources!B:G,6,FALSE)," ")</f>
        <v>55</v>
      </c>
      <c r="J2128" s="109">
        <f t="shared" si="3167"/>
        <v>159.5</v>
      </c>
      <c r="K2128" s="8">
        <f t="shared" si="3168"/>
        <v>2.9</v>
      </c>
      <c r="L2128" s="8">
        <f t="shared" si="3169"/>
        <v>2.9</v>
      </c>
      <c r="M2128" s="109">
        <f t="shared" si="3170"/>
        <v>0</v>
      </c>
      <c r="N2128" s="109">
        <f t="shared" si="3171"/>
        <v>0</v>
      </c>
      <c r="O2128" s="109">
        <f t="shared" si="3172"/>
        <v>159.5</v>
      </c>
      <c r="P2128" s="109">
        <f t="shared" si="3173"/>
        <v>0</v>
      </c>
      <c r="Q2128" s="109">
        <f t="shared" si="3174"/>
        <v>159.5</v>
      </c>
      <c r="R2128" s="121">
        <v>57</v>
      </c>
      <c r="T2128" s="188"/>
    </row>
    <row r="2129" spans="1:22" x14ac:dyDescent="0.25">
      <c r="A2129" s="100"/>
      <c r="B2129" s="3">
        <v>14</v>
      </c>
      <c r="C2129" s="5" t="s">
        <v>64</v>
      </c>
      <c r="D2129" s="3" t="s">
        <v>48</v>
      </c>
      <c r="E2129" s="100" t="str">
        <f>IFERROR(VLOOKUP(C2129,Resources!B:D,3,FALSE)," ")</f>
        <v>P</v>
      </c>
      <c r="F2129" s="8">
        <v>1</v>
      </c>
      <c r="G2129" s="8">
        <f>G2127</f>
        <v>40</v>
      </c>
      <c r="H2129" s="8">
        <f t="shared" ref="H2129:H2130" si="3175">H2128</f>
        <v>116</v>
      </c>
      <c r="I2129" s="109">
        <f>IFERROR(VLOOKUP(C2129,Resources!B:G,6,FALSE)," ")</f>
        <v>100</v>
      </c>
      <c r="J2129" s="109">
        <f t="shared" si="3167"/>
        <v>290</v>
      </c>
      <c r="K2129" s="8">
        <f t="shared" si="3168"/>
        <v>2.9</v>
      </c>
      <c r="L2129" s="8">
        <f t="shared" si="3169"/>
        <v>2.9</v>
      </c>
      <c r="M2129" s="109">
        <f t="shared" si="3170"/>
        <v>0</v>
      </c>
      <c r="N2129" s="109">
        <f t="shared" si="3171"/>
        <v>0</v>
      </c>
      <c r="O2129" s="109">
        <f t="shared" si="3172"/>
        <v>290</v>
      </c>
      <c r="P2129" s="109">
        <f t="shared" si="3173"/>
        <v>0</v>
      </c>
      <c r="Q2129" s="109">
        <f t="shared" si="3174"/>
        <v>290</v>
      </c>
      <c r="R2129" s="121">
        <v>57</v>
      </c>
      <c r="T2129" s="188"/>
    </row>
    <row r="2130" spans="1:22" x14ac:dyDescent="0.25">
      <c r="A2130" s="100"/>
      <c r="B2130" s="3">
        <v>15</v>
      </c>
      <c r="C2130" s="5" t="s">
        <v>8</v>
      </c>
      <c r="D2130" s="3" t="s">
        <v>48</v>
      </c>
      <c r="E2130" s="100" t="str">
        <f>IFERROR(VLOOKUP(C2130,Resources!B:D,3,FALSE)," ")</f>
        <v>L</v>
      </c>
      <c r="F2130" s="8">
        <v>3</v>
      </c>
      <c r="G2130" s="8">
        <f>G2127</f>
        <v>40</v>
      </c>
      <c r="H2130" s="8">
        <f t="shared" si="3175"/>
        <v>116</v>
      </c>
      <c r="I2130" s="109">
        <f>IFERROR(VLOOKUP(C2130,Resources!B:G,6,FALSE)," ")</f>
        <v>42</v>
      </c>
      <c r="J2130" s="109">
        <f t="shared" si="3167"/>
        <v>365.4</v>
      </c>
      <c r="K2130" s="8">
        <f t="shared" si="3168"/>
        <v>8.6999999999999993</v>
      </c>
      <c r="L2130" s="8">
        <f t="shared" si="3169"/>
        <v>2.9</v>
      </c>
      <c r="M2130" s="109">
        <f t="shared" si="3170"/>
        <v>365.4</v>
      </c>
      <c r="N2130" s="109">
        <f t="shared" si="3171"/>
        <v>0</v>
      </c>
      <c r="O2130" s="109">
        <f t="shared" si="3172"/>
        <v>0</v>
      </c>
      <c r="P2130" s="109">
        <f t="shared" si="3173"/>
        <v>0</v>
      </c>
      <c r="Q2130" s="109">
        <f t="shared" si="3174"/>
        <v>365.4</v>
      </c>
      <c r="R2130" s="121">
        <v>57</v>
      </c>
      <c r="T2130" s="188"/>
    </row>
    <row r="2131" spans="1:22" s="10" customFormat="1" ht="30" x14ac:dyDescent="0.25">
      <c r="A2131" s="227" t="s">
        <v>2660</v>
      </c>
      <c r="B2131" s="10" t="s">
        <v>2417</v>
      </c>
      <c r="C2131" s="11" t="s">
        <v>2471</v>
      </c>
      <c r="D2131" s="10" t="s">
        <v>83</v>
      </c>
      <c r="H2131" s="103">
        <f>VLOOKUP($A2131,'Model Inputs'!$A:$D,4,FALSE)</f>
        <v>455</v>
      </c>
      <c r="I2131" s="113"/>
      <c r="J2131" s="113"/>
      <c r="L2131" s="10">
        <f>ROUNDUP(MAX(L2133:L2134)/Workhrs,0)</f>
        <v>1</v>
      </c>
      <c r="M2131" s="113"/>
      <c r="N2131" s="113"/>
      <c r="O2131" s="113"/>
      <c r="P2131" s="113"/>
      <c r="Q2131" s="113"/>
      <c r="R2131" s="119"/>
      <c r="T2131" s="188"/>
      <c r="U2131"/>
      <c r="V2131"/>
    </row>
    <row r="2132" spans="1:22" x14ac:dyDescent="0.25">
      <c r="A2132" s="100" t="s">
        <v>2661</v>
      </c>
      <c r="B2132" s="3">
        <v>1</v>
      </c>
      <c r="C2132" s="5" t="s">
        <v>2089</v>
      </c>
      <c r="D2132" s="3" t="s">
        <v>83</v>
      </c>
      <c r="E2132" s="100" t="str">
        <f>IFERROR(VLOOKUP(C2132,Resources!B:D,3,FALSE)," ")</f>
        <v>M</v>
      </c>
      <c r="F2132" s="103">
        <f>VLOOKUP($A2132,'Model Inputs'!$A:$D,4,FALSE)</f>
        <v>1.1000000000000001</v>
      </c>
      <c r="G2132" s="8">
        <v>1</v>
      </c>
      <c r="H2132" s="8">
        <f>H2131*F2132</f>
        <v>500.50000000000006</v>
      </c>
      <c r="I2132" s="109">
        <f>IFERROR(VLOOKUP(C2132,Resources!B:G,6,FALSE)," ")</f>
        <v>2.5</v>
      </c>
      <c r="J2132" s="109">
        <f>I2132*H2132</f>
        <v>1251.2500000000002</v>
      </c>
      <c r="K2132" s="8"/>
      <c r="L2132" s="8" t="str">
        <f t="shared" ref="L2132:L2134" si="3176">IF(E2132="M"," ",H2132/G2132)</f>
        <v xml:space="preserve"> </v>
      </c>
      <c r="M2132" s="109">
        <f t="shared" ref="M2132:M2134" si="3177">IF($E2132="L",$J2132,0)</f>
        <v>0</v>
      </c>
      <c r="N2132" s="109">
        <f t="shared" ref="N2132:N2134" si="3178">IF($E2132="M",$J2132,0)</f>
        <v>1251.2500000000002</v>
      </c>
      <c r="O2132" s="109">
        <f t="shared" ref="O2132:O2134" si="3179">IF($E2132="P",$J2132,0)</f>
        <v>0</v>
      </c>
      <c r="P2132" s="109">
        <f t="shared" ref="P2132:P2134" si="3180">IF($E2132="S",$J2132,0)</f>
        <v>0</v>
      </c>
      <c r="Q2132" s="109">
        <f t="shared" ref="Q2132:Q2134" si="3181">SUM(M2132:P2132)</f>
        <v>1251.2500000000002</v>
      </c>
      <c r="R2132" s="121">
        <v>222</v>
      </c>
      <c r="T2132" s="188"/>
    </row>
    <row r="2133" spans="1:22" x14ac:dyDescent="0.25">
      <c r="A2133" s="100" t="s">
        <v>2662</v>
      </c>
      <c r="B2133" s="3">
        <v>2</v>
      </c>
      <c r="C2133" s="5" t="s">
        <v>8</v>
      </c>
      <c r="D2133" s="3" t="s">
        <v>48</v>
      </c>
      <c r="E2133" s="100" t="str">
        <f>IFERROR(VLOOKUP(C2133,Resources!B:D,3,FALSE)," ")</f>
        <v>L</v>
      </c>
      <c r="F2133" s="8">
        <v>3</v>
      </c>
      <c r="G2133" s="103">
        <f>VLOOKUP($A2133,'Model Inputs'!$A:$D,4,FALSE)</f>
        <v>570</v>
      </c>
      <c r="H2133" s="8">
        <f>H2132</f>
        <v>500.50000000000006</v>
      </c>
      <c r="I2133" s="109">
        <f>IFERROR(VLOOKUP(C2133,Resources!B:G,6,FALSE)," ")</f>
        <v>42</v>
      </c>
      <c r="J2133" s="109">
        <f t="shared" ref="J2133:J2134" si="3182">(H2133/(G2133/F2133))*I2133</f>
        <v>110.63684210526316</v>
      </c>
      <c r="K2133" s="8">
        <f t="shared" ref="K2133:K2134" si="3183">L2133*F2133</f>
        <v>2.6342105263157896</v>
      </c>
      <c r="L2133" s="8">
        <f t="shared" si="3176"/>
        <v>0.87807017543859656</v>
      </c>
      <c r="M2133" s="109">
        <f t="shared" si="3177"/>
        <v>110.63684210526316</v>
      </c>
      <c r="N2133" s="109">
        <f t="shared" si="3178"/>
        <v>0</v>
      </c>
      <c r="O2133" s="109">
        <f t="shared" si="3179"/>
        <v>0</v>
      </c>
      <c r="P2133" s="109">
        <f t="shared" si="3180"/>
        <v>0</v>
      </c>
      <c r="Q2133" s="109">
        <f t="shared" si="3181"/>
        <v>110.63684210526316</v>
      </c>
      <c r="R2133" s="121">
        <v>222</v>
      </c>
      <c r="T2133" s="188"/>
    </row>
    <row r="2134" spans="1:22" x14ac:dyDescent="0.25">
      <c r="A2134" s="100"/>
      <c r="B2134" s="3">
        <v>3</v>
      </c>
      <c r="C2134" s="5" t="s">
        <v>45</v>
      </c>
      <c r="D2134" s="3" t="s">
        <v>48</v>
      </c>
      <c r="E2134" s="100" t="str">
        <f>IFERROR(VLOOKUP(C2134,Resources!B:D,3,FALSE)," ")</f>
        <v>P</v>
      </c>
      <c r="F2134" s="8">
        <v>1</v>
      </c>
      <c r="G2134" s="8">
        <f>G2133</f>
        <v>570</v>
      </c>
      <c r="H2134" s="8">
        <f>H2132</f>
        <v>500.50000000000006</v>
      </c>
      <c r="I2134" s="109">
        <f>IFERROR(VLOOKUP(C2134,Resources!B:G,6,FALSE)," ")</f>
        <v>95</v>
      </c>
      <c r="J2134" s="109">
        <f t="shared" si="3182"/>
        <v>83.416666666666671</v>
      </c>
      <c r="K2134" s="8">
        <f t="shared" si="3183"/>
        <v>0.87807017543859656</v>
      </c>
      <c r="L2134" s="8">
        <f t="shared" si="3176"/>
        <v>0.87807017543859656</v>
      </c>
      <c r="M2134" s="109">
        <f t="shared" si="3177"/>
        <v>0</v>
      </c>
      <c r="N2134" s="109">
        <f t="shared" si="3178"/>
        <v>0</v>
      </c>
      <c r="O2134" s="109">
        <f t="shared" si="3179"/>
        <v>83.416666666666671</v>
      </c>
      <c r="P2134" s="109">
        <f t="shared" si="3180"/>
        <v>0</v>
      </c>
      <c r="Q2134" s="109">
        <f t="shared" si="3181"/>
        <v>83.416666666666671</v>
      </c>
      <c r="R2134" s="121">
        <v>222</v>
      </c>
      <c r="T2134" s="188"/>
    </row>
    <row r="2135" spans="1:22" s="10" customFormat="1" x14ac:dyDescent="0.25">
      <c r="A2135" s="29" t="s">
        <v>2663</v>
      </c>
      <c r="B2135" s="10" t="s">
        <v>2417</v>
      </c>
      <c r="C2135" s="11" t="s">
        <v>2472</v>
      </c>
      <c r="D2135" s="10" t="s">
        <v>82</v>
      </c>
      <c r="H2135" s="103">
        <f>VLOOKUP($A2135,'Model Inputs'!$A:$D,4,FALSE)</f>
        <v>267.45999999999998</v>
      </c>
      <c r="I2135" s="113"/>
      <c r="J2135" s="113"/>
      <c r="M2135" s="113"/>
      <c r="N2135" s="113"/>
      <c r="O2135" s="113"/>
      <c r="P2135" s="113"/>
      <c r="Q2135" s="113"/>
      <c r="R2135" s="119"/>
      <c r="T2135" s="188"/>
      <c r="U2135"/>
      <c r="V2135"/>
    </row>
    <row r="2136" spans="1:22" x14ac:dyDescent="0.25">
      <c r="A2136" s="100"/>
      <c r="B2136" s="3">
        <v>11</v>
      </c>
      <c r="C2136" s="5" t="s">
        <v>2119</v>
      </c>
      <c r="D2136" s="3" t="s">
        <v>82</v>
      </c>
      <c r="E2136" s="100" t="str">
        <f>IFERROR(VLOOKUP(C2136,Resources!B:D,3,FALSE)," ")</f>
        <v>M</v>
      </c>
      <c r="F2136" s="8">
        <v>1</v>
      </c>
      <c r="G2136" s="8">
        <v>1</v>
      </c>
      <c r="H2136" s="8">
        <f>H2135</f>
        <v>267.45999999999998</v>
      </c>
      <c r="I2136" s="109">
        <f>IFERROR(VLOOKUP(C2136,Resources!B:G,6,FALSE)," ")</f>
        <v>37.5</v>
      </c>
      <c r="J2136" s="109">
        <f t="shared" ref="J2136" si="3184">(H2136/(G2136/F2136))*I2136</f>
        <v>10029.75</v>
      </c>
      <c r="K2136" s="8"/>
      <c r="L2136" s="8" t="str">
        <f t="shared" ref="L2136" si="3185">IF(E2136="M"," ",H2136/G2136)</f>
        <v xml:space="preserve"> </v>
      </c>
      <c r="M2136" s="109">
        <f t="shared" ref="M2136" si="3186">IF($E2136="L",$J2136,0)</f>
        <v>0</v>
      </c>
      <c r="N2136" s="109">
        <f t="shared" ref="N2136" si="3187">IF($E2136="M",$J2136,0)</f>
        <v>10029.75</v>
      </c>
      <c r="O2136" s="109">
        <f t="shared" ref="O2136" si="3188">IF($E2136="P",$J2136,0)</f>
        <v>0</v>
      </c>
      <c r="P2136" s="109">
        <f t="shared" ref="P2136" si="3189">IF($E2136="S",$J2136,0)</f>
        <v>0</v>
      </c>
      <c r="Q2136" s="109">
        <f t="shared" ref="Q2136" si="3190">SUM(M2136:P2136)</f>
        <v>10029.75</v>
      </c>
      <c r="R2136" s="121" t="s">
        <v>2340</v>
      </c>
      <c r="T2136" s="188"/>
    </row>
    <row r="2137" spans="1:22" s="10" customFormat="1" x14ac:dyDescent="0.25">
      <c r="A2137" s="29" t="s">
        <v>2664</v>
      </c>
      <c r="B2137" s="10" t="s">
        <v>2417</v>
      </c>
      <c r="C2137" s="11" t="s">
        <v>2473</v>
      </c>
      <c r="D2137" s="10" t="s">
        <v>48</v>
      </c>
      <c r="H2137" s="103">
        <f>VLOOKUP($A2137,'Model Inputs'!$A:$D,4,FALSE)</f>
        <v>35</v>
      </c>
      <c r="I2137" s="113"/>
      <c r="J2137" s="113"/>
      <c r="M2137" s="113"/>
      <c r="N2137" s="113"/>
      <c r="O2137" s="113"/>
      <c r="P2137" s="113"/>
      <c r="Q2137" s="113"/>
      <c r="R2137" s="119"/>
      <c r="T2137" s="188"/>
      <c r="U2137"/>
      <c r="V2137"/>
    </row>
    <row r="2138" spans="1:22" x14ac:dyDescent="0.25">
      <c r="A2138" s="100"/>
      <c r="B2138" s="3">
        <v>3</v>
      </c>
      <c r="C2138" s="5" t="s">
        <v>44</v>
      </c>
      <c r="D2138" s="3" t="s">
        <v>48</v>
      </c>
      <c r="E2138" s="100" t="str">
        <f>IFERROR(VLOOKUP(C2138,Resources!B:D,3,FALSE)," ")</f>
        <v>P</v>
      </c>
      <c r="F2138" s="8">
        <v>1</v>
      </c>
      <c r="G2138" s="8">
        <v>1</v>
      </c>
      <c r="H2138" s="8">
        <f>H2137</f>
        <v>35</v>
      </c>
      <c r="I2138" s="109">
        <f>IFERROR(VLOOKUP(C2138,Resources!B:G,6,FALSE)," ")</f>
        <v>145</v>
      </c>
      <c r="J2138" s="109">
        <f t="shared" ref="J2138" si="3191">(H2138/(G2138/F2138))*I2138</f>
        <v>5075</v>
      </c>
      <c r="K2138" s="8">
        <f t="shared" ref="K2138" si="3192">L2138*F2138</f>
        <v>35</v>
      </c>
      <c r="L2138" s="8">
        <f t="shared" ref="L2138" si="3193">IF(E2138="M"," ",H2138/G2138)</f>
        <v>35</v>
      </c>
      <c r="M2138" s="109">
        <f t="shared" ref="M2138" si="3194">IF($E2138="L",$J2138,0)</f>
        <v>0</v>
      </c>
      <c r="N2138" s="109">
        <f t="shared" ref="N2138" si="3195">IF($E2138="M",$J2138,0)</f>
        <v>0</v>
      </c>
      <c r="O2138" s="109">
        <f t="shared" ref="O2138" si="3196">IF($E2138="P",$J2138,0)</f>
        <v>5075</v>
      </c>
      <c r="P2138" s="109">
        <f t="shared" ref="P2138" si="3197">IF($E2138="S",$J2138,0)</f>
        <v>0</v>
      </c>
      <c r="Q2138" s="109">
        <f t="shared" ref="Q2138" si="3198">SUM(M2138:P2138)</f>
        <v>5075</v>
      </c>
      <c r="R2138" s="121">
        <v>221</v>
      </c>
      <c r="T2138" s="188"/>
    </row>
    <row r="2139" spans="1:22" s="10" customFormat="1" x14ac:dyDescent="0.25">
      <c r="A2139" s="29" t="s">
        <v>2665</v>
      </c>
      <c r="B2139" s="10" t="s">
        <v>2417</v>
      </c>
      <c r="C2139" s="11" t="s">
        <v>2474</v>
      </c>
      <c r="D2139" s="10" t="s">
        <v>82</v>
      </c>
      <c r="H2139" s="103">
        <f>VLOOKUP($A2139,'Model Inputs'!$A:$D,4,FALSE)</f>
        <v>698.1</v>
      </c>
      <c r="I2139" s="113"/>
      <c r="J2139" s="113"/>
      <c r="M2139" s="113"/>
      <c r="N2139" s="113"/>
      <c r="O2139" s="113"/>
      <c r="P2139" s="113"/>
      <c r="Q2139" s="113"/>
      <c r="R2139" s="119"/>
      <c r="T2139" s="188"/>
      <c r="U2139"/>
      <c r="V2139"/>
    </row>
    <row r="2140" spans="1:22" x14ac:dyDescent="0.25">
      <c r="A2140" s="100"/>
      <c r="B2140" s="3">
        <v>11</v>
      </c>
      <c r="C2140" s="5" t="s">
        <v>2119</v>
      </c>
      <c r="D2140" s="3" t="s">
        <v>82</v>
      </c>
      <c r="E2140" s="100" t="str">
        <f>IFERROR(VLOOKUP(C2140,Resources!B:D,3,FALSE)," ")</f>
        <v>M</v>
      </c>
      <c r="F2140" s="8">
        <v>1</v>
      </c>
      <c r="G2140" s="8">
        <v>1</v>
      </c>
      <c r="H2140" s="8">
        <f>H2139</f>
        <v>698.1</v>
      </c>
      <c r="I2140" s="109">
        <f>IFERROR(VLOOKUP(C2140,Resources!B:G,6,FALSE)," ")</f>
        <v>37.5</v>
      </c>
      <c r="J2140" s="109">
        <f t="shared" ref="J2140" si="3199">(H2140/(G2140/F2140))*I2140</f>
        <v>26178.75</v>
      </c>
      <c r="K2140" s="8"/>
      <c r="L2140" s="8" t="str">
        <f t="shared" ref="L2140" si="3200">IF(E2140="M"," ",H2140/G2140)</f>
        <v xml:space="preserve"> </v>
      </c>
      <c r="M2140" s="109">
        <f t="shared" ref="M2140" si="3201">IF($E2140="L",$J2140,0)</f>
        <v>0</v>
      </c>
      <c r="N2140" s="109">
        <f t="shared" ref="N2140" si="3202">IF($E2140="M",$J2140,0)</f>
        <v>26178.75</v>
      </c>
      <c r="O2140" s="109">
        <f t="shared" ref="O2140" si="3203">IF($E2140="P",$J2140,0)</f>
        <v>0</v>
      </c>
      <c r="P2140" s="109">
        <f t="shared" ref="P2140" si="3204">IF($E2140="S",$J2140,0)</f>
        <v>0</v>
      </c>
      <c r="Q2140" s="109">
        <f t="shared" ref="Q2140" si="3205">SUM(M2140:P2140)</f>
        <v>26178.75</v>
      </c>
      <c r="R2140" s="121" t="s">
        <v>2340</v>
      </c>
      <c r="T2140" s="188"/>
    </row>
    <row r="2141" spans="1:22" s="10" customFormat="1" ht="30" x14ac:dyDescent="0.25">
      <c r="A2141" s="224" t="s">
        <v>2666</v>
      </c>
      <c r="B2141" s="10" t="s">
        <v>2417</v>
      </c>
      <c r="C2141" s="11" t="s">
        <v>2475</v>
      </c>
      <c r="D2141" s="10" t="s">
        <v>2416</v>
      </c>
      <c r="H2141" s="103">
        <f>VLOOKUP($A2141,'Model Inputs'!$A:$D,4,FALSE)</f>
        <v>5</v>
      </c>
      <c r="I2141" s="113"/>
      <c r="J2141" s="113"/>
      <c r="L2141" s="13">
        <f>ROUNDUP(L2142,0)</f>
        <v>3</v>
      </c>
      <c r="M2141" s="113"/>
      <c r="N2141" s="113"/>
      <c r="O2141" s="113"/>
      <c r="P2141" s="113"/>
      <c r="Q2141" s="113"/>
      <c r="R2141" s="119"/>
      <c r="T2141" s="188"/>
      <c r="U2141"/>
      <c r="V2141"/>
    </row>
    <row r="2142" spans="1:22" x14ac:dyDescent="0.25">
      <c r="A2142" s="100"/>
      <c r="B2142" s="3">
        <v>2</v>
      </c>
      <c r="C2142" s="5" t="s">
        <v>306</v>
      </c>
      <c r="D2142" s="3" t="s">
        <v>33</v>
      </c>
      <c r="E2142" s="100" t="str">
        <f>IFERROR(VLOOKUP(C2142,Resources!B:D,3,FALSE)," ")</f>
        <v>S</v>
      </c>
      <c r="F2142" s="8">
        <v>1</v>
      </c>
      <c r="G2142" s="8">
        <v>1</v>
      </c>
      <c r="H2142" s="8">
        <f>H2141*1900</f>
        <v>9500</v>
      </c>
      <c r="I2142" s="109">
        <f>IFERROR(VLOOKUP(C2142,Resources!B:G,6,FALSE)," ")</f>
        <v>1</v>
      </c>
      <c r="J2142" s="109">
        <f t="shared" ref="J2142" si="3206">(H2142/(G2142/F2142))*I2142</f>
        <v>9500</v>
      </c>
      <c r="K2142" s="8"/>
      <c r="L2142" s="8">
        <f>H2141/2</f>
        <v>2.5</v>
      </c>
      <c r="M2142" s="109">
        <f t="shared" ref="M2142" si="3207">IF($E2142="L",$J2142,0)</f>
        <v>0</v>
      </c>
      <c r="N2142" s="109">
        <f t="shared" ref="N2142" si="3208">IF($E2142="M",$J2142,0)</f>
        <v>0</v>
      </c>
      <c r="O2142" s="109">
        <f t="shared" ref="O2142" si="3209">IF($E2142="P",$J2142,0)</f>
        <v>0</v>
      </c>
      <c r="P2142" s="109">
        <f t="shared" ref="P2142" si="3210">IF($E2142="S",$J2142,0)</f>
        <v>9500</v>
      </c>
      <c r="Q2142" s="109">
        <f t="shared" ref="Q2142" si="3211">SUM(M2142:P2142)</f>
        <v>9500</v>
      </c>
      <c r="R2142" s="121">
        <v>103</v>
      </c>
      <c r="T2142" s="188"/>
    </row>
    <row r="2143" spans="1:22" s="10" customFormat="1" x14ac:dyDescent="0.25">
      <c r="A2143" s="29" t="s">
        <v>2667</v>
      </c>
      <c r="B2143" s="10" t="s">
        <v>2417</v>
      </c>
      <c r="C2143" s="11" t="s">
        <v>2476</v>
      </c>
      <c r="D2143" s="10" t="s">
        <v>48</v>
      </c>
      <c r="H2143" s="103">
        <f>VLOOKUP($A2143,'Model Inputs'!$A:$D,4,FALSE)</f>
        <v>2</v>
      </c>
      <c r="I2143" s="113"/>
      <c r="J2143" s="113"/>
      <c r="M2143" s="113"/>
      <c r="N2143" s="113"/>
      <c r="O2143" s="113"/>
      <c r="P2143" s="113"/>
      <c r="Q2143" s="113"/>
      <c r="R2143" s="119"/>
      <c r="T2143" s="188"/>
      <c r="U2143"/>
      <c r="V2143"/>
    </row>
    <row r="2144" spans="1:22" x14ac:dyDescent="0.25">
      <c r="A2144" s="100"/>
      <c r="B2144" s="3">
        <v>12</v>
      </c>
      <c r="C2144" s="5" t="s">
        <v>2042</v>
      </c>
      <c r="D2144" s="3" t="s">
        <v>33</v>
      </c>
      <c r="E2144" s="100" t="s">
        <v>2019</v>
      </c>
      <c r="F2144" s="8">
        <v>1</v>
      </c>
      <c r="G2144" s="8">
        <v>1</v>
      </c>
      <c r="H2144" s="8">
        <f>H2143/40</f>
        <v>0.05</v>
      </c>
      <c r="I2144" s="109">
        <f>IFERROR(VLOOKUP(C2144,Resources!B:G,6,FALSE)," ")</f>
        <v>4250</v>
      </c>
      <c r="J2144" s="109">
        <f t="shared" ref="J2144" si="3212">(H2144/(G2144/F2144))*I2144</f>
        <v>212.5</v>
      </c>
      <c r="K2144" s="8"/>
      <c r="L2144" s="8">
        <f>(H2144/G2144)/Workhrs</f>
        <v>5.5555555555555558E-3</v>
      </c>
      <c r="M2144" s="109">
        <f t="shared" ref="M2144" si="3213">IF($E2144="L",$J2144,0)</f>
        <v>212.5</v>
      </c>
      <c r="N2144" s="109">
        <f t="shared" ref="N2144" si="3214">IF($E2144="M",$J2144,0)</f>
        <v>0</v>
      </c>
      <c r="O2144" s="109">
        <f t="shared" ref="O2144" si="3215">IF($E2144="P",$J2144,0)</f>
        <v>0</v>
      </c>
      <c r="P2144" s="109">
        <f t="shared" ref="P2144" si="3216">IF($E2144="S",$J2144,0)</f>
        <v>0</v>
      </c>
      <c r="Q2144" s="109">
        <f t="shared" ref="Q2144" si="3217">SUM(M2144:P2144)</f>
        <v>212.5</v>
      </c>
      <c r="R2144" s="121">
        <v>901</v>
      </c>
      <c r="T2144" s="188"/>
    </row>
    <row r="2145" spans="1:22" s="10" customFormat="1" x14ac:dyDescent="0.25">
      <c r="A2145" s="29" t="s">
        <v>2668</v>
      </c>
      <c r="B2145" s="10" t="s">
        <v>2417</v>
      </c>
      <c r="C2145" s="11" t="s">
        <v>2477</v>
      </c>
      <c r="D2145" s="10" t="s">
        <v>48</v>
      </c>
      <c r="H2145" s="103">
        <f>VLOOKUP($A2145,'Model Inputs'!$A:$D,4,FALSE)</f>
        <v>4</v>
      </c>
      <c r="I2145" s="113"/>
      <c r="J2145" s="113"/>
      <c r="M2145" s="113"/>
      <c r="N2145" s="113"/>
      <c r="O2145" s="113"/>
      <c r="P2145" s="113"/>
      <c r="Q2145" s="113"/>
      <c r="R2145" s="119"/>
      <c r="T2145" s="188"/>
      <c r="U2145"/>
      <c r="V2145"/>
    </row>
    <row r="2146" spans="1:22" x14ac:dyDescent="0.25">
      <c r="A2146" s="100"/>
      <c r="B2146" s="3">
        <v>12</v>
      </c>
      <c r="C2146" s="5" t="s">
        <v>21</v>
      </c>
      <c r="D2146" s="3" t="s">
        <v>33</v>
      </c>
      <c r="E2146" s="100" t="s">
        <v>2019</v>
      </c>
      <c r="F2146" s="8">
        <v>1</v>
      </c>
      <c r="G2146" s="8">
        <v>1</v>
      </c>
      <c r="H2146" s="8">
        <f>H2145/40</f>
        <v>0.1</v>
      </c>
      <c r="I2146" s="109">
        <f>IFERROR(VLOOKUP(C2146,Resources!B:G,6,FALSE)," ")</f>
        <v>3250</v>
      </c>
      <c r="J2146" s="109">
        <f t="shared" ref="J2146" si="3218">(H2146/(G2146/F2146))*I2146</f>
        <v>325</v>
      </c>
      <c r="K2146" s="8"/>
      <c r="L2146" s="8">
        <f>(H2146/G2146)/Workhrs</f>
        <v>1.1111111111111112E-2</v>
      </c>
      <c r="M2146" s="109">
        <f t="shared" ref="M2146" si="3219">IF($E2146="L",$J2146,0)</f>
        <v>325</v>
      </c>
      <c r="N2146" s="109">
        <f t="shared" ref="N2146" si="3220">IF($E2146="M",$J2146,0)</f>
        <v>0</v>
      </c>
      <c r="O2146" s="109">
        <f t="shared" ref="O2146" si="3221">IF($E2146="P",$J2146,0)</f>
        <v>0</v>
      </c>
      <c r="P2146" s="109">
        <f t="shared" ref="P2146" si="3222">IF($E2146="S",$J2146,0)</f>
        <v>0</v>
      </c>
      <c r="Q2146" s="109">
        <f t="shared" ref="Q2146" si="3223">SUM(M2146:P2146)</f>
        <v>325</v>
      </c>
      <c r="R2146" s="121">
        <v>901</v>
      </c>
      <c r="T2146" s="188"/>
    </row>
    <row r="2147" spans="1:22" s="10" customFormat="1" x14ac:dyDescent="0.25">
      <c r="A2147" s="29" t="s">
        <v>2669</v>
      </c>
      <c r="B2147" s="10" t="s">
        <v>2417</v>
      </c>
      <c r="C2147" s="11" t="s">
        <v>2478</v>
      </c>
      <c r="D2147" s="10" t="s">
        <v>48</v>
      </c>
      <c r="H2147" s="103">
        <f>VLOOKUP($A2147,'Model Inputs'!$A:$D,4,FALSE)</f>
        <v>52</v>
      </c>
      <c r="I2147" s="113"/>
      <c r="J2147" s="113"/>
      <c r="M2147" s="113"/>
      <c r="N2147" s="113"/>
      <c r="O2147" s="113"/>
      <c r="P2147" s="113"/>
      <c r="Q2147" s="113"/>
      <c r="R2147" s="119"/>
      <c r="T2147" s="188"/>
      <c r="U2147"/>
      <c r="V2147"/>
    </row>
    <row r="2148" spans="1:22" x14ac:dyDescent="0.25">
      <c r="A2148" s="100"/>
      <c r="B2148" s="3">
        <v>3</v>
      </c>
      <c r="C2148" s="5" t="s">
        <v>44</v>
      </c>
      <c r="D2148" s="3" t="s">
        <v>48</v>
      </c>
      <c r="E2148" s="100" t="str">
        <f>IFERROR(VLOOKUP(C2148,Resources!B:D,3,FALSE)," ")</f>
        <v>P</v>
      </c>
      <c r="F2148" s="8">
        <v>1</v>
      </c>
      <c r="G2148" s="8">
        <v>1</v>
      </c>
      <c r="H2148" s="8">
        <f>H2147</f>
        <v>52</v>
      </c>
      <c r="I2148" s="109">
        <f>IFERROR(VLOOKUP(C2148,Resources!B:G,6,FALSE)," ")</f>
        <v>145</v>
      </c>
      <c r="J2148" s="109">
        <f t="shared" ref="J2148" si="3224">(H2148/(G2148/F2148))*I2148</f>
        <v>7540</v>
      </c>
      <c r="K2148" s="8">
        <f t="shared" ref="K2148" si="3225">L2148*F2148</f>
        <v>52</v>
      </c>
      <c r="L2148" s="8">
        <f t="shared" ref="L2148" si="3226">IF(E2148="M"," ",H2148/G2148)</f>
        <v>52</v>
      </c>
      <c r="M2148" s="109">
        <f t="shared" ref="M2148" si="3227">IF($E2148="L",$J2148,0)</f>
        <v>0</v>
      </c>
      <c r="N2148" s="109">
        <f t="shared" ref="N2148" si="3228">IF($E2148="M",$J2148,0)</f>
        <v>0</v>
      </c>
      <c r="O2148" s="109">
        <f t="shared" ref="O2148" si="3229">IF($E2148="P",$J2148,0)</f>
        <v>7540</v>
      </c>
      <c r="P2148" s="109">
        <f t="shared" ref="P2148" si="3230">IF($E2148="S",$J2148,0)</f>
        <v>0</v>
      </c>
      <c r="Q2148" s="109">
        <f t="shared" ref="Q2148" si="3231">SUM(M2148:P2148)</f>
        <v>7540</v>
      </c>
      <c r="R2148" s="121">
        <v>221</v>
      </c>
      <c r="T2148" s="188"/>
    </row>
    <row r="2149" spans="1:22" x14ac:dyDescent="0.25">
      <c r="T2149" s="188"/>
    </row>
    <row r="2150" spans="1:22" ht="30" x14ac:dyDescent="0.25">
      <c r="A2150" s="114" t="s">
        <v>2670</v>
      </c>
      <c r="B2150" s="1" t="s">
        <v>2492</v>
      </c>
      <c r="C2150" s="1" t="s">
        <v>2493</v>
      </c>
      <c r="D2150" s="2" t="s">
        <v>83</v>
      </c>
      <c r="E2150" s="99"/>
      <c r="F2150" s="7"/>
      <c r="G2150" s="7"/>
      <c r="H2150" s="103">
        <f>VLOOKUP($A2150,'Model Inputs'!$A:$D,4,FALSE)</f>
        <v>2765</v>
      </c>
      <c r="I2150" s="108"/>
      <c r="J2150" s="108">
        <f>SUBTOTAL(9,J2152:J2158)</f>
        <v>40195.5239</v>
      </c>
      <c r="K2150" s="7"/>
      <c r="L2150" s="7">
        <f>ROUNDUP(MAX(L2154:L2158),0)</f>
        <v>6</v>
      </c>
      <c r="M2150" s="108">
        <f t="shared" ref="M2150:Q2150" si="3232">SUBTOTAL(9,M2152:M2158)</f>
        <v>6271.02</v>
      </c>
      <c r="N2150" s="108">
        <f t="shared" si="3232"/>
        <v>16424.100000000002</v>
      </c>
      <c r="O2150" s="108">
        <f t="shared" si="3232"/>
        <v>17500.403899999998</v>
      </c>
      <c r="P2150" s="108">
        <f t="shared" si="3232"/>
        <v>0</v>
      </c>
      <c r="Q2150" s="108">
        <f t="shared" si="3232"/>
        <v>40195.5239</v>
      </c>
      <c r="R2150" s="120"/>
      <c r="T2150" s="188"/>
    </row>
    <row r="2151" spans="1:22" x14ac:dyDescent="0.25">
      <c r="A2151" s="100"/>
      <c r="B2151" s="3">
        <v>1</v>
      </c>
      <c r="C2151" s="128" t="s">
        <v>187</v>
      </c>
      <c r="D2151" s="3"/>
      <c r="E2151" s="100"/>
      <c r="F2151" s="8"/>
      <c r="G2151" s="8"/>
      <c r="H2151" s="8"/>
      <c r="I2151" s="109"/>
      <c r="J2151" s="109"/>
      <c r="K2151" s="8"/>
      <c r="L2151" s="8"/>
      <c r="M2151" s="109"/>
      <c r="N2151" s="109"/>
      <c r="O2151" s="109"/>
      <c r="P2151" s="109"/>
      <c r="Q2151" s="109"/>
      <c r="R2151" s="121"/>
      <c r="T2151" s="188"/>
    </row>
    <row r="2152" spans="1:22" x14ac:dyDescent="0.25">
      <c r="A2152" s="100" t="s">
        <v>2672</v>
      </c>
      <c r="B2152" s="3">
        <v>2</v>
      </c>
      <c r="C2152" s="5" t="s">
        <v>109</v>
      </c>
      <c r="D2152" s="3" t="s">
        <v>33</v>
      </c>
      <c r="E2152" s="100" t="str">
        <f>IFERROR(VLOOKUP(C2152,Resources!B:D,3,FALSE)," ")</f>
        <v>M</v>
      </c>
      <c r="F2152" s="8">
        <v>1</v>
      </c>
      <c r="G2152" s="103">
        <f>VLOOKUP($A2152,'Model Inputs'!$A:$D,4,FALSE)</f>
        <v>1.2E-2</v>
      </c>
      <c r="H2152" s="8">
        <f>H2150*G2152*1.1</f>
        <v>36.498000000000005</v>
      </c>
      <c r="I2152" s="109">
        <f>IFERROR(VLOOKUP(C2152,Resources!B:G,6,FALSE)," ")</f>
        <v>450</v>
      </c>
      <c r="J2152" s="109">
        <f>I2152*H2152</f>
        <v>16424.100000000002</v>
      </c>
      <c r="K2152" s="8"/>
      <c r="L2152" s="8"/>
      <c r="M2152" s="109">
        <f t="shared" ref="M2152:M2158" si="3233">IF($E2152="L",$J2152,0)</f>
        <v>0</v>
      </c>
      <c r="N2152" s="109">
        <f t="shared" ref="N2152:N2158" si="3234">IF($E2152="M",$J2152,0)</f>
        <v>16424.100000000002</v>
      </c>
      <c r="O2152" s="109">
        <f t="shared" ref="O2152:O2158" si="3235">IF($E2152="P",$J2152,0)</f>
        <v>0</v>
      </c>
      <c r="P2152" s="109">
        <f t="shared" ref="P2152:P2158" si="3236">IF($E2152="S",$J2152,0)</f>
        <v>0</v>
      </c>
      <c r="Q2152" s="109">
        <f t="shared" ref="Q2152" si="3237">SUM(M2152:P2152)</f>
        <v>16424.100000000002</v>
      </c>
      <c r="R2152" s="121" t="s">
        <v>2338</v>
      </c>
      <c r="T2152" s="188"/>
    </row>
    <row r="2153" spans="1:22" x14ac:dyDescent="0.25">
      <c r="A2153" s="100"/>
      <c r="B2153" s="3">
        <v>3</v>
      </c>
      <c r="C2153" s="128" t="s">
        <v>2609</v>
      </c>
      <c r="D2153" s="3"/>
      <c r="E2153" s="100"/>
      <c r="F2153" s="8"/>
      <c r="G2153" s="8"/>
      <c r="H2153" s="8"/>
      <c r="I2153" s="109"/>
      <c r="J2153" s="109"/>
      <c r="K2153" s="8"/>
      <c r="L2153" s="8"/>
      <c r="M2153" s="109"/>
      <c r="N2153" s="109"/>
      <c r="O2153" s="109"/>
      <c r="P2153" s="109"/>
      <c r="Q2153" s="109"/>
      <c r="R2153" s="121"/>
      <c r="T2153" s="188"/>
    </row>
    <row r="2154" spans="1:22" x14ac:dyDescent="0.25">
      <c r="A2154" s="100" t="s">
        <v>2671</v>
      </c>
      <c r="B2154" s="3">
        <v>4</v>
      </c>
      <c r="C2154" s="5" t="s">
        <v>2197</v>
      </c>
      <c r="D2154" s="3" t="s">
        <v>33</v>
      </c>
      <c r="E2154" s="100" t="s">
        <v>2021</v>
      </c>
      <c r="F2154" s="8">
        <v>1</v>
      </c>
      <c r="G2154" s="103">
        <f>VLOOKUP($A2154,'Model Inputs'!$A:$D,4,FALSE)</f>
        <v>55.555555555555557</v>
      </c>
      <c r="H2154" s="8">
        <f>H2150</f>
        <v>2765</v>
      </c>
      <c r="I2154" s="109">
        <f>IFERROR(VLOOKUP(C2154,Resources!B:G,6,FALSE)," ")</f>
        <v>66.069999999999993</v>
      </c>
      <c r="J2154" s="109">
        <f t="shared" ref="J2154:J2158" si="3238">(H2154/(G2154/F2154))*I2154</f>
        <v>3288.3038999999994</v>
      </c>
      <c r="K2154" s="8"/>
      <c r="L2154" s="8">
        <f>(H2154/G2154)/Workhrs</f>
        <v>5.5299999999999994</v>
      </c>
      <c r="M2154" s="109">
        <f t="shared" si="3233"/>
        <v>0</v>
      </c>
      <c r="N2154" s="109">
        <f t="shared" si="3234"/>
        <v>0</v>
      </c>
      <c r="O2154" s="109">
        <f t="shared" si="3235"/>
        <v>3288.3038999999994</v>
      </c>
      <c r="P2154" s="109">
        <f t="shared" si="3236"/>
        <v>0</v>
      </c>
      <c r="Q2154" s="109">
        <f t="shared" ref="Q2154:Q2158" si="3239">SUM(M2154:P2154)</f>
        <v>3288.3038999999994</v>
      </c>
      <c r="R2154" s="121">
        <v>68</v>
      </c>
      <c r="T2154" s="188"/>
    </row>
    <row r="2155" spans="1:22" x14ac:dyDescent="0.25">
      <c r="A2155" s="100"/>
      <c r="B2155" s="3">
        <v>5</v>
      </c>
      <c r="C2155" s="5" t="s">
        <v>64</v>
      </c>
      <c r="D2155" s="3" t="s">
        <v>33</v>
      </c>
      <c r="E2155" s="100" t="s">
        <v>2021</v>
      </c>
      <c r="F2155" s="8">
        <v>1</v>
      </c>
      <c r="G2155" s="8">
        <f>G2154</f>
        <v>55.555555555555557</v>
      </c>
      <c r="H2155" s="8">
        <f>H2154</f>
        <v>2765</v>
      </c>
      <c r="I2155" s="109">
        <f>IFERROR(VLOOKUP(C2155,Resources!B:G,6,FALSE)," ")</f>
        <v>100</v>
      </c>
      <c r="J2155" s="109">
        <f t="shared" si="3238"/>
        <v>4977</v>
      </c>
      <c r="K2155" s="8"/>
      <c r="L2155" s="8">
        <f>(H2155/G2155)/Workhrs</f>
        <v>5.5299999999999994</v>
      </c>
      <c r="M2155" s="109">
        <f t="shared" si="3233"/>
        <v>0</v>
      </c>
      <c r="N2155" s="109">
        <f t="shared" si="3234"/>
        <v>0</v>
      </c>
      <c r="O2155" s="109">
        <f t="shared" si="3235"/>
        <v>4977</v>
      </c>
      <c r="P2155" s="109">
        <f t="shared" si="3236"/>
        <v>0</v>
      </c>
      <c r="Q2155" s="109">
        <f t="shared" si="3239"/>
        <v>4977</v>
      </c>
      <c r="R2155" s="121">
        <v>68</v>
      </c>
      <c r="T2155" s="188"/>
    </row>
    <row r="2156" spans="1:22" x14ac:dyDescent="0.25">
      <c r="A2156" s="100"/>
      <c r="B2156" s="3">
        <v>6</v>
      </c>
      <c r="C2156" s="5" t="s">
        <v>2211</v>
      </c>
      <c r="D2156" s="3" t="s">
        <v>33</v>
      </c>
      <c r="E2156" s="100" t="s">
        <v>2021</v>
      </c>
      <c r="F2156" s="8">
        <v>1</v>
      </c>
      <c r="G2156" s="8">
        <f>G2154*9</f>
        <v>500</v>
      </c>
      <c r="H2156" s="8">
        <f>H2154</f>
        <v>2765</v>
      </c>
      <c r="I2156" s="109">
        <f>IFERROR(VLOOKUP(C2156,Resources!B:G,6,FALSE)," ")</f>
        <v>365</v>
      </c>
      <c r="J2156" s="109">
        <f t="shared" si="3238"/>
        <v>2018.45</v>
      </c>
      <c r="K2156" s="8"/>
      <c r="L2156" s="8">
        <f t="shared" ref="L2156" si="3240">H2156/G2156</f>
        <v>5.53</v>
      </c>
      <c r="M2156" s="109">
        <f t="shared" si="3233"/>
        <v>0</v>
      </c>
      <c r="N2156" s="109">
        <f t="shared" si="3234"/>
        <v>0</v>
      </c>
      <c r="O2156" s="109">
        <f t="shared" si="3235"/>
        <v>2018.45</v>
      </c>
      <c r="P2156" s="109">
        <f t="shared" si="3236"/>
        <v>0</v>
      </c>
      <c r="Q2156" s="109">
        <f t="shared" si="3239"/>
        <v>2018.45</v>
      </c>
      <c r="R2156" s="121">
        <v>68</v>
      </c>
      <c r="T2156" s="188"/>
    </row>
    <row r="2157" spans="1:22" x14ac:dyDescent="0.25">
      <c r="A2157" s="100"/>
      <c r="B2157" s="3">
        <v>7</v>
      </c>
      <c r="C2157" s="5" t="s">
        <v>39</v>
      </c>
      <c r="D2157" s="3" t="s">
        <v>33</v>
      </c>
      <c r="E2157" s="100" t="s">
        <v>2021</v>
      </c>
      <c r="F2157" s="8">
        <v>1</v>
      </c>
      <c r="G2157" s="8">
        <f>G2154</f>
        <v>55.555555555555557</v>
      </c>
      <c r="H2157" s="8">
        <f>H2154</f>
        <v>2765</v>
      </c>
      <c r="I2157" s="109">
        <f>IFERROR(VLOOKUP(C2157,Resources!B:G,6,FALSE)," ")</f>
        <v>145</v>
      </c>
      <c r="J2157" s="109">
        <f t="shared" si="3238"/>
        <v>7216.65</v>
      </c>
      <c r="K2157" s="8"/>
      <c r="L2157" s="8">
        <f>(H2157/G2157)/Workhrs</f>
        <v>5.5299999999999994</v>
      </c>
      <c r="M2157" s="109">
        <f t="shared" si="3233"/>
        <v>0</v>
      </c>
      <c r="N2157" s="109">
        <f t="shared" si="3234"/>
        <v>0</v>
      </c>
      <c r="O2157" s="109">
        <f t="shared" si="3235"/>
        <v>7216.65</v>
      </c>
      <c r="P2157" s="109">
        <f t="shared" si="3236"/>
        <v>0</v>
      </c>
      <c r="Q2157" s="109">
        <f t="shared" si="3239"/>
        <v>7216.65</v>
      </c>
      <c r="R2157" s="121">
        <v>68</v>
      </c>
      <c r="T2157" s="188"/>
    </row>
    <row r="2158" spans="1:22" x14ac:dyDescent="0.25">
      <c r="A2158" s="100"/>
      <c r="B2158" s="3">
        <v>8</v>
      </c>
      <c r="C2158" s="5" t="s">
        <v>8</v>
      </c>
      <c r="D2158" s="3" t="s">
        <v>33</v>
      </c>
      <c r="E2158" s="100" t="s">
        <v>2019</v>
      </c>
      <c r="F2158" s="8">
        <v>3</v>
      </c>
      <c r="G2158" s="8">
        <f>G2154</f>
        <v>55.555555555555557</v>
      </c>
      <c r="H2158" s="8">
        <f>H2154</f>
        <v>2765</v>
      </c>
      <c r="I2158" s="109">
        <f>IFERROR(VLOOKUP(C2158,Resources!B:G,6,FALSE)," ")</f>
        <v>42</v>
      </c>
      <c r="J2158" s="109">
        <f t="shared" si="3238"/>
        <v>6271.02</v>
      </c>
      <c r="K2158" s="8"/>
      <c r="L2158" s="8">
        <f>(H2158/G2158)/Workhrs</f>
        <v>5.5299999999999994</v>
      </c>
      <c r="M2158" s="109">
        <f t="shared" si="3233"/>
        <v>6271.02</v>
      </c>
      <c r="N2158" s="109">
        <f t="shared" si="3234"/>
        <v>0</v>
      </c>
      <c r="O2158" s="109">
        <f t="shared" si="3235"/>
        <v>0</v>
      </c>
      <c r="P2158" s="109">
        <f t="shared" si="3236"/>
        <v>0</v>
      </c>
      <c r="Q2158" s="109">
        <f t="shared" si="3239"/>
        <v>6271.02</v>
      </c>
      <c r="R2158" s="121">
        <v>68</v>
      </c>
      <c r="T2158" s="188"/>
    </row>
    <row r="2159" spans="1:22" s="138" customFormat="1" x14ac:dyDescent="0.25">
      <c r="A2159" s="132"/>
      <c r="B2159" s="133"/>
      <c r="C2159" s="134"/>
      <c r="D2159" s="133"/>
      <c r="E2159" s="132"/>
      <c r="F2159" s="135"/>
      <c r="G2159" s="135"/>
      <c r="H2159" s="135"/>
      <c r="I2159" s="136"/>
      <c r="J2159" s="136"/>
      <c r="K2159" s="135"/>
      <c r="L2159" s="135"/>
      <c r="M2159" s="136"/>
      <c r="N2159" s="136"/>
      <c r="O2159" s="136"/>
      <c r="P2159" s="136"/>
      <c r="Q2159" s="136"/>
      <c r="R2159" s="137"/>
      <c r="T2159" s="188"/>
      <c r="U2159"/>
      <c r="V2159"/>
    </row>
    <row r="2160" spans="1:22" ht="45" x14ac:dyDescent="0.25">
      <c r="A2160" s="114" t="s">
        <v>2673</v>
      </c>
      <c r="B2160" s="1" t="s">
        <v>2494</v>
      </c>
      <c r="C2160" s="1" t="s">
        <v>2495</v>
      </c>
      <c r="D2160" s="2" t="s">
        <v>2416</v>
      </c>
      <c r="E2160" s="99"/>
      <c r="F2160" s="7"/>
      <c r="G2160" s="7"/>
      <c r="H2160" s="103">
        <f>VLOOKUP($A2160,'Model Inputs'!$A:$D,4,FALSE)</f>
        <v>1</v>
      </c>
      <c r="I2160" s="108"/>
      <c r="J2160" s="108">
        <f>SUBTOTAL(9,J2161)</f>
        <v>9500</v>
      </c>
      <c r="K2160" s="7"/>
      <c r="L2160" s="7">
        <f>ROUNDUP(L2161,0)</f>
        <v>1</v>
      </c>
      <c r="M2160" s="108">
        <f t="shared" ref="M2160:Q2160" si="3241">SUBTOTAL(9,M2161)</f>
        <v>0</v>
      </c>
      <c r="N2160" s="108">
        <f t="shared" si="3241"/>
        <v>0</v>
      </c>
      <c r="O2160" s="108">
        <f t="shared" si="3241"/>
        <v>0</v>
      </c>
      <c r="P2160" s="108">
        <f t="shared" si="3241"/>
        <v>9500</v>
      </c>
      <c r="Q2160" s="108">
        <f t="shared" si="3241"/>
        <v>9500</v>
      </c>
      <c r="R2160" s="120"/>
      <c r="T2160" s="188"/>
    </row>
    <row r="2161" spans="1:22" x14ac:dyDescent="0.25">
      <c r="A2161" s="100"/>
      <c r="B2161" s="3">
        <v>2</v>
      </c>
      <c r="C2161" s="5" t="s">
        <v>306</v>
      </c>
      <c r="D2161" s="3" t="s">
        <v>33</v>
      </c>
      <c r="E2161" s="100" t="str">
        <f>IFERROR(VLOOKUP(C2161,Resources!B:D,3,FALSE)," ")</f>
        <v>S</v>
      </c>
      <c r="F2161" s="8">
        <v>1</v>
      </c>
      <c r="G2161" s="8">
        <v>1</v>
      </c>
      <c r="H2161" s="8">
        <f>H2160*9500</f>
        <v>9500</v>
      </c>
      <c r="I2161" s="109">
        <f>IFERROR(VLOOKUP(C2161,Resources!B:G,6,FALSE)," ")</f>
        <v>1</v>
      </c>
      <c r="J2161" s="109">
        <f t="shared" ref="J2161" si="3242">(H2161/(G2161/F2161))*I2161</f>
        <v>9500</v>
      </c>
      <c r="K2161" s="8"/>
      <c r="L2161" s="8">
        <f>H2160/2</f>
        <v>0.5</v>
      </c>
      <c r="M2161" s="109">
        <f t="shared" ref="M2161" si="3243">IF($E2161="L",$J2161,0)</f>
        <v>0</v>
      </c>
      <c r="N2161" s="109">
        <f t="shared" ref="N2161" si="3244">IF($E2161="M",$J2161,0)</f>
        <v>0</v>
      </c>
      <c r="O2161" s="109">
        <f t="shared" ref="O2161" si="3245">IF($E2161="P",$J2161,0)</f>
        <v>0</v>
      </c>
      <c r="P2161" s="109">
        <f t="shared" ref="P2161" si="3246">IF($E2161="S",$J2161,0)</f>
        <v>9500</v>
      </c>
      <c r="Q2161" s="109">
        <f t="shared" ref="Q2161" si="3247">SUM(M2161:P2161)</f>
        <v>9500</v>
      </c>
      <c r="R2161" s="121">
        <v>103</v>
      </c>
      <c r="T2161" s="188"/>
    </row>
    <row r="2162" spans="1:22" s="138" customFormat="1" x14ac:dyDescent="0.25">
      <c r="A2162" s="132"/>
      <c r="B2162" s="133"/>
      <c r="C2162" s="134"/>
      <c r="D2162" s="133"/>
      <c r="E2162" s="132"/>
      <c r="F2162" s="135"/>
      <c r="G2162" s="135"/>
      <c r="H2162" s="135"/>
      <c r="I2162" s="136"/>
      <c r="J2162" s="136"/>
      <c r="K2162" s="135"/>
      <c r="L2162" s="135"/>
      <c r="M2162" s="136"/>
      <c r="N2162" s="136"/>
      <c r="O2162" s="136"/>
      <c r="P2162" s="136"/>
      <c r="Q2162" s="136"/>
      <c r="R2162" s="137"/>
      <c r="T2162" s="188"/>
      <c r="U2162"/>
      <c r="V2162"/>
    </row>
    <row r="2163" spans="1:22" x14ac:dyDescent="0.25">
      <c r="A2163" s="114" t="s">
        <v>2674</v>
      </c>
      <c r="B2163" s="1" t="s">
        <v>2496</v>
      </c>
      <c r="C2163" s="1" t="s">
        <v>2497</v>
      </c>
      <c r="D2163" s="2" t="s">
        <v>83</v>
      </c>
      <c r="E2163" s="99"/>
      <c r="F2163" s="7"/>
      <c r="G2163" s="7"/>
      <c r="H2163" s="103">
        <f>VLOOKUP($A2163,'Model Inputs'!$A:$D,4,FALSE)</f>
        <v>2765</v>
      </c>
      <c r="I2163" s="108"/>
      <c r="J2163" s="108">
        <f>SUBTOTAL(9,J2164)</f>
        <v>17187.240000000002</v>
      </c>
      <c r="K2163" s="7"/>
      <c r="L2163" s="7">
        <f>ROUNDUP(L2164,0)</f>
        <v>1</v>
      </c>
      <c r="M2163" s="108">
        <f t="shared" ref="M2163" si="3248">SUBTOTAL(9,M2164)</f>
        <v>0</v>
      </c>
      <c r="N2163" s="108">
        <f t="shared" ref="N2163" si="3249">SUBTOTAL(9,N2164)</f>
        <v>0</v>
      </c>
      <c r="O2163" s="108">
        <f t="shared" ref="O2163" si="3250">SUBTOTAL(9,O2164)</f>
        <v>0</v>
      </c>
      <c r="P2163" s="108">
        <f t="shared" ref="P2163" si="3251">SUBTOTAL(9,P2164)</f>
        <v>17187.240000000002</v>
      </c>
      <c r="Q2163" s="108">
        <f t="shared" ref="Q2163" si="3252">SUBTOTAL(9,Q2164)</f>
        <v>17187.240000000002</v>
      </c>
      <c r="R2163" s="120"/>
      <c r="T2163" s="188"/>
    </row>
    <row r="2164" spans="1:22" x14ac:dyDescent="0.25">
      <c r="A2164" s="100"/>
      <c r="B2164" s="3">
        <v>1</v>
      </c>
      <c r="C2164" s="5" t="s">
        <v>2263</v>
      </c>
      <c r="D2164" s="3" t="s">
        <v>83</v>
      </c>
      <c r="E2164" s="100" t="str">
        <f>IFERROR(VLOOKUP(C2164,Resources!B:D,3,FALSE)," ")</f>
        <v>S</v>
      </c>
      <c r="F2164" s="8">
        <v>1</v>
      </c>
      <c r="G2164" s="8">
        <v>1</v>
      </c>
      <c r="H2164" s="8">
        <f>H2163*1.05</f>
        <v>2903.25</v>
      </c>
      <c r="I2164" s="109">
        <f>IFERROR(VLOOKUP(C2164,Resources!B:G,6,FALSE)," ")</f>
        <v>5.92</v>
      </c>
      <c r="J2164" s="109">
        <f t="shared" ref="J2164" si="3253">(H2164/(G2164/F2164))*I2164</f>
        <v>17187.240000000002</v>
      </c>
      <c r="K2164" s="8"/>
      <c r="L2164" s="8">
        <f>ROUNDUP(H2164/8000,0)</f>
        <v>1</v>
      </c>
      <c r="M2164" s="109">
        <f t="shared" ref="M2164" si="3254">IF($E2164="L",$J2164,0)</f>
        <v>0</v>
      </c>
      <c r="N2164" s="109">
        <f t="shared" ref="N2164" si="3255">IF($E2164="M",$J2164,0)</f>
        <v>0</v>
      </c>
      <c r="O2164" s="109">
        <f t="shared" ref="O2164" si="3256">IF($E2164="P",$J2164,0)</f>
        <v>0</v>
      </c>
      <c r="P2164" s="109">
        <f t="shared" ref="P2164" si="3257">IF($E2164="S",$J2164,0)</f>
        <v>17187.240000000002</v>
      </c>
      <c r="Q2164" s="109">
        <f t="shared" ref="Q2164" si="3258">SUM(M2164:P2164)</f>
        <v>17187.240000000002</v>
      </c>
      <c r="R2164" s="121">
        <v>64</v>
      </c>
      <c r="T2164" s="188"/>
    </row>
    <row r="2165" spans="1:22" x14ac:dyDescent="0.25">
      <c r="T2165" s="188"/>
    </row>
    <row r="2166" spans="1:22" ht="30" x14ac:dyDescent="0.25">
      <c r="A2166" s="114" t="s">
        <v>2675</v>
      </c>
      <c r="B2166" s="1" t="s">
        <v>2498</v>
      </c>
      <c r="C2166" s="1" t="s">
        <v>2499</v>
      </c>
      <c r="D2166" s="2" t="s">
        <v>86</v>
      </c>
      <c r="E2166" s="99"/>
      <c r="F2166" s="7"/>
      <c r="G2166" s="7"/>
      <c r="H2166" s="103">
        <f>VLOOKUP($A2166,'Model Inputs'!$A:$D,4,FALSE)</f>
        <v>5</v>
      </c>
      <c r="I2166" s="108"/>
      <c r="J2166" s="108">
        <f>SUBTOTAL(9,J2167:J2168)</f>
        <v>4460</v>
      </c>
      <c r="K2166" s="7"/>
      <c r="L2166" s="7">
        <f>ROUNDUP(L2168,0)</f>
        <v>1</v>
      </c>
      <c r="M2166" s="108">
        <f t="shared" ref="M2166:Q2166" si="3259">SUBTOTAL(9,M2167:M2168)</f>
        <v>0</v>
      </c>
      <c r="N2166" s="108">
        <f t="shared" si="3259"/>
        <v>960</v>
      </c>
      <c r="O2166" s="108">
        <f t="shared" si="3259"/>
        <v>0</v>
      </c>
      <c r="P2166" s="108">
        <f t="shared" si="3259"/>
        <v>3500</v>
      </c>
      <c r="Q2166" s="108">
        <f t="shared" si="3259"/>
        <v>4460</v>
      </c>
      <c r="R2166" s="120"/>
      <c r="T2166" s="188"/>
    </row>
    <row r="2167" spans="1:22" x14ac:dyDescent="0.25">
      <c r="A2167" s="100"/>
      <c r="B2167" s="3">
        <v>1</v>
      </c>
      <c r="C2167" s="5" t="s">
        <v>85</v>
      </c>
      <c r="D2167" s="100" t="s">
        <v>86</v>
      </c>
      <c r="E2167" s="100" t="str">
        <f>IFERROR(VLOOKUP(C2167,Resources!B:D,3,FALSE)," ")</f>
        <v>M</v>
      </c>
      <c r="F2167" s="8">
        <v>1</v>
      </c>
      <c r="G2167" s="8">
        <v>1</v>
      </c>
      <c r="H2167" s="8">
        <f>H2166</f>
        <v>5</v>
      </c>
      <c r="I2167" s="109">
        <f>IFERROR(VLOOKUP(C2167,Resources!B:G,6,FALSE)," ")</f>
        <v>192</v>
      </c>
      <c r="J2167" s="109">
        <f t="shared" ref="J2167" si="3260">(H2167/(G2167/F2167))*I2167</f>
        <v>960</v>
      </c>
      <c r="K2167" s="8"/>
      <c r="L2167" s="8"/>
      <c r="M2167" s="109">
        <f t="shared" ref="M2167:M2168" si="3261">IF($E2167="L",$J2167,0)</f>
        <v>0</v>
      </c>
      <c r="N2167" s="109">
        <f t="shared" ref="N2167:N2168" si="3262">IF($E2167="M",$J2167,0)</f>
        <v>960</v>
      </c>
      <c r="O2167" s="109">
        <f t="shared" ref="O2167:O2168" si="3263">IF($E2167="P",$J2167,0)</f>
        <v>0</v>
      </c>
      <c r="P2167" s="109">
        <f t="shared" ref="P2167:P2168" si="3264">IF($E2167="S",$J2167,0)</f>
        <v>0</v>
      </c>
      <c r="Q2167" s="109">
        <f t="shared" ref="Q2167" si="3265">SUM(M2167:P2167)</f>
        <v>960</v>
      </c>
      <c r="R2167" s="121" t="s">
        <v>2335</v>
      </c>
      <c r="T2167" s="188"/>
    </row>
    <row r="2168" spans="1:22" x14ac:dyDescent="0.25">
      <c r="A2168" s="100"/>
      <c r="B2168" s="3">
        <v>2</v>
      </c>
      <c r="C2168" s="5" t="s">
        <v>2232</v>
      </c>
      <c r="D2168" s="100" t="s">
        <v>86</v>
      </c>
      <c r="E2168" s="100" t="str">
        <f>IFERROR(VLOOKUP(C2168,Resources!B:D,3,FALSE)," ")</f>
        <v>S</v>
      </c>
      <c r="F2168" s="8">
        <v>1</v>
      </c>
      <c r="G2168" s="8">
        <v>1</v>
      </c>
      <c r="H2168" s="8">
        <f>H2166</f>
        <v>5</v>
      </c>
      <c r="I2168" s="109">
        <f>IFERROR(VLOOKUP(C2168,Resources!B:G,6,FALSE)," ")</f>
        <v>700</v>
      </c>
      <c r="J2168" s="109">
        <f t="shared" ref="J2168" si="3266">(H2168/(G2168/F2168))*I2168</f>
        <v>3500</v>
      </c>
      <c r="K2168" s="8"/>
      <c r="L2168" s="8">
        <f>ROUNDUP(H2168/8000,0)</f>
        <v>1</v>
      </c>
      <c r="M2168" s="109">
        <f t="shared" si="3261"/>
        <v>0</v>
      </c>
      <c r="N2168" s="109">
        <f t="shared" si="3262"/>
        <v>0</v>
      </c>
      <c r="O2168" s="109">
        <f t="shared" si="3263"/>
        <v>0</v>
      </c>
      <c r="P2168" s="109">
        <f t="shared" si="3264"/>
        <v>3500</v>
      </c>
      <c r="Q2168" s="109">
        <f t="shared" ref="Q2168" si="3267">SUM(M2168:P2168)</f>
        <v>3500</v>
      </c>
      <c r="R2168" s="121">
        <v>71</v>
      </c>
      <c r="T2168" s="188"/>
    </row>
    <row r="2169" spans="1:22" x14ac:dyDescent="0.25">
      <c r="T2169" s="188"/>
    </row>
    <row r="2170" spans="1:22" ht="30" x14ac:dyDescent="0.25">
      <c r="A2170" s="114" t="s">
        <v>2676</v>
      </c>
      <c r="B2170" s="1" t="s">
        <v>2500</v>
      </c>
      <c r="C2170" s="1" t="s">
        <v>2501</v>
      </c>
      <c r="D2170" s="2" t="s">
        <v>29</v>
      </c>
      <c r="E2170" s="99"/>
      <c r="F2170" s="7"/>
      <c r="G2170" s="7"/>
      <c r="H2170" s="103">
        <f>VLOOKUP($A2170,'Model Inputs'!$A:$D,4,FALSE)</f>
        <v>1</v>
      </c>
      <c r="I2170" s="108"/>
      <c r="J2170" s="108">
        <f>SUBTOTAL(9,J2172:J2182)</f>
        <v>465.02476190476182</v>
      </c>
      <c r="K2170" s="7"/>
      <c r="L2170" s="7">
        <f>ROUNDUP(MAX(L2177:L2179)+L2182+2,0)</f>
        <v>3</v>
      </c>
      <c r="M2170" s="108">
        <f t="shared" ref="M2170:Q2170" si="3268">SUBTOTAL(9,M2172:M2182)</f>
        <v>1.2000000000000002</v>
      </c>
      <c r="N2170" s="108">
        <f t="shared" si="3268"/>
        <v>265.25333333333327</v>
      </c>
      <c r="O2170" s="108">
        <f t="shared" si="3268"/>
        <v>6.5714285714285721</v>
      </c>
      <c r="P2170" s="108">
        <f t="shared" si="3268"/>
        <v>192</v>
      </c>
      <c r="Q2170" s="108">
        <f t="shared" si="3268"/>
        <v>465.02476190476182</v>
      </c>
      <c r="R2170" s="120"/>
      <c r="T2170" s="188"/>
    </row>
    <row r="2171" spans="1:22" x14ac:dyDescent="0.25">
      <c r="A2171" s="101"/>
      <c r="B2171" s="4">
        <v>1</v>
      </c>
      <c r="C2171" s="6" t="s">
        <v>187</v>
      </c>
      <c r="D2171" s="4"/>
      <c r="E2171" s="101" t="str">
        <f>IFERROR(VLOOKUP(C2171,Resources!B:D,3,FALSE)," ")</f>
        <v xml:space="preserve"> </v>
      </c>
      <c r="F2171" s="9"/>
      <c r="G2171" s="9"/>
      <c r="H2171" s="9"/>
      <c r="I2171" s="38" t="str">
        <f>IFERROR(VLOOKUP(C2171,Resources!B:G,6,FALSE)," ")</f>
        <v xml:space="preserve"> </v>
      </c>
      <c r="J2171" s="38"/>
      <c r="K2171" s="9"/>
      <c r="L2171" s="9"/>
      <c r="M2171" s="38"/>
      <c r="N2171" s="38"/>
      <c r="O2171" s="38"/>
      <c r="P2171" s="38"/>
      <c r="Q2171" s="38"/>
      <c r="R2171" s="122"/>
      <c r="T2171" s="188"/>
    </row>
    <row r="2172" spans="1:22" x14ac:dyDescent="0.25">
      <c r="A2172" s="100"/>
      <c r="B2172" s="3">
        <v>2</v>
      </c>
      <c r="C2172" s="5" t="s">
        <v>85</v>
      </c>
      <c r="D2172" s="3" t="s">
        <v>86</v>
      </c>
      <c r="E2172" s="100" t="str">
        <f>IFERROR(VLOOKUP(C2172,Resources!B:D,3,FALSE)," ")</f>
        <v>M</v>
      </c>
      <c r="F2172" s="8">
        <v>1</v>
      </c>
      <c r="G2172" s="8">
        <v>1</v>
      </c>
      <c r="H2172" s="8">
        <f>H2170*6*0.125*1.1</f>
        <v>0.82500000000000007</v>
      </c>
      <c r="I2172" s="109">
        <f>IFERROR(VLOOKUP(C2172,Resources!B:G,6,FALSE)," ")</f>
        <v>192</v>
      </c>
      <c r="J2172" s="109">
        <f t="shared" ref="J2172:J2175" si="3269">(H2172/(G2172/F2172))*I2172</f>
        <v>158.4</v>
      </c>
      <c r="K2172" s="8"/>
      <c r="L2172" s="8" t="str">
        <f t="shared" ref="L2172:L2175" si="3270">IF(E2172="M"," ",H2172/G2172)</f>
        <v xml:space="preserve"> </v>
      </c>
      <c r="M2172" s="109">
        <f t="shared" ref="M2172:M2175" si="3271">IF($E2172="L",$J2172,0)</f>
        <v>0</v>
      </c>
      <c r="N2172" s="109">
        <f t="shared" ref="N2172:N2175" si="3272">IF($E2172="M",$J2172,0)</f>
        <v>158.4</v>
      </c>
      <c r="O2172" s="109">
        <f t="shared" ref="O2172:O2175" si="3273">IF($E2172="P",$J2172,0)</f>
        <v>0</v>
      </c>
      <c r="P2172" s="109">
        <f t="shared" ref="P2172:P2175" si="3274">IF($E2172="S",$J2172,0)</f>
        <v>0</v>
      </c>
      <c r="Q2172" s="109">
        <f t="shared" ref="Q2172:Q2175" si="3275">SUM(M2172:P2172)</f>
        <v>158.4</v>
      </c>
      <c r="R2172" s="121" t="s">
        <v>2335</v>
      </c>
      <c r="T2172" s="188"/>
    </row>
    <row r="2173" spans="1:22" x14ac:dyDescent="0.25">
      <c r="A2173" s="100"/>
      <c r="B2173" s="3">
        <v>3</v>
      </c>
      <c r="C2173" s="5" t="s">
        <v>81</v>
      </c>
      <c r="D2173" s="3" t="s">
        <v>82</v>
      </c>
      <c r="E2173" s="100" t="str">
        <f>IFERROR(VLOOKUP(C2173,Resources!B:D,3,FALSE)," ")</f>
        <v>M</v>
      </c>
      <c r="F2173" s="8">
        <v>1</v>
      </c>
      <c r="G2173" s="8">
        <v>1</v>
      </c>
      <c r="H2173" s="8">
        <f>H2170*6*1.5*0.1</f>
        <v>0.9</v>
      </c>
      <c r="I2173" s="109">
        <f>IFERROR(VLOOKUP(C2173,Resources!B:G,6,FALSE)," ")</f>
        <v>24</v>
      </c>
      <c r="J2173" s="109">
        <f t="shared" si="3269"/>
        <v>21.6</v>
      </c>
      <c r="K2173" s="8"/>
      <c r="L2173" s="8" t="str">
        <f t="shared" si="3270"/>
        <v xml:space="preserve"> </v>
      </c>
      <c r="M2173" s="109">
        <f t="shared" si="3271"/>
        <v>0</v>
      </c>
      <c r="N2173" s="109">
        <f t="shared" si="3272"/>
        <v>21.6</v>
      </c>
      <c r="O2173" s="109">
        <f t="shared" si="3273"/>
        <v>0</v>
      </c>
      <c r="P2173" s="109">
        <f t="shared" si="3274"/>
        <v>0</v>
      </c>
      <c r="Q2173" s="109">
        <f t="shared" si="3275"/>
        <v>21.6</v>
      </c>
      <c r="R2173" s="121" t="s">
        <v>2341</v>
      </c>
      <c r="T2173" s="188"/>
    </row>
    <row r="2174" spans="1:22" x14ac:dyDescent="0.25">
      <c r="A2174" s="100"/>
      <c r="B2174" s="3">
        <v>4</v>
      </c>
      <c r="C2174" s="5" t="s">
        <v>189</v>
      </c>
      <c r="D2174" s="3" t="s">
        <v>83</v>
      </c>
      <c r="E2174" s="100" t="str">
        <f>IFERROR(VLOOKUP(C2174,Resources!B:D,3,FALSE)," ")</f>
        <v>M</v>
      </c>
      <c r="F2174" s="8">
        <v>1</v>
      </c>
      <c r="G2174" s="8">
        <v>1</v>
      </c>
      <c r="H2174" s="8">
        <f>H2170*6*1.2</f>
        <v>7.1999999999999993</v>
      </c>
      <c r="I2174" s="109">
        <f>IFERROR(VLOOKUP(C2174,Resources!B:G,6,FALSE)," ")</f>
        <v>9.1</v>
      </c>
      <c r="J2174" s="109">
        <f t="shared" si="3269"/>
        <v>65.52</v>
      </c>
      <c r="K2174" s="8"/>
      <c r="L2174" s="8" t="str">
        <f t="shared" si="3270"/>
        <v xml:space="preserve"> </v>
      </c>
      <c r="M2174" s="109">
        <f t="shared" si="3271"/>
        <v>0</v>
      </c>
      <c r="N2174" s="109">
        <f t="shared" si="3272"/>
        <v>65.52</v>
      </c>
      <c r="O2174" s="109">
        <f t="shared" si="3273"/>
        <v>0</v>
      </c>
      <c r="P2174" s="109">
        <f t="shared" si="3274"/>
        <v>0</v>
      </c>
      <c r="Q2174" s="109">
        <f t="shared" si="3275"/>
        <v>65.52</v>
      </c>
      <c r="R2174" s="121" t="s">
        <v>2343</v>
      </c>
      <c r="T2174" s="188"/>
    </row>
    <row r="2175" spans="1:22" x14ac:dyDescent="0.25">
      <c r="A2175" s="100"/>
      <c r="B2175" s="3">
        <v>5</v>
      </c>
      <c r="C2175" s="5" t="s">
        <v>190</v>
      </c>
      <c r="D2175" s="3" t="s">
        <v>89</v>
      </c>
      <c r="E2175" s="100" t="str">
        <f>IFERROR(VLOOKUP(C2175,Resources!B:D,3,FALSE)," ")</f>
        <v>M</v>
      </c>
      <c r="F2175" s="8">
        <v>1</v>
      </c>
      <c r="G2175" s="8">
        <v>1</v>
      </c>
      <c r="H2175" s="8">
        <f>H2170*1.2*6/1.5</f>
        <v>4.8</v>
      </c>
      <c r="I2175" s="109">
        <f>IFERROR(VLOOKUP(C2175,Resources!B:G,6,FALSE)," ")</f>
        <v>3</v>
      </c>
      <c r="J2175" s="109">
        <f t="shared" si="3269"/>
        <v>14.399999999999999</v>
      </c>
      <c r="K2175" s="8"/>
      <c r="L2175" s="8" t="str">
        <f t="shared" si="3270"/>
        <v xml:space="preserve"> </v>
      </c>
      <c r="M2175" s="109">
        <f t="shared" si="3271"/>
        <v>0</v>
      </c>
      <c r="N2175" s="109">
        <f t="shared" si="3272"/>
        <v>14.399999999999999</v>
      </c>
      <c r="O2175" s="109">
        <f t="shared" si="3273"/>
        <v>0</v>
      </c>
      <c r="P2175" s="109">
        <f t="shared" si="3274"/>
        <v>0</v>
      </c>
      <c r="Q2175" s="109">
        <f t="shared" si="3275"/>
        <v>14.399999999999999</v>
      </c>
      <c r="R2175" s="121" t="s">
        <v>2343</v>
      </c>
      <c r="T2175" s="188"/>
    </row>
    <row r="2176" spans="1:22" x14ac:dyDescent="0.25">
      <c r="A2176" s="101"/>
      <c r="B2176" s="4">
        <v>6</v>
      </c>
      <c r="C2176" s="6" t="s">
        <v>191</v>
      </c>
      <c r="D2176" s="4"/>
      <c r="E2176" s="101" t="str">
        <f>IFERROR(VLOOKUP(C2176,Resources!B:D,3,FALSE)," ")</f>
        <v xml:space="preserve"> </v>
      </c>
      <c r="F2176" s="9"/>
      <c r="G2176" s="9"/>
      <c r="H2176" s="9"/>
      <c r="I2176" s="38" t="str">
        <f>IFERROR(VLOOKUP(C2176,Resources!B:G,6,FALSE)," ")</f>
        <v xml:space="preserve"> </v>
      </c>
      <c r="J2176" s="38"/>
      <c r="K2176" s="9"/>
      <c r="L2176" s="9"/>
      <c r="M2176" s="38"/>
      <c r="N2176" s="38"/>
      <c r="O2176" s="38"/>
      <c r="P2176" s="38"/>
      <c r="Q2176" s="38"/>
      <c r="R2176" s="122"/>
      <c r="T2176" s="188"/>
    </row>
    <row r="2177" spans="1:22" x14ac:dyDescent="0.25">
      <c r="A2177" s="100" t="s">
        <v>2677</v>
      </c>
      <c r="B2177" s="3">
        <v>7</v>
      </c>
      <c r="C2177" s="5" t="s">
        <v>63</v>
      </c>
      <c r="D2177" s="3" t="s">
        <v>48</v>
      </c>
      <c r="E2177" s="100" t="str">
        <f>IFERROR(VLOOKUP(C2177,Resources!B:D,3,FALSE)," ")</f>
        <v>P</v>
      </c>
      <c r="F2177" s="8">
        <v>1</v>
      </c>
      <c r="G2177" s="103">
        <f>VLOOKUP($A2177,'Model Inputs'!$A:$D,4,FALSE)</f>
        <v>21</v>
      </c>
      <c r="H2177" s="8">
        <f>H2170*6*0.1</f>
        <v>0.60000000000000009</v>
      </c>
      <c r="I2177" s="109">
        <f>IFERROR(VLOOKUP(C2177,Resources!B:G,6,FALSE)," ")</f>
        <v>135</v>
      </c>
      <c r="J2177" s="109">
        <f t="shared" ref="J2177:J2179" si="3276">(H2177/(G2177/F2177))*I2177</f>
        <v>3.8571428571428577</v>
      </c>
      <c r="K2177" s="8">
        <f t="shared" ref="K2177:K2179" si="3277">L2177*F2177</f>
        <v>2.8571428571428574E-2</v>
      </c>
      <c r="L2177" s="8">
        <f t="shared" ref="L2177:L2179" si="3278">IF(E2177="M"," ",H2177/G2177)</f>
        <v>2.8571428571428574E-2</v>
      </c>
      <c r="M2177" s="109">
        <f t="shared" ref="M2177:M2179" si="3279">IF($E2177="L",$J2177,0)</f>
        <v>0</v>
      </c>
      <c r="N2177" s="109">
        <f t="shared" ref="N2177:N2179" si="3280">IF($E2177="M",$J2177,0)</f>
        <v>0</v>
      </c>
      <c r="O2177" s="109">
        <f t="shared" ref="O2177:O2179" si="3281">IF($E2177="P",$J2177,0)</f>
        <v>3.8571428571428577</v>
      </c>
      <c r="P2177" s="109">
        <f t="shared" ref="P2177:P2179" si="3282">IF($E2177="S",$J2177,0)</f>
        <v>0</v>
      </c>
      <c r="Q2177" s="109">
        <f t="shared" ref="Q2177:Q2179" si="3283">SUM(M2177:P2177)</f>
        <v>3.8571428571428577</v>
      </c>
      <c r="R2177" s="121">
        <v>73</v>
      </c>
      <c r="T2177" s="188"/>
    </row>
    <row r="2178" spans="1:22" x14ac:dyDescent="0.25">
      <c r="A2178" s="100"/>
      <c r="B2178" s="3">
        <v>8</v>
      </c>
      <c r="C2178" s="5" t="s">
        <v>173</v>
      </c>
      <c r="D2178" s="3" t="s">
        <v>48</v>
      </c>
      <c r="E2178" s="100" t="str">
        <f>IFERROR(VLOOKUP(C2178,Resources!B:D,3,FALSE)," ")</f>
        <v>P</v>
      </c>
      <c r="F2178" s="8">
        <v>1</v>
      </c>
      <c r="G2178" s="8">
        <f>G2177</f>
        <v>21</v>
      </c>
      <c r="H2178" s="8">
        <f>H2177</f>
        <v>0.60000000000000009</v>
      </c>
      <c r="I2178" s="109">
        <f>IFERROR(VLOOKUP(C2178,Resources!B:G,6,FALSE)," ")</f>
        <v>95</v>
      </c>
      <c r="J2178" s="109">
        <f t="shared" si="3276"/>
        <v>2.7142857142857144</v>
      </c>
      <c r="K2178" s="8">
        <f t="shared" si="3277"/>
        <v>2.8571428571428574E-2</v>
      </c>
      <c r="L2178" s="8">
        <f t="shared" si="3278"/>
        <v>2.8571428571428574E-2</v>
      </c>
      <c r="M2178" s="109">
        <f t="shared" si="3279"/>
        <v>0</v>
      </c>
      <c r="N2178" s="109">
        <f t="shared" si="3280"/>
        <v>0</v>
      </c>
      <c r="O2178" s="109">
        <f t="shared" si="3281"/>
        <v>2.7142857142857144</v>
      </c>
      <c r="P2178" s="109">
        <f t="shared" si="3282"/>
        <v>0</v>
      </c>
      <c r="Q2178" s="109">
        <f t="shared" si="3283"/>
        <v>2.7142857142857144</v>
      </c>
      <c r="R2178" s="121">
        <v>73</v>
      </c>
      <c r="T2178" s="188"/>
    </row>
    <row r="2179" spans="1:22" x14ac:dyDescent="0.25">
      <c r="A2179" s="100"/>
      <c r="B2179" s="3">
        <v>9</v>
      </c>
      <c r="C2179" s="5" t="s">
        <v>8</v>
      </c>
      <c r="D2179" s="3" t="s">
        <v>48</v>
      </c>
      <c r="E2179" s="100" t="str">
        <f>IFERROR(VLOOKUP(C2179,Resources!B:D,3,FALSE)," ")</f>
        <v>L</v>
      </c>
      <c r="F2179" s="8">
        <v>1</v>
      </c>
      <c r="G2179" s="8">
        <f>G2177</f>
        <v>21</v>
      </c>
      <c r="H2179" s="8">
        <f>H2177</f>
        <v>0.60000000000000009</v>
      </c>
      <c r="I2179" s="109">
        <f>IFERROR(VLOOKUP(C2179,Resources!B:G,6,FALSE)," ")</f>
        <v>42</v>
      </c>
      <c r="J2179" s="109">
        <f t="shared" si="3276"/>
        <v>1.2000000000000002</v>
      </c>
      <c r="K2179" s="8">
        <f t="shared" si="3277"/>
        <v>2.8571428571428574E-2</v>
      </c>
      <c r="L2179" s="8">
        <f t="shared" si="3278"/>
        <v>2.8571428571428574E-2</v>
      </c>
      <c r="M2179" s="109">
        <f t="shared" si="3279"/>
        <v>1.2000000000000002</v>
      </c>
      <c r="N2179" s="109">
        <f t="shared" si="3280"/>
        <v>0</v>
      </c>
      <c r="O2179" s="109">
        <f t="shared" si="3281"/>
        <v>0</v>
      </c>
      <c r="P2179" s="109">
        <f t="shared" si="3282"/>
        <v>0</v>
      </c>
      <c r="Q2179" s="109">
        <f t="shared" si="3283"/>
        <v>1.2000000000000002</v>
      </c>
      <c r="R2179" s="121">
        <v>73</v>
      </c>
      <c r="T2179" s="188"/>
    </row>
    <row r="2180" spans="1:22" x14ac:dyDescent="0.25">
      <c r="A2180" s="101"/>
      <c r="B2180" s="4">
        <v>10</v>
      </c>
      <c r="C2180" s="6" t="s">
        <v>192</v>
      </c>
      <c r="D2180" s="4"/>
      <c r="E2180" s="101" t="str">
        <f>IFERROR(VLOOKUP(C2180,Resources!B:D,3,FALSE)," ")</f>
        <v xml:space="preserve"> </v>
      </c>
      <c r="F2180" s="9"/>
      <c r="G2180" s="9"/>
      <c r="H2180" s="9"/>
      <c r="I2180" s="38" t="str">
        <f>IFERROR(VLOOKUP(C2180,Resources!B:G,6,FALSE)," ")</f>
        <v xml:space="preserve"> </v>
      </c>
      <c r="J2180" s="38"/>
      <c r="K2180" s="9"/>
      <c r="L2180" s="9"/>
      <c r="M2180" s="38"/>
      <c r="N2180" s="38"/>
      <c r="O2180" s="38"/>
      <c r="P2180" s="38"/>
      <c r="Q2180" s="38"/>
      <c r="R2180" s="122"/>
      <c r="T2180" s="188"/>
    </row>
    <row r="2181" spans="1:22" x14ac:dyDescent="0.25">
      <c r="A2181" s="100"/>
      <c r="B2181" s="3">
        <v>11</v>
      </c>
      <c r="C2181" s="5" t="s">
        <v>84</v>
      </c>
      <c r="D2181" s="3" t="s">
        <v>29</v>
      </c>
      <c r="E2181" s="100" t="str">
        <f>IFERROR(VLOOKUP(C2181,Resources!B:D,3,FALSE)," ")</f>
        <v>M</v>
      </c>
      <c r="F2181" s="8">
        <v>1</v>
      </c>
      <c r="G2181" s="8">
        <v>1</v>
      </c>
      <c r="H2181" s="8">
        <f>H2170*6/0.9</f>
        <v>6.6666666666666661</v>
      </c>
      <c r="I2181" s="109">
        <f>IFERROR(VLOOKUP(C2181,Resources!B:G,6,FALSE)," ")</f>
        <v>0.8</v>
      </c>
      <c r="J2181" s="109">
        <f t="shared" ref="J2181:J2182" si="3284">(H2181/(G2181/F2181))*I2181</f>
        <v>5.333333333333333</v>
      </c>
      <c r="K2181" s="8"/>
      <c r="L2181" s="8" t="str">
        <f t="shared" ref="L2181" si="3285">IF(E2181="M"," ",H2181/G2181)</f>
        <v xml:space="preserve"> </v>
      </c>
      <c r="M2181" s="109">
        <f t="shared" ref="M2181:M2182" si="3286">IF($E2181="L",$J2181,0)</f>
        <v>0</v>
      </c>
      <c r="N2181" s="109">
        <f t="shared" ref="N2181:N2182" si="3287">IF($E2181="M",$J2181,0)</f>
        <v>5.333333333333333</v>
      </c>
      <c r="O2181" s="109">
        <f t="shared" ref="O2181:O2182" si="3288">IF($E2181="P",$J2181,0)</f>
        <v>0</v>
      </c>
      <c r="P2181" s="109">
        <f t="shared" ref="P2181:P2182" si="3289">IF($E2181="S",$J2181,0)</f>
        <v>0</v>
      </c>
      <c r="Q2181" s="109">
        <f t="shared" ref="Q2181:Q2182" si="3290">SUM(M2181:P2181)</f>
        <v>5.333333333333333</v>
      </c>
      <c r="R2181" s="121" t="s">
        <v>2343</v>
      </c>
      <c r="T2181" s="188"/>
    </row>
    <row r="2182" spans="1:22" x14ac:dyDescent="0.25">
      <c r="A2182" s="100"/>
      <c r="B2182" s="3">
        <v>12</v>
      </c>
      <c r="C2182" s="5" t="s">
        <v>193</v>
      </c>
      <c r="D2182" s="3" t="s">
        <v>83</v>
      </c>
      <c r="E2182" s="100" t="str">
        <f>IFERROR(VLOOKUP(C2182,Resources!B:D,3,FALSE)," ")</f>
        <v>S</v>
      </c>
      <c r="F2182" s="8">
        <v>1</v>
      </c>
      <c r="G2182" s="8">
        <v>1</v>
      </c>
      <c r="H2182" s="8">
        <f>H2170*6</f>
        <v>6</v>
      </c>
      <c r="I2182" s="109">
        <f>IFERROR(VLOOKUP(C2182,Resources!B:G,6,FALSE)," ")</f>
        <v>32</v>
      </c>
      <c r="J2182" s="109">
        <f t="shared" si="3284"/>
        <v>192</v>
      </c>
      <c r="K2182" s="8"/>
      <c r="L2182" s="8">
        <f>H2170/3</f>
        <v>0.33333333333333331</v>
      </c>
      <c r="M2182" s="109">
        <f t="shared" si="3286"/>
        <v>0</v>
      </c>
      <c r="N2182" s="109">
        <f t="shared" si="3287"/>
        <v>0</v>
      </c>
      <c r="O2182" s="109">
        <f t="shared" si="3288"/>
        <v>0</v>
      </c>
      <c r="P2182" s="109">
        <f t="shared" si="3289"/>
        <v>192</v>
      </c>
      <c r="Q2182" s="109">
        <f t="shared" si="3290"/>
        <v>192</v>
      </c>
      <c r="R2182" s="121">
        <v>73</v>
      </c>
      <c r="T2182" s="188"/>
    </row>
    <row r="2183" spans="1:22" s="138" customFormat="1" x14ac:dyDescent="0.25">
      <c r="A2183" s="139"/>
      <c r="B2183" s="140"/>
      <c r="C2183" s="140"/>
      <c r="D2183" s="141"/>
      <c r="E2183" s="142"/>
      <c r="F2183" s="143"/>
      <c r="G2183" s="143"/>
      <c r="H2183" s="143"/>
      <c r="I2183" s="144"/>
      <c r="J2183" s="144"/>
      <c r="K2183" s="143"/>
      <c r="L2183" s="143"/>
      <c r="M2183" s="144"/>
      <c r="N2183" s="144"/>
      <c r="O2183" s="144"/>
      <c r="P2183" s="144"/>
      <c r="Q2183" s="144"/>
      <c r="R2183" s="145"/>
      <c r="T2183" s="188"/>
      <c r="U2183"/>
      <c r="V2183"/>
    </row>
    <row r="2184" spans="1:22" ht="30" x14ac:dyDescent="0.25">
      <c r="A2184" s="114" t="s">
        <v>2678</v>
      </c>
      <c r="B2184" s="1" t="s">
        <v>2525</v>
      </c>
      <c r="C2184" s="1" t="s">
        <v>2526</v>
      </c>
      <c r="D2184" s="2" t="s">
        <v>2416</v>
      </c>
      <c r="E2184" s="99"/>
      <c r="F2184" s="7"/>
      <c r="G2184" s="7"/>
      <c r="H2184" s="103">
        <f>VLOOKUP($A2184,'Model Inputs'!$A:$D,4,FALSE)</f>
        <v>1</v>
      </c>
      <c r="I2184" s="108"/>
      <c r="J2184" s="108">
        <f>SUBTOTAL(9,J2185:J2186)</f>
        <v>2676</v>
      </c>
      <c r="K2184" s="7"/>
      <c r="L2184" s="7">
        <f>ROUNDUP(L2186,0)</f>
        <v>1</v>
      </c>
      <c r="M2184" s="108">
        <f t="shared" ref="M2184" si="3291">SUBTOTAL(9,M2185:M2186)</f>
        <v>0</v>
      </c>
      <c r="N2184" s="108">
        <f t="shared" ref="N2184" si="3292">SUBTOTAL(9,N2185:N2186)</f>
        <v>576</v>
      </c>
      <c r="O2184" s="108">
        <f t="shared" ref="O2184" si="3293">SUBTOTAL(9,O2185:O2186)</f>
        <v>0</v>
      </c>
      <c r="P2184" s="108">
        <f t="shared" ref="P2184" si="3294">SUBTOTAL(9,P2185:P2186)</f>
        <v>2100</v>
      </c>
      <c r="Q2184" s="108">
        <f t="shared" ref="Q2184" si="3295">SUBTOTAL(9,Q2185:Q2186)</f>
        <v>2676</v>
      </c>
      <c r="R2184" s="120"/>
      <c r="T2184" s="188"/>
    </row>
    <row r="2185" spans="1:22" x14ac:dyDescent="0.25">
      <c r="A2185" s="100"/>
      <c r="B2185" s="3">
        <v>1</v>
      </c>
      <c r="C2185" s="5" t="s">
        <v>85</v>
      </c>
      <c r="D2185" s="100" t="s">
        <v>86</v>
      </c>
      <c r="E2185" s="100" t="str">
        <f>IFERROR(VLOOKUP(C2185,Resources!B:D,3,FALSE)," ")</f>
        <v>M</v>
      </c>
      <c r="F2185" s="8">
        <v>1</v>
      </c>
      <c r="G2185" s="8">
        <v>1</v>
      </c>
      <c r="H2185" s="8">
        <f>H2184*3</f>
        <v>3</v>
      </c>
      <c r="I2185" s="109">
        <f>IFERROR(VLOOKUP(C2185,Resources!B:G,6,FALSE)," ")</f>
        <v>192</v>
      </c>
      <c r="J2185" s="109">
        <f t="shared" ref="J2185:J2186" si="3296">(H2185/(G2185/F2185))*I2185</f>
        <v>576</v>
      </c>
      <c r="K2185" s="8"/>
      <c r="L2185" s="8"/>
      <c r="M2185" s="109">
        <f t="shared" ref="M2185:M2186" si="3297">IF($E2185="L",$J2185,0)</f>
        <v>0</v>
      </c>
      <c r="N2185" s="109">
        <f t="shared" ref="N2185:N2186" si="3298">IF($E2185="M",$J2185,0)</f>
        <v>576</v>
      </c>
      <c r="O2185" s="109">
        <f t="shared" ref="O2185:O2186" si="3299">IF($E2185="P",$J2185,0)</f>
        <v>0</v>
      </c>
      <c r="P2185" s="109">
        <f t="shared" ref="P2185:P2186" si="3300">IF($E2185="S",$J2185,0)</f>
        <v>0</v>
      </c>
      <c r="Q2185" s="109">
        <f t="shared" ref="Q2185:Q2186" si="3301">SUM(M2185:P2185)</f>
        <v>576</v>
      </c>
      <c r="R2185" s="121" t="s">
        <v>2335</v>
      </c>
      <c r="T2185" s="188"/>
    </row>
    <row r="2186" spans="1:22" x14ac:dyDescent="0.25">
      <c r="A2186" s="100"/>
      <c r="B2186" s="3">
        <v>2</v>
      </c>
      <c r="C2186" s="5" t="s">
        <v>2232</v>
      </c>
      <c r="D2186" s="100" t="s">
        <v>86</v>
      </c>
      <c r="E2186" s="100" t="str">
        <f>IFERROR(VLOOKUP(C2186,Resources!B:D,3,FALSE)," ")</f>
        <v>S</v>
      </c>
      <c r="F2186" s="8">
        <v>1</v>
      </c>
      <c r="G2186" s="8">
        <v>1</v>
      </c>
      <c r="H2186" s="8">
        <f>H2185</f>
        <v>3</v>
      </c>
      <c r="I2186" s="109">
        <f>IFERROR(VLOOKUP(C2186,Resources!B:G,6,FALSE)," ")</f>
        <v>700</v>
      </c>
      <c r="J2186" s="109">
        <f t="shared" si="3296"/>
        <v>2100</v>
      </c>
      <c r="K2186" s="8"/>
      <c r="L2186" s="8">
        <f>ROUNDUP(H2186/8000,0)</f>
        <v>1</v>
      </c>
      <c r="M2186" s="109">
        <f t="shared" si="3297"/>
        <v>0</v>
      </c>
      <c r="N2186" s="109">
        <f t="shared" si="3298"/>
        <v>0</v>
      </c>
      <c r="O2186" s="109">
        <f t="shared" si="3299"/>
        <v>0</v>
      </c>
      <c r="P2186" s="109">
        <f t="shared" si="3300"/>
        <v>2100</v>
      </c>
      <c r="Q2186" s="109">
        <f t="shared" si="3301"/>
        <v>2100</v>
      </c>
      <c r="R2186" s="121">
        <v>73</v>
      </c>
      <c r="T2186" s="188"/>
    </row>
    <row r="2187" spans="1:22" x14ac:dyDescent="0.25">
      <c r="A2187" s="101"/>
      <c r="B2187" s="4"/>
      <c r="C2187" s="6"/>
      <c r="D2187" s="4"/>
      <c r="I2187" s="38"/>
      <c r="M2187" s="38"/>
      <c r="N2187" s="38"/>
      <c r="O2187" s="38"/>
      <c r="P2187" s="38"/>
      <c r="Q2187" s="38"/>
      <c r="R2187" s="123"/>
      <c r="T2187" s="188"/>
    </row>
    <row r="2188" spans="1:22" ht="30" x14ac:dyDescent="0.25">
      <c r="A2188" s="114" t="s">
        <v>2680</v>
      </c>
      <c r="B2188" s="1" t="s">
        <v>2502</v>
      </c>
      <c r="C2188" s="1" t="s">
        <v>2503</v>
      </c>
      <c r="D2188" s="2" t="s">
        <v>29</v>
      </c>
      <c r="E2188" s="99"/>
      <c r="F2188" s="7"/>
      <c r="G2188" s="7"/>
      <c r="H2188" s="103">
        <f>VLOOKUP($A2188,'Model Inputs'!$A:$D,4,FALSE)</f>
        <v>3</v>
      </c>
      <c r="I2188" s="108"/>
      <c r="J2188" s="108">
        <f>SUBTOTAL(9,J2190:J2200)</f>
        <v>2493.92</v>
      </c>
      <c r="K2188" s="7"/>
      <c r="L2188" s="7">
        <f>ROUNDUP((MAX(L2195:L2197)+L2200+2),0)</f>
        <v>4</v>
      </c>
      <c r="M2188" s="108">
        <f t="shared" ref="M2188:Q2188" si="3302">SUBTOTAL(9,M2190:M2200)</f>
        <v>50.4</v>
      </c>
      <c r="N2188" s="108">
        <f t="shared" si="3302"/>
        <v>1591.52</v>
      </c>
      <c r="O2188" s="108">
        <f t="shared" si="3302"/>
        <v>276</v>
      </c>
      <c r="P2188" s="108">
        <f t="shared" si="3302"/>
        <v>576</v>
      </c>
      <c r="Q2188" s="108">
        <f t="shared" si="3302"/>
        <v>2493.92</v>
      </c>
      <c r="R2188" s="120"/>
      <c r="T2188" s="188"/>
    </row>
    <row r="2189" spans="1:22" s="75" customFormat="1" x14ac:dyDescent="0.25">
      <c r="A2189" s="149"/>
      <c r="B2189" s="150">
        <v>1</v>
      </c>
      <c r="C2189" s="151" t="s">
        <v>187</v>
      </c>
      <c r="D2189" s="150"/>
      <c r="E2189" s="149" t="str">
        <f>IFERROR(VLOOKUP(C2189,Resources!B:D,3,FALSE)," ")</f>
        <v xml:space="preserve"> </v>
      </c>
      <c r="F2189" s="152"/>
      <c r="G2189" s="152"/>
      <c r="H2189" s="152"/>
      <c r="I2189" s="153" t="str">
        <f>IFERROR(VLOOKUP(C2189,Resources!B:G,6,FALSE)," ")</f>
        <v xml:space="preserve"> </v>
      </c>
      <c r="J2189" s="153"/>
      <c r="K2189" s="152"/>
      <c r="L2189" s="152"/>
      <c r="M2189" s="153"/>
      <c r="N2189" s="153"/>
      <c r="O2189" s="153"/>
      <c r="P2189" s="153"/>
      <c r="Q2189" s="153"/>
      <c r="R2189" s="154"/>
      <c r="T2189" s="188"/>
      <c r="U2189"/>
      <c r="V2189"/>
    </row>
    <row r="2190" spans="1:22" x14ac:dyDescent="0.25">
      <c r="A2190" s="100"/>
      <c r="B2190" s="3">
        <v>2</v>
      </c>
      <c r="C2190" s="5" t="s">
        <v>85</v>
      </c>
      <c r="D2190" s="3" t="s">
        <v>86</v>
      </c>
      <c r="E2190" s="100" t="str">
        <f>IFERROR(VLOOKUP(C2190,Resources!B:D,3,FALSE)," ")</f>
        <v>M</v>
      </c>
      <c r="F2190" s="8">
        <v>1</v>
      </c>
      <c r="G2190" s="8">
        <v>1</v>
      </c>
      <c r="H2190" s="8">
        <f>H2188*12*0.125*1.1</f>
        <v>4.95</v>
      </c>
      <c r="I2190" s="109">
        <f>IFERROR(VLOOKUP(C2190,Resources!B:G,6,FALSE)," ")</f>
        <v>192</v>
      </c>
      <c r="J2190" s="109">
        <f t="shared" ref="J2190:J2193" si="3303">(H2190/(G2190/F2190))*I2190</f>
        <v>950.40000000000009</v>
      </c>
      <c r="K2190" s="8"/>
      <c r="L2190" s="8" t="str">
        <f t="shared" ref="L2190:L2193" si="3304">IF(E2190="M"," ",H2190/G2190)</f>
        <v xml:space="preserve"> </v>
      </c>
      <c r="M2190" s="109">
        <f t="shared" ref="M2190:M2193" si="3305">IF($E2190="L",$J2190,0)</f>
        <v>0</v>
      </c>
      <c r="N2190" s="109">
        <f t="shared" ref="N2190:N2193" si="3306">IF($E2190="M",$J2190,0)</f>
        <v>950.40000000000009</v>
      </c>
      <c r="O2190" s="109">
        <f t="shared" ref="O2190:O2193" si="3307">IF($E2190="P",$J2190,0)</f>
        <v>0</v>
      </c>
      <c r="P2190" s="109">
        <f t="shared" ref="P2190:P2193" si="3308">IF($E2190="S",$J2190,0)</f>
        <v>0</v>
      </c>
      <c r="Q2190" s="109">
        <f t="shared" ref="Q2190:Q2193" si="3309">SUM(M2190:P2190)</f>
        <v>950.40000000000009</v>
      </c>
      <c r="R2190" s="121" t="s">
        <v>2335</v>
      </c>
      <c r="T2190" s="188"/>
    </row>
    <row r="2191" spans="1:22" x14ac:dyDescent="0.25">
      <c r="A2191" s="100"/>
      <c r="B2191" s="3">
        <v>3</v>
      </c>
      <c r="C2191" s="5" t="s">
        <v>81</v>
      </c>
      <c r="D2191" s="3" t="s">
        <v>82</v>
      </c>
      <c r="E2191" s="100" t="str">
        <f>IFERROR(VLOOKUP(C2191,Resources!B:D,3,FALSE)," ")</f>
        <v>M</v>
      </c>
      <c r="F2191" s="8">
        <v>1</v>
      </c>
      <c r="G2191" s="8">
        <v>1</v>
      </c>
      <c r="H2191" s="8">
        <f>H2188*12*0.1*1.5</f>
        <v>5.4</v>
      </c>
      <c r="I2191" s="109">
        <f>IFERROR(VLOOKUP(C2191,Resources!B:G,6,FALSE)," ")</f>
        <v>24</v>
      </c>
      <c r="J2191" s="109">
        <f t="shared" si="3303"/>
        <v>129.60000000000002</v>
      </c>
      <c r="K2191" s="8"/>
      <c r="L2191" s="8" t="str">
        <f t="shared" si="3304"/>
        <v xml:space="preserve"> </v>
      </c>
      <c r="M2191" s="109">
        <f t="shared" si="3305"/>
        <v>0</v>
      </c>
      <c r="N2191" s="109">
        <f t="shared" si="3306"/>
        <v>129.60000000000002</v>
      </c>
      <c r="O2191" s="109">
        <f t="shared" si="3307"/>
        <v>0</v>
      </c>
      <c r="P2191" s="109">
        <f t="shared" si="3308"/>
        <v>0</v>
      </c>
      <c r="Q2191" s="109">
        <f t="shared" si="3309"/>
        <v>129.60000000000002</v>
      </c>
      <c r="R2191" s="121" t="s">
        <v>2341</v>
      </c>
      <c r="T2191" s="188"/>
    </row>
    <row r="2192" spans="1:22" x14ac:dyDescent="0.25">
      <c r="A2192" s="100"/>
      <c r="B2192" s="3">
        <v>4</v>
      </c>
      <c r="C2192" s="5" t="s">
        <v>189</v>
      </c>
      <c r="D2192" s="3" t="s">
        <v>83</v>
      </c>
      <c r="E2192" s="100" t="str">
        <f>IFERROR(VLOOKUP(C2192,Resources!B:D,3,FALSE)," ")</f>
        <v>M</v>
      </c>
      <c r="F2192" s="8">
        <v>1</v>
      </c>
      <c r="G2192" s="8">
        <v>1</v>
      </c>
      <c r="H2192" s="8">
        <f>H2188*12*1.2</f>
        <v>43.199999999999996</v>
      </c>
      <c r="I2192" s="109">
        <f>IFERROR(VLOOKUP(C2192,Resources!B:G,6,FALSE)," ")</f>
        <v>9.1</v>
      </c>
      <c r="J2192" s="109">
        <f t="shared" si="3303"/>
        <v>393.11999999999995</v>
      </c>
      <c r="K2192" s="8"/>
      <c r="L2192" s="8" t="str">
        <f t="shared" si="3304"/>
        <v xml:space="preserve"> </v>
      </c>
      <c r="M2192" s="109">
        <f t="shared" si="3305"/>
        <v>0</v>
      </c>
      <c r="N2192" s="109">
        <f t="shared" si="3306"/>
        <v>393.11999999999995</v>
      </c>
      <c r="O2192" s="109">
        <f t="shared" si="3307"/>
        <v>0</v>
      </c>
      <c r="P2192" s="109">
        <f t="shared" si="3308"/>
        <v>0</v>
      </c>
      <c r="Q2192" s="109">
        <f t="shared" si="3309"/>
        <v>393.11999999999995</v>
      </c>
      <c r="R2192" s="121" t="s">
        <v>2343</v>
      </c>
      <c r="T2192" s="188"/>
    </row>
    <row r="2193" spans="1:22" x14ac:dyDescent="0.25">
      <c r="A2193" s="100"/>
      <c r="B2193" s="3">
        <v>5</v>
      </c>
      <c r="C2193" s="5" t="s">
        <v>190</v>
      </c>
      <c r="D2193" s="3" t="s">
        <v>89</v>
      </c>
      <c r="E2193" s="100" t="str">
        <f>IFERROR(VLOOKUP(C2193,Resources!B:D,3,FALSE)," ")</f>
        <v>M</v>
      </c>
      <c r="F2193" s="8">
        <v>1</v>
      </c>
      <c r="G2193" s="8">
        <v>1</v>
      </c>
      <c r="H2193" s="8">
        <f>H2188*12*1.2/1.5</f>
        <v>28.799999999999997</v>
      </c>
      <c r="I2193" s="109">
        <f>IFERROR(VLOOKUP(C2193,Resources!B:G,6,FALSE)," ")</f>
        <v>3</v>
      </c>
      <c r="J2193" s="109">
        <f t="shared" si="3303"/>
        <v>86.399999999999991</v>
      </c>
      <c r="K2193" s="8"/>
      <c r="L2193" s="8" t="str">
        <f t="shared" si="3304"/>
        <v xml:space="preserve"> </v>
      </c>
      <c r="M2193" s="109">
        <f t="shared" si="3305"/>
        <v>0</v>
      </c>
      <c r="N2193" s="109">
        <f t="shared" si="3306"/>
        <v>86.399999999999991</v>
      </c>
      <c r="O2193" s="109">
        <f t="shared" si="3307"/>
        <v>0</v>
      </c>
      <c r="P2193" s="109">
        <f t="shared" si="3308"/>
        <v>0</v>
      </c>
      <c r="Q2193" s="109">
        <f t="shared" si="3309"/>
        <v>86.399999999999991</v>
      </c>
      <c r="R2193" s="121" t="s">
        <v>2343</v>
      </c>
      <c r="T2193" s="188"/>
    </row>
    <row r="2194" spans="1:22" s="75" customFormat="1" x14ac:dyDescent="0.25">
      <c r="A2194" s="149"/>
      <c r="B2194" s="150">
        <v>6</v>
      </c>
      <c r="C2194" s="151" t="s">
        <v>191</v>
      </c>
      <c r="D2194" s="150"/>
      <c r="E2194" s="149" t="str">
        <f>IFERROR(VLOOKUP(C2194,Resources!B:D,3,FALSE)," ")</f>
        <v xml:space="preserve"> </v>
      </c>
      <c r="F2194" s="152"/>
      <c r="G2194" s="152"/>
      <c r="H2194" s="152"/>
      <c r="I2194" s="153" t="str">
        <f>IFERROR(VLOOKUP(C2194,Resources!B:G,6,FALSE)," ")</f>
        <v xml:space="preserve"> </v>
      </c>
      <c r="J2194" s="153"/>
      <c r="K2194" s="152"/>
      <c r="L2194" s="152"/>
      <c r="M2194" s="153"/>
      <c r="N2194" s="153"/>
      <c r="O2194" s="153"/>
      <c r="P2194" s="153"/>
      <c r="Q2194" s="153"/>
      <c r="R2194" s="154"/>
      <c r="T2194" s="188"/>
      <c r="U2194"/>
      <c r="V2194"/>
    </row>
    <row r="2195" spans="1:22" x14ac:dyDescent="0.25">
      <c r="A2195" s="100" t="s">
        <v>2681</v>
      </c>
      <c r="B2195" s="3">
        <v>7</v>
      </c>
      <c r="C2195" s="5" t="s">
        <v>63</v>
      </c>
      <c r="D2195" s="3" t="s">
        <v>48</v>
      </c>
      <c r="E2195" s="100" t="str">
        <f>IFERROR(VLOOKUP(C2195,Resources!B:D,3,FALSE)," ")</f>
        <v>P</v>
      </c>
      <c r="F2195" s="8">
        <v>1</v>
      </c>
      <c r="G2195" s="103">
        <f>VLOOKUP($A2195,'Model Inputs'!$A:$D,4,FALSE)</f>
        <v>3</v>
      </c>
      <c r="H2195" s="8">
        <f>H2188*12*0.1</f>
        <v>3.6</v>
      </c>
      <c r="I2195" s="109">
        <f>IFERROR(VLOOKUP(C2195,Resources!B:G,6,FALSE)," ")</f>
        <v>135</v>
      </c>
      <c r="J2195" s="109">
        <f t="shared" ref="J2195:J2197" si="3310">(H2195/(G2195/F2195))*I2195</f>
        <v>162</v>
      </c>
      <c r="K2195" s="8">
        <f t="shared" ref="K2195:K2197" si="3311">L2195*F2195</f>
        <v>0.13333333333333333</v>
      </c>
      <c r="L2195" s="8">
        <f>IF(E2195="M"," ",H2195/(G2195*Workhrs))</f>
        <v>0.13333333333333333</v>
      </c>
      <c r="M2195" s="109">
        <f t="shared" ref="M2195:M2197" si="3312">IF($E2195="L",$J2195,0)</f>
        <v>0</v>
      </c>
      <c r="N2195" s="109">
        <f t="shared" ref="N2195:N2197" si="3313">IF($E2195="M",$J2195,0)</f>
        <v>0</v>
      </c>
      <c r="O2195" s="109">
        <f t="shared" ref="O2195:O2197" si="3314">IF($E2195="P",$J2195,0)</f>
        <v>162</v>
      </c>
      <c r="P2195" s="109">
        <f t="shared" ref="P2195:P2197" si="3315">IF($E2195="S",$J2195,0)</f>
        <v>0</v>
      </c>
      <c r="Q2195" s="109">
        <f t="shared" ref="Q2195:Q2197" si="3316">SUM(M2195:P2195)</f>
        <v>162</v>
      </c>
      <c r="R2195" s="121">
        <v>73</v>
      </c>
      <c r="T2195" s="188"/>
    </row>
    <row r="2196" spans="1:22" x14ac:dyDescent="0.25">
      <c r="A2196" s="100"/>
      <c r="B2196" s="3">
        <v>8</v>
      </c>
      <c r="C2196" s="5" t="s">
        <v>173</v>
      </c>
      <c r="D2196" s="3" t="s">
        <v>48</v>
      </c>
      <c r="E2196" s="100" t="str">
        <f>IFERROR(VLOOKUP(C2196,Resources!B:D,3,FALSE)," ")</f>
        <v>P</v>
      </c>
      <c r="F2196" s="8">
        <v>1</v>
      </c>
      <c r="G2196" s="8">
        <f>G2195</f>
        <v>3</v>
      </c>
      <c r="H2196" s="8">
        <f>H2195</f>
        <v>3.6</v>
      </c>
      <c r="I2196" s="109">
        <f>IFERROR(VLOOKUP(C2196,Resources!B:G,6,FALSE)," ")</f>
        <v>95</v>
      </c>
      <c r="J2196" s="109">
        <f t="shared" si="3310"/>
        <v>114</v>
      </c>
      <c r="K2196" s="8">
        <f t="shared" si="3311"/>
        <v>0.13333333333333333</v>
      </c>
      <c r="L2196" s="8">
        <f>IF(E2196="M"," ",H2196/(G2196*Workhrs))</f>
        <v>0.13333333333333333</v>
      </c>
      <c r="M2196" s="109">
        <f t="shared" si="3312"/>
        <v>0</v>
      </c>
      <c r="N2196" s="109">
        <f t="shared" si="3313"/>
        <v>0</v>
      </c>
      <c r="O2196" s="109">
        <f t="shared" si="3314"/>
        <v>114</v>
      </c>
      <c r="P2196" s="109">
        <f t="shared" si="3315"/>
        <v>0</v>
      </c>
      <c r="Q2196" s="109">
        <f t="shared" si="3316"/>
        <v>114</v>
      </c>
      <c r="R2196" s="121">
        <v>73</v>
      </c>
      <c r="T2196" s="188"/>
    </row>
    <row r="2197" spans="1:22" x14ac:dyDescent="0.25">
      <c r="A2197" s="100"/>
      <c r="B2197" s="3">
        <v>9</v>
      </c>
      <c r="C2197" s="5" t="s">
        <v>8</v>
      </c>
      <c r="D2197" s="3" t="s">
        <v>48</v>
      </c>
      <c r="E2197" s="100" t="str">
        <f>IFERROR(VLOOKUP(C2197,Resources!B:D,3,FALSE)," ")</f>
        <v>L</v>
      </c>
      <c r="F2197" s="8">
        <v>1</v>
      </c>
      <c r="G2197" s="8">
        <f>G2195</f>
        <v>3</v>
      </c>
      <c r="H2197" s="8">
        <f>H2195</f>
        <v>3.6</v>
      </c>
      <c r="I2197" s="109">
        <f>IFERROR(VLOOKUP(C2197,Resources!B:G,6,FALSE)," ")</f>
        <v>42</v>
      </c>
      <c r="J2197" s="109">
        <f t="shared" si="3310"/>
        <v>50.4</v>
      </c>
      <c r="K2197" s="8">
        <f t="shared" si="3311"/>
        <v>0.13333333333333333</v>
      </c>
      <c r="L2197" s="8">
        <f>IF(E2197="M"," ",H2197/(G2197*Workhrs))</f>
        <v>0.13333333333333333</v>
      </c>
      <c r="M2197" s="109">
        <f t="shared" si="3312"/>
        <v>50.4</v>
      </c>
      <c r="N2197" s="109">
        <f t="shared" si="3313"/>
        <v>0</v>
      </c>
      <c r="O2197" s="109">
        <f t="shared" si="3314"/>
        <v>0</v>
      </c>
      <c r="P2197" s="109">
        <f t="shared" si="3315"/>
        <v>0</v>
      </c>
      <c r="Q2197" s="109">
        <f t="shared" si="3316"/>
        <v>50.4</v>
      </c>
      <c r="R2197" s="121">
        <v>73</v>
      </c>
      <c r="T2197" s="188"/>
    </row>
    <row r="2198" spans="1:22" s="75" customFormat="1" x14ac:dyDescent="0.25">
      <c r="A2198" s="149"/>
      <c r="B2198" s="150">
        <v>10</v>
      </c>
      <c r="C2198" s="151" t="s">
        <v>192</v>
      </c>
      <c r="D2198" s="150"/>
      <c r="E2198" s="149" t="str">
        <f>IFERROR(VLOOKUP(C2198,Resources!B:D,3,FALSE)," ")</f>
        <v xml:space="preserve"> </v>
      </c>
      <c r="F2198" s="152"/>
      <c r="G2198" s="152"/>
      <c r="H2198" s="152"/>
      <c r="I2198" s="153" t="str">
        <f>IFERROR(VLOOKUP(C2198,Resources!B:G,6,FALSE)," ")</f>
        <v xml:space="preserve"> </v>
      </c>
      <c r="J2198" s="153"/>
      <c r="K2198" s="152"/>
      <c r="L2198" s="152"/>
      <c r="M2198" s="153"/>
      <c r="N2198" s="153"/>
      <c r="O2198" s="153"/>
      <c r="P2198" s="153"/>
      <c r="Q2198" s="153"/>
      <c r="R2198" s="154"/>
      <c r="T2198" s="188"/>
      <c r="U2198"/>
      <c r="V2198"/>
    </row>
    <row r="2199" spans="1:22" x14ac:dyDescent="0.25">
      <c r="A2199" s="100"/>
      <c r="B2199" s="3">
        <v>11</v>
      </c>
      <c r="C2199" s="5" t="s">
        <v>84</v>
      </c>
      <c r="D2199" s="3" t="s">
        <v>29</v>
      </c>
      <c r="E2199" s="100" t="str">
        <f>IFERROR(VLOOKUP(C2199,Resources!B:D,3,FALSE)," ")</f>
        <v>M</v>
      </c>
      <c r="F2199" s="8">
        <v>1</v>
      </c>
      <c r="G2199" s="8">
        <v>1</v>
      </c>
      <c r="H2199" s="8">
        <f>H2188*12/0.9</f>
        <v>40</v>
      </c>
      <c r="I2199" s="109">
        <f>IFERROR(VLOOKUP(C2199,Resources!B:G,6,FALSE)," ")</f>
        <v>0.8</v>
      </c>
      <c r="J2199" s="109">
        <f t="shared" ref="J2199:J2200" si="3317">(H2199/(G2199/F2199))*I2199</f>
        <v>32</v>
      </c>
      <c r="K2199" s="8"/>
      <c r="L2199" s="8" t="str">
        <f t="shared" ref="L2199" si="3318">IF(E2199="M"," ",H2199/G2199)</f>
        <v xml:space="preserve"> </v>
      </c>
      <c r="M2199" s="109">
        <f t="shared" ref="M2199:M2200" si="3319">IF($E2199="L",$J2199,0)</f>
        <v>0</v>
      </c>
      <c r="N2199" s="109">
        <f t="shared" ref="N2199:N2200" si="3320">IF($E2199="M",$J2199,0)</f>
        <v>32</v>
      </c>
      <c r="O2199" s="109">
        <f t="shared" ref="O2199:O2200" si="3321">IF($E2199="P",$J2199,0)</f>
        <v>0</v>
      </c>
      <c r="P2199" s="109">
        <f t="shared" ref="P2199:P2200" si="3322">IF($E2199="S",$J2199,0)</f>
        <v>0</v>
      </c>
      <c r="Q2199" s="109">
        <f t="shared" ref="Q2199:Q2200" si="3323">SUM(M2199:P2199)</f>
        <v>32</v>
      </c>
      <c r="R2199" s="121" t="s">
        <v>2343</v>
      </c>
      <c r="T2199" s="188"/>
    </row>
    <row r="2200" spans="1:22" x14ac:dyDescent="0.25">
      <c r="A2200" s="100"/>
      <c r="B2200" s="3">
        <v>12</v>
      </c>
      <c r="C2200" s="5" t="s">
        <v>193</v>
      </c>
      <c r="D2200" s="3" t="s">
        <v>83</v>
      </c>
      <c r="E2200" s="100" t="str">
        <f>IFERROR(VLOOKUP(C2200,Resources!B:D,3,FALSE)," ")</f>
        <v>S</v>
      </c>
      <c r="F2200" s="8">
        <v>1</v>
      </c>
      <c r="G2200" s="8">
        <v>1</v>
      </c>
      <c r="H2200" s="8">
        <f>H2188*6</f>
        <v>18</v>
      </c>
      <c r="I2200" s="109">
        <f>IFERROR(VLOOKUP(C2200,Resources!B:G,6,FALSE)," ")</f>
        <v>32</v>
      </c>
      <c r="J2200" s="109">
        <f t="shared" si="3317"/>
        <v>576</v>
      </c>
      <c r="K2200" s="8"/>
      <c r="L2200" s="8">
        <f>H2188/2</f>
        <v>1.5</v>
      </c>
      <c r="M2200" s="109">
        <f t="shared" si="3319"/>
        <v>0</v>
      </c>
      <c r="N2200" s="109">
        <f t="shared" si="3320"/>
        <v>0</v>
      </c>
      <c r="O2200" s="109">
        <f t="shared" si="3321"/>
        <v>0</v>
      </c>
      <c r="P2200" s="109">
        <f t="shared" si="3322"/>
        <v>576</v>
      </c>
      <c r="Q2200" s="109">
        <f t="shared" si="3323"/>
        <v>576</v>
      </c>
      <c r="R2200" s="121">
        <v>73</v>
      </c>
      <c r="T2200" s="188"/>
    </row>
    <row r="2201" spans="1:22" x14ac:dyDescent="0.25">
      <c r="T2201" s="188"/>
    </row>
    <row r="2202" spans="1:22" ht="45" x14ac:dyDescent="0.25">
      <c r="A2202" s="114" t="s">
        <v>2682</v>
      </c>
      <c r="B2202" s="1" t="s">
        <v>2506</v>
      </c>
      <c r="C2202" s="1" t="s">
        <v>2679</v>
      </c>
      <c r="D2202" s="2" t="s">
        <v>83</v>
      </c>
      <c r="E2202" s="99"/>
      <c r="F2202" s="7"/>
      <c r="G2202" s="7"/>
      <c r="H2202" s="103">
        <f>VLOOKUP($A2202,'Model Inputs'!$A:$D,4,FALSE)</f>
        <v>300</v>
      </c>
      <c r="I2202" s="108"/>
      <c r="J2202" s="108">
        <f>SUBTOTAL(9,J2203:J2205)</f>
        <v>1787.8473684210528</v>
      </c>
      <c r="K2202" s="7"/>
      <c r="L2202" s="7">
        <v>0</v>
      </c>
      <c r="M2202" s="108">
        <f t="shared" ref="M2202:Q2202" si="3324">SUBTOTAL(9,M2203:M2205)</f>
        <v>72.94736842105263</v>
      </c>
      <c r="N2202" s="108">
        <f t="shared" si="3324"/>
        <v>1659.9</v>
      </c>
      <c r="O2202" s="108">
        <f t="shared" si="3324"/>
        <v>55</v>
      </c>
      <c r="P2202" s="108">
        <f t="shared" si="3324"/>
        <v>0</v>
      </c>
      <c r="Q2202" s="108">
        <f t="shared" si="3324"/>
        <v>1787.8473684210528</v>
      </c>
      <c r="R2202" s="120"/>
      <c r="T2202" s="188"/>
    </row>
    <row r="2203" spans="1:22" x14ac:dyDescent="0.25">
      <c r="A2203" s="100" t="s">
        <v>2683</v>
      </c>
      <c r="B2203" s="3">
        <v>1</v>
      </c>
      <c r="C2203" s="5" t="s">
        <v>2180</v>
      </c>
      <c r="D2203" s="3" t="s">
        <v>83</v>
      </c>
      <c r="E2203" s="100" t="str">
        <f>IFERROR(VLOOKUP(C2203,Resources!B:D,3,FALSE)," ")</f>
        <v>M</v>
      </c>
      <c r="F2203" s="103">
        <f>VLOOKUP($A2203,'Model Inputs'!$A:$D,4,FALSE)</f>
        <v>1.1000000000000001</v>
      </c>
      <c r="G2203" s="8">
        <v>1</v>
      </c>
      <c r="H2203" s="8">
        <f>H2202*F2203</f>
        <v>330</v>
      </c>
      <c r="I2203" s="109">
        <f>IFERROR(VLOOKUP(C2203,Resources!B:G,6,FALSE)," ")</f>
        <v>5.03</v>
      </c>
      <c r="J2203" s="109">
        <f>I2203*H2203</f>
        <v>1659.9</v>
      </c>
      <c r="K2203" s="8"/>
      <c r="L2203" s="8" t="str">
        <f t="shared" ref="L2203:L2205" si="3325">IF(E2203="M"," ",H2203/G2203)</f>
        <v xml:space="preserve"> </v>
      </c>
      <c r="M2203" s="109">
        <f t="shared" ref="M2203:M2205" si="3326">IF($E2203="L",$J2203,0)</f>
        <v>0</v>
      </c>
      <c r="N2203" s="109">
        <f t="shared" ref="N2203:N2205" si="3327">IF($E2203="M",$J2203,0)</f>
        <v>1659.9</v>
      </c>
      <c r="O2203" s="109">
        <f t="shared" ref="O2203:O2205" si="3328">IF($E2203="P",$J2203,0)</f>
        <v>0</v>
      </c>
      <c r="P2203" s="109">
        <f t="shared" ref="P2203:P2205" si="3329">IF($E2203="S",$J2203,0)</f>
        <v>0</v>
      </c>
      <c r="Q2203" s="109">
        <f t="shared" ref="Q2203:Q2205" si="3330">SUM(M2203:P2203)</f>
        <v>1659.9</v>
      </c>
      <c r="R2203" s="121">
        <v>222</v>
      </c>
      <c r="T2203" s="188"/>
    </row>
    <row r="2204" spans="1:22" x14ac:dyDescent="0.25">
      <c r="A2204" s="100" t="s">
        <v>2684</v>
      </c>
      <c r="B2204" s="3">
        <v>2</v>
      </c>
      <c r="C2204" s="5" t="s">
        <v>8</v>
      </c>
      <c r="D2204" s="3" t="s">
        <v>48</v>
      </c>
      <c r="E2204" s="100" t="str">
        <f>IFERROR(VLOOKUP(C2204,Resources!B:D,3,FALSE)," ")</f>
        <v>L</v>
      </c>
      <c r="F2204" s="8">
        <v>3</v>
      </c>
      <c r="G2204" s="103">
        <f>VLOOKUP($A2204,'Model Inputs'!$A:$D,4,FALSE)</f>
        <v>570</v>
      </c>
      <c r="H2204" s="8">
        <f>H2203</f>
        <v>330</v>
      </c>
      <c r="I2204" s="109">
        <f>IFERROR(VLOOKUP(C2204,Resources!B:G,6,FALSE)," ")</f>
        <v>42</v>
      </c>
      <c r="J2204" s="109">
        <f t="shared" ref="J2204:J2205" si="3331">(H2204/(G2204/F2204))*I2204</f>
        <v>72.94736842105263</v>
      </c>
      <c r="K2204" s="8">
        <f t="shared" ref="K2204:K2205" si="3332">L2204*F2204</f>
        <v>1.736842105263158</v>
      </c>
      <c r="L2204" s="8">
        <f t="shared" si="3325"/>
        <v>0.57894736842105265</v>
      </c>
      <c r="M2204" s="109">
        <f t="shared" si="3326"/>
        <v>72.94736842105263</v>
      </c>
      <c r="N2204" s="109">
        <f t="shared" si="3327"/>
        <v>0</v>
      </c>
      <c r="O2204" s="109">
        <f t="shared" si="3328"/>
        <v>0</v>
      </c>
      <c r="P2204" s="109">
        <f t="shared" si="3329"/>
        <v>0</v>
      </c>
      <c r="Q2204" s="109">
        <f t="shared" si="3330"/>
        <v>72.94736842105263</v>
      </c>
      <c r="R2204" s="121">
        <v>222</v>
      </c>
      <c r="T2204" s="188"/>
    </row>
    <row r="2205" spans="1:22" x14ac:dyDescent="0.25">
      <c r="A2205" s="100"/>
      <c r="B2205" s="3">
        <v>3</v>
      </c>
      <c r="C2205" s="5" t="s">
        <v>45</v>
      </c>
      <c r="D2205" s="3" t="s">
        <v>48</v>
      </c>
      <c r="E2205" s="100" t="str">
        <f>IFERROR(VLOOKUP(C2205,Resources!B:D,3,FALSE)," ")</f>
        <v>P</v>
      </c>
      <c r="F2205" s="8">
        <v>1</v>
      </c>
      <c r="G2205" s="8">
        <f>G2204</f>
        <v>570</v>
      </c>
      <c r="H2205" s="8">
        <f>H2203</f>
        <v>330</v>
      </c>
      <c r="I2205" s="109">
        <f>IFERROR(VLOOKUP(C2205,Resources!B:G,6,FALSE)," ")</f>
        <v>95</v>
      </c>
      <c r="J2205" s="109">
        <f t="shared" si="3331"/>
        <v>55</v>
      </c>
      <c r="K2205" s="8">
        <f t="shared" si="3332"/>
        <v>0.57894736842105265</v>
      </c>
      <c r="L2205" s="8">
        <f t="shared" si="3325"/>
        <v>0.57894736842105265</v>
      </c>
      <c r="M2205" s="109">
        <f t="shared" si="3326"/>
        <v>0</v>
      </c>
      <c r="N2205" s="109">
        <f t="shared" si="3327"/>
        <v>0</v>
      </c>
      <c r="O2205" s="109">
        <f t="shared" si="3328"/>
        <v>55</v>
      </c>
      <c r="P2205" s="109">
        <f t="shared" si="3329"/>
        <v>0</v>
      </c>
      <c r="Q2205" s="109">
        <f t="shared" si="3330"/>
        <v>55</v>
      </c>
      <c r="R2205" s="121">
        <v>222</v>
      </c>
      <c r="T2205" s="188"/>
    </row>
    <row r="2206" spans="1:22" x14ac:dyDescent="0.25">
      <c r="T2206" s="188"/>
    </row>
    <row r="2207" spans="1:22" ht="45" x14ac:dyDescent="0.25">
      <c r="A2207" s="114" t="s">
        <v>2689</v>
      </c>
      <c r="B2207" s="1" t="s">
        <v>2507</v>
      </c>
      <c r="C2207" s="1" t="s">
        <v>2685</v>
      </c>
      <c r="D2207" s="2" t="s">
        <v>2416</v>
      </c>
      <c r="E2207" s="99"/>
      <c r="F2207" s="7"/>
      <c r="G2207" s="7"/>
      <c r="H2207" s="7">
        <v>1</v>
      </c>
      <c r="I2207" s="108"/>
      <c r="J2207" s="108">
        <f>SUBTOTAL(9,J2209:J2226)</f>
        <v>39008.612420000005</v>
      </c>
      <c r="K2207" s="7"/>
      <c r="L2207" s="7">
        <f>SUM(L2208,L2213,L2218)</f>
        <v>8</v>
      </c>
      <c r="M2207" s="108">
        <f t="shared" ref="M2207:Q2207" si="3333">SUBTOTAL(9,M2209:M2226)</f>
        <v>6055.7559999999994</v>
      </c>
      <c r="N2207" s="108">
        <f t="shared" si="3333"/>
        <v>9901.9800000000014</v>
      </c>
      <c r="O2207" s="108">
        <f t="shared" si="3333"/>
        <v>23050.876419999997</v>
      </c>
      <c r="P2207" s="108">
        <f t="shared" si="3333"/>
        <v>0</v>
      </c>
      <c r="Q2207" s="108">
        <f t="shared" si="3333"/>
        <v>39008.612420000005</v>
      </c>
      <c r="R2207" s="120"/>
      <c r="T2207" s="188"/>
    </row>
    <row r="2208" spans="1:22" s="10" customFormat="1" ht="30" x14ac:dyDescent="0.25">
      <c r="A2208" s="29" t="s">
        <v>2690</v>
      </c>
      <c r="B2208" s="10" t="s">
        <v>2417</v>
      </c>
      <c r="C2208" s="11" t="s">
        <v>2686</v>
      </c>
      <c r="D2208" s="10" t="s">
        <v>86</v>
      </c>
      <c r="H2208" s="103">
        <f>VLOOKUP($A2208,'Model Inputs'!$A:$D,4,FALSE)</f>
        <v>500</v>
      </c>
      <c r="I2208" s="113"/>
      <c r="J2208" s="113"/>
      <c r="L2208" s="13">
        <f>ROUNDUP(MAX(L2209:L2212),0)</f>
        <v>2</v>
      </c>
      <c r="M2208" s="113"/>
      <c r="N2208" s="113"/>
      <c r="O2208" s="113"/>
      <c r="P2208" s="113"/>
      <c r="Q2208" s="113"/>
      <c r="R2208" s="119"/>
      <c r="T2208" s="188"/>
      <c r="U2208"/>
      <c r="V2208"/>
    </row>
    <row r="2209" spans="1:22" x14ac:dyDescent="0.25">
      <c r="A2209" s="100" t="s">
        <v>2691</v>
      </c>
      <c r="B2209" s="3">
        <v>5</v>
      </c>
      <c r="C2209" s="5" t="s">
        <v>63</v>
      </c>
      <c r="D2209" s="3" t="s">
        <v>48</v>
      </c>
      <c r="E2209" s="100" t="str">
        <f>IFERROR(VLOOKUP(C2209,Resources!B:D,3,FALSE)," ")</f>
        <v>P</v>
      </c>
      <c r="F2209" s="8">
        <v>1</v>
      </c>
      <c r="G2209" s="103">
        <f>VLOOKUP($A2209,'Model Inputs'!$A:$D,4,FALSE)</f>
        <v>30</v>
      </c>
      <c r="H2209" s="8">
        <f>H2208</f>
        <v>500</v>
      </c>
      <c r="I2209" s="109">
        <f>IFERROR(VLOOKUP(C2209,Resources!B:G,6,FALSE)," ")</f>
        <v>135</v>
      </c>
      <c r="J2209" s="109">
        <f t="shared" ref="J2209:J2212" si="3334">(H2209/(G2209/F2209))*I2209</f>
        <v>2250</v>
      </c>
      <c r="K2209" s="8">
        <f t="shared" ref="K2209:K2212" si="3335">L2209*F2209</f>
        <v>1.8518518518518519</v>
      </c>
      <c r="L2209" s="8">
        <f>IF(E2209="M"," ",H2209/(G2209*Workhrs))</f>
        <v>1.8518518518518519</v>
      </c>
      <c r="M2209" s="109">
        <f t="shared" ref="M2209:M2212" si="3336">IF($E2209="L",$J2209,0)</f>
        <v>0</v>
      </c>
      <c r="N2209" s="109">
        <f t="shared" ref="N2209:N2212" si="3337">IF($E2209="M",$J2209,0)</f>
        <v>0</v>
      </c>
      <c r="O2209" s="109">
        <f t="shared" ref="O2209:O2212" si="3338">IF($E2209="P",$J2209,0)</f>
        <v>2250</v>
      </c>
      <c r="P2209" s="109">
        <f t="shared" ref="P2209:P2212" si="3339">IF($E2209="S",$J2209,0)</f>
        <v>0</v>
      </c>
      <c r="Q2209" s="109">
        <f t="shared" ref="Q2209:Q2212" si="3340">SUM(M2209:P2209)</f>
        <v>2250</v>
      </c>
      <c r="R2209" s="121">
        <v>57</v>
      </c>
      <c r="T2209" s="188"/>
    </row>
    <row r="2210" spans="1:22" x14ac:dyDescent="0.25">
      <c r="A2210" s="100" t="s">
        <v>2692</v>
      </c>
      <c r="B2210" s="3">
        <v>6</v>
      </c>
      <c r="C2210" s="5" t="s">
        <v>44</v>
      </c>
      <c r="D2210" s="3" t="s">
        <v>48</v>
      </c>
      <c r="E2210" s="100" t="str">
        <f>IFERROR(VLOOKUP(C2210,Resources!B:D,3,FALSE)," ")</f>
        <v>P</v>
      </c>
      <c r="F2210" s="103">
        <f>VLOOKUP($A2210,'Model Inputs'!$A:$D,4,FALSE)</f>
        <v>2</v>
      </c>
      <c r="G2210" s="8">
        <f>G2209</f>
        <v>30</v>
      </c>
      <c r="H2210" s="8">
        <f>H2208</f>
        <v>500</v>
      </c>
      <c r="I2210" s="109">
        <f>IFERROR(VLOOKUP(C2210,Resources!B:G,6,FALSE)," ")</f>
        <v>145</v>
      </c>
      <c r="J2210" s="109">
        <f t="shared" si="3334"/>
        <v>4833.3333333333339</v>
      </c>
      <c r="K2210" s="8">
        <f t="shared" si="3335"/>
        <v>3.7037037037037037</v>
      </c>
      <c r="L2210" s="8">
        <f>IF(E2210="M"," ",H2210/(G2210*Workhrs))</f>
        <v>1.8518518518518519</v>
      </c>
      <c r="M2210" s="109">
        <f t="shared" si="3336"/>
        <v>0</v>
      </c>
      <c r="N2210" s="109">
        <f t="shared" si="3337"/>
        <v>0</v>
      </c>
      <c r="O2210" s="109">
        <f t="shared" si="3338"/>
        <v>4833.3333333333339</v>
      </c>
      <c r="P2210" s="109">
        <f t="shared" si="3339"/>
        <v>0</v>
      </c>
      <c r="Q2210" s="109">
        <f t="shared" si="3340"/>
        <v>4833.3333333333339</v>
      </c>
      <c r="R2210" s="121">
        <v>57</v>
      </c>
      <c r="T2210" s="188"/>
    </row>
    <row r="2211" spans="1:22" x14ac:dyDescent="0.25">
      <c r="A2211" s="100"/>
      <c r="B2211" s="3">
        <v>7</v>
      </c>
      <c r="C2211" s="5" t="s">
        <v>64</v>
      </c>
      <c r="D2211" s="3" t="s">
        <v>48</v>
      </c>
      <c r="E2211" s="100" t="str">
        <f>IFERROR(VLOOKUP(C2211,Resources!B:D,3,FALSE)," ")</f>
        <v>P</v>
      </c>
      <c r="F2211" s="8">
        <v>1</v>
      </c>
      <c r="G2211" s="8">
        <f>G2209</f>
        <v>30</v>
      </c>
      <c r="H2211" s="8">
        <f>H2208</f>
        <v>500</v>
      </c>
      <c r="I2211" s="109">
        <f>IFERROR(VLOOKUP(C2211,Resources!B:G,6,FALSE)," ")</f>
        <v>100</v>
      </c>
      <c r="J2211" s="109">
        <f t="shared" si="3334"/>
        <v>1666.6666666666667</v>
      </c>
      <c r="K2211" s="8">
        <f t="shared" si="3335"/>
        <v>1.8518518518518519</v>
      </c>
      <c r="L2211" s="8">
        <f>IF(E2211="M"," ",H2211/(G2211*Workhrs))</f>
        <v>1.8518518518518519</v>
      </c>
      <c r="M2211" s="109">
        <f t="shared" si="3336"/>
        <v>0</v>
      </c>
      <c r="N2211" s="109">
        <f t="shared" si="3337"/>
        <v>0</v>
      </c>
      <c r="O2211" s="109">
        <f t="shared" si="3338"/>
        <v>1666.6666666666667</v>
      </c>
      <c r="P2211" s="109">
        <f t="shared" si="3339"/>
        <v>0</v>
      </c>
      <c r="Q2211" s="109">
        <f t="shared" si="3340"/>
        <v>1666.6666666666667</v>
      </c>
      <c r="R2211" s="121">
        <v>57</v>
      </c>
      <c r="T2211" s="188"/>
    </row>
    <row r="2212" spans="1:22" x14ac:dyDescent="0.25">
      <c r="A2212" s="100"/>
      <c r="B2212" s="3">
        <v>8</v>
      </c>
      <c r="C2212" s="5" t="s">
        <v>8</v>
      </c>
      <c r="D2212" s="3" t="s">
        <v>48</v>
      </c>
      <c r="E2212" s="100" t="str">
        <f>IFERROR(VLOOKUP(C2212,Resources!B:D,3,FALSE)," ")</f>
        <v>L</v>
      </c>
      <c r="F2212" s="8">
        <v>1</v>
      </c>
      <c r="G2212" s="8">
        <f>G2209</f>
        <v>30</v>
      </c>
      <c r="H2212" s="8">
        <f>H2208</f>
        <v>500</v>
      </c>
      <c r="I2212" s="109">
        <f>IFERROR(VLOOKUP(C2212,Resources!B:G,6,FALSE)," ")</f>
        <v>42</v>
      </c>
      <c r="J2212" s="109">
        <f t="shared" si="3334"/>
        <v>700</v>
      </c>
      <c r="K2212" s="8">
        <f t="shared" si="3335"/>
        <v>1.8518518518518519</v>
      </c>
      <c r="L2212" s="8">
        <f>IF(E2212="M"," ",H2212/(G2212*Workhrs))</f>
        <v>1.8518518518518519</v>
      </c>
      <c r="M2212" s="109">
        <f t="shared" si="3336"/>
        <v>700</v>
      </c>
      <c r="N2212" s="109">
        <f t="shared" si="3337"/>
        <v>0</v>
      </c>
      <c r="O2212" s="109">
        <f t="shared" si="3338"/>
        <v>0</v>
      </c>
      <c r="P2212" s="109">
        <f t="shared" si="3339"/>
        <v>0</v>
      </c>
      <c r="Q2212" s="109">
        <f t="shared" si="3340"/>
        <v>700</v>
      </c>
      <c r="R2212" s="121">
        <v>57</v>
      </c>
      <c r="T2212" s="188"/>
    </row>
    <row r="2213" spans="1:22" s="10" customFormat="1" ht="30" x14ac:dyDescent="0.25">
      <c r="A2213" s="29"/>
      <c r="B2213" s="10" t="s">
        <v>2417</v>
      </c>
      <c r="C2213" s="11" t="s">
        <v>2687</v>
      </c>
      <c r="D2213" s="10" t="s">
        <v>86</v>
      </c>
      <c r="H2213" s="155">
        <f>H2208</f>
        <v>500</v>
      </c>
      <c r="I2213" s="113"/>
      <c r="J2213" s="113"/>
      <c r="L2213" s="13">
        <f>ROUNDUP(MAX(L2214:L2217),0)</f>
        <v>2</v>
      </c>
      <c r="M2213" s="113"/>
      <c r="N2213" s="113"/>
      <c r="O2213" s="113"/>
      <c r="P2213" s="113"/>
      <c r="Q2213" s="113"/>
      <c r="R2213" s="119"/>
      <c r="T2213" s="188"/>
      <c r="U2213"/>
      <c r="V2213"/>
    </row>
    <row r="2214" spans="1:22" x14ac:dyDescent="0.25">
      <c r="A2214" s="100" t="s">
        <v>2693</v>
      </c>
      <c r="B2214" s="3">
        <v>12</v>
      </c>
      <c r="C2214" s="5" t="s">
        <v>39</v>
      </c>
      <c r="D2214" s="3" t="s">
        <v>48</v>
      </c>
      <c r="E2214" s="100" t="str">
        <f>IFERROR(VLOOKUP(C2214,Resources!B:D,3,FALSE)," ")</f>
        <v>P</v>
      </c>
      <c r="F2214" s="8">
        <v>1</v>
      </c>
      <c r="G2214" s="103">
        <f>VLOOKUP($A2214,'Model Inputs'!$A:$D,4,FALSE)</f>
        <v>40</v>
      </c>
      <c r="H2214" s="8">
        <f>H2213</f>
        <v>500</v>
      </c>
      <c r="I2214" s="109">
        <f>IFERROR(VLOOKUP(C2214,Resources!B:G,6,FALSE)," ")</f>
        <v>145</v>
      </c>
      <c r="J2214" s="109">
        <f t="shared" ref="J2214:J2217" si="3341">(H2214/(G2214/F2214))*I2214</f>
        <v>1812.5</v>
      </c>
      <c r="K2214" s="8">
        <f t="shared" ref="K2214:K2217" si="3342">L2214*F2214</f>
        <v>1.3888888888888888</v>
      </c>
      <c r="L2214" s="8">
        <f>IF(E2214="M"," ",H2214/(G2214*Workhrs))</f>
        <v>1.3888888888888888</v>
      </c>
      <c r="M2214" s="109">
        <f t="shared" ref="M2214:M2217" si="3343">IF($E2214="L",$J2214,0)</f>
        <v>0</v>
      </c>
      <c r="N2214" s="109">
        <f t="shared" ref="N2214:N2217" si="3344">IF($E2214="M",$J2214,0)</f>
        <v>0</v>
      </c>
      <c r="O2214" s="109">
        <f t="shared" ref="O2214:O2217" si="3345">IF($E2214="P",$J2214,0)</f>
        <v>1812.5</v>
      </c>
      <c r="P2214" s="109">
        <f t="shared" ref="P2214:P2217" si="3346">IF($E2214="S",$J2214,0)</f>
        <v>0</v>
      </c>
      <c r="Q2214" s="109">
        <f t="shared" ref="Q2214:Q2217" si="3347">SUM(M2214:P2214)</f>
        <v>1812.5</v>
      </c>
      <c r="R2214" s="121">
        <v>57</v>
      </c>
      <c r="T2214" s="188"/>
    </row>
    <row r="2215" spans="1:22" x14ac:dyDescent="0.25">
      <c r="A2215" s="100"/>
      <c r="B2215" s="3">
        <v>13</v>
      </c>
      <c r="C2215" s="5" t="s">
        <v>69</v>
      </c>
      <c r="D2215" s="3" t="s">
        <v>48</v>
      </c>
      <c r="E2215" s="100" t="str">
        <f>IFERROR(VLOOKUP(C2215,Resources!B:D,3,FALSE)," ")</f>
        <v>P</v>
      </c>
      <c r="F2215" s="8">
        <v>1</v>
      </c>
      <c r="G2215" s="8">
        <f>G2214</f>
        <v>40</v>
      </c>
      <c r="H2215" s="8">
        <f>H2214</f>
        <v>500</v>
      </c>
      <c r="I2215" s="109">
        <f>IFERROR(VLOOKUP(C2215,Resources!B:G,6,FALSE)," ")</f>
        <v>55</v>
      </c>
      <c r="J2215" s="109">
        <f t="shared" si="3341"/>
        <v>687.5</v>
      </c>
      <c r="K2215" s="8">
        <f t="shared" si="3342"/>
        <v>1.3888888888888888</v>
      </c>
      <c r="L2215" s="8">
        <f>IF(E2215="M"," ",H2215/(G2215*Workhrs))</f>
        <v>1.3888888888888888</v>
      </c>
      <c r="M2215" s="109">
        <f t="shared" si="3343"/>
        <v>0</v>
      </c>
      <c r="N2215" s="109">
        <f t="shared" si="3344"/>
        <v>0</v>
      </c>
      <c r="O2215" s="109">
        <f t="shared" si="3345"/>
        <v>687.5</v>
      </c>
      <c r="P2215" s="109">
        <f t="shared" si="3346"/>
        <v>0</v>
      </c>
      <c r="Q2215" s="109">
        <f t="shared" si="3347"/>
        <v>687.5</v>
      </c>
      <c r="R2215" s="121">
        <v>57</v>
      </c>
      <c r="T2215" s="188"/>
    </row>
    <row r="2216" spans="1:22" x14ac:dyDescent="0.25">
      <c r="A2216" s="100"/>
      <c r="B2216" s="3">
        <v>14</v>
      </c>
      <c r="C2216" s="5" t="s">
        <v>64</v>
      </c>
      <c r="D2216" s="3" t="s">
        <v>48</v>
      </c>
      <c r="E2216" s="100" t="str">
        <f>IFERROR(VLOOKUP(C2216,Resources!B:D,3,FALSE)," ")</f>
        <v>P</v>
      </c>
      <c r="F2216" s="8">
        <v>1</v>
      </c>
      <c r="G2216" s="8">
        <f>G2214</f>
        <v>40</v>
      </c>
      <c r="H2216" s="8">
        <f t="shared" ref="H2216:H2217" si="3348">H2215</f>
        <v>500</v>
      </c>
      <c r="I2216" s="109">
        <f>IFERROR(VLOOKUP(C2216,Resources!B:G,6,FALSE)," ")</f>
        <v>100</v>
      </c>
      <c r="J2216" s="109">
        <f t="shared" si="3341"/>
        <v>1250</v>
      </c>
      <c r="K2216" s="8">
        <f t="shared" si="3342"/>
        <v>1.3888888888888888</v>
      </c>
      <c r="L2216" s="8">
        <f>IF(E2216="M"," ",H2216/(G2216*Workhrs))</f>
        <v>1.3888888888888888</v>
      </c>
      <c r="M2216" s="109">
        <f t="shared" si="3343"/>
        <v>0</v>
      </c>
      <c r="N2216" s="109">
        <f t="shared" si="3344"/>
        <v>0</v>
      </c>
      <c r="O2216" s="109">
        <f t="shared" si="3345"/>
        <v>1250</v>
      </c>
      <c r="P2216" s="109">
        <f t="shared" si="3346"/>
        <v>0</v>
      </c>
      <c r="Q2216" s="109">
        <f t="shared" si="3347"/>
        <v>1250</v>
      </c>
      <c r="R2216" s="121">
        <v>57</v>
      </c>
      <c r="T2216" s="188"/>
    </row>
    <row r="2217" spans="1:22" x14ac:dyDescent="0.25">
      <c r="A2217" s="100"/>
      <c r="B2217" s="3">
        <v>15</v>
      </c>
      <c r="C2217" s="5" t="s">
        <v>8</v>
      </c>
      <c r="D2217" s="3" t="s">
        <v>48</v>
      </c>
      <c r="E2217" s="100" t="str">
        <f>IFERROR(VLOOKUP(C2217,Resources!B:D,3,FALSE)," ")</f>
        <v>L</v>
      </c>
      <c r="F2217" s="8">
        <v>3</v>
      </c>
      <c r="G2217" s="8">
        <f>G2214</f>
        <v>40</v>
      </c>
      <c r="H2217" s="8">
        <f t="shared" si="3348"/>
        <v>500</v>
      </c>
      <c r="I2217" s="109">
        <f>IFERROR(VLOOKUP(C2217,Resources!B:G,6,FALSE)," ")</f>
        <v>42</v>
      </c>
      <c r="J2217" s="109">
        <f t="shared" si="3341"/>
        <v>1575</v>
      </c>
      <c r="K2217" s="8">
        <f t="shared" si="3342"/>
        <v>4.1666666666666661</v>
      </c>
      <c r="L2217" s="8">
        <f>IF(E2217="M"," ",H2217/(G2217*Workhrs))</f>
        <v>1.3888888888888888</v>
      </c>
      <c r="M2217" s="109">
        <f t="shared" si="3343"/>
        <v>1575</v>
      </c>
      <c r="N2217" s="109">
        <f t="shared" si="3344"/>
        <v>0</v>
      </c>
      <c r="O2217" s="109">
        <f t="shared" si="3345"/>
        <v>0</v>
      </c>
      <c r="P2217" s="109">
        <f t="shared" si="3346"/>
        <v>0</v>
      </c>
      <c r="Q2217" s="109">
        <f t="shared" si="3347"/>
        <v>1575</v>
      </c>
      <c r="R2217" s="121">
        <v>57</v>
      </c>
      <c r="T2217" s="188"/>
    </row>
    <row r="2218" spans="1:22" s="10" customFormat="1" x14ac:dyDescent="0.25">
      <c r="A2218" s="29"/>
      <c r="B2218" s="10" t="s">
        <v>2417</v>
      </c>
      <c r="C2218" s="11" t="s">
        <v>2688</v>
      </c>
      <c r="D2218" s="10" t="s">
        <v>86</v>
      </c>
      <c r="H2218" s="155">
        <f>ROUND(H2213/0.3,0)</f>
        <v>1667</v>
      </c>
      <c r="I2218" s="113"/>
      <c r="J2218" s="113"/>
      <c r="L2218" s="13">
        <f>ROUNDUP(MAX(L2222:L2226),0)</f>
        <v>4</v>
      </c>
      <c r="M2218" s="113"/>
      <c r="N2218" s="113"/>
      <c r="O2218" s="113"/>
      <c r="P2218" s="113"/>
      <c r="Q2218" s="113"/>
      <c r="R2218" s="119"/>
      <c r="T2218" s="188"/>
      <c r="U2218"/>
      <c r="V2218"/>
    </row>
    <row r="2219" spans="1:22" x14ac:dyDescent="0.25">
      <c r="A2219" s="100"/>
      <c r="B2219" s="3">
        <v>1</v>
      </c>
      <c r="C2219" s="128" t="s">
        <v>187</v>
      </c>
      <c r="D2219" s="3"/>
      <c r="E2219" s="100"/>
      <c r="F2219" s="8"/>
      <c r="G2219" s="8"/>
      <c r="H2219" s="8"/>
      <c r="I2219" s="109"/>
      <c r="J2219" s="109"/>
      <c r="K2219" s="8"/>
      <c r="L2219" s="8"/>
      <c r="M2219" s="109"/>
      <c r="N2219" s="109"/>
      <c r="O2219" s="109"/>
      <c r="P2219" s="109"/>
      <c r="Q2219" s="109"/>
      <c r="R2219" s="121"/>
      <c r="T2219" s="188"/>
    </row>
    <row r="2220" spans="1:22" x14ac:dyDescent="0.25">
      <c r="A2220" s="100" t="s">
        <v>2694</v>
      </c>
      <c r="B2220" s="3">
        <v>2</v>
      </c>
      <c r="C2220" s="5" t="s">
        <v>109</v>
      </c>
      <c r="D2220" s="3" t="s">
        <v>33</v>
      </c>
      <c r="E2220" s="100" t="str">
        <f>IFERROR(VLOOKUP(C2220,Resources!B:D,3,FALSE)," ")</f>
        <v>M</v>
      </c>
      <c r="F2220" s="8">
        <v>1</v>
      </c>
      <c r="G2220" s="103">
        <f>VLOOKUP($A2220,'Model Inputs'!$A:$D,4,FALSE)</f>
        <v>1.2E-2</v>
      </c>
      <c r="H2220" s="8">
        <f>H2218*G2220*1.1</f>
        <v>22.004400000000004</v>
      </c>
      <c r="I2220" s="109">
        <f>IFERROR(VLOOKUP(C2220,Resources!B:G,6,FALSE)," ")</f>
        <v>450</v>
      </c>
      <c r="J2220" s="109">
        <f>I2220*H2220</f>
        <v>9901.9800000000014</v>
      </c>
      <c r="K2220" s="8"/>
      <c r="L2220" s="8"/>
      <c r="M2220" s="109">
        <f t="shared" ref="M2220:M2226" si="3349">IF($E2220="L",$J2220,0)</f>
        <v>0</v>
      </c>
      <c r="N2220" s="109">
        <f t="shared" ref="N2220:N2226" si="3350">IF($E2220="M",$J2220,0)</f>
        <v>9901.9800000000014</v>
      </c>
      <c r="O2220" s="109">
        <f t="shared" ref="O2220:O2226" si="3351">IF($E2220="P",$J2220,0)</f>
        <v>0</v>
      </c>
      <c r="P2220" s="109">
        <f t="shared" ref="P2220:P2226" si="3352">IF($E2220="S",$J2220,0)</f>
        <v>0</v>
      </c>
      <c r="Q2220" s="109">
        <f t="shared" ref="Q2220" si="3353">SUM(M2220:P2220)</f>
        <v>9901.9800000000014</v>
      </c>
      <c r="R2220" s="121" t="s">
        <v>2338</v>
      </c>
      <c r="T2220" s="188"/>
    </row>
    <row r="2221" spans="1:22" x14ac:dyDescent="0.25">
      <c r="A2221" s="100"/>
      <c r="B2221" s="3">
        <v>3</v>
      </c>
      <c r="C2221" s="128" t="s">
        <v>2609</v>
      </c>
      <c r="D2221" s="3"/>
      <c r="E2221" s="100"/>
      <c r="F2221" s="8"/>
      <c r="G2221" s="8"/>
      <c r="H2221" s="8"/>
      <c r="I2221" s="109"/>
      <c r="J2221" s="109"/>
      <c r="K2221" s="8"/>
      <c r="L2221" s="8"/>
      <c r="M2221" s="109"/>
      <c r="N2221" s="109"/>
      <c r="O2221" s="109"/>
      <c r="P2221" s="109"/>
      <c r="Q2221" s="109"/>
      <c r="R2221" s="121"/>
      <c r="T2221" s="188"/>
    </row>
    <row r="2222" spans="1:22" x14ac:dyDescent="0.25">
      <c r="A2222" s="100" t="s">
        <v>2695</v>
      </c>
      <c r="B2222" s="3">
        <v>4</v>
      </c>
      <c r="C2222" s="5" t="s">
        <v>2197</v>
      </c>
      <c r="D2222" s="3" t="s">
        <v>33</v>
      </c>
      <c r="E2222" s="100" t="s">
        <v>2021</v>
      </c>
      <c r="F2222" s="8">
        <v>1</v>
      </c>
      <c r="G2222" s="103">
        <f>VLOOKUP($A2222,'Model Inputs'!$A:$D,4,FALSE)</f>
        <v>55.555555555555557</v>
      </c>
      <c r="H2222" s="8">
        <f>H2218</f>
        <v>1667</v>
      </c>
      <c r="I2222" s="109">
        <f>IFERROR(VLOOKUP(C2222,Resources!B:G,6,FALSE)," ")</f>
        <v>66.069999999999993</v>
      </c>
      <c r="J2222" s="109">
        <f t="shared" ref="J2222:J2226" si="3354">(H2222/(G2222/F2222))*I2222</f>
        <v>1982.4964199999997</v>
      </c>
      <c r="K2222" s="8"/>
      <c r="L2222" s="8">
        <f>(H2222/G2222)/Workhrs</f>
        <v>3.3340000000000001</v>
      </c>
      <c r="M2222" s="109">
        <f t="shared" si="3349"/>
        <v>0</v>
      </c>
      <c r="N2222" s="109">
        <f t="shared" si="3350"/>
        <v>0</v>
      </c>
      <c r="O2222" s="109">
        <f t="shared" si="3351"/>
        <v>1982.4964199999997</v>
      </c>
      <c r="P2222" s="109">
        <f t="shared" si="3352"/>
        <v>0</v>
      </c>
      <c r="Q2222" s="109">
        <f t="shared" ref="Q2222:Q2226" si="3355">SUM(M2222:P2222)</f>
        <v>1982.4964199999997</v>
      </c>
      <c r="R2222" s="121">
        <v>68</v>
      </c>
      <c r="T2222" s="188"/>
    </row>
    <row r="2223" spans="1:22" x14ac:dyDescent="0.25">
      <c r="A2223" s="100"/>
      <c r="B2223" s="3">
        <v>5</v>
      </c>
      <c r="C2223" s="5" t="s">
        <v>64</v>
      </c>
      <c r="D2223" s="3" t="s">
        <v>33</v>
      </c>
      <c r="E2223" s="100" t="s">
        <v>2021</v>
      </c>
      <c r="F2223" s="8">
        <v>1</v>
      </c>
      <c r="G2223" s="8">
        <f>G2222</f>
        <v>55.555555555555557</v>
      </c>
      <c r="H2223" s="8">
        <f>H2222</f>
        <v>1667</v>
      </c>
      <c r="I2223" s="109">
        <f>IFERROR(VLOOKUP(C2223,Resources!B:G,6,FALSE)," ")</f>
        <v>100</v>
      </c>
      <c r="J2223" s="109">
        <f t="shared" si="3354"/>
        <v>3000.6</v>
      </c>
      <c r="K2223" s="8"/>
      <c r="L2223" s="8">
        <f>(H2223/G2223)/Workhrs</f>
        <v>3.3340000000000001</v>
      </c>
      <c r="M2223" s="109">
        <f t="shared" si="3349"/>
        <v>0</v>
      </c>
      <c r="N2223" s="109">
        <f t="shared" si="3350"/>
        <v>0</v>
      </c>
      <c r="O2223" s="109">
        <f t="shared" si="3351"/>
        <v>3000.6</v>
      </c>
      <c r="P2223" s="109">
        <f t="shared" si="3352"/>
        <v>0</v>
      </c>
      <c r="Q2223" s="109">
        <f t="shared" si="3355"/>
        <v>3000.6</v>
      </c>
      <c r="R2223" s="121">
        <v>68</v>
      </c>
      <c r="T2223" s="188"/>
    </row>
    <row r="2224" spans="1:22" x14ac:dyDescent="0.25">
      <c r="A2224" s="100"/>
      <c r="B2224" s="3">
        <v>6</v>
      </c>
      <c r="C2224" s="5" t="s">
        <v>2211</v>
      </c>
      <c r="D2224" s="3" t="s">
        <v>33</v>
      </c>
      <c r="E2224" s="100" t="s">
        <v>2021</v>
      </c>
      <c r="F2224" s="8">
        <v>1</v>
      </c>
      <c r="G2224" s="8">
        <f>G2222*9</f>
        <v>500</v>
      </c>
      <c r="H2224" s="8">
        <f>H2222</f>
        <v>1667</v>
      </c>
      <c r="I2224" s="109">
        <f>IFERROR(VLOOKUP(C2224,Resources!B:G,6,FALSE)," ")</f>
        <v>365</v>
      </c>
      <c r="J2224" s="109">
        <f t="shared" si="3354"/>
        <v>1216.9100000000001</v>
      </c>
      <c r="K2224" s="8"/>
      <c r="L2224" s="8">
        <f t="shared" ref="L2224" si="3356">H2224/G2224</f>
        <v>3.3340000000000001</v>
      </c>
      <c r="M2224" s="109">
        <f t="shared" si="3349"/>
        <v>0</v>
      </c>
      <c r="N2224" s="109">
        <f t="shared" si="3350"/>
        <v>0</v>
      </c>
      <c r="O2224" s="109">
        <f t="shared" si="3351"/>
        <v>1216.9100000000001</v>
      </c>
      <c r="P2224" s="109">
        <f t="shared" si="3352"/>
        <v>0</v>
      </c>
      <c r="Q2224" s="109">
        <f t="shared" si="3355"/>
        <v>1216.9100000000001</v>
      </c>
      <c r="R2224" s="121">
        <v>68</v>
      </c>
      <c r="T2224" s="188"/>
    </row>
    <row r="2225" spans="1:22" x14ac:dyDescent="0.25">
      <c r="A2225" s="100"/>
      <c r="B2225" s="3">
        <v>7</v>
      </c>
      <c r="C2225" s="5" t="s">
        <v>39</v>
      </c>
      <c r="D2225" s="3" t="s">
        <v>33</v>
      </c>
      <c r="E2225" s="100" t="s">
        <v>2021</v>
      </c>
      <c r="F2225" s="8">
        <v>1</v>
      </c>
      <c r="G2225" s="8">
        <f>G2222</f>
        <v>55.555555555555557</v>
      </c>
      <c r="H2225" s="8">
        <f>H2222</f>
        <v>1667</v>
      </c>
      <c r="I2225" s="109">
        <f>IFERROR(VLOOKUP(C2225,Resources!B:G,6,FALSE)," ")</f>
        <v>145</v>
      </c>
      <c r="J2225" s="109">
        <f t="shared" si="3354"/>
        <v>4350.87</v>
      </c>
      <c r="K2225" s="8"/>
      <c r="L2225" s="8">
        <f>(H2225/G2225)/Workhrs</f>
        <v>3.3340000000000001</v>
      </c>
      <c r="M2225" s="109">
        <f t="shared" si="3349"/>
        <v>0</v>
      </c>
      <c r="N2225" s="109">
        <f t="shared" si="3350"/>
        <v>0</v>
      </c>
      <c r="O2225" s="109">
        <f t="shared" si="3351"/>
        <v>4350.87</v>
      </c>
      <c r="P2225" s="109">
        <f t="shared" si="3352"/>
        <v>0</v>
      </c>
      <c r="Q2225" s="109">
        <f t="shared" si="3355"/>
        <v>4350.87</v>
      </c>
      <c r="R2225" s="121">
        <v>68</v>
      </c>
      <c r="T2225" s="188"/>
    </row>
    <row r="2226" spans="1:22" x14ac:dyDescent="0.25">
      <c r="A2226" s="100"/>
      <c r="B2226" s="3">
        <v>8</v>
      </c>
      <c r="C2226" s="5" t="s">
        <v>8</v>
      </c>
      <c r="D2226" s="3" t="s">
        <v>33</v>
      </c>
      <c r="E2226" s="100" t="s">
        <v>2019</v>
      </c>
      <c r="F2226" s="8">
        <v>3</v>
      </c>
      <c r="G2226" s="8">
        <f>G2222</f>
        <v>55.555555555555557</v>
      </c>
      <c r="H2226" s="8">
        <f>H2222</f>
        <v>1667</v>
      </c>
      <c r="I2226" s="109">
        <f>IFERROR(VLOOKUP(C2226,Resources!B:G,6,FALSE)," ")</f>
        <v>42</v>
      </c>
      <c r="J2226" s="109">
        <f t="shared" si="3354"/>
        <v>3780.7559999999999</v>
      </c>
      <c r="K2226" s="8"/>
      <c r="L2226" s="8">
        <f>(H2226/G2226)/Workhrs</f>
        <v>3.3340000000000001</v>
      </c>
      <c r="M2226" s="109">
        <f t="shared" si="3349"/>
        <v>3780.7559999999999</v>
      </c>
      <c r="N2226" s="109">
        <f t="shared" si="3350"/>
        <v>0</v>
      </c>
      <c r="O2226" s="109">
        <f t="shared" si="3351"/>
        <v>0</v>
      </c>
      <c r="P2226" s="109">
        <f t="shared" si="3352"/>
        <v>0</v>
      </c>
      <c r="Q2226" s="109">
        <f t="shared" si="3355"/>
        <v>3780.7559999999999</v>
      </c>
      <c r="R2226" s="121">
        <v>68</v>
      </c>
      <c r="T2226" s="188"/>
    </row>
    <row r="2227" spans="1:22" x14ac:dyDescent="0.25">
      <c r="A2227" s="101"/>
      <c r="B2227" s="4"/>
      <c r="C2227" s="6"/>
      <c r="D2227" s="4"/>
      <c r="I2227" s="38"/>
      <c r="M2227" s="38"/>
      <c r="N2227" s="38"/>
      <c r="O2227" s="38"/>
      <c r="P2227" s="38"/>
      <c r="Q2227" s="38"/>
      <c r="R2227" s="123"/>
      <c r="T2227" s="188"/>
    </row>
    <row r="2228" spans="1:22" ht="30" x14ac:dyDescent="0.25">
      <c r="A2228" s="114" t="s">
        <v>2696</v>
      </c>
      <c r="B2228" s="1" t="s">
        <v>2504</v>
      </c>
      <c r="C2228" s="1" t="s">
        <v>2505</v>
      </c>
      <c r="D2228" s="2" t="s">
        <v>2416</v>
      </c>
      <c r="E2228" s="99"/>
      <c r="F2228" s="7"/>
      <c r="G2228" s="7"/>
      <c r="H2228" s="103">
        <f>VLOOKUP($A2228,'Model Inputs'!$A:$D,4,FALSE)</f>
        <v>1</v>
      </c>
      <c r="I2228" s="108"/>
      <c r="J2228" s="108">
        <f>SUBTOTAL(9,J2229)</f>
        <v>36365</v>
      </c>
      <c r="K2228" s="7"/>
      <c r="L2228" s="7">
        <f>ROUNDUP(L2229,0)</f>
        <v>1</v>
      </c>
      <c r="M2228" s="108">
        <f t="shared" ref="M2228:Q2228" si="3357">SUBTOTAL(9,M2229)</f>
        <v>0</v>
      </c>
      <c r="N2228" s="108">
        <f t="shared" si="3357"/>
        <v>0</v>
      </c>
      <c r="O2228" s="108">
        <f t="shared" si="3357"/>
        <v>0</v>
      </c>
      <c r="P2228" s="108">
        <f t="shared" si="3357"/>
        <v>36365</v>
      </c>
      <c r="Q2228" s="108">
        <f t="shared" si="3357"/>
        <v>36365</v>
      </c>
      <c r="R2228" s="120"/>
      <c r="T2228" s="188"/>
    </row>
    <row r="2229" spans="1:22" x14ac:dyDescent="0.25">
      <c r="A2229" s="100"/>
      <c r="B2229" s="3">
        <v>2</v>
      </c>
      <c r="C2229" s="5" t="s">
        <v>306</v>
      </c>
      <c r="D2229" s="3" t="s">
        <v>33</v>
      </c>
      <c r="E2229" s="100" t="str">
        <f>IFERROR(VLOOKUP(C2229,Resources!B:D,3,FALSE)," ")</f>
        <v>S</v>
      </c>
      <c r="F2229" s="8">
        <v>1</v>
      </c>
      <c r="G2229" s="8">
        <v>1</v>
      </c>
      <c r="H2229" s="8">
        <f>H2228*36365</f>
        <v>36365</v>
      </c>
      <c r="I2229" s="109">
        <f>IFERROR(VLOOKUP(C2229,Resources!B:G,6,FALSE)," ")</f>
        <v>1</v>
      </c>
      <c r="J2229" s="109">
        <f t="shared" ref="J2229" si="3358">(H2229/(G2229/F2229))*I2229</f>
        <v>36365</v>
      </c>
      <c r="K2229" s="8"/>
      <c r="L2229" s="8">
        <f>H2228/2</f>
        <v>0.5</v>
      </c>
      <c r="M2229" s="109">
        <f t="shared" ref="M2229" si="3359">IF($E2229="L",$J2229,0)</f>
        <v>0</v>
      </c>
      <c r="N2229" s="109">
        <f t="shared" ref="N2229" si="3360">IF($E2229="M",$J2229,0)</f>
        <v>0</v>
      </c>
      <c r="O2229" s="109">
        <f t="shared" ref="O2229" si="3361">IF($E2229="P",$J2229,0)</f>
        <v>0</v>
      </c>
      <c r="P2229" s="109">
        <f t="shared" ref="P2229" si="3362">IF($E2229="S",$J2229,0)</f>
        <v>36365</v>
      </c>
      <c r="Q2229" s="109">
        <f t="shared" ref="Q2229" si="3363">SUM(M2229:P2229)</f>
        <v>36365</v>
      </c>
      <c r="R2229" s="121">
        <v>103</v>
      </c>
      <c r="T2229" s="188"/>
    </row>
    <row r="2230" spans="1:22" x14ac:dyDescent="0.25">
      <c r="T2230" s="188"/>
    </row>
    <row r="2231" spans="1:22" x14ac:dyDescent="0.25">
      <c r="A2231" s="114" t="s">
        <v>2697</v>
      </c>
      <c r="B2231" s="1" t="s">
        <v>2510</v>
      </c>
      <c r="C2231" s="1" t="s">
        <v>2511</v>
      </c>
      <c r="D2231" s="2" t="s">
        <v>2416</v>
      </c>
      <c r="E2231" s="99"/>
      <c r="F2231" s="7"/>
      <c r="G2231" s="7"/>
      <c r="H2231" s="103">
        <f>VLOOKUP($A2231,'Model Inputs'!$A:$D,4,FALSE)</f>
        <v>1</v>
      </c>
      <c r="I2231" s="108"/>
      <c r="J2231" s="108">
        <f>SUBTOTAL(9,J2232)</f>
        <v>5000</v>
      </c>
      <c r="K2231" s="7"/>
      <c r="L2231" s="7">
        <f>ROUNDUP(L2232,0)</f>
        <v>1</v>
      </c>
      <c r="M2231" s="108">
        <f t="shared" ref="M2231" si="3364">SUBTOTAL(9,M2232)</f>
        <v>0</v>
      </c>
      <c r="N2231" s="108">
        <f t="shared" ref="N2231" si="3365">SUBTOTAL(9,N2232)</f>
        <v>0</v>
      </c>
      <c r="O2231" s="108">
        <f t="shared" ref="O2231" si="3366">SUBTOTAL(9,O2232)</f>
        <v>0</v>
      </c>
      <c r="P2231" s="108">
        <f t="shared" ref="P2231" si="3367">SUBTOTAL(9,P2232)</f>
        <v>5000</v>
      </c>
      <c r="Q2231" s="108">
        <f t="shared" ref="Q2231" si="3368">SUBTOTAL(9,Q2232)</f>
        <v>5000</v>
      </c>
      <c r="R2231" s="120"/>
      <c r="T2231" s="188"/>
    </row>
    <row r="2232" spans="1:22" x14ac:dyDescent="0.25">
      <c r="A2232" s="100"/>
      <c r="B2232" s="3">
        <v>2</v>
      </c>
      <c r="C2232" s="5" t="s">
        <v>306</v>
      </c>
      <c r="D2232" s="3" t="s">
        <v>33</v>
      </c>
      <c r="E2232" s="100" t="str">
        <f>IFERROR(VLOOKUP(C2232,Resources!B:D,3,FALSE)," ")</f>
        <v>S</v>
      </c>
      <c r="F2232" s="8">
        <v>1</v>
      </c>
      <c r="G2232" s="8">
        <v>1</v>
      </c>
      <c r="H2232" s="8">
        <f>H2231*5000</f>
        <v>5000</v>
      </c>
      <c r="I2232" s="109">
        <f>IFERROR(VLOOKUP(C2232,Resources!B:G,6,FALSE)," ")</f>
        <v>1</v>
      </c>
      <c r="J2232" s="109">
        <f t="shared" ref="J2232" si="3369">(H2232/(G2232/F2232))*I2232</f>
        <v>5000</v>
      </c>
      <c r="K2232" s="8"/>
      <c r="L2232" s="8">
        <f>H2231/2</f>
        <v>0.5</v>
      </c>
      <c r="M2232" s="109">
        <f t="shared" ref="M2232" si="3370">IF($E2232="L",$J2232,0)</f>
        <v>0</v>
      </c>
      <c r="N2232" s="109">
        <f t="shared" ref="N2232" si="3371">IF($E2232="M",$J2232,0)</f>
        <v>0</v>
      </c>
      <c r="O2232" s="109">
        <f t="shared" ref="O2232" si="3372">IF($E2232="P",$J2232,0)</f>
        <v>0</v>
      </c>
      <c r="P2232" s="109">
        <f t="shared" ref="P2232" si="3373">IF($E2232="S",$J2232,0)</f>
        <v>5000</v>
      </c>
      <c r="Q2232" s="109">
        <f t="shared" ref="Q2232" si="3374">SUM(M2232:P2232)</f>
        <v>5000</v>
      </c>
      <c r="R2232" s="121">
        <v>103</v>
      </c>
      <c r="T2232" s="188"/>
    </row>
    <row r="2233" spans="1:22" x14ac:dyDescent="0.25">
      <c r="T2233" s="188"/>
    </row>
    <row r="2234" spans="1:22" x14ac:dyDescent="0.25">
      <c r="A2234" s="114" t="s">
        <v>2698</v>
      </c>
      <c r="B2234" s="1" t="s">
        <v>2512</v>
      </c>
      <c r="C2234" s="1" t="s">
        <v>2513</v>
      </c>
      <c r="D2234" s="2" t="s">
        <v>2416</v>
      </c>
      <c r="E2234" s="99"/>
      <c r="F2234" s="7"/>
      <c r="G2234" s="7"/>
      <c r="H2234" s="7">
        <v>1</v>
      </c>
      <c r="I2234" s="108"/>
      <c r="J2234" s="108">
        <f>SUBTOTAL(9,J2236:J2257)</f>
        <v>22972.428315789475</v>
      </c>
      <c r="K2234" s="7"/>
      <c r="L2234" s="7">
        <f>ROUNDUP((MAX(L2236:L2239)+MAX(L2241:L2249)+0.25),0)</f>
        <v>3</v>
      </c>
      <c r="M2234" s="108">
        <f t="shared" ref="M2234:Q2234" si="3375">SUBTOTAL(9,M2236:M2257)</f>
        <v>2257.5383157894735</v>
      </c>
      <c r="N2234" s="108">
        <f t="shared" si="3375"/>
        <v>1804.8500000000001</v>
      </c>
      <c r="O2234" s="108">
        <f t="shared" si="3375"/>
        <v>18910.04</v>
      </c>
      <c r="P2234" s="108">
        <f t="shared" si="3375"/>
        <v>0</v>
      </c>
      <c r="Q2234" s="108">
        <f t="shared" si="3375"/>
        <v>22972.428315789475</v>
      </c>
      <c r="R2234" s="120" t="s">
        <v>781</v>
      </c>
      <c r="T2234" s="188"/>
    </row>
    <row r="2235" spans="1:22" s="75" customFormat="1" x14ac:dyDescent="0.25">
      <c r="A2235" s="156" t="s">
        <v>2699</v>
      </c>
      <c r="B2235" s="75" t="s">
        <v>2417</v>
      </c>
      <c r="C2235" s="157" t="s">
        <v>2514</v>
      </c>
      <c r="D2235" s="75" t="s">
        <v>86</v>
      </c>
      <c r="H2235" s="103">
        <f>VLOOKUP($A2235,'Model Inputs'!$A:$D,4,FALSE)</f>
        <v>443.2</v>
      </c>
      <c r="I2235" s="158"/>
      <c r="J2235" s="158"/>
      <c r="M2235" s="158"/>
      <c r="N2235" s="158"/>
      <c r="O2235" s="158"/>
      <c r="P2235" s="158"/>
      <c r="Q2235" s="158"/>
      <c r="R2235" s="159"/>
      <c r="T2235" s="188"/>
      <c r="U2235"/>
      <c r="V2235"/>
    </row>
    <row r="2236" spans="1:22" x14ac:dyDescent="0.25">
      <c r="A2236" s="100" t="s">
        <v>2700</v>
      </c>
      <c r="B2236" s="3">
        <v>5</v>
      </c>
      <c r="C2236" s="5" t="s">
        <v>63</v>
      </c>
      <c r="D2236" s="3" t="s">
        <v>48</v>
      </c>
      <c r="E2236" s="100" t="str">
        <f>IFERROR(VLOOKUP(C2236,Resources!B:D,3,FALSE)," ")</f>
        <v>P</v>
      </c>
      <c r="F2236" s="8">
        <v>1</v>
      </c>
      <c r="G2236" s="103">
        <f>VLOOKUP($A2236,'Model Inputs'!$A:$D,4,FALSE)</f>
        <v>30</v>
      </c>
      <c r="H2236" s="8">
        <f>H2235</f>
        <v>443.2</v>
      </c>
      <c r="I2236" s="109">
        <f>IFERROR(VLOOKUP(C2236,Resources!B:G,6,FALSE)," ")</f>
        <v>135</v>
      </c>
      <c r="J2236" s="109">
        <f t="shared" ref="J2236:J2239" si="3376">(H2236/(G2236/F2236))*I2236</f>
        <v>1994.4</v>
      </c>
      <c r="K2236" s="8">
        <f t="shared" ref="K2236:K2239" si="3377">L2236*F2236</f>
        <v>1.6414814814814815</v>
      </c>
      <c r="L2236" s="8">
        <f>IF(E2236="M"," ",H2236/(G2236*Workhrs))</f>
        <v>1.6414814814814815</v>
      </c>
      <c r="M2236" s="109">
        <f t="shared" ref="M2236:M2239" si="3378">IF($E2236="L",$J2236,0)</f>
        <v>0</v>
      </c>
      <c r="N2236" s="109">
        <f t="shared" ref="N2236:N2239" si="3379">IF($E2236="M",$J2236,0)</f>
        <v>0</v>
      </c>
      <c r="O2236" s="109">
        <f t="shared" ref="O2236:O2239" si="3380">IF($E2236="P",$J2236,0)</f>
        <v>1994.4</v>
      </c>
      <c r="P2236" s="109">
        <f t="shared" ref="P2236:P2239" si="3381">IF($E2236="S",$J2236,0)</f>
        <v>0</v>
      </c>
      <c r="Q2236" s="109">
        <f t="shared" ref="Q2236:Q2239" si="3382">SUM(M2236:P2236)</f>
        <v>1994.4</v>
      </c>
      <c r="R2236" s="121">
        <v>57</v>
      </c>
      <c r="T2236" s="188"/>
    </row>
    <row r="2237" spans="1:22" x14ac:dyDescent="0.25">
      <c r="A2237" s="100" t="s">
        <v>2701</v>
      </c>
      <c r="B2237" s="3">
        <v>6</v>
      </c>
      <c r="C2237" s="5" t="s">
        <v>44</v>
      </c>
      <c r="D2237" s="3" t="s">
        <v>48</v>
      </c>
      <c r="E2237" s="100" t="str">
        <f>IFERROR(VLOOKUP(C2237,Resources!B:D,3,FALSE)," ")</f>
        <v>P</v>
      </c>
      <c r="F2237" s="103">
        <f>VLOOKUP($A2237,'Model Inputs'!$A:$D,4,FALSE)</f>
        <v>2</v>
      </c>
      <c r="G2237" s="8">
        <f>G2236</f>
        <v>30</v>
      </c>
      <c r="H2237" s="8">
        <f>H2235</f>
        <v>443.2</v>
      </c>
      <c r="I2237" s="109">
        <f>IFERROR(VLOOKUP(C2237,Resources!B:G,6,FALSE)," ")</f>
        <v>145</v>
      </c>
      <c r="J2237" s="109">
        <f t="shared" si="3376"/>
        <v>4284.2666666666664</v>
      </c>
      <c r="K2237" s="8">
        <f t="shared" si="3377"/>
        <v>3.2829629629629631</v>
      </c>
      <c r="L2237" s="8">
        <f>IF(E2237="M"," ",H2237/(G2237*Workhrs))</f>
        <v>1.6414814814814815</v>
      </c>
      <c r="M2237" s="109">
        <f t="shared" si="3378"/>
        <v>0</v>
      </c>
      <c r="N2237" s="109">
        <f t="shared" si="3379"/>
        <v>0</v>
      </c>
      <c r="O2237" s="109">
        <f t="shared" si="3380"/>
        <v>4284.2666666666664</v>
      </c>
      <c r="P2237" s="109">
        <f t="shared" si="3381"/>
        <v>0</v>
      </c>
      <c r="Q2237" s="109">
        <f t="shared" si="3382"/>
        <v>4284.2666666666664</v>
      </c>
      <c r="R2237" s="121">
        <v>57</v>
      </c>
      <c r="T2237" s="188"/>
    </row>
    <row r="2238" spans="1:22" x14ac:dyDescent="0.25">
      <c r="A2238" s="100"/>
      <c r="B2238" s="3">
        <v>7</v>
      </c>
      <c r="C2238" s="5" t="s">
        <v>64</v>
      </c>
      <c r="D2238" s="3" t="s">
        <v>48</v>
      </c>
      <c r="E2238" s="100" t="str">
        <f>IFERROR(VLOOKUP(C2238,Resources!B:D,3,FALSE)," ")</f>
        <v>P</v>
      </c>
      <c r="F2238" s="8">
        <v>1</v>
      </c>
      <c r="G2238" s="8">
        <f>G2236</f>
        <v>30</v>
      </c>
      <c r="H2238" s="8">
        <f>H2235</f>
        <v>443.2</v>
      </c>
      <c r="I2238" s="109">
        <f>IFERROR(VLOOKUP(C2238,Resources!B:G,6,FALSE)," ")</f>
        <v>100</v>
      </c>
      <c r="J2238" s="109">
        <f t="shared" si="3376"/>
        <v>1477.3333333333333</v>
      </c>
      <c r="K2238" s="8">
        <f t="shared" si="3377"/>
        <v>1.6414814814814815</v>
      </c>
      <c r="L2238" s="8">
        <f>IF(E2238="M"," ",H2238/(G2238*Workhrs))</f>
        <v>1.6414814814814815</v>
      </c>
      <c r="M2238" s="109">
        <f t="shared" si="3378"/>
        <v>0</v>
      </c>
      <c r="N2238" s="109">
        <f t="shared" si="3379"/>
        <v>0</v>
      </c>
      <c r="O2238" s="109">
        <f t="shared" si="3380"/>
        <v>1477.3333333333333</v>
      </c>
      <c r="P2238" s="109">
        <f t="shared" si="3381"/>
        <v>0</v>
      </c>
      <c r="Q2238" s="109">
        <f t="shared" si="3382"/>
        <v>1477.3333333333333</v>
      </c>
      <c r="R2238" s="121">
        <v>57</v>
      </c>
      <c r="T2238" s="188"/>
    </row>
    <row r="2239" spans="1:22" x14ac:dyDescent="0.25">
      <c r="A2239" s="100"/>
      <c r="B2239" s="3">
        <v>8</v>
      </c>
      <c r="C2239" s="5" t="s">
        <v>8</v>
      </c>
      <c r="D2239" s="3" t="s">
        <v>48</v>
      </c>
      <c r="E2239" s="100" t="str">
        <f>IFERROR(VLOOKUP(C2239,Resources!B:D,3,FALSE)," ")</f>
        <v>L</v>
      </c>
      <c r="F2239" s="8">
        <v>1</v>
      </c>
      <c r="G2239" s="8">
        <f>G2236</f>
        <v>30</v>
      </c>
      <c r="H2239" s="8">
        <f>H2235</f>
        <v>443.2</v>
      </c>
      <c r="I2239" s="109">
        <f>IFERROR(VLOOKUP(C2239,Resources!B:G,6,FALSE)," ")</f>
        <v>42</v>
      </c>
      <c r="J2239" s="109">
        <f t="shared" si="3376"/>
        <v>620.48</v>
      </c>
      <c r="K2239" s="8">
        <f t="shared" si="3377"/>
        <v>1.6414814814814815</v>
      </c>
      <c r="L2239" s="8">
        <f>IF(E2239="M"," ",H2239/(G2239*Workhrs))</f>
        <v>1.6414814814814815</v>
      </c>
      <c r="M2239" s="109">
        <f t="shared" si="3378"/>
        <v>620.48</v>
      </c>
      <c r="N2239" s="109">
        <f t="shared" si="3379"/>
        <v>0</v>
      </c>
      <c r="O2239" s="109">
        <f t="shared" si="3380"/>
        <v>0</v>
      </c>
      <c r="P2239" s="109">
        <f t="shared" si="3381"/>
        <v>0</v>
      </c>
      <c r="Q2239" s="109">
        <f t="shared" si="3382"/>
        <v>620.48</v>
      </c>
      <c r="R2239" s="121">
        <v>57</v>
      </c>
      <c r="T2239" s="188"/>
    </row>
    <row r="2240" spans="1:22" s="75" customFormat="1" x14ac:dyDescent="0.25">
      <c r="A2240" s="156" t="s">
        <v>2702</v>
      </c>
      <c r="B2240" s="75" t="s">
        <v>2417</v>
      </c>
      <c r="C2240" s="157" t="s">
        <v>2515</v>
      </c>
      <c r="D2240" s="75" t="s">
        <v>86</v>
      </c>
      <c r="H2240" s="103">
        <f>VLOOKUP($A2240,'Model Inputs'!$A:$D,4,FALSE)</f>
        <v>378</v>
      </c>
      <c r="I2240" s="158"/>
      <c r="J2240" s="158"/>
      <c r="M2240" s="158"/>
      <c r="N2240" s="158"/>
      <c r="O2240" s="158"/>
      <c r="P2240" s="158"/>
      <c r="Q2240" s="158"/>
      <c r="R2240" s="159"/>
      <c r="T2240" s="188"/>
      <c r="U2240"/>
      <c r="V2240"/>
    </row>
    <row r="2241" spans="1:22" x14ac:dyDescent="0.25">
      <c r="A2241" s="100" t="s">
        <v>2703</v>
      </c>
      <c r="B2241" s="3">
        <v>1</v>
      </c>
      <c r="C2241" s="5" t="s">
        <v>63</v>
      </c>
      <c r="D2241" s="3" t="s">
        <v>48</v>
      </c>
      <c r="E2241" s="100" t="str">
        <f>IFERROR(VLOOKUP(C2241,Resources!B:D,3,FALSE)," ")</f>
        <v>P</v>
      </c>
      <c r="F2241" s="8">
        <v>1</v>
      </c>
      <c r="G2241" s="103">
        <f>VLOOKUP($A2241,'Model Inputs'!$A:$D,4,FALSE)</f>
        <v>40</v>
      </c>
      <c r="H2241" s="8">
        <f>H2240</f>
        <v>378</v>
      </c>
      <c r="I2241" s="109">
        <f>IFERROR(VLOOKUP(C2241,Resources!B:G,6,FALSE)," ")</f>
        <v>135</v>
      </c>
      <c r="J2241" s="109">
        <f t="shared" ref="J2241:J2244" si="3383">(H2241/(G2241/F2241))*I2241</f>
        <v>1275.75</v>
      </c>
      <c r="K2241" s="8">
        <f t="shared" ref="K2241:K2244" si="3384">L2241*F2241</f>
        <v>1.05</v>
      </c>
      <c r="L2241" s="8">
        <f>IF(E2241="M"," ",H2241/(G2241*Workhrs))</f>
        <v>1.05</v>
      </c>
      <c r="M2241" s="109">
        <f t="shared" ref="M2241:M2244" si="3385">IF($E2241="L",$J2241,0)</f>
        <v>0</v>
      </c>
      <c r="N2241" s="109">
        <f t="shared" ref="N2241:N2244" si="3386">IF($E2241="M",$J2241,0)</f>
        <v>0</v>
      </c>
      <c r="O2241" s="109">
        <f t="shared" ref="O2241:O2244" si="3387">IF($E2241="P",$J2241,0)</f>
        <v>1275.75</v>
      </c>
      <c r="P2241" s="109">
        <f t="shared" ref="P2241:P2244" si="3388">IF($E2241="S",$J2241,0)</f>
        <v>0</v>
      </c>
      <c r="Q2241" s="109">
        <f t="shared" ref="Q2241:Q2244" si="3389">SUM(M2241:P2241)</f>
        <v>1275.75</v>
      </c>
      <c r="R2241" s="121">
        <v>57</v>
      </c>
      <c r="T2241" s="188"/>
    </row>
    <row r="2242" spans="1:22" x14ac:dyDescent="0.25">
      <c r="A2242" s="100" t="s">
        <v>2704</v>
      </c>
      <c r="B2242" s="3">
        <v>2</v>
      </c>
      <c r="C2242" s="5" t="s">
        <v>44</v>
      </c>
      <c r="D2242" s="3" t="s">
        <v>48</v>
      </c>
      <c r="E2242" s="100" t="str">
        <f>IFERROR(VLOOKUP(C2242,Resources!B:D,3,FALSE)," ")</f>
        <v>P</v>
      </c>
      <c r="F2242" s="103">
        <f>VLOOKUP($A2242,'Model Inputs'!$A:$D,4,FALSE)</f>
        <v>4</v>
      </c>
      <c r="G2242" s="8">
        <f>G2241</f>
        <v>40</v>
      </c>
      <c r="H2242" s="8">
        <f>H2240</f>
        <v>378</v>
      </c>
      <c r="I2242" s="109">
        <f>IFERROR(VLOOKUP(C2242,Resources!B:G,6,FALSE)," ")</f>
        <v>145</v>
      </c>
      <c r="J2242" s="109">
        <f t="shared" si="3383"/>
        <v>5481</v>
      </c>
      <c r="K2242" s="8">
        <f t="shared" si="3384"/>
        <v>4.2</v>
      </c>
      <c r="L2242" s="8">
        <f>IF(E2242="M"," ",H2242/(G2242*Workhrs))</f>
        <v>1.05</v>
      </c>
      <c r="M2242" s="109">
        <f t="shared" si="3385"/>
        <v>0</v>
      </c>
      <c r="N2242" s="109">
        <f t="shared" si="3386"/>
        <v>0</v>
      </c>
      <c r="O2242" s="109">
        <f t="shared" si="3387"/>
        <v>5481</v>
      </c>
      <c r="P2242" s="109">
        <f t="shared" si="3388"/>
        <v>0</v>
      </c>
      <c r="Q2242" s="109">
        <f t="shared" si="3389"/>
        <v>5481</v>
      </c>
      <c r="R2242" s="121">
        <v>57</v>
      </c>
      <c r="T2242" s="188"/>
    </row>
    <row r="2243" spans="1:22" x14ac:dyDescent="0.25">
      <c r="A2243" s="100"/>
      <c r="B2243" s="3">
        <v>3</v>
      </c>
      <c r="C2243" s="5" t="s">
        <v>64</v>
      </c>
      <c r="D2243" s="3" t="s">
        <v>48</v>
      </c>
      <c r="E2243" s="100" t="str">
        <f>IFERROR(VLOOKUP(C2243,Resources!B:D,3,FALSE)," ")</f>
        <v>P</v>
      </c>
      <c r="F2243" s="8">
        <v>1</v>
      </c>
      <c r="G2243" s="8">
        <f>G2241</f>
        <v>40</v>
      </c>
      <c r="H2243" s="8">
        <f>H2240</f>
        <v>378</v>
      </c>
      <c r="I2243" s="109">
        <f>IFERROR(VLOOKUP(C2243,Resources!B:G,6,FALSE)," ")</f>
        <v>100</v>
      </c>
      <c r="J2243" s="109">
        <f t="shared" si="3383"/>
        <v>944.99999999999989</v>
      </c>
      <c r="K2243" s="8">
        <f t="shared" si="3384"/>
        <v>1.05</v>
      </c>
      <c r="L2243" s="8">
        <f>IF(E2243="M"," ",H2243/(G2243*Workhrs))</f>
        <v>1.05</v>
      </c>
      <c r="M2243" s="109">
        <f t="shared" si="3385"/>
        <v>0</v>
      </c>
      <c r="N2243" s="109">
        <f t="shared" si="3386"/>
        <v>0</v>
      </c>
      <c r="O2243" s="109">
        <f t="shared" si="3387"/>
        <v>944.99999999999989</v>
      </c>
      <c r="P2243" s="109">
        <f t="shared" si="3388"/>
        <v>0</v>
      </c>
      <c r="Q2243" s="109">
        <f t="shared" si="3389"/>
        <v>944.99999999999989</v>
      </c>
      <c r="R2243" s="121">
        <v>57</v>
      </c>
      <c r="T2243" s="188"/>
    </row>
    <row r="2244" spans="1:22" x14ac:dyDescent="0.25">
      <c r="A2244" s="100"/>
      <c r="B2244" s="3">
        <v>4</v>
      </c>
      <c r="C2244" s="5" t="s">
        <v>8</v>
      </c>
      <c r="D2244" s="3" t="s">
        <v>48</v>
      </c>
      <c r="E2244" s="100" t="str">
        <f>IFERROR(VLOOKUP(C2244,Resources!B:D,3,FALSE)," ")</f>
        <v>L</v>
      </c>
      <c r="F2244" s="8">
        <v>1</v>
      </c>
      <c r="G2244" s="8">
        <f>G2241</f>
        <v>40</v>
      </c>
      <c r="H2244" s="8">
        <f>H2240</f>
        <v>378</v>
      </c>
      <c r="I2244" s="109">
        <f>IFERROR(VLOOKUP(C2244,Resources!B:G,6,FALSE)," ")</f>
        <v>42</v>
      </c>
      <c r="J2244" s="109">
        <f t="shared" si="3383"/>
        <v>396.9</v>
      </c>
      <c r="K2244" s="8">
        <f t="shared" si="3384"/>
        <v>1.05</v>
      </c>
      <c r="L2244" s="8">
        <f>IF(E2244="M"," ",H2244/(G2244*Workhrs))</f>
        <v>1.05</v>
      </c>
      <c r="M2244" s="109">
        <f t="shared" si="3385"/>
        <v>396.9</v>
      </c>
      <c r="N2244" s="109">
        <f t="shared" si="3386"/>
        <v>0</v>
      </c>
      <c r="O2244" s="109">
        <f t="shared" si="3387"/>
        <v>0</v>
      </c>
      <c r="P2244" s="109">
        <f t="shared" si="3388"/>
        <v>0</v>
      </c>
      <c r="Q2244" s="109">
        <f t="shared" si="3389"/>
        <v>396.9</v>
      </c>
      <c r="R2244" s="121">
        <v>57</v>
      </c>
      <c r="T2244" s="188"/>
    </row>
    <row r="2245" spans="1:22" s="75" customFormat="1" x14ac:dyDescent="0.25">
      <c r="A2245" s="156"/>
      <c r="B2245" s="75" t="s">
        <v>2417</v>
      </c>
      <c r="C2245" s="157" t="s">
        <v>2516</v>
      </c>
      <c r="D2245" s="75" t="s">
        <v>86</v>
      </c>
      <c r="H2245" s="75">
        <f>H2240</f>
        <v>378</v>
      </c>
      <c r="I2245" s="158"/>
      <c r="J2245" s="158"/>
      <c r="M2245" s="158"/>
      <c r="N2245" s="158"/>
      <c r="O2245" s="158"/>
      <c r="P2245" s="158"/>
      <c r="Q2245" s="158"/>
      <c r="R2245" s="159"/>
      <c r="T2245" s="188"/>
      <c r="U2245"/>
      <c r="V2245"/>
    </row>
    <row r="2246" spans="1:22" x14ac:dyDescent="0.25">
      <c r="A2246" s="100" t="s">
        <v>2705</v>
      </c>
      <c r="B2246" s="3">
        <v>12</v>
      </c>
      <c r="C2246" s="5" t="s">
        <v>39</v>
      </c>
      <c r="D2246" s="3" t="s">
        <v>48</v>
      </c>
      <c r="E2246" s="100" t="str">
        <f>IFERROR(VLOOKUP(C2246,Resources!B:D,3,FALSE)," ")</f>
        <v>P</v>
      </c>
      <c r="F2246" s="8">
        <v>1</v>
      </c>
      <c r="G2246" s="103">
        <f>VLOOKUP($A2246,'Model Inputs'!$A:$D,4,FALSE)</f>
        <v>40</v>
      </c>
      <c r="H2246" s="8">
        <f>H2245</f>
        <v>378</v>
      </c>
      <c r="I2246" s="109">
        <f>IFERROR(VLOOKUP(C2246,Resources!B:G,6,FALSE)," ")</f>
        <v>145</v>
      </c>
      <c r="J2246" s="109">
        <f t="shared" ref="J2246:J2249" si="3390">(H2246/(G2246/F2246))*I2246</f>
        <v>1370.25</v>
      </c>
      <c r="K2246" s="8">
        <f t="shared" ref="K2246:K2249" si="3391">L2246*F2246</f>
        <v>1.05</v>
      </c>
      <c r="L2246" s="8">
        <f>IF(E2246="M"," ",H2246/(G2246*Workhrs))</f>
        <v>1.05</v>
      </c>
      <c r="M2246" s="109">
        <f t="shared" ref="M2246:M2249" si="3392">IF($E2246="L",$J2246,0)</f>
        <v>0</v>
      </c>
      <c r="N2246" s="109">
        <f t="shared" ref="N2246:N2249" si="3393">IF($E2246="M",$J2246,0)</f>
        <v>0</v>
      </c>
      <c r="O2246" s="109">
        <f t="shared" ref="O2246:O2249" si="3394">IF($E2246="P",$J2246,0)</f>
        <v>1370.25</v>
      </c>
      <c r="P2246" s="109">
        <f t="shared" ref="P2246:P2249" si="3395">IF($E2246="S",$J2246,0)</f>
        <v>0</v>
      </c>
      <c r="Q2246" s="109">
        <f t="shared" ref="Q2246:Q2249" si="3396">SUM(M2246:P2246)</f>
        <v>1370.25</v>
      </c>
      <c r="R2246" s="121">
        <v>57</v>
      </c>
      <c r="T2246" s="188"/>
    </row>
    <row r="2247" spans="1:22" x14ac:dyDescent="0.25">
      <c r="A2247" s="100"/>
      <c r="B2247" s="3">
        <v>13</v>
      </c>
      <c r="C2247" s="5" t="s">
        <v>69</v>
      </c>
      <c r="D2247" s="3" t="s">
        <v>48</v>
      </c>
      <c r="E2247" s="100" t="str">
        <f>IFERROR(VLOOKUP(C2247,Resources!B:D,3,FALSE)," ")</f>
        <v>P</v>
      </c>
      <c r="F2247" s="8">
        <v>1</v>
      </c>
      <c r="G2247" s="8">
        <f>G2246</f>
        <v>40</v>
      </c>
      <c r="H2247" s="8">
        <f>H2246</f>
        <v>378</v>
      </c>
      <c r="I2247" s="109">
        <f>IFERROR(VLOOKUP(C2247,Resources!B:G,6,FALSE)," ")</f>
        <v>55</v>
      </c>
      <c r="J2247" s="109">
        <f t="shared" si="3390"/>
        <v>519.75</v>
      </c>
      <c r="K2247" s="8">
        <f t="shared" si="3391"/>
        <v>1.05</v>
      </c>
      <c r="L2247" s="8">
        <f>IF(E2247="M"," ",H2247/(G2247*Workhrs))</f>
        <v>1.05</v>
      </c>
      <c r="M2247" s="109">
        <f t="shared" si="3392"/>
        <v>0</v>
      </c>
      <c r="N2247" s="109">
        <f t="shared" si="3393"/>
        <v>0</v>
      </c>
      <c r="O2247" s="109">
        <f t="shared" si="3394"/>
        <v>519.75</v>
      </c>
      <c r="P2247" s="109">
        <f t="shared" si="3395"/>
        <v>0</v>
      </c>
      <c r="Q2247" s="109">
        <f t="shared" si="3396"/>
        <v>519.75</v>
      </c>
      <c r="R2247" s="121">
        <v>57</v>
      </c>
      <c r="T2247" s="188"/>
    </row>
    <row r="2248" spans="1:22" x14ac:dyDescent="0.25">
      <c r="A2248" s="100"/>
      <c r="B2248" s="3">
        <v>14</v>
      </c>
      <c r="C2248" s="5" t="s">
        <v>64</v>
      </c>
      <c r="D2248" s="3" t="s">
        <v>48</v>
      </c>
      <c r="E2248" s="100" t="str">
        <f>IFERROR(VLOOKUP(C2248,Resources!B:D,3,FALSE)," ")</f>
        <v>P</v>
      </c>
      <c r="F2248" s="8">
        <v>1</v>
      </c>
      <c r="G2248" s="8">
        <f>G2246</f>
        <v>40</v>
      </c>
      <c r="H2248" s="8">
        <f t="shared" ref="H2248:H2249" si="3397">H2247</f>
        <v>378</v>
      </c>
      <c r="I2248" s="109">
        <f>IFERROR(VLOOKUP(C2248,Resources!B:G,6,FALSE)," ")</f>
        <v>100</v>
      </c>
      <c r="J2248" s="109">
        <f t="shared" si="3390"/>
        <v>944.99999999999989</v>
      </c>
      <c r="K2248" s="8">
        <f t="shared" si="3391"/>
        <v>1.05</v>
      </c>
      <c r="L2248" s="8">
        <f>IF(E2248="M"," ",H2248/(G2248*Workhrs))</f>
        <v>1.05</v>
      </c>
      <c r="M2248" s="109">
        <f t="shared" si="3392"/>
        <v>0</v>
      </c>
      <c r="N2248" s="109">
        <f t="shared" si="3393"/>
        <v>0</v>
      </c>
      <c r="O2248" s="109">
        <f t="shared" si="3394"/>
        <v>944.99999999999989</v>
      </c>
      <c r="P2248" s="109">
        <f t="shared" si="3395"/>
        <v>0</v>
      </c>
      <c r="Q2248" s="109">
        <f t="shared" si="3396"/>
        <v>944.99999999999989</v>
      </c>
      <c r="R2248" s="121">
        <v>57</v>
      </c>
      <c r="T2248" s="188"/>
    </row>
    <row r="2249" spans="1:22" x14ac:dyDescent="0.25">
      <c r="A2249" s="100"/>
      <c r="B2249" s="3">
        <v>15</v>
      </c>
      <c r="C2249" s="5" t="s">
        <v>8</v>
      </c>
      <c r="D2249" s="3" t="s">
        <v>48</v>
      </c>
      <c r="E2249" s="100" t="str">
        <f>IFERROR(VLOOKUP(C2249,Resources!B:D,3,FALSE)," ")</f>
        <v>L</v>
      </c>
      <c r="F2249" s="8">
        <v>3</v>
      </c>
      <c r="G2249" s="8">
        <f>G2246</f>
        <v>40</v>
      </c>
      <c r="H2249" s="8">
        <f t="shared" si="3397"/>
        <v>378</v>
      </c>
      <c r="I2249" s="109">
        <f>IFERROR(VLOOKUP(C2249,Resources!B:G,6,FALSE)," ")</f>
        <v>42</v>
      </c>
      <c r="J2249" s="109">
        <f t="shared" si="3390"/>
        <v>1190.6999999999998</v>
      </c>
      <c r="K2249" s="8">
        <f t="shared" si="3391"/>
        <v>3.1500000000000004</v>
      </c>
      <c r="L2249" s="8">
        <f>IF(E2249="M"," ",H2249/(G2249*Workhrs))</f>
        <v>1.05</v>
      </c>
      <c r="M2249" s="109">
        <f t="shared" si="3392"/>
        <v>1190.6999999999998</v>
      </c>
      <c r="N2249" s="109">
        <f t="shared" si="3393"/>
        <v>0</v>
      </c>
      <c r="O2249" s="109">
        <f t="shared" si="3394"/>
        <v>0</v>
      </c>
      <c r="P2249" s="109">
        <f t="shared" si="3395"/>
        <v>0</v>
      </c>
      <c r="Q2249" s="109">
        <f t="shared" si="3396"/>
        <v>1190.6999999999998</v>
      </c>
      <c r="R2249" s="121">
        <v>57</v>
      </c>
      <c r="T2249" s="188"/>
    </row>
    <row r="2250" spans="1:22" s="75" customFormat="1" ht="30" x14ac:dyDescent="0.25">
      <c r="A2250" s="156"/>
      <c r="B2250" s="75" t="s">
        <v>2417</v>
      </c>
      <c r="C2250" s="157" t="s">
        <v>2517</v>
      </c>
      <c r="D2250" s="75" t="s">
        <v>82</v>
      </c>
      <c r="H2250" s="75">
        <f>ROUND((H2235-H2240)/1.4,0)</f>
        <v>47</v>
      </c>
      <c r="I2250" s="158"/>
      <c r="J2250" s="158"/>
      <c r="M2250" s="158"/>
      <c r="N2250" s="158"/>
      <c r="O2250" s="158"/>
      <c r="P2250" s="158"/>
      <c r="Q2250" s="158"/>
      <c r="R2250" s="159"/>
      <c r="T2250" s="188"/>
      <c r="U2250"/>
      <c r="V2250"/>
    </row>
    <row r="2251" spans="1:22" x14ac:dyDescent="0.25">
      <c r="A2251" s="100"/>
      <c r="B2251" s="3">
        <v>11</v>
      </c>
      <c r="C2251" s="5" t="s">
        <v>2130</v>
      </c>
      <c r="D2251" s="3" t="s">
        <v>82</v>
      </c>
      <c r="E2251" s="100" t="str">
        <f>IFERROR(VLOOKUP(C2251,Resources!B:D,3,FALSE)," ")</f>
        <v>M</v>
      </c>
      <c r="F2251" s="8">
        <v>1</v>
      </c>
      <c r="G2251" s="8">
        <v>1</v>
      </c>
      <c r="H2251" s="8">
        <f>H2250</f>
        <v>47</v>
      </c>
      <c r="I2251" s="109">
        <f>IFERROR(VLOOKUP(C2251,Resources!B:G,6,FALSE)," ")</f>
        <v>26.5</v>
      </c>
      <c r="J2251" s="109">
        <f t="shared" ref="J2251" si="3398">(H2251/(G2251/F2251))*I2251</f>
        <v>1245.5</v>
      </c>
      <c r="K2251" s="8"/>
      <c r="L2251" s="8" t="str">
        <f t="shared" ref="L2251" si="3399">IF(E2251="M"," ",H2251/G2251)</f>
        <v xml:space="preserve"> </v>
      </c>
      <c r="M2251" s="109">
        <f t="shared" ref="M2251" si="3400">IF($E2251="L",$J2251,0)</f>
        <v>0</v>
      </c>
      <c r="N2251" s="109">
        <f t="shared" ref="N2251" si="3401">IF($E2251="M",$J2251,0)</f>
        <v>1245.5</v>
      </c>
      <c r="O2251" s="109">
        <f t="shared" ref="O2251" si="3402">IF($E2251="P",$J2251,0)</f>
        <v>0</v>
      </c>
      <c r="P2251" s="109">
        <f t="shared" ref="P2251" si="3403">IF($E2251="S",$J2251,0)</f>
        <v>0</v>
      </c>
      <c r="Q2251" s="109">
        <f t="shared" ref="Q2251" si="3404">SUM(M2251:P2251)</f>
        <v>1245.5</v>
      </c>
      <c r="R2251" s="121" t="s">
        <v>2340</v>
      </c>
      <c r="T2251" s="188"/>
    </row>
    <row r="2252" spans="1:22" s="75" customFormat="1" x14ac:dyDescent="0.25">
      <c r="A2252" s="156" t="s">
        <v>2706</v>
      </c>
      <c r="B2252" s="75" t="s">
        <v>2417</v>
      </c>
      <c r="C2252" s="157" t="s">
        <v>2518</v>
      </c>
      <c r="D2252" s="75" t="s">
        <v>48</v>
      </c>
      <c r="H2252" s="103">
        <f>VLOOKUP($A2252,'Model Inputs'!$A:$D,4,FALSE)</f>
        <v>4</v>
      </c>
      <c r="I2252" s="158"/>
      <c r="J2252" s="158"/>
      <c r="M2252" s="158"/>
      <c r="N2252" s="158"/>
      <c r="O2252" s="158"/>
      <c r="P2252" s="158"/>
      <c r="Q2252" s="158"/>
      <c r="R2252" s="159"/>
      <c r="T2252" s="188"/>
      <c r="U2252"/>
      <c r="V2252"/>
    </row>
    <row r="2253" spans="1:22" x14ac:dyDescent="0.25">
      <c r="A2253" s="100"/>
      <c r="B2253" s="3">
        <v>3</v>
      </c>
      <c r="C2253" s="5" t="s">
        <v>44</v>
      </c>
      <c r="D2253" s="3" t="s">
        <v>48</v>
      </c>
      <c r="E2253" s="100" t="str">
        <f>IFERROR(VLOOKUP(C2253,Resources!B:D,3,FALSE)," ")</f>
        <v>P</v>
      </c>
      <c r="F2253" s="8">
        <v>1</v>
      </c>
      <c r="G2253" s="8">
        <v>1</v>
      </c>
      <c r="H2253" s="8">
        <f>H2252</f>
        <v>4</v>
      </c>
      <c r="I2253" s="109">
        <f>IFERROR(VLOOKUP(C2253,Resources!B:G,6,FALSE)," ")</f>
        <v>145</v>
      </c>
      <c r="J2253" s="109">
        <f t="shared" ref="J2253" si="3405">(H2253/(G2253/F2253))*I2253</f>
        <v>580</v>
      </c>
      <c r="K2253" s="8">
        <f t="shared" ref="K2253" si="3406">L2253*F2253</f>
        <v>4</v>
      </c>
      <c r="L2253" s="8">
        <f t="shared" ref="L2253" si="3407">IF(E2253="M"," ",H2253/G2253)</f>
        <v>4</v>
      </c>
      <c r="M2253" s="109">
        <f t="shared" ref="M2253" si="3408">IF($E2253="L",$J2253,0)</f>
        <v>0</v>
      </c>
      <c r="N2253" s="109">
        <f t="shared" ref="N2253" si="3409">IF($E2253="M",$J2253,0)</f>
        <v>0</v>
      </c>
      <c r="O2253" s="109">
        <f t="shared" ref="O2253" si="3410">IF($E2253="P",$J2253,0)</f>
        <v>580</v>
      </c>
      <c r="P2253" s="109">
        <f t="shared" ref="P2253" si="3411">IF($E2253="S",$J2253,0)</f>
        <v>0</v>
      </c>
      <c r="Q2253" s="109">
        <f t="shared" ref="Q2253" si="3412">SUM(M2253:P2253)</f>
        <v>580</v>
      </c>
      <c r="R2253" s="121">
        <v>221</v>
      </c>
      <c r="T2253" s="188"/>
    </row>
    <row r="2254" spans="1:22" s="75" customFormat="1" x14ac:dyDescent="0.25">
      <c r="A2254" s="156" t="s">
        <v>2707</v>
      </c>
      <c r="B2254" s="75" t="s">
        <v>2417</v>
      </c>
      <c r="C2254" s="157" t="s">
        <v>2519</v>
      </c>
      <c r="D2254" s="75" t="s">
        <v>83</v>
      </c>
      <c r="H2254" s="103">
        <f>VLOOKUP($A2254,'Model Inputs'!$A:$D,4,FALSE)</f>
        <v>203.4</v>
      </c>
      <c r="I2254" s="158"/>
      <c r="J2254" s="158"/>
      <c r="M2254" s="158"/>
      <c r="N2254" s="158"/>
      <c r="O2254" s="158"/>
      <c r="P2254" s="158"/>
      <c r="Q2254" s="158"/>
      <c r="R2254" s="159"/>
      <c r="T2254" s="188"/>
      <c r="U2254"/>
      <c r="V2254"/>
    </row>
    <row r="2255" spans="1:22" x14ac:dyDescent="0.25">
      <c r="A2255" s="100" t="s">
        <v>2708</v>
      </c>
      <c r="B2255" s="3">
        <v>1</v>
      </c>
      <c r="C2255" s="5" t="s">
        <v>2089</v>
      </c>
      <c r="D2255" s="3" t="s">
        <v>83</v>
      </c>
      <c r="E2255" s="100" t="str">
        <f>IFERROR(VLOOKUP(C2255,Resources!B:D,3,FALSE)," ")</f>
        <v>M</v>
      </c>
      <c r="F2255" s="103">
        <f>VLOOKUP($A2255,'Model Inputs'!$A:$D,4,FALSE)</f>
        <v>1.1000000000000001</v>
      </c>
      <c r="G2255" s="8">
        <v>1</v>
      </c>
      <c r="H2255" s="8">
        <f>H2254*F2255</f>
        <v>223.74000000000004</v>
      </c>
      <c r="I2255" s="109">
        <f>IFERROR(VLOOKUP(C2255,Resources!B:G,6,FALSE)," ")</f>
        <v>2.5</v>
      </c>
      <c r="J2255" s="109">
        <f>I2255*H2255</f>
        <v>559.35000000000014</v>
      </c>
      <c r="K2255" s="8"/>
      <c r="L2255" s="8" t="str">
        <f t="shared" ref="L2255:L2257" si="3413">IF(E2255="M"," ",H2255/G2255)</f>
        <v xml:space="preserve"> </v>
      </c>
      <c r="M2255" s="109">
        <f t="shared" ref="M2255:M2257" si="3414">IF($E2255="L",$J2255,0)</f>
        <v>0</v>
      </c>
      <c r="N2255" s="109">
        <f t="shared" ref="N2255:N2257" si="3415">IF($E2255="M",$J2255,0)</f>
        <v>559.35000000000014</v>
      </c>
      <c r="O2255" s="109">
        <f t="shared" ref="O2255:O2257" si="3416">IF($E2255="P",$J2255,0)</f>
        <v>0</v>
      </c>
      <c r="P2255" s="109">
        <f t="shared" ref="P2255:P2257" si="3417">IF($E2255="S",$J2255,0)</f>
        <v>0</v>
      </c>
      <c r="Q2255" s="109">
        <f t="shared" ref="Q2255:Q2257" si="3418">SUM(M2255:P2255)</f>
        <v>559.35000000000014</v>
      </c>
      <c r="R2255" s="121">
        <v>222</v>
      </c>
      <c r="T2255" s="188"/>
    </row>
    <row r="2256" spans="1:22" x14ac:dyDescent="0.25">
      <c r="A2256" s="100" t="s">
        <v>2709</v>
      </c>
      <c r="B2256" s="3">
        <v>2</v>
      </c>
      <c r="C2256" s="5" t="s">
        <v>8</v>
      </c>
      <c r="D2256" s="3" t="s">
        <v>48</v>
      </c>
      <c r="E2256" s="100" t="str">
        <f>IFERROR(VLOOKUP(C2256,Resources!B:D,3,FALSE)," ")</f>
        <v>L</v>
      </c>
      <c r="F2256" s="8">
        <v>3</v>
      </c>
      <c r="G2256" s="103">
        <f>VLOOKUP($A2256,'Model Inputs'!$A:$D,4,FALSE)</f>
        <v>570</v>
      </c>
      <c r="H2256" s="8">
        <f>H2255</f>
        <v>223.74000000000004</v>
      </c>
      <c r="I2256" s="109">
        <f>IFERROR(VLOOKUP(C2256,Resources!B:G,6,FALSE)," ")</f>
        <v>42</v>
      </c>
      <c r="J2256" s="109">
        <f t="shared" ref="J2256:J2257" si="3419">(H2256/(G2256/F2256))*I2256</f>
        <v>49.458315789473694</v>
      </c>
      <c r="K2256" s="8">
        <f t="shared" ref="K2256:K2257" si="3420">L2256*F2256</f>
        <v>1.1775789473684211</v>
      </c>
      <c r="L2256" s="8">
        <f t="shared" si="3413"/>
        <v>0.39252631578947372</v>
      </c>
      <c r="M2256" s="109">
        <f t="shared" si="3414"/>
        <v>49.458315789473694</v>
      </c>
      <c r="N2256" s="109">
        <f t="shared" si="3415"/>
        <v>0</v>
      </c>
      <c r="O2256" s="109">
        <f t="shared" si="3416"/>
        <v>0</v>
      </c>
      <c r="P2256" s="109">
        <f t="shared" si="3417"/>
        <v>0</v>
      </c>
      <c r="Q2256" s="109">
        <f t="shared" si="3418"/>
        <v>49.458315789473694</v>
      </c>
      <c r="R2256" s="121">
        <v>222</v>
      </c>
      <c r="T2256" s="188"/>
    </row>
    <row r="2257" spans="1:22" x14ac:dyDescent="0.25">
      <c r="A2257" s="100"/>
      <c r="B2257" s="3">
        <v>3</v>
      </c>
      <c r="C2257" s="5" t="s">
        <v>45</v>
      </c>
      <c r="D2257" s="3" t="s">
        <v>48</v>
      </c>
      <c r="E2257" s="100" t="str">
        <f>IFERROR(VLOOKUP(C2257,Resources!B:D,3,FALSE)," ")</f>
        <v>P</v>
      </c>
      <c r="F2257" s="8">
        <v>1</v>
      </c>
      <c r="G2257" s="8">
        <f>G2256</f>
        <v>570</v>
      </c>
      <c r="H2257" s="8">
        <f>H2255</f>
        <v>223.74000000000004</v>
      </c>
      <c r="I2257" s="109">
        <f>IFERROR(VLOOKUP(C2257,Resources!B:G,6,FALSE)," ")</f>
        <v>95</v>
      </c>
      <c r="J2257" s="109">
        <f t="shared" si="3419"/>
        <v>37.290000000000006</v>
      </c>
      <c r="K2257" s="8">
        <f t="shared" si="3420"/>
        <v>0.39252631578947372</v>
      </c>
      <c r="L2257" s="8">
        <f t="shared" si="3413"/>
        <v>0.39252631578947372</v>
      </c>
      <c r="M2257" s="109">
        <f t="shared" si="3414"/>
        <v>0</v>
      </c>
      <c r="N2257" s="109">
        <f t="shared" si="3415"/>
        <v>0</v>
      </c>
      <c r="O2257" s="109">
        <f t="shared" si="3416"/>
        <v>37.290000000000006</v>
      </c>
      <c r="P2257" s="109">
        <f t="shared" si="3417"/>
        <v>0</v>
      </c>
      <c r="Q2257" s="109">
        <f t="shared" si="3418"/>
        <v>37.290000000000006</v>
      </c>
      <c r="R2257" s="121">
        <v>222</v>
      </c>
      <c r="T2257" s="188"/>
    </row>
    <row r="2258" spans="1:22" x14ac:dyDescent="0.25">
      <c r="T2258" s="188"/>
    </row>
    <row r="2259" spans="1:22" x14ac:dyDescent="0.25">
      <c r="A2259" s="114" t="s">
        <v>2712</v>
      </c>
      <c r="B2259" s="1" t="s">
        <v>2534</v>
      </c>
      <c r="C2259" s="1" t="s">
        <v>2535</v>
      </c>
      <c r="D2259" s="2" t="s">
        <v>2416</v>
      </c>
      <c r="E2259" s="99"/>
      <c r="F2259" s="7"/>
      <c r="G2259" s="7"/>
      <c r="H2259" s="103">
        <f>VLOOKUP($A2259,'Model Inputs'!$A:$D,4,FALSE)</f>
        <v>1</v>
      </c>
      <c r="I2259" s="108"/>
      <c r="J2259" s="108">
        <f>SUBTOTAL(9,J2261:J2271)</f>
        <v>831.3066666666665</v>
      </c>
      <c r="K2259" s="7"/>
      <c r="L2259" s="7">
        <f>ROUNDUP(MAX(L2266:L2268)+L2271+2,0)</f>
        <v>3</v>
      </c>
      <c r="M2259" s="108">
        <f t="shared" ref="M2259:Q2259" si="3421">SUBTOTAL(9,M2261:M2271)</f>
        <v>16.800000000000004</v>
      </c>
      <c r="N2259" s="108">
        <f t="shared" si="3421"/>
        <v>530.50666666666655</v>
      </c>
      <c r="O2259" s="108">
        <f t="shared" si="3421"/>
        <v>92.000000000000014</v>
      </c>
      <c r="P2259" s="108">
        <f t="shared" si="3421"/>
        <v>192</v>
      </c>
      <c r="Q2259" s="108">
        <f t="shared" si="3421"/>
        <v>831.3066666666665</v>
      </c>
      <c r="R2259" s="120"/>
      <c r="T2259" s="188"/>
    </row>
    <row r="2260" spans="1:22" s="75" customFormat="1" x14ac:dyDescent="0.25">
      <c r="A2260" s="149"/>
      <c r="B2260" s="150">
        <v>1</v>
      </c>
      <c r="C2260" s="151" t="s">
        <v>187</v>
      </c>
      <c r="D2260" s="150"/>
      <c r="E2260" s="149" t="str">
        <f>IFERROR(VLOOKUP(C2260,Resources!B:D,3,FALSE)," ")</f>
        <v xml:space="preserve"> </v>
      </c>
      <c r="F2260" s="152"/>
      <c r="G2260" s="152"/>
      <c r="H2260" s="152"/>
      <c r="I2260" s="153" t="str">
        <f>IFERROR(VLOOKUP(C2260,Resources!B:G,6,FALSE)," ")</f>
        <v xml:space="preserve"> </v>
      </c>
      <c r="J2260" s="153"/>
      <c r="K2260" s="152"/>
      <c r="L2260" s="152"/>
      <c r="M2260" s="153"/>
      <c r="N2260" s="153"/>
      <c r="O2260" s="153"/>
      <c r="P2260" s="153"/>
      <c r="Q2260" s="153"/>
      <c r="R2260" s="154"/>
      <c r="T2260" s="188"/>
      <c r="U2260"/>
      <c r="V2260"/>
    </row>
    <row r="2261" spans="1:22" x14ac:dyDescent="0.25">
      <c r="A2261" s="100"/>
      <c r="B2261" s="3">
        <v>2</v>
      </c>
      <c r="C2261" s="5" t="s">
        <v>85</v>
      </c>
      <c r="D2261" s="3" t="s">
        <v>86</v>
      </c>
      <c r="E2261" s="100" t="str">
        <f>IFERROR(VLOOKUP(C2261,Resources!B:D,3,FALSE)," ")</f>
        <v>M</v>
      </c>
      <c r="F2261" s="8">
        <v>1</v>
      </c>
      <c r="G2261" s="8">
        <v>1</v>
      </c>
      <c r="H2261" s="8">
        <f>H2259*12*0.125*1.1</f>
        <v>1.6500000000000001</v>
      </c>
      <c r="I2261" s="109">
        <f>IFERROR(VLOOKUP(C2261,Resources!B:G,6,FALSE)," ")</f>
        <v>192</v>
      </c>
      <c r="J2261" s="109">
        <f t="shared" ref="J2261:J2264" si="3422">(H2261/(G2261/F2261))*I2261</f>
        <v>316.8</v>
      </c>
      <c r="K2261" s="8"/>
      <c r="L2261" s="8" t="str">
        <f t="shared" ref="L2261:L2264" si="3423">IF(E2261="M"," ",H2261/G2261)</f>
        <v xml:space="preserve"> </v>
      </c>
      <c r="M2261" s="109">
        <f t="shared" ref="M2261:M2264" si="3424">IF($E2261="L",$J2261,0)</f>
        <v>0</v>
      </c>
      <c r="N2261" s="109">
        <f t="shared" ref="N2261:N2264" si="3425">IF($E2261="M",$J2261,0)</f>
        <v>316.8</v>
      </c>
      <c r="O2261" s="109">
        <f t="shared" ref="O2261:O2264" si="3426">IF($E2261="P",$J2261,0)</f>
        <v>0</v>
      </c>
      <c r="P2261" s="109">
        <f t="shared" ref="P2261:P2264" si="3427">IF($E2261="S",$J2261,0)</f>
        <v>0</v>
      </c>
      <c r="Q2261" s="109">
        <f t="shared" ref="Q2261:Q2264" si="3428">SUM(M2261:P2261)</f>
        <v>316.8</v>
      </c>
      <c r="R2261" s="121" t="s">
        <v>2335</v>
      </c>
      <c r="T2261" s="188"/>
    </row>
    <row r="2262" spans="1:22" x14ac:dyDescent="0.25">
      <c r="A2262" s="100"/>
      <c r="B2262" s="3">
        <v>3</v>
      </c>
      <c r="C2262" s="5" t="s">
        <v>81</v>
      </c>
      <c r="D2262" s="3" t="s">
        <v>82</v>
      </c>
      <c r="E2262" s="100" t="str">
        <f>IFERROR(VLOOKUP(C2262,Resources!B:D,3,FALSE)," ")</f>
        <v>M</v>
      </c>
      <c r="F2262" s="8">
        <v>1</v>
      </c>
      <c r="G2262" s="8">
        <v>1</v>
      </c>
      <c r="H2262" s="8">
        <f>H2259*12*0.1*1.5</f>
        <v>1.8000000000000003</v>
      </c>
      <c r="I2262" s="109">
        <f>IFERROR(VLOOKUP(C2262,Resources!B:G,6,FALSE)," ")</f>
        <v>24</v>
      </c>
      <c r="J2262" s="109">
        <f t="shared" si="3422"/>
        <v>43.2</v>
      </c>
      <c r="K2262" s="8"/>
      <c r="L2262" s="8" t="str">
        <f t="shared" si="3423"/>
        <v xml:space="preserve"> </v>
      </c>
      <c r="M2262" s="109">
        <f t="shared" si="3424"/>
        <v>0</v>
      </c>
      <c r="N2262" s="109">
        <f t="shared" si="3425"/>
        <v>43.2</v>
      </c>
      <c r="O2262" s="109">
        <f t="shared" si="3426"/>
        <v>0</v>
      </c>
      <c r="P2262" s="109">
        <f t="shared" si="3427"/>
        <v>0</v>
      </c>
      <c r="Q2262" s="109">
        <f t="shared" si="3428"/>
        <v>43.2</v>
      </c>
      <c r="R2262" s="121" t="s">
        <v>2341</v>
      </c>
      <c r="T2262" s="188"/>
    </row>
    <row r="2263" spans="1:22" x14ac:dyDescent="0.25">
      <c r="A2263" s="100"/>
      <c r="B2263" s="3">
        <v>4</v>
      </c>
      <c r="C2263" s="5" t="s">
        <v>189</v>
      </c>
      <c r="D2263" s="3" t="s">
        <v>83</v>
      </c>
      <c r="E2263" s="100" t="str">
        <f>IFERROR(VLOOKUP(C2263,Resources!B:D,3,FALSE)," ")</f>
        <v>M</v>
      </c>
      <c r="F2263" s="8">
        <v>1</v>
      </c>
      <c r="G2263" s="8">
        <v>1</v>
      </c>
      <c r="H2263" s="8">
        <f>H2259*12*1.2</f>
        <v>14.399999999999999</v>
      </c>
      <c r="I2263" s="109">
        <f>IFERROR(VLOOKUP(C2263,Resources!B:G,6,FALSE)," ")</f>
        <v>9.1</v>
      </c>
      <c r="J2263" s="109">
        <f t="shared" si="3422"/>
        <v>131.04</v>
      </c>
      <c r="K2263" s="8"/>
      <c r="L2263" s="8" t="str">
        <f t="shared" si="3423"/>
        <v xml:space="preserve"> </v>
      </c>
      <c r="M2263" s="109">
        <f t="shared" si="3424"/>
        <v>0</v>
      </c>
      <c r="N2263" s="109">
        <f t="shared" si="3425"/>
        <v>131.04</v>
      </c>
      <c r="O2263" s="109">
        <f t="shared" si="3426"/>
        <v>0</v>
      </c>
      <c r="P2263" s="109">
        <f t="shared" si="3427"/>
        <v>0</v>
      </c>
      <c r="Q2263" s="109">
        <f t="shared" si="3428"/>
        <v>131.04</v>
      </c>
      <c r="R2263" s="121" t="s">
        <v>2343</v>
      </c>
      <c r="T2263" s="188"/>
    </row>
    <row r="2264" spans="1:22" x14ac:dyDescent="0.25">
      <c r="A2264" s="100"/>
      <c r="B2264" s="3">
        <v>5</v>
      </c>
      <c r="C2264" s="5" t="s">
        <v>190</v>
      </c>
      <c r="D2264" s="3" t="s">
        <v>89</v>
      </c>
      <c r="E2264" s="100" t="str">
        <f>IFERROR(VLOOKUP(C2264,Resources!B:D,3,FALSE)," ")</f>
        <v>M</v>
      </c>
      <c r="F2264" s="8">
        <v>1</v>
      </c>
      <c r="G2264" s="8">
        <v>1</v>
      </c>
      <c r="H2264" s="8">
        <f>H2259*12*1.2/1.5</f>
        <v>9.6</v>
      </c>
      <c r="I2264" s="109">
        <f>IFERROR(VLOOKUP(C2264,Resources!B:G,6,FALSE)," ")</f>
        <v>3</v>
      </c>
      <c r="J2264" s="109">
        <f t="shared" si="3422"/>
        <v>28.799999999999997</v>
      </c>
      <c r="K2264" s="8"/>
      <c r="L2264" s="8" t="str">
        <f t="shared" si="3423"/>
        <v xml:space="preserve"> </v>
      </c>
      <c r="M2264" s="109">
        <f t="shared" si="3424"/>
        <v>0</v>
      </c>
      <c r="N2264" s="109">
        <f t="shared" si="3425"/>
        <v>28.799999999999997</v>
      </c>
      <c r="O2264" s="109">
        <f t="shared" si="3426"/>
        <v>0</v>
      </c>
      <c r="P2264" s="109">
        <f t="shared" si="3427"/>
        <v>0</v>
      </c>
      <c r="Q2264" s="109">
        <f t="shared" si="3428"/>
        <v>28.799999999999997</v>
      </c>
      <c r="R2264" s="121" t="s">
        <v>2343</v>
      </c>
      <c r="T2264" s="188"/>
    </row>
    <row r="2265" spans="1:22" s="75" customFormat="1" x14ac:dyDescent="0.25">
      <c r="A2265" s="149"/>
      <c r="B2265" s="150">
        <v>6</v>
      </c>
      <c r="C2265" s="151" t="s">
        <v>191</v>
      </c>
      <c r="D2265" s="150"/>
      <c r="E2265" s="149" t="str">
        <f>IFERROR(VLOOKUP(C2265,Resources!B:D,3,FALSE)," ")</f>
        <v xml:space="preserve"> </v>
      </c>
      <c r="F2265" s="152"/>
      <c r="G2265" s="152"/>
      <c r="H2265" s="152"/>
      <c r="I2265" s="153" t="str">
        <f>IFERROR(VLOOKUP(C2265,Resources!B:G,6,FALSE)," ")</f>
        <v xml:space="preserve"> </v>
      </c>
      <c r="J2265" s="153"/>
      <c r="K2265" s="152"/>
      <c r="L2265" s="152"/>
      <c r="M2265" s="153"/>
      <c r="N2265" s="153"/>
      <c r="O2265" s="153"/>
      <c r="P2265" s="153"/>
      <c r="Q2265" s="153"/>
      <c r="R2265" s="154"/>
      <c r="T2265" s="188"/>
      <c r="U2265"/>
      <c r="V2265"/>
    </row>
    <row r="2266" spans="1:22" x14ac:dyDescent="0.25">
      <c r="A2266" s="100" t="s">
        <v>2713</v>
      </c>
      <c r="B2266" s="3">
        <v>7</v>
      </c>
      <c r="C2266" s="5" t="s">
        <v>63</v>
      </c>
      <c r="D2266" s="3" t="s">
        <v>48</v>
      </c>
      <c r="E2266" s="100" t="str">
        <f>IFERROR(VLOOKUP(C2266,Resources!B:D,3,FALSE)," ")</f>
        <v>P</v>
      </c>
      <c r="F2266" s="8">
        <v>1</v>
      </c>
      <c r="G2266" s="103">
        <f>VLOOKUP($A2266,'Model Inputs'!$A:$D,4,FALSE)</f>
        <v>3</v>
      </c>
      <c r="H2266" s="8">
        <f>H2259*12*0.1</f>
        <v>1.2000000000000002</v>
      </c>
      <c r="I2266" s="109">
        <f>IFERROR(VLOOKUP(C2266,Resources!B:G,6,FALSE)," ")</f>
        <v>135</v>
      </c>
      <c r="J2266" s="109">
        <f t="shared" ref="J2266:J2268" si="3429">(H2266/(G2266/F2266))*I2266</f>
        <v>54.000000000000007</v>
      </c>
      <c r="K2266" s="8">
        <f t="shared" ref="K2266:K2268" si="3430">L2266*F2266</f>
        <v>0.40000000000000008</v>
      </c>
      <c r="L2266" s="8">
        <f t="shared" ref="L2266:L2268" si="3431">IF(E2266="M"," ",H2266/G2266)</f>
        <v>0.40000000000000008</v>
      </c>
      <c r="M2266" s="109">
        <f t="shared" ref="M2266:M2268" si="3432">IF($E2266="L",$J2266,0)</f>
        <v>0</v>
      </c>
      <c r="N2266" s="109">
        <f t="shared" ref="N2266:N2268" si="3433">IF($E2266="M",$J2266,0)</f>
        <v>0</v>
      </c>
      <c r="O2266" s="109">
        <f t="shared" ref="O2266:O2268" si="3434">IF($E2266="P",$J2266,0)</f>
        <v>54.000000000000007</v>
      </c>
      <c r="P2266" s="109">
        <f t="shared" ref="P2266:P2268" si="3435">IF($E2266="S",$J2266,0)</f>
        <v>0</v>
      </c>
      <c r="Q2266" s="109">
        <f t="shared" ref="Q2266:Q2268" si="3436">SUM(M2266:P2266)</f>
        <v>54.000000000000007</v>
      </c>
      <c r="R2266" s="121">
        <v>73</v>
      </c>
      <c r="T2266" s="188"/>
    </row>
    <row r="2267" spans="1:22" x14ac:dyDescent="0.25">
      <c r="A2267" s="100"/>
      <c r="B2267" s="3">
        <v>8</v>
      </c>
      <c r="C2267" s="5" t="s">
        <v>173</v>
      </c>
      <c r="D2267" s="3" t="s">
        <v>48</v>
      </c>
      <c r="E2267" s="100" t="str">
        <f>IFERROR(VLOOKUP(C2267,Resources!B:D,3,FALSE)," ")</f>
        <v>P</v>
      </c>
      <c r="F2267" s="8">
        <v>1</v>
      </c>
      <c r="G2267" s="8">
        <f>G2266</f>
        <v>3</v>
      </c>
      <c r="H2267" s="8">
        <f>H2266</f>
        <v>1.2000000000000002</v>
      </c>
      <c r="I2267" s="109">
        <f>IFERROR(VLOOKUP(C2267,Resources!B:G,6,FALSE)," ")</f>
        <v>95</v>
      </c>
      <c r="J2267" s="109">
        <f t="shared" si="3429"/>
        <v>38.000000000000007</v>
      </c>
      <c r="K2267" s="8">
        <f t="shared" si="3430"/>
        <v>0.40000000000000008</v>
      </c>
      <c r="L2267" s="8">
        <f t="shared" si="3431"/>
        <v>0.40000000000000008</v>
      </c>
      <c r="M2267" s="109">
        <f t="shared" si="3432"/>
        <v>0</v>
      </c>
      <c r="N2267" s="109">
        <f t="shared" si="3433"/>
        <v>0</v>
      </c>
      <c r="O2267" s="109">
        <f t="shared" si="3434"/>
        <v>38.000000000000007</v>
      </c>
      <c r="P2267" s="109">
        <f t="shared" si="3435"/>
        <v>0</v>
      </c>
      <c r="Q2267" s="109">
        <f t="shared" si="3436"/>
        <v>38.000000000000007</v>
      </c>
      <c r="R2267" s="121">
        <v>73</v>
      </c>
      <c r="T2267" s="188"/>
    </row>
    <row r="2268" spans="1:22" x14ac:dyDescent="0.25">
      <c r="A2268" s="100"/>
      <c r="B2268" s="3">
        <v>9</v>
      </c>
      <c r="C2268" s="5" t="s">
        <v>8</v>
      </c>
      <c r="D2268" s="3" t="s">
        <v>48</v>
      </c>
      <c r="E2268" s="100" t="str">
        <f>IFERROR(VLOOKUP(C2268,Resources!B:D,3,FALSE)," ")</f>
        <v>L</v>
      </c>
      <c r="F2268" s="8">
        <v>1</v>
      </c>
      <c r="G2268" s="8">
        <f>G2266</f>
        <v>3</v>
      </c>
      <c r="H2268" s="8">
        <f>H2266</f>
        <v>1.2000000000000002</v>
      </c>
      <c r="I2268" s="109">
        <f>IFERROR(VLOOKUP(C2268,Resources!B:G,6,FALSE)," ")</f>
        <v>42</v>
      </c>
      <c r="J2268" s="109">
        <f t="shared" si="3429"/>
        <v>16.800000000000004</v>
      </c>
      <c r="K2268" s="8">
        <f t="shared" si="3430"/>
        <v>0.40000000000000008</v>
      </c>
      <c r="L2268" s="8">
        <f t="shared" si="3431"/>
        <v>0.40000000000000008</v>
      </c>
      <c r="M2268" s="109">
        <f t="shared" si="3432"/>
        <v>16.800000000000004</v>
      </c>
      <c r="N2268" s="109">
        <f t="shared" si="3433"/>
        <v>0</v>
      </c>
      <c r="O2268" s="109">
        <f t="shared" si="3434"/>
        <v>0</v>
      </c>
      <c r="P2268" s="109">
        <f t="shared" si="3435"/>
        <v>0</v>
      </c>
      <c r="Q2268" s="109">
        <f t="shared" si="3436"/>
        <v>16.800000000000004</v>
      </c>
      <c r="R2268" s="121">
        <v>73</v>
      </c>
      <c r="T2268" s="188"/>
    </row>
    <row r="2269" spans="1:22" s="75" customFormat="1" x14ac:dyDescent="0.25">
      <c r="A2269" s="149"/>
      <c r="B2269" s="150">
        <v>10</v>
      </c>
      <c r="C2269" s="151" t="s">
        <v>192</v>
      </c>
      <c r="D2269" s="150"/>
      <c r="E2269" s="149" t="str">
        <f>IFERROR(VLOOKUP(C2269,Resources!B:D,3,FALSE)," ")</f>
        <v xml:space="preserve"> </v>
      </c>
      <c r="F2269" s="152"/>
      <c r="G2269" s="152"/>
      <c r="H2269" s="152"/>
      <c r="I2269" s="153" t="str">
        <f>IFERROR(VLOOKUP(C2269,Resources!B:G,6,FALSE)," ")</f>
        <v xml:space="preserve"> </v>
      </c>
      <c r="J2269" s="153"/>
      <c r="K2269" s="152"/>
      <c r="L2269" s="152"/>
      <c r="M2269" s="153"/>
      <c r="N2269" s="153"/>
      <c r="O2269" s="153"/>
      <c r="P2269" s="153"/>
      <c r="Q2269" s="153"/>
      <c r="R2269" s="154"/>
      <c r="T2269" s="188"/>
      <c r="U2269"/>
      <c r="V2269"/>
    </row>
    <row r="2270" spans="1:22" x14ac:dyDescent="0.25">
      <c r="A2270" s="100"/>
      <c r="B2270" s="3">
        <v>11</v>
      </c>
      <c r="C2270" s="5" t="s">
        <v>84</v>
      </c>
      <c r="D2270" s="3" t="s">
        <v>29</v>
      </c>
      <c r="E2270" s="100" t="str">
        <f>IFERROR(VLOOKUP(C2270,Resources!B:D,3,FALSE)," ")</f>
        <v>M</v>
      </c>
      <c r="F2270" s="8">
        <v>1</v>
      </c>
      <c r="G2270" s="8">
        <v>1</v>
      </c>
      <c r="H2270" s="8">
        <f>H2259*12/0.9</f>
        <v>13.333333333333332</v>
      </c>
      <c r="I2270" s="109">
        <f>IFERROR(VLOOKUP(C2270,Resources!B:G,6,FALSE)," ")</f>
        <v>0.8</v>
      </c>
      <c r="J2270" s="109">
        <f t="shared" ref="J2270:J2271" si="3437">(H2270/(G2270/F2270))*I2270</f>
        <v>10.666666666666666</v>
      </c>
      <c r="K2270" s="8"/>
      <c r="L2270" s="8" t="str">
        <f t="shared" ref="L2270" si="3438">IF(E2270="M"," ",H2270/G2270)</f>
        <v xml:space="preserve"> </v>
      </c>
      <c r="M2270" s="109">
        <f t="shared" ref="M2270:M2271" si="3439">IF($E2270="L",$J2270,0)</f>
        <v>0</v>
      </c>
      <c r="N2270" s="109">
        <f t="shared" ref="N2270:N2271" si="3440">IF($E2270="M",$J2270,0)</f>
        <v>10.666666666666666</v>
      </c>
      <c r="O2270" s="109">
        <f t="shared" ref="O2270:O2271" si="3441">IF($E2270="P",$J2270,0)</f>
        <v>0</v>
      </c>
      <c r="P2270" s="109">
        <f t="shared" ref="P2270:P2271" si="3442">IF($E2270="S",$J2270,0)</f>
        <v>0</v>
      </c>
      <c r="Q2270" s="109">
        <f t="shared" ref="Q2270:Q2271" si="3443">SUM(M2270:P2270)</f>
        <v>10.666666666666666</v>
      </c>
      <c r="R2270" s="121" t="s">
        <v>2343</v>
      </c>
      <c r="T2270" s="188"/>
    </row>
    <row r="2271" spans="1:22" x14ac:dyDescent="0.25">
      <c r="A2271" s="100"/>
      <c r="B2271" s="3">
        <v>12</v>
      </c>
      <c r="C2271" s="5" t="s">
        <v>193</v>
      </c>
      <c r="D2271" s="3" t="s">
        <v>83</v>
      </c>
      <c r="E2271" s="100" t="str">
        <f>IFERROR(VLOOKUP(C2271,Resources!B:D,3,FALSE)," ")</f>
        <v>S</v>
      </c>
      <c r="F2271" s="8">
        <v>1</v>
      </c>
      <c r="G2271" s="8">
        <v>1</v>
      </c>
      <c r="H2271" s="8">
        <f>H2259*6</f>
        <v>6</v>
      </c>
      <c r="I2271" s="109">
        <f>IFERROR(VLOOKUP(C2271,Resources!B:G,6,FALSE)," ")</f>
        <v>32</v>
      </c>
      <c r="J2271" s="109">
        <f t="shared" si="3437"/>
        <v>192</v>
      </c>
      <c r="K2271" s="8"/>
      <c r="L2271" s="8">
        <f>H2259/2</f>
        <v>0.5</v>
      </c>
      <c r="M2271" s="109">
        <f t="shared" si="3439"/>
        <v>0</v>
      </c>
      <c r="N2271" s="109">
        <f t="shared" si="3440"/>
        <v>0</v>
      </c>
      <c r="O2271" s="109">
        <f t="shared" si="3441"/>
        <v>0</v>
      </c>
      <c r="P2271" s="109">
        <f t="shared" si="3442"/>
        <v>192</v>
      </c>
      <c r="Q2271" s="109">
        <f t="shared" si="3443"/>
        <v>192</v>
      </c>
      <c r="R2271" s="121">
        <v>73</v>
      </c>
      <c r="T2271" s="188"/>
    </row>
    <row r="2272" spans="1:22" x14ac:dyDescent="0.25">
      <c r="T2272" s="188"/>
    </row>
    <row r="2273" spans="1:22" x14ac:dyDescent="0.25">
      <c r="A2273" s="114" t="s">
        <v>2710</v>
      </c>
      <c r="B2273" s="1" t="s">
        <v>2536</v>
      </c>
      <c r="C2273" s="1" t="s">
        <v>2537</v>
      </c>
      <c r="D2273" s="2" t="s">
        <v>2416</v>
      </c>
      <c r="E2273" s="99"/>
      <c r="F2273" s="7"/>
      <c r="G2273" s="7"/>
      <c r="H2273" s="103">
        <f>VLOOKUP($A2273,'Model Inputs'!$A:$D,4,FALSE)</f>
        <v>1</v>
      </c>
      <c r="I2273" s="108"/>
      <c r="J2273" s="108">
        <f>SUBTOTAL(9,J2274)</f>
        <v>9050</v>
      </c>
      <c r="K2273" s="7"/>
      <c r="L2273" s="7">
        <f>ROUNDUP(L2274,0)</f>
        <v>1</v>
      </c>
      <c r="M2273" s="108">
        <f t="shared" ref="M2273:Q2273" si="3444">SUBTOTAL(9,M2274)</f>
        <v>0</v>
      </c>
      <c r="N2273" s="108">
        <f t="shared" si="3444"/>
        <v>0</v>
      </c>
      <c r="O2273" s="108">
        <f t="shared" si="3444"/>
        <v>0</v>
      </c>
      <c r="P2273" s="108">
        <f t="shared" si="3444"/>
        <v>9050</v>
      </c>
      <c r="Q2273" s="108">
        <f t="shared" si="3444"/>
        <v>9050</v>
      </c>
      <c r="R2273" s="120"/>
      <c r="T2273" s="188"/>
    </row>
    <row r="2274" spans="1:22" x14ac:dyDescent="0.25">
      <c r="A2274" s="100"/>
      <c r="B2274" s="3">
        <v>2</v>
      </c>
      <c r="C2274" s="5" t="s">
        <v>306</v>
      </c>
      <c r="D2274" s="3" t="s">
        <v>33</v>
      </c>
      <c r="E2274" s="100" t="str">
        <f>IFERROR(VLOOKUP(C2274,Resources!B:D,3,FALSE)," ")</f>
        <v>S</v>
      </c>
      <c r="F2274" s="8">
        <v>1</v>
      </c>
      <c r="G2274" s="8">
        <v>1</v>
      </c>
      <c r="H2274" s="8">
        <f>H2273*9050</f>
        <v>9050</v>
      </c>
      <c r="I2274" s="109">
        <f>IFERROR(VLOOKUP(C2274,Resources!B:G,6,FALSE)," ")</f>
        <v>1</v>
      </c>
      <c r="J2274" s="109">
        <f t="shared" ref="J2274" si="3445">(H2274/(G2274/F2274))*I2274</f>
        <v>9050</v>
      </c>
      <c r="K2274" s="8"/>
      <c r="L2274" s="8">
        <f>H2273/2</f>
        <v>0.5</v>
      </c>
      <c r="M2274" s="109">
        <f t="shared" ref="M2274" si="3446">IF($E2274="L",$J2274,0)</f>
        <v>0</v>
      </c>
      <c r="N2274" s="109">
        <f t="shared" ref="N2274" si="3447">IF($E2274="M",$J2274,0)</f>
        <v>0</v>
      </c>
      <c r="O2274" s="109">
        <f t="shared" ref="O2274" si="3448">IF($E2274="P",$J2274,0)</f>
        <v>0</v>
      </c>
      <c r="P2274" s="109">
        <f t="shared" ref="P2274" si="3449">IF($E2274="S",$J2274,0)</f>
        <v>9050</v>
      </c>
      <c r="Q2274" s="109">
        <f t="shared" ref="Q2274" si="3450">SUM(M2274:P2274)</f>
        <v>9050</v>
      </c>
      <c r="R2274" s="121">
        <v>86</v>
      </c>
      <c r="T2274" s="188"/>
    </row>
    <row r="2275" spans="1:22" s="138" customFormat="1" x14ac:dyDescent="0.25">
      <c r="A2275" s="139"/>
      <c r="B2275" s="140"/>
      <c r="C2275" s="140"/>
      <c r="D2275" s="141"/>
      <c r="E2275" s="142"/>
      <c r="F2275" s="143"/>
      <c r="G2275" s="143"/>
      <c r="H2275" s="143"/>
      <c r="I2275" s="144"/>
      <c r="J2275" s="144"/>
      <c r="K2275" s="143"/>
      <c r="L2275" s="143"/>
      <c r="M2275" s="144"/>
      <c r="N2275" s="144"/>
      <c r="O2275" s="144"/>
      <c r="P2275" s="144"/>
      <c r="Q2275" s="144"/>
      <c r="R2275" s="145"/>
      <c r="T2275" s="188"/>
      <c r="U2275"/>
      <c r="V2275"/>
    </row>
    <row r="2276" spans="1:22" x14ac:dyDescent="0.25">
      <c r="A2276" s="114" t="s">
        <v>2711</v>
      </c>
      <c r="B2276" s="1" t="s">
        <v>2538</v>
      </c>
      <c r="C2276" s="1" t="s">
        <v>2539</v>
      </c>
      <c r="D2276" s="2" t="s">
        <v>2416</v>
      </c>
      <c r="E2276" s="99"/>
      <c r="F2276" s="7"/>
      <c r="G2276" s="7"/>
      <c r="H2276" s="103">
        <f>VLOOKUP($A2276,'Model Inputs'!$A:$D,4,FALSE)</f>
        <v>1</v>
      </c>
      <c r="I2276" s="108"/>
      <c r="J2276" s="108">
        <f>SUBTOTAL(9,J2277:J2278)</f>
        <v>446</v>
      </c>
      <c r="K2276" s="7"/>
      <c r="L2276" s="7">
        <f>ROUNDUP(L2278,0)</f>
        <v>1</v>
      </c>
      <c r="M2276" s="108">
        <f t="shared" ref="M2276" si="3451">SUBTOTAL(9,M2277:M2278)</f>
        <v>0</v>
      </c>
      <c r="N2276" s="108">
        <f t="shared" ref="N2276" si="3452">SUBTOTAL(9,N2277:N2278)</f>
        <v>96</v>
      </c>
      <c r="O2276" s="108">
        <f t="shared" ref="O2276" si="3453">SUBTOTAL(9,O2277:O2278)</f>
        <v>0</v>
      </c>
      <c r="P2276" s="108">
        <f t="shared" ref="P2276" si="3454">SUBTOTAL(9,P2277:P2278)</f>
        <v>350</v>
      </c>
      <c r="Q2276" s="108">
        <f t="shared" ref="Q2276" si="3455">SUBTOTAL(9,Q2277:Q2278)</f>
        <v>446</v>
      </c>
      <c r="R2276" s="120"/>
      <c r="T2276" s="188"/>
    </row>
    <row r="2277" spans="1:22" x14ac:dyDescent="0.25">
      <c r="A2277" s="100"/>
      <c r="B2277" s="3">
        <v>1</v>
      </c>
      <c r="C2277" s="5" t="s">
        <v>85</v>
      </c>
      <c r="D2277" s="100" t="s">
        <v>86</v>
      </c>
      <c r="E2277" s="100" t="str">
        <f>IFERROR(VLOOKUP(C2277,Resources!B:D,3,FALSE)," ")</f>
        <v>M</v>
      </c>
      <c r="F2277" s="8">
        <v>1</v>
      </c>
      <c r="G2277" s="8">
        <v>1</v>
      </c>
      <c r="H2277" s="8">
        <f>H2276*0.5</f>
        <v>0.5</v>
      </c>
      <c r="I2277" s="109">
        <f>IFERROR(VLOOKUP(C2277,Resources!B:G,6,FALSE)," ")</f>
        <v>192</v>
      </c>
      <c r="J2277" s="109">
        <f t="shared" ref="J2277:J2278" si="3456">(H2277/(G2277/F2277))*I2277</f>
        <v>96</v>
      </c>
      <c r="K2277" s="8"/>
      <c r="L2277" s="8"/>
      <c r="M2277" s="109">
        <f t="shared" ref="M2277:M2278" si="3457">IF($E2277="L",$J2277,0)</f>
        <v>0</v>
      </c>
      <c r="N2277" s="109">
        <f t="shared" ref="N2277:N2278" si="3458">IF($E2277="M",$J2277,0)</f>
        <v>96</v>
      </c>
      <c r="O2277" s="109">
        <f t="shared" ref="O2277:O2278" si="3459">IF($E2277="P",$J2277,0)</f>
        <v>0</v>
      </c>
      <c r="P2277" s="109">
        <f t="shared" ref="P2277:P2278" si="3460">IF($E2277="S",$J2277,0)</f>
        <v>0</v>
      </c>
      <c r="Q2277" s="109">
        <f t="shared" ref="Q2277:Q2278" si="3461">SUM(M2277:P2277)</f>
        <v>96</v>
      </c>
      <c r="R2277" s="121" t="s">
        <v>2335</v>
      </c>
      <c r="T2277" s="188"/>
    </row>
    <row r="2278" spans="1:22" x14ac:dyDescent="0.25">
      <c r="A2278" s="100"/>
      <c r="B2278" s="3">
        <v>2</v>
      </c>
      <c r="C2278" s="5" t="s">
        <v>2232</v>
      </c>
      <c r="D2278" s="100" t="s">
        <v>86</v>
      </c>
      <c r="E2278" s="100" t="str">
        <f>IFERROR(VLOOKUP(C2278,Resources!B:D,3,FALSE)," ")</f>
        <v>S</v>
      </c>
      <c r="F2278" s="8">
        <v>1</v>
      </c>
      <c r="G2278" s="8">
        <v>1</v>
      </c>
      <c r="H2278" s="8">
        <f>H2277</f>
        <v>0.5</v>
      </c>
      <c r="I2278" s="109">
        <f>IFERROR(VLOOKUP(C2278,Resources!B:G,6,FALSE)," ")</f>
        <v>700</v>
      </c>
      <c r="J2278" s="109">
        <f t="shared" si="3456"/>
        <v>350</v>
      </c>
      <c r="K2278" s="8"/>
      <c r="L2278" s="8">
        <f>ROUNDUP(H2278/8000,0)</f>
        <v>1</v>
      </c>
      <c r="M2278" s="109">
        <f t="shared" si="3457"/>
        <v>0</v>
      </c>
      <c r="N2278" s="109">
        <f t="shared" si="3458"/>
        <v>0</v>
      </c>
      <c r="O2278" s="109">
        <f t="shared" si="3459"/>
        <v>0</v>
      </c>
      <c r="P2278" s="109">
        <f t="shared" si="3460"/>
        <v>350</v>
      </c>
      <c r="Q2278" s="109">
        <f t="shared" si="3461"/>
        <v>350</v>
      </c>
      <c r="R2278" s="121">
        <v>71</v>
      </c>
      <c r="T2278" s="188"/>
    </row>
    <row r="2279" spans="1:22" x14ac:dyDescent="0.25">
      <c r="T2279" s="188"/>
    </row>
    <row r="2280" spans="1:22" x14ac:dyDescent="0.25">
      <c r="A2280" s="114" t="s">
        <v>2714</v>
      </c>
      <c r="B2280" s="1" t="s">
        <v>2542</v>
      </c>
      <c r="C2280" s="1" t="s">
        <v>2715</v>
      </c>
      <c r="D2280" s="2" t="s">
        <v>2593</v>
      </c>
      <c r="E2280" s="99"/>
      <c r="F2280" s="7"/>
      <c r="G2280" s="7"/>
      <c r="H2280" s="103">
        <f>VLOOKUP($A2280,'Model Inputs'!$A:$D,4,FALSE)</f>
        <v>1</v>
      </c>
      <c r="I2280" s="108"/>
      <c r="J2280" s="108">
        <f>SUBTOTAL(9,J2281:J2282)</f>
        <v>2960</v>
      </c>
      <c r="K2280" s="7"/>
      <c r="L2280" s="7">
        <f>ROUNDUP(MAX(L2281:L2282),0)</f>
        <v>1</v>
      </c>
      <c r="M2280" s="108">
        <f t="shared" ref="M2280:Q2280" si="3462">SUBTOTAL(9,M2281:M2282)</f>
        <v>0</v>
      </c>
      <c r="N2280" s="108">
        <f t="shared" si="3462"/>
        <v>0</v>
      </c>
      <c r="O2280" s="108">
        <f t="shared" si="3462"/>
        <v>0</v>
      </c>
      <c r="P2280" s="108">
        <f t="shared" si="3462"/>
        <v>2960</v>
      </c>
      <c r="Q2280" s="108">
        <f t="shared" si="3462"/>
        <v>2960</v>
      </c>
      <c r="R2280" s="120"/>
      <c r="T2280" s="188"/>
    </row>
    <row r="2281" spans="1:22" x14ac:dyDescent="0.25">
      <c r="A2281" s="100"/>
      <c r="B2281" s="3">
        <v>2</v>
      </c>
      <c r="C2281" s="5" t="s">
        <v>143</v>
      </c>
      <c r="D2281" s="100" t="s">
        <v>2593</v>
      </c>
      <c r="E2281" s="100" t="str">
        <f>IFERROR(VLOOKUP(C2281,Resources!B:D,3,FALSE)," ")</f>
        <v>S</v>
      </c>
      <c r="F2281" s="8">
        <v>1</v>
      </c>
      <c r="G2281" s="8">
        <v>1</v>
      </c>
      <c r="H2281" s="8">
        <f>H2280*1000</f>
        <v>1000</v>
      </c>
      <c r="I2281" s="109">
        <f>IFERROR(VLOOKUP(C2281,Resources!B:G,6,FALSE)," ")</f>
        <v>2.4500000000000002</v>
      </c>
      <c r="J2281" s="109">
        <f t="shared" ref="J2281" si="3463">(H2281/(G2281/F2281))*I2281</f>
        <v>2450</v>
      </c>
      <c r="K2281" s="8"/>
      <c r="L2281" s="8">
        <f>ROUNDUP(H2281/8000,0)</f>
        <v>1</v>
      </c>
      <c r="M2281" s="109">
        <f t="shared" ref="M2281:M2282" si="3464">IF($E2281="L",$J2281,0)</f>
        <v>0</v>
      </c>
      <c r="N2281" s="109">
        <f t="shared" ref="N2281:N2282" si="3465">IF($E2281="M",$J2281,0)</f>
        <v>0</v>
      </c>
      <c r="O2281" s="109">
        <f t="shared" ref="O2281:O2282" si="3466">IF($E2281="P",$J2281,0)</f>
        <v>0</v>
      </c>
      <c r="P2281" s="109">
        <f t="shared" ref="P2281:P2282" si="3467">IF($E2281="S",$J2281,0)</f>
        <v>2450</v>
      </c>
      <c r="Q2281" s="109">
        <f t="shared" ref="Q2281" si="3468">SUM(M2281:P2281)</f>
        <v>2450</v>
      </c>
      <c r="R2281" s="121">
        <v>121</v>
      </c>
      <c r="T2281" s="188"/>
    </row>
    <row r="2282" spans="1:22" x14ac:dyDescent="0.25">
      <c r="A2282" s="100"/>
      <c r="B2282" s="3">
        <v>3</v>
      </c>
      <c r="C2282" s="5" t="s">
        <v>242</v>
      </c>
      <c r="D2282" s="100" t="s">
        <v>2548</v>
      </c>
      <c r="E2282" s="100" t="str">
        <f>IFERROR(VLOOKUP(C2282,Resources!B:D,3,FALSE)," ")</f>
        <v>S</v>
      </c>
      <c r="F2282" s="8">
        <v>1</v>
      </c>
      <c r="G2282" s="8">
        <v>1</v>
      </c>
      <c r="H2282" s="8">
        <f>H2280*60</f>
        <v>60</v>
      </c>
      <c r="I2282" s="109">
        <f>IFERROR(VLOOKUP(C2282,Resources!B:G,6,FALSE)," ")</f>
        <v>8.5</v>
      </c>
      <c r="J2282" s="109">
        <f t="shared" ref="J2282" si="3469">(H2282/(G2282/F2282))*I2282</f>
        <v>510</v>
      </c>
      <c r="K2282" s="8"/>
      <c r="L2282" s="8">
        <f>ROUNDUP(H2282/8000,0)</f>
        <v>1</v>
      </c>
      <c r="M2282" s="109">
        <f t="shared" si="3464"/>
        <v>0</v>
      </c>
      <c r="N2282" s="109">
        <f t="shared" si="3465"/>
        <v>0</v>
      </c>
      <c r="O2282" s="109">
        <f t="shared" si="3466"/>
        <v>0</v>
      </c>
      <c r="P2282" s="109">
        <f t="shared" si="3467"/>
        <v>510</v>
      </c>
      <c r="Q2282" s="109">
        <f t="shared" ref="Q2282" si="3470">SUM(M2282:P2282)</f>
        <v>510</v>
      </c>
      <c r="R2282" s="121">
        <v>121</v>
      </c>
      <c r="T2282" s="188"/>
    </row>
    <row r="2283" spans="1:22" x14ac:dyDescent="0.25">
      <c r="A2283" s="101"/>
      <c r="B2283" s="4"/>
      <c r="C2283" s="6"/>
      <c r="D2283" s="4"/>
      <c r="I2283" s="38"/>
      <c r="M2283" s="38"/>
      <c r="N2283" s="38"/>
      <c r="O2283" s="38"/>
      <c r="P2283" s="38"/>
      <c r="Q2283" s="38"/>
      <c r="R2283" s="123"/>
      <c r="T2283" s="188"/>
    </row>
    <row r="2284" spans="1:22" x14ac:dyDescent="0.25">
      <c r="A2284" s="114" t="s">
        <v>2741</v>
      </c>
      <c r="B2284" s="1" t="s">
        <v>2508</v>
      </c>
      <c r="C2284" s="1" t="s">
        <v>2509</v>
      </c>
      <c r="D2284" s="2" t="s">
        <v>2416</v>
      </c>
      <c r="E2284" s="99"/>
      <c r="F2284" s="7"/>
      <c r="G2284" s="7"/>
      <c r="H2284" s="7">
        <v>1</v>
      </c>
      <c r="I2284" s="108"/>
      <c r="J2284" s="108">
        <v>0</v>
      </c>
      <c r="K2284" s="7"/>
      <c r="L2284" s="7">
        <v>0</v>
      </c>
      <c r="M2284" s="108">
        <v>0</v>
      </c>
      <c r="N2284" s="108">
        <v>0</v>
      </c>
      <c r="O2284" s="108">
        <v>0</v>
      </c>
      <c r="P2284" s="108">
        <v>0</v>
      </c>
      <c r="Q2284" s="108">
        <v>0</v>
      </c>
      <c r="R2284" s="120"/>
      <c r="T2284" s="188"/>
    </row>
    <row r="2285" spans="1:22" x14ac:dyDescent="0.25">
      <c r="T2285" s="188"/>
    </row>
    <row r="2286" spans="1:22" ht="30" x14ac:dyDescent="0.25">
      <c r="A2286" s="114" t="s">
        <v>2717</v>
      </c>
      <c r="B2286" s="1" t="s">
        <v>2520</v>
      </c>
      <c r="C2286" s="1" t="s">
        <v>2716</v>
      </c>
      <c r="D2286" s="2" t="s">
        <v>2416</v>
      </c>
      <c r="E2286" s="99"/>
      <c r="F2286" s="7"/>
      <c r="G2286" s="7"/>
      <c r="H2286" s="7">
        <v>1</v>
      </c>
      <c r="I2286" s="108"/>
      <c r="J2286" s="108">
        <f>SUBTOTAL(9,J2288:J2309)</f>
        <v>14650.582596491231</v>
      </c>
      <c r="K2286" s="7"/>
      <c r="L2286" s="7">
        <f>ROUNDUP(MAX(L2288:L2291),0)+ROUNDUP(MAX(L2293:L2296,L2306:L2309),0)</f>
        <v>3</v>
      </c>
      <c r="M2286" s="108">
        <f t="shared" ref="M2286:Q2286" si="3471">SUBTOTAL(9,M2288:M2309)</f>
        <v>1567.4392631578944</v>
      </c>
      <c r="N2286" s="108">
        <f t="shared" si="3471"/>
        <v>1499.23</v>
      </c>
      <c r="O2286" s="108">
        <f t="shared" si="3471"/>
        <v>11583.913333333332</v>
      </c>
      <c r="P2286" s="108">
        <f t="shared" si="3471"/>
        <v>0</v>
      </c>
      <c r="Q2286" s="108">
        <f t="shared" si="3471"/>
        <v>14650.582596491231</v>
      </c>
      <c r="R2286" s="120" t="s">
        <v>781</v>
      </c>
      <c r="T2286" s="188"/>
    </row>
    <row r="2287" spans="1:22" s="75" customFormat="1" x14ac:dyDescent="0.25">
      <c r="A2287" s="156" t="s">
        <v>2718</v>
      </c>
      <c r="B2287" s="75" t="s">
        <v>2417</v>
      </c>
      <c r="C2287" s="157" t="s">
        <v>2514</v>
      </c>
      <c r="D2287" s="75" t="s">
        <v>86</v>
      </c>
      <c r="H2287" s="103">
        <f>VLOOKUP($A2287,'Model Inputs'!$A:$D,4,FALSE)</f>
        <v>295.39999999999998</v>
      </c>
      <c r="I2287" s="158"/>
      <c r="J2287" s="158"/>
      <c r="M2287" s="158"/>
      <c r="N2287" s="158"/>
      <c r="O2287" s="158"/>
      <c r="P2287" s="158"/>
      <c r="Q2287" s="158"/>
      <c r="R2287" s="159"/>
      <c r="T2287" s="188"/>
      <c r="U2287"/>
      <c r="V2287"/>
    </row>
    <row r="2288" spans="1:22" x14ac:dyDescent="0.25">
      <c r="A2288" s="100" t="s">
        <v>2719</v>
      </c>
      <c r="B2288" s="3">
        <v>5</v>
      </c>
      <c r="C2288" s="5" t="s">
        <v>63</v>
      </c>
      <c r="D2288" s="3" t="s">
        <v>48</v>
      </c>
      <c r="E2288" s="100" t="str">
        <f>IFERROR(VLOOKUP(C2288,Resources!B:D,3,FALSE)," ")</f>
        <v>P</v>
      </c>
      <c r="F2288" s="8">
        <v>1</v>
      </c>
      <c r="G2288" s="103">
        <f>VLOOKUP($A2288,'Model Inputs'!$A:$D,4,FALSE)</f>
        <v>30</v>
      </c>
      <c r="H2288" s="8">
        <f>H2287</f>
        <v>295.39999999999998</v>
      </c>
      <c r="I2288" s="109">
        <f>IFERROR(VLOOKUP(C2288,Resources!B:G,6,FALSE)," ")</f>
        <v>135</v>
      </c>
      <c r="J2288" s="109">
        <f t="shared" ref="J2288:J2291" si="3472">(H2288/(G2288/F2288))*I2288</f>
        <v>1329.3</v>
      </c>
      <c r="K2288" s="8">
        <f t="shared" ref="K2288:K2291" si="3473">L2288*F2288</f>
        <v>1.094074074074074</v>
      </c>
      <c r="L2288" s="8">
        <f>IF(E2288="M"," ",H2288/(G2288*Workhrs))</f>
        <v>1.094074074074074</v>
      </c>
      <c r="M2288" s="109">
        <f t="shared" ref="M2288:M2291" si="3474">IF($E2288="L",$J2288,0)</f>
        <v>0</v>
      </c>
      <c r="N2288" s="109">
        <f t="shared" ref="N2288:N2291" si="3475">IF($E2288="M",$J2288,0)</f>
        <v>0</v>
      </c>
      <c r="O2288" s="109">
        <f t="shared" ref="O2288:O2291" si="3476">IF($E2288="P",$J2288,0)</f>
        <v>1329.3</v>
      </c>
      <c r="P2288" s="109">
        <f t="shared" ref="P2288:P2291" si="3477">IF($E2288="S",$J2288,0)</f>
        <v>0</v>
      </c>
      <c r="Q2288" s="109">
        <f t="shared" ref="Q2288:Q2291" si="3478">SUM(M2288:P2288)</f>
        <v>1329.3</v>
      </c>
      <c r="R2288" s="121">
        <v>57</v>
      </c>
      <c r="T2288" s="188"/>
    </row>
    <row r="2289" spans="1:22" x14ac:dyDescent="0.25">
      <c r="A2289" s="100" t="s">
        <v>2720</v>
      </c>
      <c r="B2289" s="3">
        <v>6</v>
      </c>
      <c r="C2289" s="5" t="s">
        <v>44</v>
      </c>
      <c r="D2289" s="3" t="s">
        <v>48</v>
      </c>
      <c r="E2289" s="100" t="str">
        <f>IFERROR(VLOOKUP(C2289,Resources!B:D,3,FALSE)," ")</f>
        <v>P</v>
      </c>
      <c r="F2289" s="103">
        <f>VLOOKUP($A2289,'Model Inputs'!$A:$D,4,FALSE)</f>
        <v>2</v>
      </c>
      <c r="G2289" s="8">
        <f>G2288</f>
        <v>30</v>
      </c>
      <c r="H2289" s="8">
        <f>H2287</f>
        <v>295.39999999999998</v>
      </c>
      <c r="I2289" s="109">
        <f>IFERROR(VLOOKUP(C2289,Resources!B:G,6,FALSE)," ")</f>
        <v>145</v>
      </c>
      <c r="J2289" s="109">
        <f t="shared" si="3472"/>
        <v>2855.5333333333333</v>
      </c>
      <c r="K2289" s="8">
        <f t="shared" si="3473"/>
        <v>2.188148148148148</v>
      </c>
      <c r="L2289" s="8">
        <f>IF(E2289="M"," ",H2289/(G2289*Workhrs))</f>
        <v>1.094074074074074</v>
      </c>
      <c r="M2289" s="109">
        <f t="shared" si="3474"/>
        <v>0</v>
      </c>
      <c r="N2289" s="109">
        <f t="shared" si="3475"/>
        <v>0</v>
      </c>
      <c r="O2289" s="109">
        <f t="shared" si="3476"/>
        <v>2855.5333333333333</v>
      </c>
      <c r="P2289" s="109">
        <f t="shared" si="3477"/>
        <v>0</v>
      </c>
      <c r="Q2289" s="109">
        <f t="shared" si="3478"/>
        <v>2855.5333333333333</v>
      </c>
      <c r="R2289" s="121">
        <v>57</v>
      </c>
      <c r="T2289" s="188"/>
    </row>
    <row r="2290" spans="1:22" x14ac:dyDescent="0.25">
      <c r="A2290" s="100"/>
      <c r="B2290" s="3">
        <v>7</v>
      </c>
      <c r="C2290" s="5" t="s">
        <v>64</v>
      </c>
      <c r="D2290" s="3" t="s">
        <v>48</v>
      </c>
      <c r="E2290" s="100" t="str">
        <f>IFERROR(VLOOKUP(C2290,Resources!B:D,3,FALSE)," ")</f>
        <v>P</v>
      </c>
      <c r="F2290" s="8">
        <v>1</v>
      </c>
      <c r="G2290" s="8">
        <f>G2288</f>
        <v>30</v>
      </c>
      <c r="H2290" s="8">
        <f>H2287</f>
        <v>295.39999999999998</v>
      </c>
      <c r="I2290" s="109">
        <f>IFERROR(VLOOKUP(C2290,Resources!B:G,6,FALSE)," ")</f>
        <v>100</v>
      </c>
      <c r="J2290" s="109">
        <f t="shared" si="3472"/>
        <v>984.66666666666663</v>
      </c>
      <c r="K2290" s="8">
        <f t="shared" si="3473"/>
        <v>1.094074074074074</v>
      </c>
      <c r="L2290" s="8">
        <f>IF(E2290="M"," ",H2290/(G2290*Workhrs))</f>
        <v>1.094074074074074</v>
      </c>
      <c r="M2290" s="109">
        <f t="shared" si="3474"/>
        <v>0</v>
      </c>
      <c r="N2290" s="109">
        <f t="shared" si="3475"/>
        <v>0</v>
      </c>
      <c r="O2290" s="109">
        <f t="shared" si="3476"/>
        <v>984.66666666666663</v>
      </c>
      <c r="P2290" s="109">
        <f t="shared" si="3477"/>
        <v>0</v>
      </c>
      <c r="Q2290" s="109">
        <f t="shared" si="3478"/>
        <v>984.66666666666663</v>
      </c>
      <c r="R2290" s="121">
        <v>57</v>
      </c>
      <c r="T2290" s="188"/>
    </row>
    <row r="2291" spans="1:22" x14ac:dyDescent="0.25">
      <c r="A2291" s="100"/>
      <c r="B2291" s="3">
        <v>8</v>
      </c>
      <c r="C2291" s="5" t="s">
        <v>8</v>
      </c>
      <c r="D2291" s="3" t="s">
        <v>48</v>
      </c>
      <c r="E2291" s="100" t="str">
        <f>IFERROR(VLOOKUP(C2291,Resources!B:D,3,FALSE)," ")</f>
        <v>L</v>
      </c>
      <c r="F2291" s="8">
        <v>1</v>
      </c>
      <c r="G2291" s="8">
        <f>G2288</f>
        <v>30</v>
      </c>
      <c r="H2291" s="8">
        <f>H2287</f>
        <v>295.39999999999998</v>
      </c>
      <c r="I2291" s="109">
        <f>IFERROR(VLOOKUP(C2291,Resources!B:G,6,FALSE)," ")</f>
        <v>42</v>
      </c>
      <c r="J2291" s="109">
        <f t="shared" si="3472"/>
        <v>413.55999999999995</v>
      </c>
      <c r="K2291" s="8">
        <f t="shared" si="3473"/>
        <v>1.094074074074074</v>
      </c>
      <c r="L2291" s="8">
        <f>IF(E2291="M"," ",H2291/(G2291*Workhrs))</f>
        <v>1.094074074074074</v>
      </c>
      <c r="M2291" s="109">
        <f t="shared" si="3474"/>
        <v>413.55999999999995</v>
      </c>
      <c r="N2291" s="109">
        <f t="shared" si="3475"/>
        <v>0</v>
      </c>
      <c r="O2291" s="109">
        <f t="shared" si="3476"/>
        <v>0</v>
      </c>
      <c r="P2291" s="109">
        <f t="shared" si="3477"/>
        <v>0</v>
      </c>
      <c r="Q2291" s="109">
        <f t="shared" si="3478"/>
        <v>413.55999999999995</v>
      </c>
      <c r="R2291" s="121">
        <v>57</v>
      </c>
      <c r="T2291" s="188"/>
    </row>
    <row r="2292" spans="1:22" s="75" customFormat="1" x14ac:dyDescent="0.25">
      <c r="A2292" s="156" t="s">
        <v>2721</v>
      </c>
      <c r="B2292" s="75" t="s">
        <v>2417</v>
      </c>
      <c r="C2292" s="157" t="s">
        <v>2521</v>
      </c>
      <c r="D2292" s="75" t="s">
        <v>86</v>
      </c>
      <c r="H2292" s="103">
        <f>VLOOKUP($A2292,'Model Inputs'!$A:$D,4,FALSE)</f>
        <v>183.6</v>
      </c>
      <c r="I2292" s="158"/>
      <c r="J2292" s="158"/>
      <c r="M2292" s="158"/>
      <c r="N2292" s="158"/>
      <c r="O2292" s="158"/>
      <c r="P2292" s="158"/>
      <c r="Q2292" s="158"/>
      <c r="R2292" s="159"/>
      <c r="T2292" s="188"/>
      <c r="U2292"/>
      <c r="V2292"/>
    </row>
    <row r="2293" spans="1:22" x14ac:dyDescent="0.25">
      <c r="A2293" s="100" t="s">
        <v>2722</v>
      </c>
      <c r="B2293" s="3">
        <v>1</v>
      </c>
      <c r="C2293" s="5" t="s">
        <v>63</v>
      </c>
      <c r="D2293" s="3" t="s">
        <v>48</v>
      </c>
      <c r="E2293" s="100" t="str">
        <f>IFERROR(VLOOKUP(C2293,Resources!B:D,3,FALSE)," ")</f>
        <v>P</v>
      </c>
      <c r="F2293" s="8">
        <v>1</v>
      </c>
      <c r="G2293" s="103">
        <f>VLOOKUP($A2293,'Model Inputs'!$A:$D,4,FALSE)</f>
        <v>40</v>
      </c>
      <c r="H2293" s="8">
        <f>H2292</f>
        <v>183.6</v>
      </c>
      <c r="I2293" s="109">
        <f>IFERROR(VLOOKUP(C2293,Resources!B:G,6,FALSE)," ")</f>
        <v>135</v>
      </c>
      <c r="J2293" s="109">
        <f t="shared" ref="J2293:J2296" si="3479">(H2293/(G2293/F2293))*I2293</f>
        <v>619.65</v>
      </c>
      <c r="K2293" s="8">
        <f t="shared" ref="K2293:K2296" si="3480">L2293*F2293</f>
        <v>0.51</v>
      </c>
      <c r="L2293" s="8">
        <f>IF(E2293="M"," ",H2293/(G2293*Workhrs))</f>
        <v>0.51</v>
      </c>
      <c r="M2293" s="109">
        <f t="shared" ref="M2293:M2296" si="3481">IF($E2293="L",$J2293,0)</f>
        <v>0</v>
      </c>
      <c r="N2293" s="109">
        <f t="shared" ref="N2293:N2296" si="3482">IF($E2293="M",$J2293,0)</f>
        <v>0</v>
      </c>
      <c r="O2293" s="109">
        <f t="shared" ref="O2293:O2296" si="3483">IF($E2293="P",$J2293,0)</f>
        <v>619.65</v>
      </c>
      <c r="P2293" s="109">
        <f t="shared" ref="P2293:P2296" si="3484">IF($E2293="S",$J2293,0)</f>
        <v>0</v>
      </c>
      <c r="Q2293" s="109">
        <f t="shared" ref="Q2293:Q2296" si="3485">SUM(M2293:P2293)</f>
        <v>619.65</v>
      </c>
      <c r="R2293" s="121">
        <v>57</v>
      </c>
      <c r="T2293" s="188"/>
    </row>
    <row r="2294" spans="1:22" x14ac:dyDescent="0.25">
      <c r="A2294" s="100" t="s">
        <v>2723</v>
      </c>
      <c r="B2294" s="3">
        <v>2</v>
      </c>
      <c r="C2294" s="5" t="s">
        <v>44</v>
      </c>
      <c r="D2294" s="3" t="s">
        <v>48</v>
      </c>
      <c r="E2294" s="100" t="str">
        <f>IFERROR(VLOOKUP(C2294,Resources!B:D,3,FALSE)," ")</f>
        <v>P</v>
      </c>
      <c r="F2294" s="103">
        <f>VLOOKUP($A2294,'Model Inputs'!$A:$D,4,FALSE)</f>
        <v>4</v>
      </c>
      <c r="G2294" s="8">
        <f>G2293</f>
        <v>40</v>
      </c>
      <c r="H2294" s="8">
        <f>H2292</f>
        <v>183.6</v>
      </c>
      <c r="I2294" s="109">
        <f>IFERROR(VLOOKUP(C2294,Resources!B:G,6,FALSE)," ")</f>
        <v>145</v>
      </c>
      <c r="J2294" s="109">
        <f t="shared" si="3479"/>
        <v>2662.2</v>
      </c>
      <c r="K2294" s="8">
        <f t="shared" si="3480"/>
        <v>2.04</v>
      </c>
      <c r="L2294" s="8">
        <f>IF(E2294="M"," ",H2294/(G2294*Workhrs))</f>
        <v>0.51</v>
      </c>
      <c r="M2294" s="109">
        <f t="shared" si="3481"/>
        <v>0</v>
      </c>
      <c r="N2294" s="109">
        <f t="shared" si="3482"/>
        <v>0</v>
      </c>
      <c r="O2294" s="109">
        <f t="shared" si="3483"/>
        <v>2662.2</v>
      </c>
      <c r="P2294" s="109">
        <f t="shared" si="3484"/>
        <v>0</v>
      </c>
      <c r="Q2294" s="109">
        <f t="shared" si="3485"/>
        <v>2662.2</v>
      </c>
      <c r="R2294" s="121">
        <v>57</v>
      </c>
      <c r="T2294" s="188"/>
    </row>
    <row r="2295" spans="1:22" x14ac:dyDescent="0.25">
      <c r="A2295" s="100"/>
      <c r="B2295" s="3">
        <v>3</v>
      </c>
      <c r="C2295" s="5" t="s">
        <v>64</v>
      </c>
      <c r="D2295" s="3" t="s">
        <v>48</v>
      </c>
      <c r="E2295" s="100" t="str">
        <f>IFERROR(VLOOKUP(C2295,Resources!B:D,3,FALSE)," ")</f>
        <v>P</v>
      </c>
      <c r="F2295" s="8">
        <v>1</v>
      </c>
      <c r="G2295" s="8">
        <f>G2293</f>
        <v>40</v>
      </c>
      <c r="H2295" s="8">
        <f>H2292</f>
        <v>183.6</v>
      </c>
      <c r="I2295" s="109">
        <f>IFERROR(VLOOKUP(C2295,Resources!B:G,6,FALSE)," ")</f>
        <v>100</v>
      </c>
      <c r="J2295" s="109">
        <f t="shared" si="3479"/>
        <v>459</v>
      </c>
      <c r="K2295" s="8">
        <f t="shared" si="3480"/>
        <v>0.51</v>
      </c>
      <c r="L2295" s="8">
        <f>IF(E2295="M"," ",H2295/(G2295*Workhrs))</f>
        <v>0.51</v>
      </c>
      <c r="M2295" s="109">
        <f t="shared" si="3481"/>
        <v>0</v>
      </c>
      <c r="N2295" s="109">
        <f t="shared" si="3482"/>
        <v>0</v>
      </c>
      <c r="O2295" s="109">
        <f t="shared" si="3483"/>
        <v>459</v>
      </c>
      <c r="P2295" s="109">
        <f t="shared" si="3484"/>
        <v>0</v>
      </c>
      <c r="Q2295" s="109">
        <f t="shared" si="3485"/>
        <v>459</v>
      </c>
      <c r="R2295" s="121">
        <v>57</v>
      </c>
      <c r="T2295" s="188"/>
    </row>
    <row r="2296" spans="1:22" x14ac:dyDescent="0.25">
      <c r="A2296" s="100"/>
      <c r="B2296" s="3">
        <v>4</v>
      </c>
      <c r="C2296" s="5" t="s">
        <v>8</v>
      </c>
      <c r="D2296" s="3" t="s">
        <v>48</v>
      </c>
      <c r="E2296" s="100" t="str">
        <f>IFERROR(VLOOKUP(C2296,Resources!B:D,3,FALSE)," ")</f>
        <v>L</v>
      </c>
      <c r="F2296" s="8">
        <v>1</v>
      </c>
      <c r="G2296" s="8">
        <f>G2293</f>
        <v>40</v>
      </c>
      <c r="H2296" s="8">
        <f>H2292</f>
        <v>183.6</v>
      </c>
      <c r="I2296" s="109">
        <f>IFERROR(VLOOKUP(C2296,Resources!B:G,6,FALSE)," ")</f>
        <v>42</v>
      </c>
      <c r="J2296" s="109">
        <f t="shared" si="3479"/>
        <v>192.78</v>
      </c>
      <c r="K2296" s="8">
        <f t="shared" si="3480"/>
        <v>0.51</v>
      </c>
      <c r="L2296" s="8">
        <f>IF(E2296="M"," ",H2296/(G2296*Workhrs))</f>
        <v>0.51</v>
      </c>
      <c r="M2296" s="109">
        <f t="shared" si="3481"/>
        <v>192.78</v>
      </c>
      <c r="N2296" s="109">
        <f t="shared" si="3482"/>
        <v>0</v>
      </c>
      <c r="O2296" s="109">
        <f t="shared" si="3483"/>
        <v>0</v>
      </c>
      <c r="P2296" s="109">
        <f t="shared" si="3484"/>
        <v>0</v>
      </c>
      <c r="Q2296" s="109">
        <f t="shared" si="3485"/>
        <v>192.78</v>
      </c>
      <c r="R2296" s="121">
        <v>57</v>
      </c>
      <c r="T2296" s="188"/>
    </row>
    <row r="2297" spans="1:22" s="75" customFormat="1" x14ac:dyDescent="0.25">
      <c r="A2297" s="156" t="s">
        <v>2724</v>
      </c>
      <c r="B2297" s="75" t="s">
        <v>2417</v>
      </c>
      <c r="C2297" s="157" t="s">
        <v>2522</v>
      </c>
      <c r="D2297" s="75" t="s">
        <v>82</v>
      </c>
      <c r="H2297" s="103">
        <f>VLOOKUP($A2297,'Model Inputs'!$A:$D,4,FALSE)</f>
        <v>43.52</v>
      </c>
      <c r="I2297" s="158"/>
      <c r="J2297" s="158"/>
      <c r="M2297" s="158"/>
      <c r="N2297" s="158"/>
      <c r="O2297" s="158"/>
      <c r="P2297" s="158"/>
      <c r="Q2297" s="158"/>
      <c r="R2297" s="159"/>
      <c r="T2297" s="188"/>
      <c r="U2297"/>
      <c r="V2297"/>
    </row>
    <row r="2298" spans="1:22" x14ac:dyDescent="0.25">
      <c r="A2298" s="100"/>
      <c r="B2298" s="3">
        <v>11</v>
      </c>
      <c r="C2298" s="5" t="s">
        <v>2130</v>
      </c>
      <c r="D2298" s="3" t="s">
        <v>82</v>
      </c>
      <c r="E2298" s="100" t="str">
        <f>IFERROR(VLOOKUP(C2298,Resources!B:D,3,FALSE)," ")</f>
        <v>M</v>
      </c>
      <c r="F2298" s="8">
        <v>1</v>
      </c>
      <c r="G2298" s="8">
        <v>1</v>
      </c>
      <c r="H2298" s="8">
        <f>H2297</f>
        <v>43.52</v>
      </c>
      <c r="I2298" s="109">
        <f>IFERROR(VLOOKUP(C2298,Resources!B:G,6,FALSE)," ")</f>
        <v>26.5</v>
      </c>
      <c r="J2298" s="109">
        <f t="shared" ref="J2298" si="3486">(H2298/(G2298/F2298))*I2298</f>
        <v>1153.28</v>
      </c>
      <c r="K2298" s="8"/>
      <c r="L2298" s="8" t="str">
        <f t="shared" ref="L2298" si="3487">IF(E2298="M"," ",H2298/G2298)</f>
        <v xml:space="preserve"> </v>
      </c>
      <c r="M2298" s="109">
        <f t="shared" ref="M2298" si="3488">IF($E2298="L",$J2298,0)</f>
        <v>0</v>
      </c>
      <c r="N2298" s="109">
        <f t="shared" ref="N2298" si="3489">IF($E2298="M",$J2298,0)</f>
        <v>1153.28</v>
      </c>
      <c r="O2298" s="109">
        <f t="shared" ref="O2298" si="3490">IF($E2298="P",$J2298,0)</f>
        <v>0</v>
      </c>
      <c r="P2298" s="109">
        <f t="shared" ref="P2298" si="3491">IF($E2298="S",$J2298,0)</f>
        <v>0</v>
      </c>
      <c r="Q2298" s="109">
        <f t="shared" ref="Q2298" si="3492">SUM(M2298:P2298)</f>
        <v>1153.28</v>
      </c>
      <c r="R2298" s="121" t="s">
        <v>2340</v>
      </c>
      <c r="T2298" s="188"/>
    </row>
    <row r="2299" spans="1:22" s="75" customFormat="1" x14ac:dyDescent="0.25">
      <c r="A2299" s="156" t="s">
        <v>2725</v>
      </c>
      <c r="B2299" s="75" t="s">
        <v>2417</v>
      </c>
      <c r="C2299" s="157" t="s">
        <v>2523</v>
      </c>
      <c r="D2299" s="75" t="s">
        <v>83</v>
      </c>
      <c r="H2299" s="103">
        <f>VLOOKUP($A2299,'Model Inputs'!$A:$D,4,FALSE)</f>
        <v>125.8</v>
      </c>
      <c r="I2299" s="158"/>
      <c r="J2299" s="158"/>
      <c r="M2299" s="158"/>
      <c r="N2299" s="158"/>
      <c r="O2299" s="158"/>
      <c r="P2299" s="158"/>
      <c r="Q2299" s="158"/>
      <c r="R2299" s="159"/>
      <c r="T2299" s="188"/>
      <c r="U2299"/>
      <c r="V2299"/>
    </row>
    <row r="2300" spans="1:22" x14ac:dyDescent="0.25">
      <c r="A2300" s="100" t="s">
        <v>2726</v>
      </c>
      <c r="B2300" s="3">
        <v>1</v>
      </c>
      <c r="C2300" s="5" t="s">
        <v>2089</v>
      </c>
      <c r="D2300" s="3" t="s">
        <v>83</v>
      </c>
      <c r="E2300" s="100" t="str">
        <f>IFERROR(VLOOKUP(C2300,Resources!B:D,3,FALSE)," ")</f>
        <v>M</v>
      </c>
      <c r="F2300" s="103">
        <f>VLOOKUP($A2300,'Model Inputs'!$A:$D,4,FALSE)</f>
        <v>1.1000000000000001</v>
      </c>
      <c r="G2300" s="8">
        <v>1</v>
      </c>
      <c r="H2300" s="8">
        <f>H2299*F2300</f>
        <v>138.38</v>
      </c>
      <c r="I2300" s="109">
        <f>IFERROR(VLOOKUP(C2300,Resources!B:G,6,FALSE)," ")</f>
        <v>2.5</v>
      </c>
      <c r="J2300" s="109">
        <f>I2300*H2300</f>
        <v>345.95</v>
      </c>
      <c r="K2300" s="8"/>
      <c r="L2300" s="8" t="str">
        <f t="shared" ref="L2300" si="3493">IF(E2300="M"," ",H2300/G2300)</f>
        <v xml:space="preserve"> </v>
      </c>
      <c r="M2300" s="109">
        <f t="shared" ref="M2300:M2302" si="3494">IF($E2300="L",$J2300,0)</f>
        <v>0</v>
      </c>
      <c r="N2300" s="109">
        <f t="shared" ref="N2300:N2302" si="3495">IF($E2300="M",$J2300,0)</f>
        <v>345.95</v>
      </c>
      <c r="O2300" s="109">
        <f t="shared" ref="O2300:O2302" si="3496">IF($E2300="P",$J2300,0)</f>
        <v>0</v>
      </c>
      <c r="P2300" s="109">
        <f t="shared" ref="P2300:P2302" si="3497">IF($E2300="S",$J2300,0)</f>
        <v>0</v>
      </c>
      <c r="Q2300" s="109">
        <f t="shared" ref="Q2300:Q2302" si="3498">SUM(M2300:P2300)</f>
        <v>345.95</v>
      </c>
      <c r="R2300" s="121">
        <v>222</v>
      </c>
      <c r="T2300" s="188"/>
    </row>
    <row r="2301" spans="1:22" x14ac:dyDescent="0.25">
      <c r="A2301" s="100" t="s">
        <v>2727</v>
      </c>
      <c r="B2301" s="3">
        <v>2</v>
      </c>
      <c r="C2301" s="5" t="s">
        <v>8</v>
      </c>
      <c r="D2301" s="3" t="s">
        <v>48</v>
      </c>
      <c r="E2301" s="100" t="str">
        <f>IFERROR(VLOOKUP(C2301,Resources!B:D,3,FALSE)," ")</f>
        <v>L</v>
      </c>
      <c r="F2301" s="8">
        <v>3</v>
      </c>
      <c r="G2301" s="103">
        <f>VLOOKUP($A2301,'Model Inputs'!$A:$D,4,FALSE)</f>
        <v>570</v>
      </c>
      <c r="H2301" s="8">
        <f>H2300</f>
        <v>138.38</v>
      </c>
      <c r="I2301" s="109">
        <f>IFERROR(VLOOKUP(C2301,Resources!B:G,6,FALSE)," ")</f>
        <v>42</v>
      </c>
      <c r="J2301" s="109">
        <f t="shared" ref="J2301:J2302" si="3499">(H2301/(G2301/F2301))*I2301</f>
        <v>30.589263157894734</v>
      </c>
      <c r="K2301" s="8">
        <f t="shared" ref="K2301:K2302" si="3500">L2301*F2301</f>
        <v>8.0923976608187134E-2</v>
      </c>
      <c r="L2301" s="8">
        <f>IF(E2301="M"," ",H2301/(G2301*Workhrs))</f>
        <v>2.697465886939571E-2</v>
      </c>
      <c r="M2301" s="109">
        <f t="shared" si="3494"/>
        <v>30.589263157894734</v>
      </c>
      <c r="N2301" s="109">
        <f t="shared" si="3495"/>
        <v>0</v>
      </c>
      <c r="O2301" s="109">
        <f t="shared" si="3496"/>
        <v>0</v>
      </c>
      <c r="P2301" s="109">
        <f t="shared" si="3497"/>
        <v>0</v>
      </c>
      <c r="Q2301" s="109">
        <f t="shared" si="3498"/>
        <v>30.589263157894734</v>
      </c>
      <c r="R2301" s="121">
        <v>222</v>
      </c>
      <c r="T2301" s="188"/>
    </row>
    <row r="2302" spans="1:22" x14ac:dyDescent="0.25">
      <c r="A2302" s="100"/>
      <c r="B2302" s="3">
        <v>3</v>
      </c>
      <c r="C2302" s="5" t="s">
        <v>45</v>
      </c>
      <c r="D2302" s="3" t="s">
        <v>48</v>
      </c>
      <c r="E2302" s="100" t="str">
        <f>IFERROR(VLOOKUP(C2302,Resources!B:D,3,FALSE)," ")</f>
        <v>P</v>
      </c>
      <c r="F2302" s="8">
        <v>1</v>
      </c>
      <c r="G2302" s="8">
        <f>G2301</f>
        <v>570</v>
      </c>
      <c r="H2302" s="8">
        <f>H2300</f>
        <v>138.38</v>
      </c>
      <c r="I2302" s="109">
        <f>IFERROR(VLOOKUP(C2302,Resources!B:G,6,FALSE)," ")</f>
        <v>95</v>
      </c>
      <c r="J2302" s="109">
        <f t="shared" si="3499"/>
        <v>23.063333333333333</v>
      </c>
      <c r="K2302" s="8">
        <f t="shared" si="3500"/>
        <v>2.697465886939571E-2</v>
      </c>
      <c r="L2302" s="8">
        <f>IF(E2302="M"," ",H2302/(G2302*Workhrs))</f>
        <v>2.697465886939571E-2</v>
      </c>
      <c r="M2302" s="109">
        <f t="shared" si="3494"/>
        <v>0</v>
      </c>
      <c r="N2302" s="109">
        <f t="shared" si="3495"/>
        <v>0</v>
      </c>
      <c r="O2302" s="109">
        <f t="shared" si="3496"/>
        <v>23.063333333333333</v>
      </c>
      <c r="P2302" s="109">
        <f t="shared" si="3497"/>
        <v>0</v>
      </c>
      <c r="Q2302" s="109">
        <f t="shared" si="3498"/>
        <v>23.063333333333333</v>
      </c>
      <c r="R2302" s="121">
        <v>222</v>
      </c>
      <c r="T2302" s="188"/>
    </row>
    <row r="2303" spans="1:22" s="75" customFormat="1" x14ac:dyDescent="0.25">
      <c r="A2303" s="156" t="s">
        <v>2728</v>
      </c>
      <c r="B2303" s="75" t="s">
        <v>2417</v>
      </c>
      <c r="C2303" s="157" t="s">
        <v>2524</v>
      </c>
      <c r="D2303" s="75" t="s">
        <v>48</v>
      </c>
      <c r="H2303" s="103">
        <f>VLOOKUP($A2303,'Model Inputs'!$A:$D,4,FALSE)</f>
        <v>3</v>
      </c>
      <c r="I2303" s="158"/>
      <c r="J2303" s="158"/>
      <c r="M2303" s="158"/>
      <c r="N2303" s="158"/>
      <c r="O2303" s="158"/>
      <c r="P2303" s="158"/>
      <c r="Q2303" s="158"/>
      <c r="R2303" s="159"/>
      <c r="T2303" s="188"/>
      <c r="U2303"/>
      <c r="V2303"/>
    </row>
    <row r="2304" spans="1:22" x14ac:dyDescent="0.25">
      <c r="A2304" s="100"/>
      <c r="B2304" s="3">
        <v>3</v>
      </c>
      <c r="C2304" s="5" t="s">
        <v>44</v>
      </c>
      <c r="D2304" s="3" t="s">
        <v>48</v>
      </c>
      <c r="E2304" s="100" t="str">
        <f>IFERROR(VLOOKUP(C2304,Resources!B:D,3,FALSE)," ")</f>
        <v>P</v>
      </c>
      <c r="F2304" s="8">
        <v>1</v>
      </c>
      <c r="G2304" s="8">
        <v>1</v>
      </c>
      <c r="H2304" s="8">
        <f>H2303</f>
        <v>3</v>
      </c>
      <c r="I2304" s="109">
        <f>IFERROR(VLOOKUP(C2304,Resources!B:G,6,FALSE)," ")</f>
        <v>145</v>
      </c>
      <c r="J2304" s="109">
        <f t="shared" ref="J2304" si="3501">(H2304/(G2304/F2304))*I2304</f>
        <v>435</v>
      </c>
      <c r="K2304" s="8">
        <f t="shared" ref="K2304" si="3502">L2304*F2304</f>
        <v>3</v>
      </c>
      <c r="L2304" s="8">
        <f t="shared" ref="L2304" si="3503">IF(E2304="M"," ",H2304/G2304)</f>
        <v>3</v>
      </c>
      <c r="M2304" s="109">
        <f t="shared" ref="M2304" si="3504">IF($E2304="L",$J2304,0)</f>
        <v>0</v>
      </c>
      <c r="N2304" s="109">
        <f t="shared" ref="N2304" si="3505">IF($E2304="M",$J2304,0)</f>
        <v>0</v>
      </c>
      <c r="O2304" s="109">
        <f t="shared" ref="O2304" si="3506">IF($E2304="P",$J2304,0)</f>
        <v>435</v>
      </c>
      <c r="P2304" s="109">
        <f t="shared" ref="P2304" si="3507">IF($E2304="S",$J2304,0)</f>
        <v>0</v>
      </c>
      <c r="Q2304" s="109">
        <f t="shared" ref="Q2304" si="3508">SUM(M2304:P2304)</f>
        <v>435</v>
      </c>
      <c r="R2304" s="121">
        <v>221</v>
      </c>
      <c r="T2304" s="188"/>
    </row>
    <row r="2305" spans="1:22" s="75" customFormat="1" x14ac:dyDescent="0.25">
      <c r="A2305" s="156" t="s">
        <v>2729</v>
      </c>
      <c r="B2305" s="75" t="s">
        <v>2417</v>
      </c>
      <c r="C2305" s="157" t="s">
        <v>2516</v>
      </c>
      <c r="D2305" s="75" t="s">
        <v>86</v>
      </c>
      <c r="H2305" s="103">
        <f>VLOOKUP($A2305,'Model Inputs'!$A:$D,4,FALSE)</f>
        <v>295.39999999999998</v>
      </c>
      <c r="I2305" s="158"/>
      <c r="J2305" s="158"/>
      <c r="M2305" s="158"/>
      <c r="N2305" s="158"/>
      <c r="O2305" s="158"/>
      <c r="P2305" s="158"/>
      <c r="Q2305" s="158"/>
      <c r="R2305" s="159"/>
      <c r="T2305" s="188"/>
      <c r="U2305"/>
      <c r="V2305"/>
    </row>
    <row r="2306" spans="1:22" x14ac:dyDescent="0.25">
      <c r="A2306" s="100" t="s">
        <v>2730</v>
      </c>
      <c r="B2306" s="3">
        <v>12</v>
      </c>
      <c r="C2306" s="5" t="s">
        <v>39</v>
      </c>
      <c r="D2306" s="3" t="s">
        <v>48</v>
      </c>
      <c r="E2306" s="100" t="str">
        <f>IFERROR(VLOOKUP(C2306,Resources!B:D,3,FALSE)," ")</f>
        <v>P</v>
      </c>
      <c r="F2306" s="8">
        <v>1</v>
      </c>
      <c r="G2306" s="103">
        <f>VLOOKUP($A2306,'Model Inputs'!$A:$D,4,FALSE)</f>
        <v>40</v>
      </c>
      <c r="H2306" s="8">
        <f>H2305</f>
        <v>295.39999999999998</v>
      </c>
      <c r="I2306" s="109">
        <f>IFERROR(VLOOKUP(C2306,Resources!B:G,6,FALSE)," ")</f>
        <v>145</v>
      </c>
      <c r="J2306" s="109">
        <f t="shared" ref="J2306:J2309" si="3509">(H2306/(G2306/F2306))*I2306</f>
        <v>1070.825</v>
      </c>
      <c r="K2306" s="8">
        <f t="shared" ref="K2306:K2309" si="3510">L2306*F2306</f>
        <v>0.82055555555555548</v>
      </c>
      <c r="L2306" s="8">
        <f>IF(E2306="M"," ",H2306/(G2306*Workhrs))</f>
        <v>0.82055555555555548</v>
      </c>
      <c r="M2306" s="109">
        <f t="shared" ref="M2306:M2309" si="3511">IF($E2306="L",$J2306,0)</f>
        <v>0</v>
      </c>
      <c r="N2306" s="109">
        <f t="shared" ref="N2306:N2309" si="3512">IF($E2306="M",$J2306,0)</f>
        <v>0</v>
      </c>
      <c r="O2306" s="109">
        <f t="shared" ref="O2306:O2309" si="3513">IF($E2306="P",$J2306,0)</f>
        <v>1070.825</v>
      </c>
      <c r="P2306" s="109">
        <f t="shared" ref="P2306:P2309" si="3514">IF($E2306="S",$J2306,0)</f>
        <v>0</v>
      </c>
      <c r="Q2306" s="109">
        <f t="shared" ref="Q2306:Q2309" si="3515">SUM(M2306:P2306)</f>
        <v>1070.825</v>
      </c>
      <c r="R2306" s="121">
        <v>57</v>
      </c>
      <c r="T2306" s="188"/>
    </row>
    <row r="2307" spans="1:22" x14ac:dyDescent="0.25">
      <c r="A2307" s="100"/>
      <c r="B2307" s="3">
        <v>13</v>
      </c>
      <c r="C2307" s="5" t="s">
        <v>69</v>
      </c>
      <c r="D2307" s="3" t="s">
        <v>48</v>
      </c>
      <c r="E2307" s="100" t="str">
        <f>IFERROR(VLOOKUP(C2307,Resources!B:D,3,FALSE)," ")</f>
        <v>P</v>
      </c>
      <c r="F2307" s="8">
        <v>1</v>
      </c>
      <c r="G2307" s="8">
        <f>G2306</f>
        <v>40</v>
      </c>
      <c r="H2307" s="8">
        <f>H2306</f>
        <v>295.39999999999998</v>
      </c>
      <c r="I2307" s="109">
        <f>IFERROR(VLOOKUP(C2307,Resources!B:G,6,FALSE)," ")</f>
        <v>55</v>
      </c>
      <c r="J2307" s="109">
        <f t="shared" si="3509"/>
        <v>406.17500000000001</v>
      </c>
      <c r="K2307" s="8">
        <f t="shared" si="3510"/>
        <v>0.82055555555555548</v>
      </c>
      <c r="L2307" s="8">
        <f>IF(E2307="M"," ",H2307/(G2307*Workhrs))</f>
        <v>0.82055555555555548</v>
      </c>
      <c r="M2307" s="109">
        <f t="shared" si="3511"/>
        <v>0</v>
      </c>
      <c r="N2307" s="109">
        <f t="shared" si="3512"/>
        <v>0</v>
      </c>
      <c r="O2307" s="109">
        <f t="shared" si="3513"/>
        <v>406.17500000000001</v>
      </c>
      <c r="P2307" s="109">
        <f t="shared" si="3514"/>
        <v>0</v>
      </c>
      <c r="Q2307" s="109">
        <f t="shared" si="3515"/>
        <v>406.17500000000001</v>
      </c>
      <c r="R2307" s="121">
        <v>57</v>
      </c>
      <c r="T2307" s="188"/>
    </row>
    <row r="2308" spans="1:22" x14ac:dyDescent="0.25">
      <c r="A2308" s="100"/>
      <c r="B2308" s="3">
        <v>14</v>
      </c>
      <c r="C2308" s="5" t="s">
        <v>64</v>
      </c>
      <c r="D2308" s="3" t="s">
        <v>48</v>
      </c>
      <c r="E2308" s="100" t="str">
        <f>IFERROR(VLOOKUP(C2308,Resources!B:D,3,FALSE)," ")</f>
        <v>P</v>
      </c>
      <c r="F2308" s="8">
        <v>1</v>
      </c>
      <c r="G2308" s="8">
        <f>G2306</f>
        <v>40</v>
      </c>
      <c r="H2308" s="8">
        <f t="shared" ref="H2308:H2309" si="3516">H2307</f>
        <v>295.39999999999998</v>
      </c>
      <c r="I2308" s="109">
        <f>IFERROR(VLOOKUP(C2308,Resources!B:G,6,FALSE)," ")</f>
        <v>100</v>
      </c>
      <c r="J2308" s="109">
        <f t="shared" si="3509"/>
        <v>738.5</v>
      </c>
      <c r="K2308" s="8">
        <f t="shared" si="3510"/>
        <v>0.82055555555555548</v>
      </c>
      <c r="L2308" s="8">
        <f>IF(E2308="M"," ",H2308/(G2308*Workhrs))</f>
        <v>0.82055555555555548</v>
      </c>
      <c r="M2308" s="109">
        <f t="shared" si="3511"/>
        <v>0</v>
      </c>
      <c r="N2308" s="109">
        <f t="shared" si="3512"/>
        <v>0</v>
      </c>
      <c r="O2308" s="109">
        <f t="shared" si="3513"/>
        <v>738.5</v>
      </c>
      <c r="P2308" s="109">
        <f t="shared" si="3514"/>
        <v>0</v>
      </c>
      <c r="Q2308" s="109">
        <f t="shared" si="3515"/>
        <v>738.5</v>
      </c>
      <c r="R2308" s="121">
        <v>57</v>
      </c>
      <c r="T2308" s="188"/>
    </row>
    <row r="2309" spans="1:22" x14ac:dyDescent="0.25">
      <c r="A2309" s="100"/>
      <c r="B2309" s="3">
        <v>15</v>
      </c>
      <c r="C2309" s="5" t="s">
        <v>8</v>
      </c>
      <c r="D2309" s="3" t="s">
        <v>48</v>
      </c>
      <c r="E2309" s="100" t="str">
        <f>IFERROR(VLOOKUP(C2309,Resources!B:D,3,FALSE)," ")</f>
        <v>L</v>
      </c>
      <c r="F2309" s="8">
        <v>3</v>
      </c>
      <c r="G2309" s="8">
        <f>G2306</f>
        <v>40</v>
      </c>
      <c r="H2309" s="8">
        <f t="shared" si="3516"/>
        <v>295.39999999999998</v>
      </c>
      <c r="I2309" s="109">
        <f>IFERROR(VLOOKUP(C2309,Resources!B:G,6,FALSE)," ")</f>
        <v>42</v>
      </c>
      <c r="J2309" s="109">
        <f t="shared" si="3509"/>
        <v>930.50999999999988</v>
      </c>
      <c r="K2309" s="8">
        <f t="shared" si="3510"/>
        <v>2.4616666666666664</v>
      </c>
      <c r="L2309" s="8">
        <f>IF(E2309="M"," ",H2309/(G2309*Workhrs))</f>
        <v>0.82055555555555548</v>
      </c>
      <c r="M2309" s="109">
        <f t="shared" si="3511"/>
        <v>930.50999999999988</v>
      </c>
      <c r="N2309" s="109">
        <f t="shared" si="3512"/>
        <v>0</v>
      </c>
      <c r="O2309" s="109">
        <f t="shared" si="3513"/>
        <v>0</v>
      </c>
      <c r="P2309" s="109">
        <f t="shared" si="3514"/>
        <v>0</v>
      </c>
      <c r="Q2309" s="109">
        <f t="shared" si="3515"/>
        <v>930.50999999999988</v>
      </c>
      <c r="R2309" s="121">
        <v>57</v>
      </c>
      <c r="T2309" s="188"/>
    </row>
    <row r="2310" spans="1:22" x14ac:dyDescent="0.25">
      <c r="T2310" s="188"/>
    </row>
    <row r="2311" spans="1:22" x14ac:dyDescent="0.25">
      <c r="A2311" s="114" t="s">
        <v>2731</v>
      </c>
      <c r="B2311" s="1" t="s">
        <v>2527</v>
      </c>
      <c r="C2311" s="1" t="s">
        <v>2528</v>
      </c>
      <c r="D2311" s="2" t="s">
        <v>2416</v>
      </c>
      <c r="E2311" s="99"/>
      <c r="F2311" s="7"/>
      <c r="G2311" s="7"/>
      <c r="H2311" s="103">
        <f>VLOOKUP($A2311,'Model Inputs'!$A:$D,4,FALSE)</f>
        <v>1</v>
      </c>
      <c r="I2311" s="108"/>
      <c r="J2311" s="108">
        <f>SUBTOTAL(9,J2312:J2316)</f>
        <v>6310</v>
      </c>
      <c r="K2311" s="7"/>
      <c r="L2311" s="7">
        <v>0</v>
      </c>
      <c r="M2311" s="108">
        <f t="shared" ref="M2311:Q2311" si="3517">SUBTOTAL(9,M2312:M2316)</f>
        <v>3250</v>
      </c>
      <c r="N2311" s="108">
        <f t="shared" si="3517"/>
        <v>0</v>
      </c>
      <c r="O2311" s="108">
        <f t="shared" si="3517"/>
        <v>0</v>
      </c>
      <c r="P2311" s="108">
        <f t="shared" si="3517"/>
        <v>3060</v>
      </c>
      <c r="Q2311" s="108">
        <f t="shared" si="3517"/>
        <v>6310</v>
      </c>
      <c r="R2311" s="120"/>
      <c r="T2311" s="188"/>
    </row>
    <row r="2312" spans="1:22" x14ac:dyDescent="0.25">
      <c r="A2312" s="100"/>
      <c r="B2312" s="3">
        <v>2</v>
      </c>
      <c r="C2312" s="5" t="s">
        <v>28</v>
      </c>
      <c r="D2312" s="100" t="s">
        <v>2732</v>
      </c>
      <c r="E2312" s="100" t="str">
        <f>IFERROR(VLOOKUP(C2312,Resources!B:D,3,FALSE)," ")</f>
        <v>S</v>
      </c>
      <c r="F2312" s="8">
        <v>1</v>
      </c>
      <c r="G2312" s="8">
        <v>1</v>
      </c>
      <c r="H2312" s="8">
        <f>H2311*24</f>
        <v>24</v>
      </c>
      <c r="I2312" s="109">
        <f>IFERROR(VLOOKUP(C2312,Resources!B:G,6,FALSE)," ")</f>
        <v>45</v>
      </c>
      <c r="J2312" s="109">
        <f>I2312*H2312</f>
        <v>1080</v>
      </c>
      <c r="K2312" s="8"/>
      <c r="L2312" s="8">
        <f>ROUNDUP(H2312/8000,0)</f>
        <v>1</v>
      </c>
      <c r="M2312" s="109">
        <f t="shared" ref="M2312:M2316" si="3518">IF($E2312="L",$J2312,0)</f>
        <v>0</v>
      </c>
      <c r="N2312" s="109">
        <f t="shared" ref="N2312:N2316" si="3519">IF($E2312="M",$J2312,0)</f>
        <v>0</v>
      </c>
      <c r="O2312" s="109">
        <f t="shared" ref="O2312:O2316" si="3520">IF($E2312="P",$J2312,0)</f>
        <v>0</v>
      </c>
      <c r="P2312" s="109">
        <f t="shared" ref="P2312:P2316" si="3521">IF($E2312="S",$J2312,0)</f>
        <v>1080</v>
      </c>
      <c r="Q2312" s="109">
        <f t="shared" ref="Q2312" si="3522">SUM(M2312:P2312)</f>
        <v>1080</v>
      </c>
      <c r="R2312" s="121">
        <v>13</v>
      </c>
      <c r="T2312" s="188"/>
    </row>
    <row r="2313" spans="1:22" x14ac:dyDescent="0.25">
      <c r="A2313" s="100"/>
      <c r="B2313" s="3">
        <v>3</v>
      </c>
      <c r="C2313" s="5" t="s">
        <v>30</v>
      </c>
      <c r="D2313" s="100" t="s">
        <v>2732</v>
      </c>
      <c r="E2313" s="100" t="str">
        <f>IFERROR(VLOOKUP(C2313,Resources!B:D,3,FALSE)," ")</f>
        <v>S</v>
      </c>
      <c r="F2313" s="8">
        <v>1</v>
      </c>
      <c r="G2313" s="8">
        <v>1</v>
      </c>
      <c r="H2313" s="8">
        <f>H2311*3</f>
        <v>3</v>
      </c>
      <c r="I2313" s="109">
        <f>IFERROR(VLOOKUP(C2313,Resources!B:G,6,FALSE)," ")</f>
        <v>390</v>
      </c>
      <c r="J2313" s="109">
        <f t="shared" ref="J2313:J2315" si="3523">I2313*H2313</f>
        <v>1170</v>
      </c>
      <c r="K2313" s="8"/>
      <c r="L2313" s="8">
        <f t="shared" ref="L2313:L2315" si="3524">ROUNDUP(H2313/8000,0)</f>
        <v>1</v>
      </c>
      <c r="M2313" s="109">
        <f t="shared" si="3518"/>
        <v>0</v>
      </c>
      <c r="N2313" s="109">
        <f t="shared" si="3519"/>
        <v>0</v>
      </c>
      <c r="O2313" s="109">
        <f t="shared" si="3520"/>
        <v>0</v>
      </c>
      <c r="P2313" s="109">
        <f t="shared" si="3521"/>
        <v>1170</v>
      </c>
      <c r="Q2313" s="109">
        <f t="shared" ref="Q2313:Q2315" si="3525">SUM(M2313:P2313)</f>
        <v>1170</v>
      </c>
      <c r="R2313" s="121">
        <v>13</v>
      </c>
      <c r="T2313" s="188"/>
    </row>
    <row r="2314" spans="1:22" x14ac:dyDescent="0.25">
      <c r="A2314" s="100"/>
      <c r="B2314" s="3">
        <v>4</v>
      </c>
      <c r="C2314" s="5" t="s">
        <v>2248</v>
      </c>
      <c r="D2314" s="100" t="s">
        <v>2732</v>
      </c>
      <c r="E2314" s="100" t="str">
        <f>IFERROR(VLOOKUP(C2314,Resources!B:D,3,FALSE)," ")</f>
        <v>S</v>
      </c>
      <c r="F2314" s="8">
        <v>1</v>
      </c>
      <c r="G2314" s="8">
        <v>1</v>
      </c>
      <c r="H2314" s="8">
        <f>H2311*3</f>
        <v>3</v>
      </c>
      <c r="I2314" s="109">
        <f>IFERROR(VLOOKUP(C2314,Resources!B:G,6,FALSE)," ")</f>
        <v>120</v>
      </c>
      <c r="J2314" s="109">
        <f t="shared" si="3523"/>
        <v>360</v>
      </c>
      <c r="K2314" s="8"/>
      <c r="L2314" s="8">
        <f t="shared" si="3524"/>
        <v>1</v>
      </c>
      <c r="M2314" s="109">
        <f t="shared" si="3518"/>
        <v>0</v>
      </c>
      <c r="N2314" s="109">
        <f t="shared" si="3519"/>
        <v>0</v>
      </c>
      <c r="O2314" s="109">
        <f t="shared" si="3520"/>
        <v>0</v>
      </c>
      <c r="P2314" s="109">
        <f t="shared" si="3521"/>
        <v>360</v>
      </c>
      <c r="Q2314" s="109">
        <f t="shared" si="3525"/>
        <v>360</v>
      </c>
      <c r="R2314" s="121">
        <v>13</v>
      </c>
      <c r="T2314" s="188"/>
    </row>
    <row r="2315" spans="1:22" x14ac:dyDescent="0.25">
      <c r="A2315" s="100"/>
      <c r="B2315" s="3">
        <v>5</v>
      </c>
      <c r="C2315" s="5" t="s">
        <v>31</v>
      </c>
      <c r="D2315" s="100" t="s">
        <v>2732</v>
      </c>
      <c r="E2315" s="100" t="str">
        <f>IFERROR(VLOOKUP(C2315,Resources!B:D,3,FALSE)," ")</f>
        <v>S</v>
      </c>
      <c r="F2315" s="8">
        <v>1</v>
      </c>
      <c r="G2315" s="8">
        <v>1</v>
      </c>
      <c r="H2315" s="8">
        <f>H2311*3</f>
        <v>3</v>
      </c>
      <c r="I2315" s="109">
        <f>IFERROR(VLOOKUP(C2315,Resources!B:G,6,FALSE)," ")</f>
        <v>150</v>
      </c>
      <c r="J2315" s="109">
        <f t="shared" si="3523"/>
        <v>450</v>
      </c>
      <c r="K2315" s="8"/>
      <c r="L2315" s="8">
        <f t="shared" si="3524"/>
        <v>1</v>
      </c>
      <c r="M2315" s="109">
        <f t="shared" si="3518"/>
        <v>0</v>
      </c>
      <c r="N2315" s="109">
        <f t="shared" si="3519"/>
        <v>0</v>
      </c>
      <c r="O2315" s="109">
        <f t="shared" si="3520"/>
        <v>0</v>
      </c>
      <c r="P2315" s="109">
        <f t="shared" si="3521"/>
        <v>450</v>
      </c>
      <c r="Q2315" s="109">
        <f t="shared" si="3525"/>
        <v>450</v>
      </c>
      <c r="R2315" s="121">
        <v>13</v>
      </c>
      <c r="T2315" s="188"/>
    </row>
    <row r="2316" spans="1:22" x14ac:dyDescent="0.25">
      <c r="A2316" s="100"/>
      <c r="B2316" s="3">
        <v>6</v>
      </c>
      <c r="C2316" s="5" t="s">
        <v>21</v>
      </c>
      <c r="D2316" s="100" t="s">
        <v>2732</v>
      </c>
      <c r="E2316" s="100" t="s">
        <v>2019</v>
      </c>
      <c r="F2316" s="8">
        <v>1</v>
      </c>
      <c r="G2316" s="8">
        <v>1</v>
      </c>
      <c r="H2316" s="8">
        <f>H2311</f>
        <v>1</v>
      </c>
      <c r="I2316" s="109">
        <f>IFERROR(VLOOKUP(C2316,Resources!B:G,6,FALSE)," ")</f>
        <v>3250</v>
      </c>
      <c r="J2316" s="109">
        <f t="shared" ref="J2316" si="3526">(H2316/(G2316/F2316))*I2316</f>
        <v>3250</v>
      </c>
      <c r="K2316" s="8"/>
      <c r="L2316" s="8">
        <f t="shared" ref="L2316" si="3527">ROUNDUP(H2316/8000,0)</f>
        <v>1</v>
      </c>
      <c r="M2316" s="109">
        <f t="shared" si="3518"/>
        <v>3250</v>
      </c>
      <c r="N2316" s="109">
        <f t="shared" si="3519"/>
        <v>0</v>
      </c>
      <c r="O2316" s="109">
        <f t="shared" si="3520"/>
        <v>0</v>
      </c>
      <c r="P2316" s="109">
        <f t="shared" si="3521"/>
        <v>0</v>
      </c>
      <c r="Q2316" s="109">
        <f t="shared" ref="Q2316" si="3528">SUM(M2316:P2316)</f>
        <v>3250</v>
      </c>
      <c r="R2316" s="121">
        <v>901</v>
      </c>
      <c r="T2316" s="188"/>
    </row>
    <row r="2317" spans="1:22" x14ac:dyDescent="0.25">
      <c r="T2317" s="188"/>
    </row>
    <row r="2318" spans="1:22" x14ac:dyDescent="0.25">
      <c r="A2318" s="114" t="s">
        <v>2733</v>
      </c>
      <c r="B2318" s="1" t="s">
        <v>2529</v>
      </c>
      <c r="C2318" s="1" t="s">
        <v>2530</v>
      </c>
      <c r="D2318" s="2" t="s">
        <v>2548</v>
      </c>
      <c r="E2318" s="99"/>
      <c r="F2318" s="7"/>
      <c r="G2318" s="7"/>
      <c r="H2318" s="103">
        <f>VLOOKUP($A2318,'Model Inputs'!$A:$D,4,FALSE)</f>
        <v>45</v>
      </c>
      <c r="I2318" s="108"/>
      <c r="J2318" s="108">
        <f>SUBTOTAL(9,J2319:J2322)</f>
        <v>739.125</v>
      </c>
      <c r="K2318" s="7"/>
      <c r="L2318" s="7">
        <f>ROUNDUP(MAX(L2319:L2322),0)</f>
        <v>1</v>
      </c>
      <c r="M2318" s="108">
        <f t="shared" ref="M2318:Q2318" si="3529">SUBTOTAL(9,M2319:M2322)</f>
        <v>47.25</v>
      </c>
      <c r="N2318" s="108">
        <f t="shared" si="3529"/>
        <v>0</v>
      </c>
      <c r="O2318" s="108">
        <f t="shared" si="3529"/>
        <v>691.875</v>
      </c>
      <c r="P2318" s="108">
        <f t="shared" si="3529"/>
        <v>0</v>
      </c>
      <c r="Q2318" s="108">
        <f t="shared" si="3529"/>
        <v>739.125</v>
      </c>
      <c r="R2318" s="120"/>
      <c r="T2318" s="188"/>
    </row>
    <row r="2319" spans="1:22" x14ac:dyDescent="0.25">
      <c r="A2319" s="100" t="s">
        <v>2734</v>
      </c>
      <c r="B2319" s="3">
        <v>1</v>
      </c>
      <c r="C2319" s="5" t="s">
        <v>63</v>
      </c>
      <c r="D2319" s="3" t="s">
        <v>48</v>
      </c>
      <c r="E2319" s="100" t="str">
        <f>IFERROR(VLOOKUP(C2319,Resources!B:D,3,FALSE)," ")</f>
        <v>P</v>
      </c>
      <c r="F2319" s="8">
        <v>1</v>
      </c>
      <c r="G2319" s="103">
        <f>VLOOKUP($A2319,'Model Inputs'!$A:$D,4,FALSE)</f>
        <v>40</v>
      </c>
      <c r="H2319" s="8">
        <f>H2318</f>
        <v>45</v>
      </c>
      <c r="I2319" s="109">
        <f>IFERROR(VLOOKUP(C2319,Resources!B:G,6,FALSE)," ")</f>
        <v>135</v>
      </c>
      <c r="J2319" s="109">
        <f t="shared" ref="J2319:J2322" si="3530">(H2319/(G2319/F2319))*I2319</f>
        <v>151.875</v>
      </c>
      <c r="K2319" s="8">
        <f t="shared" ref="K2319:K2322" si="3531">L2319*F2319</f>
        <v>0.125</v>
      </c>
      <c r="L2319" s="8">
        <f>IF(E2319="M"," ",H2319/(G2319*Workhrs))</f>
        <v>0.125</v>
      </c>
      <c r="M2319" s="109">
        <f t="shared" ref="M2319:M2322" si="3532">IF($E2319="L",$J2319,0)</f>
        <v>0</v>
      </c>
      <c r="N2319" s="109">
        <f t="shared" ref="N2319:N2322" si="3533">IF($E2319="M",$J2319,0)</f>
        <v>0</v>
      </c>
      <c r="O2319" s="109">
        <f t="shared" ref="O2319:O2322" si="3534">IF($E2319="P",$J2319,0)</f>
        <v>151.875</v>
      </c>
      <c r="P2319" s="109">
        <f t="shared" ref="P2319:P2322" si="3535">IF($E2319="S",$J2319,0)</f>
        <v>0</v>
      </c>
      <c r="Q2319" s="109">
        <f t="shared" ref="Q2319:Q2322" si="3536">SUM(M2319:P2319)</f>
        <v>151.875</v>
      </c>
      <c r="R2319" s="121">
        <v>57</v>
      </c>
      <c r="T2319" s="188"/>
    </row>
    <row r="2320" spans="1:22" x14ac:dyDescent="0.25">
      <c r="A2320" s="100" t="s">
        <v>2735</v>
      </c>
      <c r="B2320" s="3">
        <v>2</v>
      </c>
      <c r="C2320" s="5" t="s">
        <v>173</v>
      </c>
      <c r="D2320" s="3" t="s">
        <v>48</v>
      </c>
      <c r="E2320" s="100" t="str">
        <f>IFERROR(VLOOKUP(C2320,Resources!B:D,3,FALSE)," ")</f>
        <v>P</v>
      </c>
      <c r="F2320" s="103">
        <f>VLOOKUP($A2320,'Model Inputs'!$A:$D,4,FALSE)</f>
        <v>4</v>
      </c>
      <c r="G2320" s="8">
        <f>G2319</f>
        <v>40</v>
      </c>
      <c r="H2320" s="8">
        <f>H2318</f>
        <v>45</v>
      </c>
      <c r="I2320" s="109">
        <f>IFERROR(VLOOKUP(C2320,Resources!B:G,6,FALSE)," ")</f>
        <v>95</v>
      </c>
      <c r="J2320" s="109">
        <f t="shared" si="3530"/>
        <v>427.5</v>
      </c>
      <c r="K2320" s="8">
        <f t="shared" si="3531"/>
        <v>0.5</v>
      </c>
      <c r="L2320" s="8">
        <f>IF(E2320="M"," ",H2320/(G2320*Workhrs))</f>
        <v>0.125</v>
      </c>
      <c r="M2320" s="109">
        <f t="shared" si="3532"/>
        <v>0</v>
      </c>
      <c r="N2320" s="109">
        <f t="shared" si="3533"/>
        <v>0</v>
      </c>
      <c r="O2320" s="109">
        <f t="shared" si="3534"/>
        <v>427.5</v>
      </c>
      <c r="P2320" s="109">
        <f t="shared" si="3535"/>
        <v>0</v>
      </c>
      <c r="Q2320" s="109">
        <f t="shared" si="3536"/>
        <v>427.5</v>
      </c>
      <c r="R2320" s="121">
        <v>57</v>
      </c>
      <c r="T2320" s="188"/>
    </row>
    <row r="2321" spans="1:22" x14ac:dyDescent="0.25">
      <c r="A2321" s="100"/>
      <c r="B2321" s="3">
        <v>3</v>
      </c>
      <c r="C2321" s="5" t="s">
        <v>64</v>
      </c>
      <c r="D2321" s="3" t="s">
        <v>48</v>
      </c>
      <c r="E2321" s="100" t="str">
        <f>IFERROR(VLOOKUP(C2321,Resources!B:D,3,FALSE)," ")</f>
        <v>P</v>
      </c>
      <c r="F2321" s="8">
        <v>1</v>
      </c>
      <c r="G2321" s="8">
        <f>G2319</f>
        <v>40</v>
      </c>
      <c r="H2321" s="8">
        <f>H2318</f>
        <v>45</v>
      </c>
      <c r="I2321" s="109">
        <f>IFERROR(VLOOKUP(C2321,Resources!B:G,6,FALSE)," ")</f>
        <v>100</v>
      </c>
      <c r="J2321" s="109">
        <f t="shared" si="3530"/>
        <v>112.5</v>
      </c>
      <c r="K2321" s="8">
        <f t="shared" si="3531"/>
        <v>0.125</v>
      </c>
      <c r="L2321" s="8">
        <f>IF(E2321="M"," ",H2321/(G2321*Workhrs))</f>
        <v>0.125</v>
      </c>
      <c r="M2321" s="109">
        <f t="shared" si="3532"/>
        <v>0</v>
      </c>
      <c r="N2321" s="109">
        <f t="shared" si="3533"/>
        <v>0</v>
      </c>
      <c r="O2321" s="109">
        <f t="shared" si="3534"/>
        <v>112.5</v>
      </c>
      <c r="P2321" s="109">
        <f t="shared" si="3535"/>
        <v>0</v>
      </c>
      <c r="Q2321" s="109">
        <f t="shared" si="3536"/>
        <v>112.5</v>
      </c>
      <c r="R2321" s="121">
        <v>57</v>
      </c>
      <c r="T2321" s="188"/>
    </row>
    <row r="2322" spans="1:22" x14ac:dyDescent="0.25">
      <c r="A2322" s="100"/>
      <c r="B2322" s="3">
        <v>4</v>
      </c>
      <c r="C2322" s="5" t="s">
        <v>8</v>
      </c>
      <c r="D2322" s="3" t="s">
        <v>48</v>
      </c>
      <c r="E2322" s="100" t="str">
        <f>IFERROR(VLOOKUP(C2322,Resources!B:D,3,FALSE)," ")</f>
        <v>L</v>
      </c>
      <c r="F2322" s="8">
        <v>1</v>
      </c>
      <c r="G2322" s="8">
        <f>G2319</f>
        <v>40</v>
      </c>
      <c r="H2322" s="8">
        <f>H2318</f>
        <v>45</v>
      </c>
      <c r="I2322" s="109">
        <f>IFERROR(VLOOKUP(C2322,Resources!B:G,6,FALSE)," ")</f>
        <v>42</v>
      </c>
      <c r="J2322" s="109">
        <f t="shared" si="3530"/>
        <v>47.25</v>
      </c>
      <c r="K2322" s="8">
        <f t="shared" si="3531"/>
        <v>0.125</v>
      </c>
      <c r="L2322" s="8">
        <f>IF(E2322="M"," ",H2322/(G2322*Workhrs))</f>
        <v>0.125</v>
      </c>
      <c r="M2322" s="109">
        <f t="shared" si="3532"/>
        <v>47.25</v>
      </c>
      <c r="N2322" s="109">
        <f t="shared" si="3533"/>
        <v>0</v>
      </c>
      <c r="O2322" s="109">
        <f t="shared" si="3534"/>
        <v>0</v>
      </c>
      <c r="P2322" s="109">
        <f t="shared" si="3535"/>
        <v>0</v>
      </c>
      <c r="Q2322" s="109">
        <f t="shared" si="3536"/>
        <v>47.25</v>
      </c>
      <c r="R2322" s="121">
        <v>57</v>
      </c>
      <c r="T2322" s="188"/>
    </row>
    <row r="2323" spans="1:22" x14ac:dyDescent="0.25">
      <c r="T2323" s="188"/>
    </row>
    <row r="2324" spans="1:22" x14ac:dyDescent="0.25">
      <c r="A2324" s="114" t="s">
        <v>2737</v>
      </c>
      <c r="B2324" s="1" t="s">
        <v>2531</v>
      </c>
      <c r="C2324" s="1" t="s">
        <v>2736</v>
      </c>
      <c r="D2324" s="2" t="s">
        <v>2548</v>
      </c>
      <c r="E2324" s="99"/>
      <c r="F2324" s="7"/>
      <c r="G2324" s="7"/>
      <c r="H2324" s="103">
        <f>VLOOKUP($A2324,'Model Inputs'!$A:$D,4,FALSE)</f>
        <v>161</v>
      </c>
      <c r="I2324" s="108"/>
      <c r="J2324" s="108">
        <f>SUBTOTAL(9,J2326:J2334)</f>
        <v>4757.5499999999993</v>
      </c>
      <c r="K2324" s="7"/>
      <c r="L2324" s="7">
        <f>ROUNDUP(MAX(L2326:L2329)+MAX(L2331:L2334),0)</f>
        <v>2</v>
      </c>
      <c r="M2324" s="108">
        <f t="shared" ref="M2324:Q2324" si="3537">SUBTOTAL(9,M2326:M2334)</f>
        <v>732.55</v>
      </c>
      <c r="N2324" s="108">
        <f t="shared" si="3537"/>
        <v>0</v>
      </c>
      <c r="O2324" s="108">
        <f t="shared" si="3537"/>
        <v>4024.9999999999995</v>
      </c>
      <c r="P2324" s="108">
        <f t="shared" si="3537"/>
        <v>0</v>
      </c>
      <c r="Q2324" s="108">
        <f t="shared" si="3537"/>
        <v>4757.5499999999993</v>
      </c>
      <c r="R2324" s="120"/>
      <c r="T2324" s="188"/>
    </row>
    <row r="2325" spans="1:22" s="75" customFormat="1" x14ac:dyDescent="0.25">
      <c r="A2325" s="156"/>
      <c r="B2325" s="75" t="s">
        <v>2417</v>
      </c>
      <c r="C2325" s="157" t="s">
        <v>2532</v>
      </c>
      <c r="D2325" s="75" t="s">
        <v>86</v>
      </c>
      <c r="H2325" s="160">
        <f>H2324</f>
        <v>161</v>
      </c>
      <c r="I2325" s="158"/>
      <c r="J2325" s="158"/>
      <c r="M2325" s="158"/>
      <c r="N2325" s="158"/>
      <c r="O2325" s="158"/>
      <c r="P2325" s="158"/>
      <c r="Q2325" s="158"/>
      <c r="R2325" s="159"/>
      <c r="T2325" s="188"/>
      <c r="U2325"/>
      <c r="V2325"/>
    </row>
    <row r="2326" spans="1:22" x14ac:dyDescent="0.25">
      <c r="A2326" s="100" t="s">
        <v>2738</v>
      </c>
      <c r="B2326" s="3">
        <v>5</v>
      </c>
      <c r="C2326" s="5" t="s">
        <v>63</v>
      </c>
      <c r="D2326" s="3" t="s">
        <v>48</v>
      </c>
      <c r="E2326" s="100" t="str">
        <f>IFERROR(VLOOKUP(C2326,Resources!B:D,3,FALSE)," ")</f>
        <v>P</v>
      </c>
      <c r="F2326" s="8">
        <v>1</v>
      </c>
      <c r="G2326" s="103">
        <f>VLOOKUP($A2326,'Model Inputs'!$A:$D,4,FALSE)</f>
        <v>30</v>
      </c>
      <c r="H2326" s="8">
        <f>H2325</f>
        <v>161</v>
      </c>
      <c r="I2326" s="109">
        <f>IFERROR(VLOOKUP(C2326,Resources!B:G,6,FALSE)," ")</f>
        <v>135</v>
      </c>
      <c r="J2326" s="109">
        <f t="shared" ref="J2326:J2329" si="3538">(H2326/(G2326/F2326))*I2326</f>
        <v>724.5</v>
      </c>
      <c r="K2326" s="8">
        <f t="shared" ref="K2326:K2329" si="3539">L2326*F2326</f>
        <v>0.59629629629629632</v>
      </c>
      <c r="L2326" s="8">
        <f>IF(E2326="M"," ",H2326/(G2326*Workhrs))</f>
        <v>0.59629629629629632</v>
      </c>
      <c r="M2326" s="109">
        <f t="shared" ref="M2326:M2329" si="3540">IF($E2326="L",$J2326,0)</f>
        <v>0</v>
      </c>
      <c r="N2326" s="109">
        <f t="shared" ref="N2326:N2329" si="3541">IF($E2326="M",$J2326,0)</f>
        <v>0</v>
      </c>
      <c r="O2326" s="109">
        <f t="shared" ref="O2326:O2329" si="3542">IF($E2326="P",$J2326,0)</f>
        <v>724.5</v>
      </c>
      <c r="P2326" s="109">
        <f t="shared" ref="P2326:P2329" si="3543">IF($E2326="S",$J2326,0)</f>
        <v>0</v>
      </c>
      <c r="Q2326" s="109">
        <f t="shared" ref="Q2326:Q2329" si="3544">SUM(M2326:P2326)</f>
        <v>724.5</v>
      </c>
      <c r="R2326" s="121">
        <v>57</v>
      </c>
      <c r="T2326" s="188"/>
    </row>
    <row r="2327" spans="1:22" x14ac:dyDescent="0.25">
      <c r="A2327" s="100" t="s">
        <v>2739</v>
      </c>
      <c r="B2327" s="3">
        <v>6</v>
      </c>
      <c r="C2327" s="5" t="s">
        <v>44</v>
      </c>
      <c r="D2327" s="3" t="s">
        <v>48</v>
      </c>
      <c r="E2327" s="100" t="str">
        <f>IFERROR(VLOOKUP(C2327,Resources!B:D,3,FALSE)," ")</f>
        <v>P</v>
      </c>
      <c r="F2327" s="103">
        <f>VLOOKUP($A2327,'Model Inputs'!$A:$D,4,FALSE)</f>
        <v>2</v>
      </c>
      <c r="G2327" s="8">
        <f>G2326</f>
        <v>30</v>
      </c>
      <c r="H2327" s="8">
        <f>H2325</f>
        <v>161</v>
      </c>
      <c r="I2327" s="109">
        <f>IFERROR(VLOOKUP(C2327,Resources!B:G,6,FALSE)," ")</f>
        <v>145</v>
      </c>
      <c r="J2327" s="109">
        <f t="shared" si="3538"/>
        <v>1556.3333333333333</v>
      </c>
      <c r="K2327" s="8">
        <f t="shared" si="3539"/>
        <v>1.1925925925925926</v>
      </c>
      <c r="L2327" s="8">
        <f>IF(E2327="M"," ",H2327/(G2327*Workhrs))</f>
        <v>0.59629629629629632</v>
      </c>
      <c r="M2327" s="109">
        <f t="shared" si="3540"/>
        <v>0</v>
      </c>
      <c r="N2327" s="109">
        <f t="shared" si="3541"/>
        <v>0</v>
      </c>
      <c r="O2327" s="109">
        <f t="shared" si="3542"/>
        <v>1556.3333333333333</v>
      </c>
      <c r="P2327" s="109">
        <f t="shared" si="3543"/>
        <v>0</v>
      </c>
      <c r="Q2327" s="109">
        <f t="shared" si="3544"/>
        <v>1556.3333333333333</v>
      </c>
      <c r="R2327" s="121">
        <v>57</v>
      </c>
      <c r="T2327" s="188"/>
    </row>
    <row r="2328" spans="1:22" x14ac:dyDescent="0.25">
      <c r="A2328" s="100"/>
      <c r="B2328" s="3">
        <v>7</v>
      </c>
      <c r="C2328" s="5" t="s">
        <v>64</v>
      </c>
      <c r="D2328" s="3" t="s">
        <v>48</v>
      </c>
      <c r="E2328" s="100" t="str">
        <f>IFERROR(VLOOKUP(C2328,Resources!B:D,3,FALSE)," ")</f>
        <v>P</v>
      </c>
      <c r="F2328" s="8">
        <v>1</v>
      </c>
      <c r="G2328" s="8">
        <f>G2326</f>
        <v>30</v>
      </c>
      <c r="H2328" s="8">
        <f>H2325</f>
        <v>161</v>
      </c>
      <c r="I2328" s="109">
        <f>IFERROR(VLOOKUP(C2328,Resources!B:G,6,FALSE)," ")</f>
        <v>100</v>
      </c>
      <c r="J2328" s="109">
        <f t="shared" si="3538"/>
        <v>536.66666666666663</v>
      </c>
      <c r="K2328" s="8">
        <f t="shared" si="3539"/>
        <v>0.59629629629629632</v>
      </c>
      <c r="L2328" s="8">
        <f>IF(E2328="M"," ",H2328/(G2328*Workhrs))</f>
        <v>0.59629629629629632</v>
      </c>
      <c r="M2328" s="109">
        <f t="shared" si="3540"/>
        <v>0</v>
      </c>
      <c r="N2328" s="109">
        <f t="shared" si="3541"/>
        <v>0</v>
      </c>
      <c r="O2328" s="109">
        <f t="shared" si="3542"/>
        <v>536.66666666666663</v>
      </c>
      <c r="P2328" s="109">
        <f t="shared" si="3543"/>
        <v>0</v>
      </c>
      <c r="Q2328" s="109">
        <f t="shared" si="3544"/>
        <v>536.66666666666663</v>
      </c>
      <c r="R2328" s="121">
        <v>57</v>
      </c>
      <c r="T2328" s="188"/>
    </row>
    <row r="2329" spans="1:22" x14ac:dyDescent="0.25">
      <c r="A2329" s="100"/>
      <c r="B2329" s="3">
        <v>8</v>
      </c>
      <c r="C2329" s="5" t="s">
        <v>8</v>
      </c>
      <c r="D2329" s="3" t="s">
        <v>48</v>
      </c>
      <c r="E2329" s="100" t="str">
        <f>IFERROR(VLOOKUP(C2329,Resources!B:D,3,FALSE)," ")</f>
        <v>L</v>
      </c>
      <c r="F2329" s="8">
        <v>1</v>
      </c>
      <c r="G2329" s="8">
        <f>G2326</f>
        <v>30</v>
      </c>
      <c r="H2329" s="8">
        <f>H2325</f>
        <v>161</v>
      </c>
      <c r="I2329" s="109">
        <f>IFERROR(VLOOKUP(C2329,Resources!B:G,6,FALSE)," ")</f>
        <v>42</v>
      </c>
      <c r="J2329" s="109">
        <f t="shared" si="3538"/>
        <v>225.39999999999998</v>
      </c>
      <c r="K2329" s="8">
        <f t="shared" si="3539"/>
        <v>0.59629629629629632</v>
      </c>
      <c r="L2329" s="8">
        <f>IF(E2329="M"," ",H2329/(G2329*Workhrs))</f>
        <v>0.59629629629629632</v>
      </c>
      <c r="M2329" s="109">
        <f t="shared" si="3540"/>
        <v>225.39999999999998</v>
      </c>
      <c r="N2329" s="109">
        <f t="shared" si="3541"/>
        <v>0</v>
      </c>
      <c r="O2329" s="109">
        <f t="shared" si="3542"/>
        <v>0</v>
      </c>
      <c r="P2329" s="109">
        <f t="shared" si="3543"/>
        <v>0</v>
      </c>
      <c r="Q2329" s="109">
        <f t="shared" si="3544"/>
        <v>225.39999999999998</v>
      </c>
      <c r="R2329" s="121">
        <v>57</v>
      </c>
      <c r="T2329" s="188"/>
    </row>
    <row r="2330" spans="1:22" s="75" customFormat="1" x14ac:dyDescent="0.25">
      <c r="A2330" s="156"/>
      <c r="B2330" s="75" t="s">
        <v>2417</v>
      </c>
      <c r="C2330" s="157" t="s">
        <v>2533</v>
      </c>
      <c r="D2330" s="75" t="s">
        <v>86</v>
      </c>
      <c r="H2330" s="160">
        <f>H2324</f>
        <v>161</v>
      </c>
      <c r="I2330" s="158"/>
      <c r="J2330" s="158"/>
      <c r="M2330" s="158"/>
      <c r="N2330" s="158"/>
      <c r="O2330" s="158"/>
      <c r="P2330" s="158"/>
      <c r="Q2330" s="158"/>
      <c r="R2330" s="159"/>
      <c r="T2330" s="188"/>
      <c r="U2330"/>
      <c r="V2330"/>
    </row>
    <row r="2331" spans="1:22" x14ac:dyDescent="0.25">
      <c r="A2331" s="100" t="s">
        <v>2740</v>
      </c>
      <c r="B2331" s="3">
        <v>12</v>
      </c>
      <c r="C2331" s="5" t="s">
        <v>39</v>
      </c>
      <c r="D2331" s="3" t="s">
        <v>48</v>
      </c>
      <c r="E2331" s="100" t="str">
        <f>IFERROR(VLOOKUP(C2331,Resources!B:D,3,FALSE)," ")</f>
        <v>P</v>
      </c>
      <c r="F2331" s="8">
        <v>1</v>
      </c>
      <c r="G2331" s="103">
        <f>VLOOKUP($A2331,'Model Inputs'!$A:$D,4,FALSE)</f>
        <v>40</v>
      </c>
      <c r="H2331" s="8">
        <f>H2330</f>
        <v>161</v>
      </c>
      <c r="I2331" s="109">
        <f>IFERROR(VLOOKUP(C2331,Resources!B:G,6,FALSE)," ")</f>
        <v>145</v>
      </c>
      <c r="J2331" s="109">
        <f t="shared" ref="J2331:J2334" si="3545">(H2331/(G2331/F2331))*I2331</f>
        <v>583.625</v>
      </c>
      <c r="K2331" s="8">
        <f t="shared" ref="K2331:K2334" si="3546">L2331*F2331</f>
        <v>0.44722222222222224</v>
      </c>
      <c r="L2331" s="8">
        <f>IF(E2331="M"," ",H2331/(G2331*Workhrs))</f>
        <v>0.44722222222222224</v>
      </c>
      <c r="M2331" s="109">
        <f t="shared" ref="M2331:M2334" si="3547">IF($E2331="L",$J2331,0)</f>
        <v>0</v>
      </c>
      <c r="N2331" s="109">
        <f t="shared" ref="N2331:N2334" si="3548">IF($E2331="M",$J2331,0)</f>
        <v>0</v>
      </c>
      <c r="O2331" s="109">
        <f t="shared" ref="O2331:O2334" si="3549">IF($E2331="P",$J2331,0)</f>
        <v>583.625</v>
      </c>
      <c r="P2331" s="109">
        <f t="shared" ref="P2331:P2334" si="3550">IF($E2331="S",$J2331,0)</f>
        <v>0</v>
      </c>
      <c r="Q2331" s="109">
        <f t="shared" ref="Q2331:Q2334" si="3551">SUM(M2331:P2331)</f>
        <v>583.625</v>
      </c>
      <c r="R2331" s="121">
        <v>57</v>
      </c>
      <c r="T2331" s="188"/>
    </row>
    <row r="2332" spans="1:22" x14ac:dyDescent="0.25">
      <c r="A2332" s="100"/>
      <c r="B2332" s="3">
        <v>13</v>
      </c>
      <c r="C2332" s="5" t="s">
        <v>69</v>
      </c>
      <c r="D2332" s="3" t="s">
        <v>48</v>
      </c>
      <c r="E2332" s="100" t="str">
        <f>IFERROR(VLOOKUP(C2332,Resources!B:D,3,FALSE)," ")</f>
        <v>P</v>
      </c>
      <c r="F2332" s="8">
        <v>1</v>
      </c>
      <c r="G2332" s="8">
        <f>G2331</f>
        <v>40</v>
      </c>
      <c r="H2332" s="8">
        <f>H2331</f>
        <v>161</v>
      </c>
      <c r="I2332" s="109">
        <f>IFERROR(VLOOKUP(C2332,Resources!B:G,6,FALSE)," ")</f>
        <v>55</v>
      </c>
      <c r="J2332" s="109">
        <f t="shared" si="3545"/>
        <v>221.37500000000003</v>
      </c>
      <c r="K2332" s="8">
        <f t="shared" si="3546"/>
        <v>0.44722222222222224</v>
      </c>
      <c r="L2332" s="8">
        <f>IF(E2332="M"," ",H2332/(G2332*Workhrs))</f>
        <v>0.44722222222222224</v>
      </c>
      <c r="M2332" s="109">
        <f t="shared" si="3547"/>
        <v>0</v>
      </c>
      <c r="N2332" s="109">
        <f t="shared" si="3548"/>
        <v>0</v>
      </c>
      <c r="O2332" s="109">
        <f t="shared" si="3549"/>
        <v>221.37500000000003</v>
      </c>
      <c r="P2332" s="109">
        <f t="shared" si="3550"/>
        <v>0</v>
      </c>
      <c r="Q2332" s="109">
        <f t="shared" si="3551"/>
        <v>221.37500000000003</v>
      </c>
      <c r="R2332" s="121">
        <v>57</v>
      </c>
      <c r="T2332" s="188"/>
    </row>
    <row r="2333" spans="1:22" x14ac:dyDescent="0.25">
      <c r="A2333" s="100"/>
      <c r="B2333" s="3">
        <v>14</v>
      </c>
      <c r="C2333" s="5" t="s">
        <v>64</v>
      </c>
      <c r="D2333" s="3" t="s">
        <v>48</v>
      </c>
      <c r="E2333" s="100" t="str">
        <f>IFERROR(VLOOKUP(C2333,Resources!B:D,3,FALSE)," ")</f>
        <v>P</v>
      </c>
      <c r="F2333" s="8">
        <v>1</v>
      </c>
      <c r="G2333" s="8">
        <f>G2331</f>
        <v>40</v>
      </c>
      <c r="H2333" s="8">
        <f t="shared" ref="H2333:H2334" si="3552">H2332</f>
        <v>161</v>
      </c>
      <c r="I2333" s="109">
        <f>IFERROR(VLOOKUP(C2333,Resources!B:G,6,FALSE)," ")</f>
        <v>100</v>
      </c>
      <c r="J2333" s="109">
        <f t="shared" si="3545"/>
        <v>402.50000000000006</v>
      </c>
      <c r="K2333" s="8">
        <f t="shared" si="3546"/>
        <v>0.44722222222222224</v>
      </c>
      <c r="L2333" s="8">
        <f>IF(E2333="M"," ",H2333/(G2333*Workhrs))</f>
        <v>0.44722222222222224</v>
      </c>
      <c r="M2333" s="109">
        <f t="shared" si="3547"/>
        <v>0</v>
      </c>
      <c r="N2333" s="109">
        <f t="shared" si="3548"/>
        <v>0</v>
      </c>
      <c r="O2333" s="109">
        <f t="shared" si="3549"/>
        <v>402.50000000000006</v>
      </c>
      <c r="P2333" s="109">
        <f t="shared" si="3550"/>
        <v>0</v>
      </c>
      <c r="Q2333" s="109">
        <f t="shared" si="3551"/>
        <v>402.50000000000006</v>
      </c>
      <c r="R2333" s="121">
        <v>57</v>
      </c>
      <c r="T2333" s="188"/>
    </row>
    <row r="2334" spans="1:22" x14ac:dyDescent="0.25">
      <c r="A2334" s="100"/>
      <c r="B2334" s="3">
        <v>15</v>
      </c>
      <c r="C2334" s="5" t="s">
        <v>8</v>
      </c>
      <c r="D2334" s="3" t="s">
        <v>48</v>
      </c>
      <c r="E2334" s="100" t="str">
        <f>IFERROR(VLOOKUP(C2334,Resources!B:D,3,FALSE)," ")</f>
        <v>L</v>
      </c>
      <c r="F2334" s="8">
        <v>3</v>
      </c>
      <c r="G2334" s="8">
        <f>G2331</f>
        <v>40</v>
      </c>
      <c r="H2334" s="8">
        <f t="shared" si="3552"/>
        <v>161</v>
      </c>
      <c r="I2334" s="109">
        <f>IFERROR(VLOOKUP(C2334,Resources!B:G,6,FALSE)," ")</f>
        <v>42</v>
      </c>
      <c r="J2334" s="109">
        <f t="shared" si="3545"/>
        <v>507.15</v>
      </c>
      <c r="K2334" s="8">
        <f t="shared" si="3546"/>
        <v>1.3416666666666668</v>
      </c>
      <c r="L2334" s="8">
        <f>IF(E2334="M"," ",H2334/(G2334*Workhrs))</f>
        <v>0.44722222222222224</v>
      </c>
      <c r="M2334" s="109">
        <f t="shared" si="3547"/>
        <v>507.15</v>
      </c>
      <c r="N2334" s="109">
        <f t="shared" si="3548"/>
        <v>0</v>
      </c>
      <c r="O2334" s="109">
        <f t="shared" si="3549"/>
        <v>0</v>
      </c>
      <c r="P2334" s="109">
        <f t="shared" si="3550"/>
        <v>0</v>
      </c>
      <c r="Q2334" s="109">
        <f t="shared" si="3551"/>
        <v>507.15</v>
      </c>
      <c r="R2334" s="121">
        <v>57</v>
      </c>
      <c r="T2334" s="188"/>
    </row>
    <row r="2335" spans="1:22" x14ac:dyDescent="0.25">
      <c r="T2335" s="188"/>
    </row>
    <row r="2336" spans="1:22" x14ac:dyDescent="0.25">
      <c r="A2336" s="114" t="s">
        <v>2742</v>
      </c>
      <c r="B2336" s="1" t="s">
        <v>2540</v>
      </c>
      <c r="C2336" s="1" t="s">
        <v>2743</v>
      </c>
      <c r="D2336" s="2" t="s">
        <v>82</v>
      </c>
      <c r="E2336" s="99"/>
      <c r="F2336" s="7"/>
      <c r="G2336" s="7"/>
      <c r="H2336" s="103">
        <f>VLOOKUP($A2336,'Model Inputs'!$A:$D,4,FALSE)</f>
        <v>15.45</v>
      </c>
      <c r="I2336" s="108"/>
      <c r="J2336" s="108">
        <f>SUBTOTAL(9,J2337)</f>
        <v>5117.3490000000002</v>
      </c>
      <c r="K2336" s="7"/>
      <c r="L2336" s="7">
        <v>0</v>
      </c>
      <c r="M2336" s="108">
        <f t="shared" ref="M2336" si="3553">SUBTOTAL(9,M2337)</f>
        <v>0</v>
      </c>
      <c r="N2336" s="108">
        <f t="shared" ref="N2336" si="3554">SUBTOTAL(9,N2337)</f>
        <v>0</v>
      </c>
      <c r="O2336" s="108">
        <f t="shared" ref="O2336" si="3555">SUBTOTAL(9,O2337)</f>
        <v>0</v>
      </c>
      <c r="P2336" s="108">
        <f t="shared" ref="P2336" si="3556">SUBTOTAL(9,P2337)</f>
        <v>5117.3490000000002</v>
      </c>
      <c r="Q2336" s="108">
        <f t="shared" ref="Q2336" si="3557">SUBTOTAL(9,Q2337)</f>
        <v>5117.3490000000002</v>
      </c>
      <c r="R2336" s="120"/>
      <c r="T2336" s="188"/>
    </row>
    <row r="2337" spans="1:22" x14ac:dyDescent="0.25">
      <c r="A2337" s="100"/>
      <c r="B2337" s="3">
        <v>5</v>
      </c>
      <c r="C2337" s="5" t="s">
        <v>2239</v>
      </c>
      <c r="D2337" s="100" t="s">
        <v>82</v>
      </c>
      <c r="E2337" s="100" t="str">
        <f>IFERROR(VLOOKUP(C2337,Resources!B:D,3,FALSE)," ")</f>
        <v>S</v>
      </c>
      <c r="F2337" s="8">
        <v>1</v>
      </c>
      <c r="G2337" s="8">
        <v>1</v>
      </c>
      <c r="H2337" s="8">
        <f>H2336</f>
        <v>15.45</v>
      </c>
      <c r="I2337" s="109">
        <f>IFERROR(VLOOKUP(C2337,Resources!B:G,6,FALSE)," ")</f>
        <v>331.22</v>
      </c>
      <c r="J2337" s="109">
        <f t="shared" ref="J2337" si="3558">I2337*H2337</f>
        <v>5117.3490000000002</v>
      </c>
      <c r="K2337" s="8"/>
      <c r="L2337" s="8">
        <f t="shared" ref="L2337" si="3559">ROUNDUP(H2337/8000,0)</f>
        <v>1</v>
      </c>
      <c r="M2337" s="109">
        <f t="shared" ref="M2337" si="3560">IF($E2337="L",$J2337,0)</f>
        <v>0</v>
      </c>
      <c r="N2337" s="109">
        <f t="shared" ref="N2337" si="3561">IF($E2337="M",$J2337,0)</f>
        <v>0</v>
      </c>
      <c r="O2337" s="109">
        <f t="shared" ref="O2337" si="3562">IF($E2337="P",$J2337,0)</f>
        <v>0</v>
      </c>
      <c r="P2337" s="109">
        <f t="shared" ref="P2337" si="3563">IF($E2337="S",$J2337,0)</f>
        <v>5117.3490000000002</v>
      </c>
      <c r="Q2337" s="109">
        <f t="shared" ref="Q2337" si="3564">SUM(M2337:P2337)</f>
        <v>5117.3490000000002</v>
      </c>
      <c r="R2337" s="121">
        <v>65</v>
      </c>
      <c r="T2337" s="188"/>
    </row>
    <row r="2338" spans="1:22" s="138" customFormat="1" x14ac:dyDescent="0.25">
      <c r="A2338" s="132"/>
      <c r="B2338" s="133"/>
      <c r="C2338" s="134"/>
      <c r="D2338" s="132"/>
      <c r="E2338" s="132"/>
      <c r="F2338" s="135"/>
      <c r="G2338" s="135"/>
      <c r="H2338" s="135"/>
      <c r="I2338" s="136"/>
      <c r="J2338" s="136"/>
      <c r="K2338" s="135"/>
      <c r="L2338" s="135"/>
      <c r="M2338" s="136"/>
      <c r="N2338" s="136"/>
      <c r="O2338" s="136"/>
      <c r="P2338" s="136"/>
      <c r="Q2338" s="136"/>
      <c r="R2338" s="137"/>
      <c r="T2338" s="188"/>
      <c r="U2338"/>
      <c r="V2338"/>
    </row>
    <row r="2339" spans="1:22" x14ac:dyDescent="0.25">
      <c r="A2339" s="114" t="s">
        <v>2744</v>
      </c>
      <c r="B2339" s="1" t="s">
        <v>2544</v>
      </c>
      <c r="C2339" s="1" t="s">
        <v>2545</v>
      </c>
      <c r="D2339" s="2" t="s">
        <v>2416</v>
      </c>
      <c r="E2339" s="99"/>
      <c r="F2339" s="7"/>
      <c r="G2339" s="7"/>
      <c r="H2339" s="103">
        <f>VLOOKUP($A2339,'Model Inputs'!$A:$D,4,FALSE)</f>
        <v>1</v>
      </c>
      <c r="I2339" s="108"/>
      <c r="J2339" s="108">
        <f>SUBTOTAL(9,J2340)</f>
        <v>8000</v>
      </c>
      <c r="K2339" s="7"/>
      <c r="L2339" s="7">
        <f>ROUNDUP(L2340,0)</f>
        <v>1</v>
      </c>
      <c r="M2339" s="108">
        <f t="shared" ref="M2339" si="3565">SUBTOTAL(9,M2340)</f>
        <v>0</v>
      </c>
      <c r="N2339" s="108">
        <f t="shared" ref="N2339" si="3566">SUBTOTAL(9,N2340)</f>
        <v>0</v>
      </c>
      <c r="O2339" s="108">
        <f t="shared" ref="O2339" si="3567">SUBTOTAL(9,O2340)</f>
        <v>0</v>
      </c>
      <c r="P2339" s="108">
        <f t="shared" ref="P2339" si="3568">SUBTOTAL(9,P2340)</f>
        <v>8000</v>
      </c>
      <c r="Q2339" s="108">
        <f t="shared" ref="Q2339" si="3569">SUBTOTAL(9,Q2340)</f>
        <v>8000</v>
      </c>
      <c r="R2339" s="120"/>
      <c r="T2339" s="188"/>
    </row>
    <row r="2340" spans="1:22" x14ac:dyDescent="0.25">
      <c r="A2340" s="100"/>
      <c r="B2340" s="3">
        <v>2</v>
      </c>
      <c r="C2340" s="5" t="s">
        <v>306</v>
      </c>
      <c r="D2340" s="3" t="s">
        <v>33</v>
      </c>
      <c r="E2340" s="100" t="str">
        <f>IFERROR(VLOOKUP(C2340,Resources!B:D,3,FALSE)," ")</f>
        <v>S</v>
      </c>
      <c r="F2340" s="8">
        <v>1</v>
      </c>
      <c r="G2340" s="8">
        <v>1</v>
      </c>
      <c r="H2340" s="8">
        <f>H2339*8000</f>
        <v>8000</v>
      </c>
      <c r="I2340" s="109">
        <f>IFERROR(VLOOKUP(C2340,Resources!B:G,6,FALSE)," ")</f>
        <v>1</v>
      </c>
      <c r="J2340" s="109">
        <f t="shared" ref="J2340" si="3570">(H2340/(G2340/F2340))*I2340</f>
        <v>8000</v>
      </c>
      <c r="K2340" s="8"/>
      <c r="L2340" s="8">
        <f>H2339/2</f>
        <v>0.5</v>
      </c>
      <c r="M2340" s="109">
        <f t="shared" ref="M2340" si="3571">IF($E2340="L",$J2340,0)</f>
        <v>0</v>
      </c>
      <c r="N2340" s="109">
        <f t="shared" ref="N2340" si="3572">IF($E2340="M",$J2340,0)</f>
        <v>0</v>
      </c>
      <c r="O2340" s="109">
        <f t="shared" ref="O2340" si="3573">IF($E2340="P",$J2340,0)</f>
        <v>0</v>
      </c>
      <c r="P2340" s="109">
        <f t="shared" ref="P2340" si="3574">IF($E2340="S",$J2340,0)</f>
        <v>8000</v>
      </c>
      <c r="Q2340" s="109">
        <f t="shared" ref="Q2340" si="3575">SUM(M2340:P2340)</f>
        <v>8000</v>
      </c>
      <c r="R2340" s="121">
        <v>103</v>
      </c>
      <c r="T2340" s="188"/>
    </row>
    <row r="2341" spans="1:22" x14ac:dyDescent="0.25">
      <c r="T2341" s="188"/>
    </row>
    <row r="2342" spans="1:22" x14ac:dyDescent="0.25">
      <c r="A2342" s="114" t="s">
        <v>2746</v>
      </c>
      <c r="B2342" s="1" t="s">
        <v>2543</v>
      </c>
      <c r="C2342" s="1" t="s">
        <v>2745</v>
      </c>
      <c r="D2342" s="2" t="s">
        <v>2416</v>
      </c>
      <c r="E2342" s="99"/>
      <c r="F2342" s="7"/>
      <c r="G2342" s="7"/>
      <c r="H2342" s="103">
        <f>VLOOKUP($A2342,'Model Inputs'!$A:$D,4,FALSE)</f>
        <v>124.6</v>
      </c>
      <c r="I2342" s="108"/>
      <c r="J2342" s="108">
        <f>SUBTOTAL(9,J2343)</f>
        <v>3115</v>
      </c>
      <c r="K2342" s="7"/>
      <c r="L2342" s="7">
        <v>0</v>
      </c>
      <c r="M2342" s="108">
        <f t="shared" ref="M2342" si="3576">SUBTOTAL(9,M2343)</f>
        <v>0</v>
      </c>
      <c r="N2342" s="108">
        <f t="shared" ref="N2342" si="3577">SUBTOTAL(9,N2343)</f>
        <v>0</v>
      </c>
      <c r="O2342" s="108">
        <f t="shared" ref="O2342" si="3578">SUBTOTAL(9,O2343)</f>
        <v>0</v>
      </c>
      <c r="P2342" s="108">
        <f t="shared" ref="P2342" si="3579">SUBTOTAL(9,P2343)</f>
        <v>3115</v>
      </c>
      <c r="Q2342" s="108">
        <f t="shared" ref="Q2342" si="3580">SUBTOTAL(9,Q2343)</f>
        <v>3115</v>
      </c>
      <c r="R2342" s="120"/>
      <c r="T2342" s="188"/>
    </row>
    <row r="2343" spans="1:22" x14ac:dyDescent="0.25">
      <c r="A2343" s="100"/>
      <c r="B2343" s="3">
        <v>2</v>
      </c>
      <c r="C2343" s="5" t="s">
        <v>2279</v>
      </c>
      <c r="D2343" s="3" t="s">
        <v>33</v>
      </c>
      <c r="E2343" s="100" t="str">
        <f>IFERROR(VLOOKUP(C2343,Resources!B:D,3,FALSE)," ")</f>
        <v>S</v>
      </c>
      <c r="F2343" s="8">
        <v>1</v>
      </c>
      <c r="G2343" s="8">
        <v>1</v>
      </c>
      <c r="H2343" s="8">
        <f>H2342</f>
        <v>124.6</v>
      </c>
      <c r="I2343" s="109">
        <f>IFERROR(VLOOKUP(C2343,Resources!B:G,6,FALSE)," ")</f>
        <v>25</v>
      </c>
      <c r="J2343" s="109">
        <f t="shared" ref="J2343" si="3581">(H2343/(G2343/F2343))*I2343</f>
        <v>3115</v>
      </c>
      <c r="K2343" s="8"/>
      <c r="L2343" s="8">
        <f>H2342/2</f>
        <v>62.3</v>
      </c>
      <c r="M2343" s="109">
        <f t="shared" ref="M2343" si="3582">IF($E2343="L",$J2343,0)</f>
        <v>0</v>
      </c>
      <c r="N2343" s="109">
        <f t="shared" ref="N2343" si="3583">IF($E2343="M",$J2343,0)</f>
        <v>0</v>
      </c>
      <c r="O2343" s="109">
        <f t="shared" ref="O2343" si="3584">IF($E2343="P",$J2343,0)</f>
        <v>0</v>
      </c>
      <c r="P2343" s="109">
        <f t="shared" ref="P2343" si="3585">IF($E2343="S",$J2343,0)</f>
        <v>3115</v>
      </c>
      <c r="Q2343" s="109">
        <f t="shared" ref="Q2343" si="3586">SUM(M2343:P2343)</f>
        <v>3115</v>
      </c>
      <c r="R2343" s="121">
        <v>32</v>
      </c>
      <c r="T2343" s="188"/>
    </row>
    <row r="2344" spans="1:22" x14ac:dyDescent="0.25">
      <c r="A2344" s="101"/>
      <c r="B2344" s="4"/>
      <c r="C2344" s="6"/>
      <c r="D2344" s="4"/>
      <c r="E2344" s="101"/>
      <c r="F2344" s="4"/>
      <c r="G2344" s="4"/>
      <c r="H2344" s="4"/>
      <c r="I2344" s="38"/>
      <c r="J2344" s="38"/>
      <c r="K2344" s="4"/>
      <c r="L2344" s="4"/>
      <c r="M2344" s="38"/>
      <c r="N2344" s="38"/>
      <c r="O2344" s="38"/>
      <c r="P2344" s="38"/>
      <c r="Q2344" s="38"/>
      <c r="R2344" s="123"/>
    </row>
    <row r="2345" spans="1:22" x14ac:dyDescent="0.25">
      <c r="A2345" s="101"/>
      <c r="B2345" s="4"/>
      <c r="C2345" s="6"/>
      <c r="D2345" s="4"/>
      <c r="E2345" s="101"/>
      <c r="F2345" s="4"/>
      <c r="G2345" s="4"/>
      <c r="H2345" s="4"/>
      <c r="I2345" s="38"/>
      <c r="J2345" s="38"/>
      <c r="K2345" s="4"/>
      <c r="L2345" s="4"/>
      <c r="M2345" s="38"/>
      <c r="N2345" s="38"/>
      <c r="O2345" s="38"/>
      <c r="P2345" s="38"/>
      <c r="Q2345" s="38"/>
      <c r="R2345" s="123"/>
    </row>
    <row r="2346" spans="1:22" x14ac:dyDescent="0.25">
      <c r="A2346" s="101"/>
      <c r="B2346" s="4"/>
      <c r="C2346" s="6"/>
      <c r="D2346" s="4"/>
      <c r="E2346" s="101"/>
      <c r="F2346" s="4"/>
      <c r="G2346" s="4"/>
      <c r="H2346" s="4"/>
      <c r="I2346" s="38"/>
      <c r="J2346" s="38"/>
      <c r="K2346" s="4"/>
      <c r="L2346" s="4"/>
      <c r="M2346" s="38"/>
      <c r="N2346" s="38"/>
      <c r="O2346" s="38"/>
      <c r="P2346" s="38"/>
      <c r="Q2346" s="38"/>
      <c r="R2346" s="123"/>
    </row>
    <row r="2347" spans="1:22" x14ac:dyDescent="0.25">
      <c r="A2347" s="101"/>
      <c r="B2347" s="4"/>
      <c r="C2347" s="6"/>
      <c r="D2347" s="4"/>
      <c r="E2347" s="101"/>
      <c r="F2347" s="4"/>
      <c r="G2347" s="4"/>
      <c r="H2347" s="4"/>
      <c r="I2347" s="38"/>
      <c r="J2347" s="38"/>
      <c r="K2347" s="4"/>
      <c r="L2347" s="4"/>
      <c r="M2347" s="38"/>
      <c r="N2347" s="38"/>
      <c r="O2347" s="38"/>
      <c r="P2347" s="38"/>
      <c r="Q2347" s="38"/>
      <c r="R2347" s="123"/>
    </row>
    <row r="2348" spans="1:22" x14ac:dyDescent="0.25">
      <c r="A2348" s="101"/>
      <c r="B2348" s="4"/>
      <c r="C2348" s="6"/>
      <c r="D2348" s="4"/>
      <c r="E2348" s="101"/>
      <c r="F2348" s="4"/>
      <c r="G2348" s="4"/>
      <c r="H2348" s="4"/>
      <c r="I2348" s="38"/>
      <c r="J2348" s="38"/>
      <c r="K2348" s="4"/>
      <c r="L2348" s="4"/>
      <c r="M2348" s="38"/>
      <c r="N2348" s="38"/>
      <c r="O2348" s="38"/>
      <c r="P2348" s="38"/>
      <c r="Q2348" s="38"/>
      <c r="R2348" s="123"/>
    </row>
    <row r="2349" spans="1:22" x14ac:dyDescent="0.25">
      <c r="A2349" s="101"/>
      <c r="B2349" s="4"/>
      <c r="C2349" s="6"/>
      <c r="D2349" s="4"/>
      <c r="E2349" s="101"/>
      <c r="F2349" s="4"/>
      <c r="G2349" s="4"/>
      <c r="H2349" s="4"/>
      <c r="I2349" s="38"/>
      <c r="J2349" s="38"/>
      <c r="K2349" s="4"/>
      <c r="L2349" s="4"/>
      <c r="M2349" s="38"/>
      <c r="N2349" s="38"/>
      <c r="O2349" s="38"/>
      <c r="P2349" s="38"/>
      <c r="Q2349" s="38"/>
      <c r="R2349" s="123"/>
    </row>
  </sheetData>
  <phoneticPr fontId="1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33E9E-C8AC-4763-92C9-89975C76D84A}">
  <dimension ref="A1:G318"/>
  <sheetViews>
    <sheetView topLeftCell="A311" workbookViewId="0">
      <selection activeCell="I1" sqref="I1:I1048576"/>
    </sheetView>
  </sheetViews>
  <sheetFormatPr defaultRowHeight="15" x14ac:dyDescent="0.25"/>
  <cols>
    <col min="1" max="1" width="9.140625" style="39"/>
    <col min="2" max="2" width="26.42578125" style="4" bestFit="1" customWidth="1"/>
    <col min="3" max="3" width="50.7109375" style="6" customWidth="1"/>
    <col min="4" max="4" width="9.140625" style="61" customWidth="1"/>
    <col min="5" max="5" width="6.28515625" style="4" bestFit="1" customWidth="1"/>
    <col min="6" max="6" width="4.85546875" style="4" bestFit="1" customWidth="1"/>
    <col min="7" max="7" width="11.5703125" style="38" bestFit="1" customWidth="1"/>
  </cols>
  <sheetData>
    <row r="1" spans="1:7" x14ac:dyDescent="0.25">
      <c r="A1" s="40"/>
      <c r="B1" s="41" t="s">
        <v>780</v>
      </c>
      <c r="C1" s="42" t="s">
        <v>779</v>
      </c>
      <c r="D1" s="56" t="s">
        <v>2018</v>
      </c>
      <c r="E1" s="41" t="s">
        <v>3</v>
      </c>
      <c r="F1" s="41" t="s">
        <v>1917</v>
      </c>
      <c r="G1" s="43" t="s">
        <v>1918</v>
      </c>
    </row>
    <row r="2" spans="1:7" x14ac:dyDescent="0.25">
      <c r="A2" s="245" t="s">
        <v>2014</v>
      </c>
      <c r="B2" s="44" t="s">
        <v>1919</v>
      </c>
      <c r="C2" s="45" t="s">
        <v>1919</v>
      </c>
      <c r="D2" s="57" t="s">
        <v>2019</v>
      </c>
      <c r="E2" s="44" t="s">
        <v>48</v>
      </c>
      <c r="F2" s="44" t="s">
        <v>1920</v>
      </c>
      <c r="G2" s="46">
        <v>50</v>
      </c>
    </row>
    <row r="3" spans="1:7" x14ac:dyDescent="0.25">
      <c r="A3" s="245"/>
      <c r="B3" s="44" t="s">
        <v>384</v>
      </c>
      <c r="C3" s="45"/>
      <c r="D3" s="57" t="s">
        <v>2019</v>
      </c>
      <c r="E3" s="44" t="s">
        <v>48</v>
      </c>
      <c r="F3" s="44" t="s">
        <v>1920</v>
      </c>
      <c r="G3" s="46">
        <v>85</v>
      </c>
    </row>
    <row r="4" spans="1:7" x14ac:dyDescent="0.25">
      <c r="A4" s="245"/>
      <c r="B4" s="44" t="s">
        <v>2036</v>
      </c>
      <c r="C4" s="45"/>
      <c r="D4" s="57" t="s">
        <v>2019</v>
      </c>
      <c r="E4" s="44" t="s">
        <v>48</v>
      </c>
      <c r="F4" s="44" t="s">
        <v>1920</v>
      </c>
      <c r="G4" s="46">
        <v>135</v>
      </c>
    </row>
    <row r="5" spans="1:7" x14ac:dyDescent="0.25">
      <c r="A5" s="245"/>
      <c r="B5" s="44" t="s">
        <v>2037</v>
      </c>
      <c r="C5" s="45"/>
      <c r="D5" s="57" t="s">
        <v>2019</v>
      </c>
      <c r="E5" s="44" t="s">
        <v>48</v>
      </c>
      <c r="F5" s="44" t="s">
        <v>1920</v>
      </c>
      <c r="G5" s="46">
        <v>125</v>
      </c>
    </row>
    <row r="6" spans="1:7" x14ac:dyDescent="0.25">
      <c r="A6" s="245"/>
      <c r="B6" s="44" t="s">
        <v>8</v>
      </c>
      <c r="C6" s="45" t="s">
        <v>8</v>
      </c>
      <c r="D6" s="57" t="s">
        <v>2019</v>
      </c>
      <c r="E6" s="44" t="s">
        <v>48</v>
      </c>
      <c r="F6" s="44" t="s">
        <v>1920</v>
      </c>
      <c r="G6" s="46">
        <v>42</v>
      </c>
    </row>
    <row r="7" spans="1:7" x14ac:dyDescent="0.25">
      <c r="A7" s="245"/>
      <c r="B7" s="44" t="s">
        <v>2038</v>
      </c>
      <c r="C7" s="45"/>
      <c r="D7" s="57" t="s">
        <v>2019</v>
      </c>
      <c r="E7" s="44" t="s">
        <v>48</v>
      </c>
      <c r="F7" s="44" t="s">
        <v>1920</v>
      </c>
      <c r="G7" s="46">
        <v>58</v>
      </c>
    </row>
    <row r="8" spans="1:7" x14ac:dyDescent="0.25">
      <c r="A8" s="245"/>
      <c r="B8" s="44" t="s">
        <v>2039</v>
      </c>
      <c r="C8" s="45" t="s">
        <v>1921</v>
      </c>
      <c r="D8" s="57" t="s">
        <v>2019</v>
      </c>
      <c r="E8" s="44"/>
      <c r="F8" s="44" t="s">
        <v>1920</v>
      </c>
      <c r="G8" s="46">
        <v>48</v>
      </c>
    </row>
    <row r="9" spans="1:7" x14ac:dyDescent="0.25">
      <c r="A9" s="245"/>
      <c r="B9" s="44" t="s">
        <v>2040</v>
      </c>
      <c r="C9" s="45"/>
      <c r="D9" s="57" t="s">
        <v>2019</v>
      </c>
      <c r="E9" s="44" t="s">
        <v>48</v>
      </c>
      <c r="F9" s="44" t="s">
        <v>1920</v>
      </c>
      <c r="G9" s="46">
        <v>145</v>
      </c>
    </row>
    <row r="10" spans="1:7" x14ac:dyDescent="0.25">
      <c r="A10" s="245"/>
      <c r="B10" s="44" t="s">
        <v>1922</v>
      </c>
      <c r="C10" s="45" t="s">
        <v>1922</v>
      </c>
      <c r="D10" s="57" t="s">
        <v>2019</v>
      </c>
      <c r="E10" s="44" t="s">
        <v>48</v>
      </c>
      <c r="F10" s="44" t="s">
        <v>1920</v>
      </c>
      <c r="G10" s="46">
        <v>65</v>
      </c>
    </row>
    <row r="11" spans="1:7" x14ac:dyDescent="0.25">
      <c r="A11" s="245"/>
      <c r="B11" s="44" t="s">
        <v>2041</v>
      </c>
      <c r="C11" s="45"/>
      <c r="D11" s="57" t="s">
        <v>2019</v>
      </c>
      <c r="E11" s="44" t="s">
        <v>48</v>
      </c>
      <c r="F11" s="44" t="s">
        <v>1920</v>
      </c>
      <c r="G11" s="46">
        <v>75</v>
      </c>
    </row>
    <row r="12" spans="1:7" x14ac:dyDescent="0.25">
      <c r="A12" s="245"/>
      <c r="B12" s="44" t="s">
        <v>21</v>
      </c>
      <c r="C12" s="45" t="s">
        <v>1923</v>
      </c>
      <c r="D12" s="57" t="s">
        <v>2019</v>
      </c>
      <c r="E12" s="44" t="s">
        <v>22</v>
      </c>
      <c r="F12" s="44" t="s">
        <v>1920</v>
      </c>
      <c r="G12" s="46">
        <v>3250</v>
      </c>
    </row>
    <row r="13" spans="1:7" x14ac:dyDescent="0.25">
      <c r="A13" s="245"/>
      <c r="B13" s="44" t="s">
        <v>2042</v>
      </c>
      <c r="C13" s="45" t="s">
        <v>1924</v>
      </c>
      <c r="D13" s="57" t="s">
        <v>2019</v>
      </c>
      <c r="E13" s="44" t="s">
        <v>22</v>
      </c>
      <c r="F13" s="44" t="s">
        <v>1920</v>
      </c>
      <c r="G13" s="46">
        <v>4250</v>
      </c>
    </row>
    <row r="14" spans="1:7" x14ac:dyDescent="0.25">
      <c r="A14" s="245"/>
      <c r="B14" s="44" t="s">
        <v>47</v>
      </c>
      <c r="C14" s="45" t="s">
        <v>47</v>
      </c>
      <c r="D14" s="57" t="s">
        <v>2019</v>
      </c>
      <c r="E14" s="44" t="s">
        <v>22</v>
      </c>
      <c r="F14" s="44" t="s">
        <v>1920</v>
      </c>
      <c r="G14" s="46">
        <v>3350</v>
      </c>
    </row>
    <row r="15" spans="1:7" x14ac:dyDescent="0.25">
      <c r="A15" s="245"/>
      <c r="B15" s="44" t="s">
        <v>2043</v>
      </c>
      <c r="C15" s="45" t="s">
        <v>1925</v>
      </c>
      <c r="D15" s="57" t="s">
        <v>2019</v>
      </c>
      <c r="E15" s="44" t="s">
        <v>48</v>
      </c>
      <c r="F15" s="44" t="s">
        <v>1920</v>
      </c>
      <c r="G15" s="46">
        <v>185</v>
      </c>
    </row>
    <row r="16" spans="1:7" x14ac:dyDescent="0.25">
      <c r="A16" s="245"/>
      <c r="B16" s="44" t="s">
        <v>2044</v>
      </c>
      <c r="C16" s="45"/>
      <c r="D16" s="57" t="s">
        <v>2019</v>
      </c>
      <c r="E16" s="44" t="s">
        <v>22</v>
      </c>
      <c r="F16" s="44" t="s">
        <v>1920</v>
      </c>
      <c r="G16" s="46">
        <v>3250</v>
      </c>
    </row>
    <row r="17" spans="1:7" x14ac:dyDescent="0.25">
      <c r="A17" s="245"/>
      <c r="B17" s="44" t="s">
        <v>2045</v>
      </c>
      <c r="C17" s="45" t="s">
        <v>1926</v>
      </c>
      <c r="D17" s="57" t="s">
        <v>2019</v>
      </c>
      <c r="E17" s="44" t="s">
        <v>48</v>
      </c>
      <c r="F17" s="44" t="s">
        <v>1920</v>
      </c>
      <c r="G17" s="46">
        <v>42</v>
      </c>
    </row>
    <row r="18" spans="1:7" x14ac:dyDescent="0.25">
      <c r="A18" s="245"/>
      <c r="B18" s="44" t="s">
        <v>2046</v>
      </c>
      <c r="C18" s="45" t="s">
        <v>1324</v>
      </c>
      <c r="D18" s="57" t="s">
        <v>2019</v>
      </c>
      <c r="E18" s="44" t="s">
        <v>22</v>
      </c>
      <c r="F18" s="44" t="s">
        <v>1920</v>
      </c>
      <c r="G18" s="46">
        <v>3200</v>
      </c>
    </row>
    <row r="19" spans="1:7" ht="15" customHeight="1" x14ac:dyDescent="0.25">
      <c r="A19" s="245" t="s">
        <v>2015</v>
      </c>
      <c r="B19" s="47" t="s">
        <v>2047</v>
      </c>
      <c r="C19" s="48"/>
      <c r="D19" s="58" t="s">
        <v>2020</v>
      </c>
      <c r="E19" s="47" t="s">
        <v>29</v>
      </c>
      <c r="F19" s="47" t="s">
        <v>1920</v>
      </c>
      <c r="G19" s="49">
        <v>58</v>
      </c>
    </row>
    <row r="20" spans="1:7" x14ac:dyDescent="0.25">
      <c r="A20" s="245"/>
      <c r="B20" s="47" t="s">
        <v>2048</v>
      </c>
      <c r="C20" s="48"/>
      <c r="D20" s="58" t="s">
        <v>2020</v>
      </c>
      <c r="E20" s="47" t="s">
        <v>29</v>
      </c>
      <c r="F20" s="47" t="s">
        <v>1920</v>
      </c>
      <c r="G20" s="49">
        <v>58</v>
      </c>
    </row>
    <row r="21" spans="1:7" x14ac:dyDescent="0.25">
      <c r="A21" s="245"/>
      <c r="B21" s="47" t="s">
        <v>2049</v>
      </c>
      <c r="C21" s="48"/>
      <c r="D21" s="58" t="s">
        <v>2020</v>
      </c>
      <c r="E21" s="47" t="s">
        <v>29</v>
      </c>
      <c r="F21" s="47" t="s">
        <v>1920</v>
      </c>
      <c r="G21" s="49">
        <v>58</v>
      </c>
    </row>
    <row r="22" spans="1:7" x14ac:dyDescent="0.25">
      <c r="A22" s="245"/>
      <c r="B22" s="47" t="s">
        <v>2050</v>
      </c>
      <c r="C22" s="48"/>
      <c r="D22" s="58" t="s">
        <v>2020</v>
      </c>
      <c r="E22" s="47" t="s">
        <v>29</v>
      </c>
      <c r="F22" s="47" t="s">
        <v>1920</v>
      </c>
      <c r="G22" s="49">
        <v>39</v>
      </c>
    </row>
    <row r="23" spans="1:7" x14ac:dyDescent="0.25">
      <c r="A23" s="245"/>
      <c r="B23" s="47" t="s">
        <v>2051</v>
      </c>
      <c r="C23" s="48"/>
      <c r="D23" s="58" t="s">
        <v>2020</v>
      </c>
      <c r="E23" s="47" t="s">
        <v>29</v>
      </c>
      <c r="F23" s="47" t="s">
        <v>1920</v>
      </c>
      <c r="G23" s="49">
        <v>18.5</v>
      </c>
    </row>
    <row r="24" spans="1:7" x14ac:dyDescent="0.25">
      <c r="A24" s="245"/>
      <c r="B24" s="47" t="s">
        <v>2052</v>
      </c>
      <c r="C24" s="48"/>
      <c r="D24" s="58" t="s">
        <v>2020</v>
      </c>
      <c r="E24" s="47" t="s">
        <v>89</v>
      </c>
      <c r="F24" s="47" t="s">
        <v>1920</v>
      </c>
      <c r="G24" s="49">
        <v>4.32</v>
      </c>
    </row>
    <row r="25" spans="1:7" x14ac:dyDescent="0.25">
      <c r="A25" s="245"/>
      <c r="B25" s="47" t="s">
        <v>2053</v>
      </c>
      <c r="C25" s="48"/>
      <c r="D25" s="58" t="s">
        <v>2020</v>
      </c>
      <c r="E25" s="47" t="s">
        <v>29</v>
      </c>
      <c r="F25" s="47" t="s">
        <v>1920</v>
      </c>
      <c r="G25" s="49">
        <v>248</v>
      </c>
    </row>
    <row r="26" spans="1:7" x14ac:dyDescent="0.25">
      <c r="A26" s="245"/>
      <c r="B26" s="47" t="s">
        <v>2054</v>
      </c>
      <c r="C26" s="48"/>
      <c r="D26" s="58" t="s">
        <v>2020</v>
      </c>
      <c r="E26" s="47" t="s">
        <v>29</v>
      </c>
      <c r="F26" s="47" t="s">
        <v>1920</v>
      </c>
      <c r="G26" s="49">
        <v>108.88</v>
      </c>
    </row>
    <row r="27" spans="1:7" x14ac:dyDescent="0.25">
      <c r="A27" s="245"/>
      <c r="B27" s="47" t="s">
        <v>2055</v>
      </c>
      <c r="C27" s="48" t="s">
        <v>1927</v>
      </c>
      <c r="D27" s="58" t="s">
        <v>2020</v>
      </c>
      <c r="E27" s="47" t="s">
        <v>89</v>
      </c>
      <c r="F27" s="47" t="s">
        <v>1920</v>
      </c>
      <c r="G27" s="49">
        <v>434.16</v>
      </c>
    </row>
    <row r="28" spans="1:7" x14ac:dyDescent="0.25">
      <c r="A28" s="245"/>
      <c r="B28" s="47" t="s">
        <v>2056</v>
      </c>
      <c r="C28" s="48" t="s">
        <v>1928</v>
      </c>
      <c r="D28" s="58" t="s">
        <v>2020</v>
      </c>
      <c r="E28" s="47" t="s">
        <v>29</v>
      </c>
      <c r="F28" s="47" t="s">
        <v>1920</v>
      </c>
      <c r="G28" s="49">
        <v>218.86</v>
      </c>
    </row>
    <row r="29" spans="1:7" x14ac:dyDescent="0.25">
      <c r="A29" s="245"/>
      <c r="B29" s="47" t="s">
        <v>2057</v>
      </c>
      <c r="C29" s="48"/>
      <c r="D29" s="58" t="s">
        <v>2020</v>
      </c>
      <c r="E29" s="47" t="s">
        <v>89</v>
      </c>
      <c r="F29" s="47" t="s">
        <v>1920</v>
      </c>
      <c r="G29" s="49">
        <v>429.14</v>
      </c>
    </row>
    <row r="30" spans="1:7" x14ac:dyDescent="0.25">
      <c r="A30" s="245"/>
      <c r="B30" s="47" t="s">
        <v>2058</v>
      </c>
      <c r="C30" s="48"/>
      <c r="D30" s="58" t="s">
        <v>2020</v>
      </c>
      <c r="E30" s="47" t="s">
        <v>89</v>
      </c>
      <c r="F30" s="47" t="s">
        <v>1920</v>
      </c>
      <c r="G30" s="49">
        <v>5.34</v>
      </c>
    </row>
    <row r="31" spans="1:7" x14ac:dyDescent="0.25">
      <c r="A31" s="245"/>
      <c r="B31" s="47" t="s">
        <v>2059</v>
      </c>
      <c r="C31" s="48"/>
      <c r="D31" s="58" t="s">
        <v>2020</v>
      </c>
      <c r="E31" s="47" t="s">
        <v>29</v>
      </c>
      <c r="F31" s="47" t="s">
        <v>1920</v>
      </c>
      <c r="G31" s="49">
        <v>89</v>
      </c>
    </row>
    <row r="32" spans="1:7" x14ac:dyDescent="0.25">
      <c r="A32" s="245"/>
      <c r="B32" s="47" t="s">
        <v>2060</v>
      </c>
      <c r="C32" s="48"/>
      <c r="D32" s="58" t="s">
        <v>2020</v>
      </c>
      <c r="E32" s="47" t="s">
        <v>29</v>
      </c>
      <c r="F32" s="47" t="s">
        <v>1920</v>
      </c>
      <c r="G32" s="49">
        <v>89</v>
      </c>
    </row>
    <row r="33" spans="1:7" x14ac:dyDescent="0.25">
      <c r="A33" s="245"/>
      <c r="B33" s="47" t="s">
        <v>2061</v>
      </c>
      <c r="C33" s="48"/>
      <c r="D33" s="58" t="s">
        <v>2020</v>
      </c>
      <c r="E33" s="47" t="s">
        <v>29</v>
      </c>
      <c r="F33" s="47" t="s">
        <v>1920</v>
      </c>
      <c r="G33" s="49">
        <v>89</v>
      </c>
    </row>
    <row r="34" spans="1:7" x14ac:dyDescent="0.25">
      <c r="A34" s="245"/>
      <c r="B34" s="47" t="s">
        <v>2062</v>
      </c>
      <c r="C34" s="48"/>
      <c r="D34" s="58" t="s">
        <v>2020</v>
      </c>
      <c r="E34" s="47" t="s">
        <v>29</v>
      </c>
      <c r="F34" s="47" t="s">
        <v>1920</v>
      </c>
      <c r="G34" s="49">
        <v>122</v>
      </c>
    </row>
    <row r="35" spans="1:7" x14ac:dyDescent="0.25">
      <c r="A35" s="245"/>
      <c r="B35" s="47" t="s">
        <v>2063</v>
      </c>
      <c r="C35" s="48"/>
      <c r="D35" s="58" t="s">
        <v>2020</v>
      </c>
      <c r="E35" s="47" t="s">
        <v>29</v>
      </c>
      <c r="F35" s="47" t="s">
        <v>1920</v>
      </c>
      <c r="G35" s="49">
        <v>51</v>
      </c>
    </row>
    <row r="36" spans="1:7" x14ac:dyDescent="0.25">
      <c r="A36" s="245"/>
      <c r="B36" s="47" t="s">
        <v>2064</v>
      </c>
      <c r="C36" s="48"/>
      <c r="D36" s="58" t="s">
        <v>2020</v>
      </c>
      <c r="E36" s="47" t="s">
        <v>89</v>
      </c>
      <c r="F36" s="47" t="s">
        <v>1920</v>
      </c>
      <c r="G36" s="49">
        <v>34</v>
      </c>
    </row>
    <row r="37" spans="1:7" x14ac:dyDescent="0.25">
      <c r="A37" s="245"/>
      <c r="B37" s="47" t="s">
        <v>266</v>
      </c>
      <c r="C37" s="48"/>
      <c r="D37" s="58" t="s">
        <v>2020</v>
      </c>
      <c r="E37" s="47" t="s">
        <v>89</v>
      </c>
      <c r="F37" s="47" t="s">
        <v>1920</v>
      </c>
      <c r="G37" s="49">
        <v>25</v>
      </c>
    </row>
    <row r="38" spans="1:7" x14ac:dyDescent="0.25">
      <c r="A38" s="245"/>
      <c r="B38" s="47" t="s">
        <v>2065</v>
      </c>
      <c r="C38" s="48"/>
      <c r="D38" s="58" t="s">
        <v>2020</v>
      </c>
      <c r="E38" s="47" t="s">
        <v>29</v>
      </c>
      <c r="F38" s="47" t="s">
        <v>1920</v>
      </c>
      <c r="G38" s="49">
        <v>420</v>
      </c>
    </row>
    <row r="39" spans="1:7" x14ac:dyDescent="0.25">
      <c r="A39" s="245"/>
      <c r="B39" s="47" t="s">
        <v>2066</v>
      </c>
      <c r="C39" s="48"/>
      <c r="D39" s="58" t="s">
        <v>2020</v>
      </c>
      <c r="E39" s="47" t="s">
        <v>29</v>
      </c>
      <c r="F39" s="47" t="s">
        <v>1920</v>
      </c>
      <c r="G39" s="49">
        <v>112</v>
      </c>
    </row>
    <row r="40" spans="1:7" x14ac:dyDescent="0.25">
      <c r="A40" s="245"/>
      <c r="B40" s="47" t="s">
        <v>2067</v>
      </c>
      <c r="C40" s="48"/>
      <c r="D40" s="58" t="s">
        <v>2020</v>
      </c>
      <c r="E40" s="47" t="s">
        <v>29</v>
      </c>
      <c r="F40" s="47" t="s">
        <v>1920</v>
      </c>
      <c r="G40" s="49">
        <v>1449.3</v>
      </c>
    </row>
    <row r="41" spans="1:7" x14ac:dyDescent="0.25">
      <c r="A41" s="245"/>
      <c r="B41" s="47" t="s">
        <v>2068</v>
      </c>
      <c r="C41" s="48"/>
      <c r="D41" s="58" t="s">
        <v>2020</v>
      </c>
      <c r="E41" s="47" t="s">
        <v>29</v>
      </c>
      <c r="F41" s="47" t="s">
        <v>1920</v>
      </c>
      <c r="G41" s="49">
        <v>257.32</v>
      </c>
    </row>
    <row r="42" spans="1:7" x14ac:dyDescent="0.25">
      <c r="A42" s="245"/>
      <c r="B42" s="47" t="s">
        <v>2069</v>
      </c>
      <c r="C42" s="48"/>
      <c r="D42" s="58" t="s">
        <v>2020</v>
      </c>
      <c r="E42" s="47" t="s">
        <v>29</v>
      </c>
      <c r="F42" s="47" t="s">
        <v>1920</v>
      </c>
      <c r="G42" s="49">
        <v>318.8</v>
      </c>
    </row>
    <row r="43" spans="1:7" x14ac:dyDescent="0.25">
      <c r="A43" s="245"/>
      <c r="B43" s="47" t="s">
        <v>2070</v>
      </c>
      <c r="C43" s="48"/>
      <c r="D43" s="58" t="s">
        <v>2020</v>
      </c>
      <c r="E43" s="47" t="s">
        <v>1929</v>
      </c>
      <c r="F43" s="47" t="s">
        <v>1920</v>
      </c>
      <c r="G43" s="49">
        <v>33.5</v>
      </c>
    </row>
    <row r="44" spans="1:7" x14ac:dyDescent="0.25">
      <c r="A44" s="245"/>
      <c r="B44" s="47" t="s">
        <v>2071</v>
      </c>
      <c r="C44" s="48"/>
      <c r="D44" s="58" t="s">
        <v>2020</v>
      </c>
      <c r="E44" s="47" t="s">
        <v>89</v>
      </c>
      <c r="F44" s="47" t="s">
        <v>1920</v>
      </c>
      <c r="G44" s="49">
        <v>55</v>
      </c>
    </row>
    <row r="45" spans="1:7" x14ac:dyDescent="0.25">
      <c r="A45" s="245"/>
      <c r="B45" s="47" t="s">
        <v>2072</v>
      </c>
      <c r="C45" s="48"/>
      <c r="D45" s="58" t="s">
        <v>2020</v>
      </c>
      <c r="E45" s="47" t="s">
        <v>89</v>
      </c>
      <c r="F45" s="47" t="s">
        <v>1920</v>
      </c>
      <c r="G45" s="49">
        <v>48.72</v>
      </c>
    </row>
    <row r="46" spans="1:7" x14ac:dyDescent="0.25">
      <c r="A46" s="245"/>
      <c r="B46" s="47" t="s">
        <v>2073</v>
      </c>
      <c r="C46" s="48"/>
      <c r="D46" s="58" t="s">
        <v>2020</v>
      </c>
      <c r="E46" s="47" t="s">
        <v>89</v>
      </c>
      <c r="F46" s="47" t="s">
        <v>1920</v>
      </c>
      <c r="G46" s="49">
        <v>68.599999999999994</v>
      </c>
    </row>
    <row r="47" spans="1:7" x14ac:dyDescent="0.25">
      <c r="A47" s="245"/>
      <c r="B47" s="47" t="s">
        <v>2074</v>
      </c>
      <c r="C47" s="48"/>
      <c r="D47" s="58" t="s">
        <v>2020</v>
      </c>
      <c r="E47" s="47" t="s">
        <v>89</v>
      </c>
      <c r="F47" s="47" t="s">
        <v>1920</v>
      </c>
      <c r="G47" s="49">
        <v>71.92</v>
      </c>
    </row>
    <row r="48" spans="1:7" x14ac:dyDescent="0.25">
      <c r="A48" s="245"/>
      <c r="B48" s="47" t="s">
        <v>2075</v>
      </c>
      <c r="C48" s="48"/>
      <c r="D48" s="58" t="s">
        <v>2020</v>
      </c>
      <c r="E48" s="47" t="s">
        <v>29</v>
      </c>
      <c r="F48" s="47" t="s">
        <v>1920</v>
      </c>
      <c r="G48" s="49">
        <v>400</v>
      </c>
    </row>
    <row r="49" spans="1:7" x14ac:dyDescent="0.25">
      <c r="A49" s="245"/>
      <c r="B49" s="47" t="s">
        <v>2076</v>
      </c>
      <c r="C49" s="48"/>
      <c r="D49" s="58" t="s">
        <v>2020</v>
      </c>
      <c r="E49" s="47" t="s">
        <v>89</v>
      </c>
      <c r="F49" s="47" t="s">
        <v>1920</v>
      </c>
      <c r="G49" s="49">
        <v>1.98</v>
      </c>
    </row>
    <row r="50" spans="1:7" x14ac:dyDescent="0.25">
      <c r="A50" s="245"/>
      <c r="B50" s="47" t="s">
        <v>2077</v>
      </c>
      <c r="C50" s="48"/>
      <c r="D50" s="58" t="s">
        <v>2020</v>
      </c>
      <c r="E50" s="47" t="s">
        <v>1929</v>
      </c>
      <c r="F50" s="47" t="s">
        <v>1920</v>
      </c>
      <c r="G50" s="49">
        <v>27.5</v>
      </c>
    </row>
    <row r="51" spans="1:7" x14ac:dyDescent="0.25">
      <c r="A51" s="245"/>
      <c r="B51" s="47" t="s">
        <v>451</v>
      </c>
      <c r="C51" s="48"/>
      <c r="D51" s="58" t="s">
        <v>2020</v>
      </c>
      <c r="E51" s="47" t="s">
        <v>89</v>
      </c>
      <c r="F51" s="47" t="s">
        <v>1920</v>
      </c>
      <c r="G51" s="49">
        <v>92.1</v>
      </c>
    </row>
    <row r="52" spans="1:7" x14ac:dyDescent="0.25">
      <c r="A52" s="245"/>
      <c r="B52" s="47" t="s">
        <v>2078</v>
      </c>
      <c r="C52" s="48"/>
      <c r="D52" s="58" t="s">
        <v>2020</v>
      </c>
      <c r="E52" s="47" t="s">
        <v>89</v>
      </c>
      <c r="F52" s="47" t="s">
        <v>1920</v>
      </c>
      <c r="G52" s="49">
        <v>115.06</v>
      </c>
    </row>
    <row r="53" spans="1:7" x14ac:dyDescent="0.25">
      <c r="A53" s="245"/>
      <c r="B53" s="47" t="s">
        <v>2079</v>
      </c>
      <c r="C53" s="48"/>
      <c r="D53" s="58" t="s">
        <v>2020</v>
      </c>
      <c r="E53" s="47" t="s">
        <v>89</v>
      </c>
      <c r="F53" s="47" t="s">
        <v>1920</v>
      </c>
      <c r="G53" s="49">
        <v>3</v>
      </c>
    </row>
    <row r="54" spans="1:7" x14ac:dyDescent="0.25">
      <c r="A54" s="245"/>
      <c r="B54" s="47" t="s">
        <v>2080</v>
      </c>
      <c r="C54" s="48"/>
      <c r="D54" s="58" t="s">
        <v>2020</v>
      </c>
      <c r="E54" s="47" t="s">
        <v>89</v>
      </c>
      <c r="F54" s="47" t="s">
        <v>1920</v>
      </c>
      <c r="G54" s="49">
        <v>2.3199999999999998</v>
      </c>
    </row>
    <row r="55" spans="1:7" x14ac:dyDescent="0.25">
      <c r="A55" s="245"/>
      <c r="B55" s="47" t="s">
        <v>2081</v>
      </c>
      <c r="C55" s="48"/>
      <c r="D55" s="58" t="s">
        <v>2020</v>
      </c>
      <c r="E55" s="47" t="s">
        <v>89</v>
      </c>
      <c r="F55" s="47" t="s">
        <v>1920</v>
      </c>
      <c r="G55" s="49">
        <v>105.79</v>
      </c>
    </row>
    <row r="56" spans="1:7" x14ac:dyDescent="0.25">
      <c r="A56" s="245"/>
      <c r="B56" s="47" t="s">
        <v>2082</v>
      </c>
      <c r="C56" s="48"/>
      <c r="D56" s="58" t="s">
        <v>2020</v>
      </c>
      <c r="E56" s="47" t="s">
        <v>89</v>
      </c>
      <c r="F56" s="47" t="s">
        <v>1920</v>
      </c>
      <c r="G56" s="49">
        <v>3.85</v>
      </c>
    </row>
    <row r="57" spans="1:7" x14ac:dyDescent="0.25">
      <c r="A57" s="245"/>
      <c r="B57" s="47" t="s">
        <v>2083</v>
      </c>
      <c r="C57" s="48"/>
      <c r="D57" s="58" t="s">
        <v>2020</v>
      </c>
      <c r="E57" s="47" t="s">
        <v>89</v>
      </c>
      <c r="F57" s="47" t="s">
        <v>1920</v>
      </c>
      <c r="G57" s="49">
        <v>203.21</v>
      </c>
    </row>
    <row r="58" spans="1:7" x14ac:dyDescent="0.25">
      <c r="A58" s="245"/>
      <c r="B58" s="47" t="s">
        <v>2084</v>
      </c>
      <c r="C58" s="48"/>
      <c r="D58" s="58" t="s">
        <v>2020</v>
      </c>
      <c r="E58" s="47" t="s">
        <v>29</v>
      </c>
      <c r="F58" s="47" t="s">
        <v>1920</v>
      </c>
      <c r="G58" s="49">
        <v>725</v>
      </c>
    </row>
    <row r="59" spans="1:7" x14ac:dyDescent="0.25">
      <c r="A59" s="245"/>
      <c r="B59" s="47" t="s">
        <v>2085</v>
      </c>
      <c r="C59" s="48"/>
      <c r="D59" s="58" t="s">
        <v>2020</v>
      </c>
      <c r="E59" s="47" t="s">
        <v>89</v>
      </c>
      <c r="F59" s="47" t="s">
        <v>1920</v>
      </c>
      <c r="G59" s="49">
        <v>175</v>
      </c>
    </row>
    <row r="60" spans="1:7" x14ac:dyDescent="0.25">
      <c r="A60" s="245"/>
      <c r="B60" s="47" t="s">
        <v>2086</v>
      </c>
      <c r="C60" s="48"/>
      <c r="D60" s="58" t="s">
        <v>2020</v>
      </c>
      <c r="E60" s="47" t="s">
        <v>89</v>
      </c>
      <c r="F60" s="47" t="s">
        <v>1920</v>
      </c>
      <c r="G60" s="49">
        <v>4.62</v>
      </c>
    </row>
    <row r="61" spans="1:7" x14ac:dyDescent="0.25">
      <c r="A61" s="245"/>
      <c r="B61" s="47" t="s">
        <v>2087</v>
      </c>
      <c r="C61" s="48"/>
      <c r="D61" s="58" t="s">
        <v>2020</v>
      </c>
      <c r="E61" s="47" t="s">
        <v>89</v>
      </c>
      <c r="F61" s="47" t="s">
        <v>1920</v>
      </c>
      <c r="G61" s="49">
        <v>259.81</v>
      </c>
    </row>
    <row r="62" spans="1:7" x14ac:dyDescent="0.25">
      <c r="A62" s="245"/>
      <c r="B62" s="47" t="s">
        <v>2088</v>
      </c>
      <c r="C62" s="48" t="s">
        <v>1930</v>
      </c>
      <c r="D62" s="58" t="s">
        <v>2020</v>
      </c>
      <c r="E62" s="47" t="s">
        <v>83</v>
      </c>
      <c r="F62" s="47" t="s">
        <v>1920</v>
      </c>
      <c r="G62" s="49">
        <v>1.05</v>
      </c>
    </row>
    <row r="63" spans="1:7" x14ac:dyDescent="0.25">
      <c r="A63" s="245"/>
      <c r="B63" s="47" t="s">
        <v>2089</v>
      </c>
      <c r="C63" s="48"/>
      <c r="D63" s="58" t="s">
        <v>2020</v>
      </c>
      <c r="E63" s="47" t="s">
        <v>83</v>
      </c>
      <c r="F63" s="47" t="s">
        <v>1920</v>
      </c>
      <c r="G63" s="49">
        <v>2.5</v>
      </c>
    </row>
    <row r="64" spans="1:7" x14ac:dyDescent="0.25">
      <c r="A64" s="245"/>
      <c r="B64" s="47" t="s">
        <v>2090</v>
      </c>
      <c r="C64" s="48" t="s">
        <v>1931</v>
      </c>
      <c r="D64" s="58" t="s">
        <v>2020</v>
      </c>
      <c r="E64" s="47" t="s">
        <v>83</v>
      </c>
      <c r="F64" s="47" t="s">
        <v>1920</v>
      </c>
      <c r="G64" s="49">
        <v>2.4900000000000002</v>
      </c>
    </row>
    <row r="65" spans="1:7" x14ac:dyDescent="0.25">
      <c r="A65" s="245"/>
      <c r="B65" s="47" t="s">
        <v>190</v>
      </c>
      <c r="C65" s="48"/>
      <c r="D65" s="58" t="s">
        <v>2020</v>
      </c>
      <c r="E65" s="47" t="s">
        <v>89</v>
      </c>
      <c r="F65" s="47" t="s">
        <v>1920</v>
      </c>
      <c r="G65" s="49">
        <v>3</v>
      </c>
    </row>
    <row r="66" spans="1:7" x14ac:dyDescent="0.25">
      <c r="A66" s="245"/>
      <c r="B66" s="47" t="s">
        <v>84</v>
      </c>
      <c r="C66" s="48"/>
      <c r="D66" s="58" t="s">
        <v>2020</v>
      </c>
      <c r="E66" s="47" t="s">
        <v>29</v>
      </c>
      <c r="F66" s="47" t="s">
        <v>1920</v>
      </c>
      <c r="G66" s="49">
        <v>0.8</v>
      </c>
    </row>
    <row r="67" spans="1:7" x14ac:dyDescent="0.25">
      <c r="A67" s="245"/>
      <c r="B67" s="47" t="s">
        <v>2091</v>
      </c>
      <c r="C67" s="48"/>
      <c r="D67" s="58" t="s">
        <v>2020</v>
      </c>
      <c r="E67" s="47" t="s">
        <v>29</v>
      </c>
      <c r="F67" s="47" t="s">
        <v>1920</v>
      </c>
      <c r="G67" s="49">
        <v>250</v>
      </c>
    </row>
    <row r="68" spans="1:7" x14ac:dyDescent="0.25">
      <c r="A68" s="245"/>
      <c r="B68" s="47" t="s">
        <v>2092</v>
      </c>
      <c r="C68" s="48"/>
      <c r="D68" s="58" t="s">
        <v>2020</v>
      </c>
      <c r="E68" s="47" t="s">
        <v>29</v>
      </c>
      <c r="F68" s="47" t="s">
        <v>1920</v>
      </c>
      <c r="G68" s="49">
        <v>7.5</v>
      </c>
    </row>
    <row r="69" spans="1:7" x14ac:dyDescent="0.25">
      <c r="A69" s="245"/>
      <c r="B69" s="47" t="s">
        <v>2093</v>
      </c>
      <c r="C69" s="48" t="s">
        <v>1932</v>
      </c>
      <c r="D69" s="58" t="s">
        <v>2020</v>
      </c>
      <c r="E69" s="47" t="s">
        <v>29</v>
      </c>
      <c r="F69" s="47" t="s">
        <v>1920</v>
      </c>
      <c r="G69" s="49">
        <v>1346.26</v>
      </c>
    </row>
    <row r="70" spans="1:7" x14ac:dyDescent="0.25">
      <c r="A70" s="245"/>
      <c r="B70" s="47" t="s">
        <v>2094</v>
      </c>
      <c r="C70" s="48" t="s">
        <v>1933</v>
      </c>
      <c r="D70" s="58" t="s">
        <v>2020</v>
      </c>
      <c r="E70" s="47" t="s">
        <v>29</v>
      </c>
      <c r="F70" s="47" t="s">
        <v>1920</v>
      </c>
      <c r="G70" s="49">
        <v>1709.44</v>
      </c>
    </row>
    <row r="71" spans="1:7" x14ac:dyDescent="0.25">
      <c r="A71" s="245"/>
      <c r="B71" s="47" t="s">
        <v>2095</v>
      </c>
      <c r="C71" s="48" t="s">
        <v>1934</v>
      </c>
      <c r="D71" s="58" t="s">
        <v>2020</v>
      </c>
      <c r="E71" s="47" t="s">
        <v>82</v>
      </c>
      <c r="F71" s="47" t="s">
        <v>1920</v>
      </c>
      <c r="G71" s="49">
        <v>27.8</v>
      </c>
    </row>
    <row r="72" spans="1:7" x14ac:dyDescent="0.25">
      <c r="A72" s="245"/>
      <c r="B72" s="47" t="s">
        <v>2096</v>
      </c>
      <c r="C72" s="48" t="s">
        <v>1935</v>
      </c>
      <c r="D72" s="58" t="s">
        <v>2020</v>
      </c>
      <c r="E72" s="47" t="s">
        <v>82</v>
      </c>
      <c r="F72" s="47" t="s">
        <v>1920</v>
      </c>
      <c r="G72" s="49">
        <v>28.3</v>
      </c>
    </row>
    <row r="73" spans="1:7" x14ac:dyDescent="0.25">
      <c r="A73" s="245"/>
      <c r="B73" s="47" t="s">
        <v>2097</v>
      </c>
      <c r="C73" s="48" t="s">
        <v>1936</v>
      </c>
      <c r="D73" s="58" t="s">
        <v>2020</v>
      </c>
      <c r="E73" s="47" t="s">
        <v>82</v>
      </c>
      <c r="F73" s="47" t="s">
        <v>1920</v>
      </c>
      <c r="G73" s="49">
        <v>28.8</v>
      </c>
    </row>
    <row r="74" spans="1:7" x14ac:dyDescent="0.25">
      <c r="A74" s="245"/>
      <c r="B74" s="47" t="s">
        <v>2098</v>
      </c>
      <c r="C74" s="48" t="s">
        <v>1937</v>
      </c>
      <c r="D74" s="58" t="s">
        <v>2020</v>
      </c>
      <c r="E74" s="47" t="s">
        <v>29</v>
      </c>
      <c r="F74" s="47" t="s">
        <v>1920</v>
      </c>
      <c r="G74" s="49">
        <v>419.97</v>
      </c>
    </row>
    <row r="75" spans="1:7" x14ac:dyDescent="0.25">
      <c r="A75" s="245"/>
      <c r="B75" s="47" t="s">
        <v>109</v>
      </c>
      <c r="C75" s="48" t="s">
        <v>1938</v>
      </c>
      <c r="D75" s="58" t="s">
        <v>2020</v>
      </c>
      <c r="E75" s="47" t="s">
        <v>82</v>
      </c>
      <c r="F75" s="47" t="s">
        <v>1920</v>
      </c>
      <c r="G75" s="49">
        <v>450</v>
      </c>
    </row>
    <row r="76" spans="1:7" x14ac:dyDescent="0.25">
      <c r="A76" s="245"/>
      <c r="B76" s="47" t="s">
        <v>2099</v>
      </c>
      <c r="C76" s="48" t="s">
        <v>1939</v>
      </c>
      <c r="D76" s="58" t="s">
        <v>2020</v>
      </c>
      <c r="E76" s="47" t="s">
        <v>82</v>
      </c>
      <c r="F76" s="47" t="s">
        <v>1920</v>
      </c>
      <c r="G76" s="49">
        <v>240</v>
      </c>
    </row>
    <row r="77" spans="1:7" x14ac:dyDescent="0.25">
      <c r="A77" s="245"/>
      <c r="B77" s="47" t="s">
        <v>2100</v>
      </c>
      <c r="C77" s="48"/>
      <c r="D77" s="58" t="s">
        <v>2020</v>
      </c>
      <c r="E77" s="47" t="s">
        <v>82</v>
      </c>
      <c r="F77" s="47" t="s">
        <v>1920</v>
      </c>
      <c r="G77" s="49">
        <v>293</v>
      </c>
    </row>
    <row r="78" spans="1:7" x14ac:dyDescent="0.25">
      <c r="A78" s="245"/>
      <c r="B78" s="47" t="s">
        <v>2101</v>
      </c>
      <c r="C78" s="48"/>
      <c r="D78" s="58" t="s">
        <v>2020</v>
      </c>
      <c r="E78" s="47" t="s">
        <v>82</v>
      </c>
      <c r="F78" s="47" t="s">
        <v>1920</v>
      </c>
      <c r="G78" s="49">
        <v>180</v>
      </c>
    </row>
    <row r="79" spans="1:7" x14ac:dyDescent="0.25">
      <c r="A79" s="245"/>
      <c r="B79" s="47" t="s">
        <v>2102</v>
      </c>
      <c r="C79" s="48"/>
      <c r="D79" s="58" t="s">
        <v>2020</v>
      </c>
      <c r="E79" s="47" t="s">
        <v>82</v>
      </c>
      <c r="F79" s="47" t="s">
        <v>1920</v>
      </c>
      <c r="G79" s="49">
        <v>21.8</v>
      </c>
    </row>
    <row r="80" spans="1:7" x14ac:dyDescent="0.25">
      <c r="A80" s="245"/>
      <c r="B80" s="47" t="s">
        <v>2103</v>
      </c>
      <c r="C80" s="48"/>
      <c r="D80" s="58" t="s">
        <v>2020</v>
      </c>
      <c r="E80" s="47" t="s">
        <v>89</v>
      </c>
      <c r="F80" s="47" t="s">
        <v>1920</v>
      </c>
      <c r="G80" s="49">
        <v>13.67</v>
      </c>
    </row>
    <row r="81" spans="1:7" x14ac:dyDescent="0.25">
      <c r="A81" s="245"/>
      <c r="B81" s="47" t="s">
        <v>2104</v>
      </c>
      <c r="C81" s="48"/>
      <c r="D81" s="58" t="s">
        <v>2020</v>
      </c>
      <c r="E81" s="47" t="s">
        <v>89</v>
      </c>
      <c r="F81" s="47" t="s">
        <v>1920</v>
      </c>
      <c r="G81" s="49">
        <v>4.3499999999999996</v>
      </c>
    </row>
    <row r="82" spans="1:7" x14ac:dyDescent="0.25">
      <c r="A82" s="245"/>
      <c r="B82" s="47" t="s">
        <v>2105</v>
      </c>
      <c r="C82" s="48"/>
      <c r="D82" s="58" t="s">
        <v>2020</v>
      </c>
      <c r="E82" s="47" t="s">
        <v>89</v>
      </c>
      <c r="F82" s="47" t="s">
        <v>1920</v>
      </c>
      <c r="G82" s="49">
        <v>9.09</v>
      </c>
    </row>
    <row r="83" spans="1:7" x14ac:dyDescent="0.25">
      <c r="A83" s="245"/>
      <c r="B83" s="47" t="s">
        <v>2106</v>
      </c>
      <c r="C83" s="48"/>
      <c r="D83" s="58" t="s">
        <v>2020</v>
      </c>
      <c r="E83" s="47" t="s">
        <v>89</v>
      </c>
      <c r="F83" s="47" t="s">
        <v>1920</v>
      </c>
      <c r="G83" s="49">
        <v>19.170000000000002</v>
      </c>
    </row>
    <row r="84" spans="1:7" x14ac:dyDescent="0.25">
      <c r="A84" s="245"/>
      <c r="B84" s="47" t="s">
        <v>2107</v>
      </c>
      <c r="C84" s="48"/>
      <c r="D84" s="58" t="s">
        <v>2020</v>
      </c>
      <c r="E84" s="47" t="s">
        <v>89</v>
      </c>
      <c r="F84" s="47" t="s">
        <v>1920</v>
      </c>
      <c r="G84" s="49">
        <v>26.67</v>
      </c>
    </row>
    <row r="85" spans="1:7" x14ac:dyDescent="0.25">
      <c r="A85" s="245"/>
      <c r="B85" s="47" t="s">
        <v>2108</v>
      </c>
      <c r="C85" s="48"/>
      <c r="D85" s="58" t="s">
        <v>2020</v>
      </c>
      <c r="E85" s="47" t="s">
        <v>89</v>
      </c>
      <c r="F85" s="47" t="s">
        <v>1920</v>
      </c>
      <c r="G85" s="49">
        <v>9.09</v>
      </c>
    </row>
    <row r="86" spans="1:7" x14ac:dyDescent="0.25">
      <c r="A86" s="245"/>
      <c r="B86" s="47" t="s">
        <v>2109</v>
      </c>
      <c r="C86" s="48" t="s">
        <v>1940</v>
      </c>
      <c r="D86" s="58" t="s">
        <v>2020</v>
      </c>
      <c r="E86" s="47" t="s">
        <v>33</v>
      </c>
      <c r="F86" s="47" t="s">
        <v>1920</v>
      </c>
      <c r="G86" s="49">
        <v>30</v>
      </c>
    </row>
    <row r="87" spans="1:7" x14ac:dyDescent="0.25">
      <c r="A87" s="245"/>
      <c r="B87" s="47" t="s">
        <v>2110</v>
      </c>
      <c r="C87" s="48" t="s">
        <v>1940</v>
      </c>
      <c r="D87" s="58" t="s">
        <v>2020</v>
      </c>
      <c r="E87" s="47" t="s">
        <v>89</v>
      </c>
      <c r="F87" s="47" t="s">
        <v>1920</v>
      </c>
      <c r="G87" s="49">
        <v>50</v>
      </c>
    </row>
    <row r="88" spans="1:7" x14ac:dyDescent="0.25">
      <c r="A88" s="245"/>
      <c r="B88" s="47" t="s">
        <v>2111</v>
      </c>
      <c r="C88" s="48" t="s">
        <v>1940</v>
      </c>
      <c r="D88" s="58" t="s">
        <v>2020</v>
      </c>
      <c r="E88" s="47" t="s">
        <v>33</v>
      </c>
      <c r="F88" s="47" t="s">
        <v>1920</v>
      </c>
      <c r="G88" s="49">
        <v>71.739999999999995</v>
      </c>
    </row>
    <row r="89" spans="1:7" x14ac:dyDescent="0.25">
      <c r="A89" s="245"/>
      <c r="B89" s="47" t="s">
        <v>2112</v>
      </c>
      <c r="C89" s="48" t="s">
        <v>1940</v>
      </c>
      <c r="D89" s="58" t="s">
        <v>2020</v>
      </c>
      <c r="E89" s="47" t="s">
        <v>33</v>
      </c>
      <c r="F89" s="47" t="s">
        <v>1920</v>
      </c>
      <c r="G89" s="49">
        <v>120.5</v>
      </c>
    </row>
    <row r="90" spans="1:7" x14ac:dyDescent="0.25">
      <c r="A90" s="245"/>
      <c r="B90" s="47" t="s">
        <v>2113</v>
      </c>
      <c r="C90" s="48" t="s">
        <v>1941</v>
      </c>
      <c r="D90" s="58" t="s">
        <v>2020</v>
      </c>
      <c r="E90" s="47" t="s">
        <v>33</v>
      </c>
      <c r="F90" s="47" t="s">
        <v>1920</v>
      </c>
      <c r="G90" s="49">
        <v>184.29</v>
      </c>
    </row>
    <row r="91" spans="1:7" x14ac:dyDescent="0.25">
      <c r="A91" s="245"/>
      <c r="B91" s="47" t="s">
        <v>2114</v>
      </c>
      <c r="C91" s="48" t="s">
        <v>1942</v>
      </c>
      <c r="D91" s="58" t="s">
        <v>2020</v>
      </c>
      <c r="E91" s="47" t="s">
        <v>33</v>
      </c>
      <c r="F91" s="47" t="s">
        <v>1920</v>
      </c>
      <c r="G91" s="49">
        <v>518.45000000000005</v>
      </c>
    </row>
    <row r="92" spans="1:7" x14ac:dyDescent="0.25">
      <c r="A92" s="245"/>
      <c r="B92" s="47" t="s">
        <v>2115</v>
      </c>
      <c r="C92" s="48" t="s">
        <v>1943</v>
      </c>
      <c r="D92" s="58" t="s">
        <v>2020</v>
      </c>
      <c r="E92" s="47" t="s">
        <v>33</v>
      </c>
      <c r="F92" s="47" t="s">
        <v>1920</v>
      </c>
      <c r="G92" s="49">
        <v>633.14</v>
      </c>
    </row>
    <row r="93" spans="1:7" x14ac:dyDescent="0.25">
      <c r="A93" s="245"/>
      <c r="B93" s="47" t="s">
        <v>2116</v>
      </c>
      <c r="C93" s="48"/>
      <c r="D93" s="58" t="s">
        <v>2020</v>
      </c>
      <c r="E93" s="47" t="s">
        <v>29</v>
      </c>
      <c r="F93" s="47" t="s">
        <v>1920</v>
      </c>
      <c r="G93" s="49">
        <v>65</v>
      </c>
    </row>
    <row r="94" spans="1:7" x14ac:dyDescent="0.25">
      <c r="A94" s="245"/>
      <c r="B94" s="47" t="s">
        <v>2117</v>
      </c>
      <c r="C94" s="48"/>
      <c r="D94" s="58" t="s">
        <v>2020</v>
      </c>
      <c r="E94" s="47" t="s">
        <v>33</v>
      </c>
      <c r="F94" s="47" t="s">
        <v>1920</v>
      </c>
      <c r="G94" s="49">
        <v>12000</v>
      </c>
    </row>
    <row r="95" spans="1:7" x14ac:dyDescent="0.25">
      <c r="A95" s="245"/>
      <c r="B95" s="47" t="s">
        <v>91</v>
      </c>
      <c r="C95" s="48" t="s">
        <v>91</v>
      </c>
      <c r="D95" s="58" t="s">
        <v>2020</v>
      </c>
      <c r="E95" s="47" t="s">
        <v>89</v>
      </c>
      <c r="F95" s="47" t="s">
        <v>1920</v>
      </c>
      <c r="G95" s="49">
        <v>5</v>
      </c>
    </row>
    <row r="96" spans="1:7" x14ac:dyDescent="0.25">
      <c r="A96" s="245"/>
      <c r="B96" s="47" t="s">
        <v>2118</v>
      </c>
      <c r="C96" s="48"/>
      <c r="D96" s="58" t="s">
        <v>2020</v>
      </c>
      <c r="E96" s="47" t="s">
        <v>29</v>
      </c>
      <c r="F96" s="47" t="s">
        <v>1920</v>
      </c>
      <c r="G96" s="49">
        <v>8</v>
      </c>
    </row>
    <row r="97" spans="1:7" x14ac:dyDescent="0.25">
      <c r="A97" s="245"/>
      <c r="B97" s="47" t="s">
        <v>2119</v>
      </c>
      <c r="C97" s="48" t="s">
        <v>1944</v>
      </c>
      <c r="D97" s="58" t="s">
        <v>2020</v>
      </c>
      <c r="E97" s="47" t="s">
        <v>82</v>
      </c>
      <c r="F97" s="47" t="s">
        <v>1920</v>
      </c>
      <c r="G97" s="49">
        <v>37.5</v>
      </c>
    </row>
    <row r="98" spans="1:7" x14ac:dyDescent="0.25">
      <c r="A98" s="245"/>
      <c r="B98" s="47" t="s">
        <v>2120</v>
      </c>
      <c r="C98" s="48"/>
      <c r="D98" s="58" t="s">
        <v>2020</v>
      </c>
      <c r="E98" s="47" t="s">
        <v>89</v>
      </c>
      <c r="F98" s="47" t="s">
        <v>1920</v>
      </c>
      <c r="G98" s="49">
        <v>0.11</v>
      </c>
    </row>
    <row r="99" spans="1:7" x14ac:dyDescent="0.25">
      <c r="A99" s="245"/>
      <c r="B99" s="47" t="s">
        <v>2121</v>
      </c>
      <c r="C99" s="48"/>
      <c r="D99" s="58" t="s">
        <v>2020</v>
      </c>
      <c r="E99" s="47" t="s">
        <v>29</v>
      </c>
      <c r="F99" s="47" t="s">
        <v>1920</v>
      </c>
      <c r="G99" s="49">
        <v>1800</v>
      </c>
    </row>
    <row r="100" spans="1:7" x14ac:dyDescent="0.25">
      <c r="A100" s="245"/>
      <c r="B100" s="47" t="s">
        <v>2122</v>
      </c>
      <c r="C100" s="48"/>
      <c r="D100" s="58" t="s">
        <v>2020</v>
      </c>
      <c r="E100" s="47" t="s">
        <v>29</v>
      </c>
      <c r="F100" s="47" t="s">
        <v>1920</v>
      </c>
      <c r="G100" s="49">
        <v>73.97</v>
      </c>
    </row>
    <row r="101" spans="1:7" x14ac:dyDescent="0.25">
      <c r="A101" s="245"/>
      <c r="B101" s="47" t="s">
        <v>2123</v>
      </c>
      <c r="C101" s="48"/>
      <c r="D101" s="58" t="s">
        <v>2020</v>
      </c>
      <c r="E101" s="47" t="s">
        <v>29</v>
      </c>
      <c r="F101" s="47" t="s">
        <v>1920</v>
      </c>
      <c r="G101" s="49">
        <v>164.31</v>
      </c>
    </row>
    <row r="102" spans="1:7" x14ac:dyDescent="0.25">
      <c r="A102" s="245"/>
      <c r="B102" s="47" t="s">
        <v>2124</v>
      </c>
      <c r="C102" s="48"/>
      <c r="D102" s="58" t="s">
        <v>2020</v>
      </c>
      <c r="E102" s="47" t="s">
        <v>29</v>
      </c>
      <c r="F102" s="47" t="s">
        <v>1920</v>
      </c>
      <c r="G102" s="49">
        <v>220.46</v>
      </c>
    </row>
    <row r="103" spans="1:7" x14ac:dyDescent="0.25">
      <c r="A103" s="245"/>
      <c r="B103" s="47" t="s">
        <v>2125</v>
      </c>
      <c r="C103" s="48"/>
      <c r="D103" s="58" t="s">
        <v>2020</v>
      </c>
      <c r="E103" s="47" t="s">
        <v>29</v>
      </c>
      <c r="F103" s="47" t="s">
        <v>1920</v>
      </c>
      <c r="G103" s="49">
        <v>3640.84</v>
      </c>
    </row>
    <row r="104" spans="1:7" x14ac:dyDescent="0.25">
      <c r="A104" s="245"/>
      <c r="B104" s="47" t="s">
        <v>2126</v>
      </c>
      <c r="C104" s="48"/>
      <c r="D104" s="58" t="s">
        <v>2020</v>
      </c>
      <c r="E104" s="47" t="s">
        <v>29</v>
      </c>
      <c r="F104" s="47" t="s">
        <v>1920</v>
      </c>
      <c r="G104" s="49">
        <v>1597.57</v>
      </c>
    </row>
    <row r="105" spans="1:7" x14ac:dyDescent="0.25">
      <c r="A105" s="245"/>
      <c r="B105" s="47" t="s">
        <v>2127</v>
      </c>
      <c r="C105" s="48"/>
      <c r="D105" s="58" t="s">
        <v>2020</v>
      </c>
      <c r="E105" s="47" t="s">
        <v>89</v>
      </c>
      <c r="F105" s="47" t="s">
        <v>1920</v>
      </c>
      <c r="G105" s="49">
        <v>5</v>
      </c>
    </row>
    <row r="106" spans="1:7" x14ac:dyDescent="0.25">
      <c r="A106" s="245"/>
      <c r="B106" s="47" t="s">
        <v>2128</v>
      </c>
      <c r="C106" s="48"/>
      <c r="D106" s="58" t="s">
        <v>2020</v>
      </c>
      <c r="E106" s="47" t="s">
        <v>83</v>
      </c>
      <c r="F106" s="47" t="s">
        <v>1920</v>
      </c>
      <c r="G106" s="49">
        <v>10</v>
      </c>
    </row>
    <row r="107" spans="1:7" x14ac:dyDescent="0.25">
      <c r="A107" s="245"/>
      <c r="B107" s="47" t="s">
        <v>2129</v>
      </c>
      <c r="C107" s="48"/>
      <c r="D107" s="58" t="s">
        <v>2020</v>
      </c>
      <c r="E107" s="47" t="s">
        <v>83</v>
      </c>
      <c r="F107" s="47" t="s">
        <v>1920</v>
      </c>
      <c r="G107" s="49">
        <v>7.2</v>
      </c>
    </row>
    <row r="108" spans="1:7" x14ac:dyDescent="0.25">
      <c r="A108" s="245"/>
      <c r="B108" s="47" t="s">
        <v>2130</v>
      </c>
      <c r="C108" s="48" t="s">
        <v>1945</v>
      </c>
      <c r="D108" s="58" t="s">
        <v>2020</v>
      </c>
      <c r="E108" s="47" t="s">
        <v>82</v>
      </c>
      <c r="F108" s="47" t="s">
        <v>1920</v>
      </c>
      <c r="G108" s="49">
        <v>26.5</v>
      </c>
    </row>
    <row r="109" spans="1:7" x14ac:dyDescent="0.25">
      <c r="A109" s="245"/>
      <c r="B109" s="47" t="s">
        <v>2131</v>
      </c>
      <c r="C109" s="48"/>
      <c r="D109" s="58" t="s">
        <v>2020</v>
      </c>
      <c r="E109" s="47" t="s">
        <v>29</v>
      </c>
      <c r="F109" s="47" t="s">
        <v>1920</v>
      </c>
      <c r="G109" s="49">
        <v>900</v>
      </c>
    </row>
    <row r="110" spans="1:7" x14ac:dyDescent="0.25">
      <c r="A110" s="245"/>
      <c r="B110" s="47" t="s">
        <v>1946</v>
      </c>
      <c r="C110" s="48" t="s">
        <v>1946</v>
      </c>
      <c r="D110" s="58" t="s">
        <v>2020</v>
      </c>
      <c r="E110" s="47" t="s">
        <v>82</v>
      </c>
      <c r="F110" s="47" t="s">
        <v>1920</v>
      </c>
      <c r="G110" s="49">
        <v>19</v>
      </c>
    </row>
    <row r="111" spans="1:7" x14ac:dyDescent="0.25">
      <c r="A111" s="245"/>
      <c r="B111" s="47" t="s">
        <v>2132</v>
      </c>
      <c r="C111" s="48" t="s">
        <v>1947</v>
      </c>
      <c r="D111" s="58" t="s">
        <v>2020</v>
      </c>
      <c r="E111" s="47" t="s">
        <v>82</v>
      </c>
      <c r="F111" s="47" t="s">
        <v>1920</v>
      </c>
      <c r="G111" s="49">
        <v>18</v>
      </c>
    </row>
    <row r="112" spans="1:7" x14ac:dyDescent="0.25">
      <c r="A112" s="245"/>
      <c r="B112" s="47" t="s">
        <v>712</v>
      </c>
      <c r="C112" s="48"/>
      <c r="D112" s="58" t="s">
        <v>2020</v>
      </c>
      <c r="E112" s="47" t="s">
        <v>29</v>
      </c>
      <c r="F112" s="47" t="s">
        <v>1920</v>
      </c>
      <c r="G112" s="49">
        <v>500</v>
      </c>
    </row>
    <row r="113" spans="1:7" x14ac:dyDescent="0.25">
      <c r="A113" s="245"/>
      <c r="B113" s="47" t="s">
        <v>134</v>
      </c>
      <c r="C113" s="48"/>
      <c r="D113" s="58" t="s">
        <v>2020</v>
      </c>
      <c r="E113" s="47" t="s">
        <v>29</v>
      </c>
      <c r="F113" s="47" t="s">
        <v>1920</v>
      </c>
      <c r="G113" s="49">
        <v>35</v>
      </c>
    </row>
    <row r="114" spans="1:7" x14ac:dyDescent="0.25">
      <c r="A114" s="245"/>
      <c r="B114" s="47" t="s">
        <v>2133</v>
      </c>
      <c r="C114" s="48"/>
      <c r="D114" s="58" t="s">
        <v>2020</v>
      </c>
      <c r="E114" s="47" t="s">
        <v>29</v>
      </c>
      <c r="F114" s="47" t="s">
        <v>1920</v>
      </c>
      <c r="G114" s="49">
        <v>2342.34</v>
      </c>
    </row>
    <row r="115" spans="1:7" x14ac:dyDescent="0.25">
      <c r="A115" s="245"/>
      <c r="B115" s="47" t="s">
        <v>2134</v>
      </c>
      <c r="C115" s="48"/>
      <c r="D115" s="58" t="s">
        <v>2020</v>
      </c>
      <c r="E115" s="47" t="s">
        <v>29</v>
      </c>
      <c r="F115" s="47" t="s">
        <v>1920</v>
      </c>
      <c r="G115" s="49">
        <v>5347.16</v>
      </c>
    </row>
    <row r="116" spans="1:7" x14ac:dyDescent="0.25">
      <c r="A116" s="245"/>
      <c r="B116" s="47" t="s">
        <v>2135</v>
      </c>
      <c r="C116" s="48"/>
      <c r="D116" s="58" t="s">
        <v>2020</v>
      </c>
      <c r="E116" s="47" t="s">
        <v>29</v>
      </c>
      <c r="F116" s="47" t="s">
        <v>1920</v>
      </c>
      <c r="G116" s="49">
        <v>2484.3000000000002</v>
      </c>
    </row>
    <row r="117" spans="1:7" x14ac:dyDescent="0.25">
      <c r="A117" s="245"/>
      <c r="B117" s="47" t="s">
        <v>2136</v>
      </c>
      <c r="C117" s="48"/>
      <c r="D117" s="58" t="s">
        <v>2020</v>
      </c>
      <c r="E117" s="47" t="s">
        <v>29</v>
      </c>
      <c r="F117" s="47" t="s">
        <v>1920</v>
      </c>
      <c r="G117" s="49">
        <v>320</v>
      </c>
    </row>
    <row r="118" spans="1:7" x14ac:dyDescent="0.25">
      <c r="A118" s="245"/>
      <c r="B118" s="47" t="s">
        <v>2137</v>
      </c>
      <c r="C118" s="48" t="s">
        <v>1948</v>
      </c>
      <c r="D118" s="58" t="s">
        <v>2020</v>
      </c>
      <c r="E118" s="47" t="s">
        <v>29</v>
      </c>
      <c r="F118" s="47" t="s">
        <v>1920</v>
      </c>
      <c r="G118" s="49">
        <v>360</v>
      </c>
    </row>
    <row r="119" spans="1:7" x14ac:dyDescent="0.25">
      <c r="A119" s="245"/>
      <c r="B119" s="47" t="s">
        <v>2138</v>
      </c>
      <c r="C119" s="48"/>
      <c r="D119" s="58" t="s">
        <v>2020</v>
      </c>
      <c r="E119" s="47" t="s">
        <v>29</v>
      </c>
      <c r="F119" s="47" t="s">
        <v>1920</v>
      </c>
      <c r="G119" s="49">
        <v>625</v>
      </c>
    </row>
    <row r="120" spans="1:7" x14ac:dyDescent="0.25">
      <c r="A120" s="245"/>
      <c r="B120" s="47" t="s">
        <v>2139</v>
      </c>
      <c r="C120" s="48"/>
      <c r="D120" s="58" t="s">
        <v>2020</v>
      </c>
      <c r="E120" s="47" t="s">
        <v>29</v>
      </c>
      <c r="F120" s="47" t="s">
        <v>1920</v>
      </c>
      <c r="G120" s="49">
        <v>313.5</v>
      </c>
    </row>
    <row r="121" spans="1:7" x14ac:dyDescent="0.25">
      <c r="A121" s="245"/>
      <c r="B121" s="47" t="s">
        <v>2140</v>
      </c>
      <c r="C121" s="48"/>
      <c r="D121" s="58" t="s">
        <v>2020</v>
      </c>
      <c r="E121" s="47" t="s">
        <v>29</v>
      </c>
      <c r="F121" s="47" t="s">
        <v>1920</v>
      </c>
      <c r="G121" s="49">
        <v>645</v>
      </c>
    </row>
    <row r="122" spans="1:7" x14ac:dyDescent="0.25">
      <c r="A122" s="245"/>
      <c r="B122" s="47" t="s">
        <v>2141</v>
      </c>
      <c r="C122" s="48"/>
      <c r="D122" s="58" t="s">
        <v>2020</v>
      </c>
      <c r="E122" s="47" t="s">
        <v>29</v>
      </c>
      <c r="F122" s="47" t="s">
        <v>1920</v>
      </c>
      <c r="G122" s="49">
        <v>804.44</v>
      </c>
    </row>
    <row r="123" spans="1:7" x14ac:dyDescent="0.25">
      <c r="A123" s="245"/>
      <c r="B123" s="47" t="s">
        <v>2142</v>
      </c>
      <c r="C123" s="48"/>
      <c r="D123" s="58" t="s">
        <v>2020</v>
      </c>
      <c r="E123" s="47" t="s">
        <v>29</v>
      </c>
      <c r="F123" s="47" t="s">
        <v>1920</v>
      </c>
      <c r="G123" s="49">
        <v>396.31</v>
      </c>
    </row>
    <row r="124" spans="1:7" x14ac:dyDescent="0.25">
      <c r="A124" s="245"/>
      <c r="B124" s="47" t="s">
        <v>2143</v>
      </c>
      <c r="C124" s="48"/>
      <c r="D124" s="58" t="s">
        <v>2020</v>
      </c>
      <c r="E124" s="47" t="s">
        <v>29</v>
      </c>
      <c r="F124" s="47" t="s">
        <v>1920</v>
      </c>
      <c r="G124" s="49">
        <v>946.4</v>
      </c>
    </row>
    <row r="125" spans="1:7" x14ac:dyDescent="0.25">
      <c r="A125" s="245"/>
      <c r="B125" s="47" t="s">
        <v>2144</v>
      </c>
      <c r="C125" s="48"/>
      <c r="D125" s="58" t="s">
        <v>2020</v>
      </c>
      <c r="E125" s="47" t="s">
        <v>29</v>
      </c>
      <c r="F125" s="47" t="s">
        <v>1920</v>
      </c>
      <c r="G125" s="49">
        <v>2342.34</v>
      </c>
    </row>
    <row r="126" spans="1:7" x14ac:dyDescent="0.25">
      <c r="A126" s="245"/>
      <c r="B126" s="47" t="s">
        <v>2145</v>
      </c>
      <c r="C126" s="48"/>
      <c r="D126" s="58" t="s">
        <v>2020</v>
      </c>
      <c r="E126" s="47" t="s">
        <v>89</v>
      </c>
      <c r="F126" s="47" t="s">
        <v>1920</v>
      </c>
      <c r="G126" s="49">
        <v>2.7</v>
      </c>
    </row>
    <row r="127" spans="1:7" x14ac:dyDescent="0.25">
      <c r="A127" s="245"/>
      <c r="B127" s="47" t="s">
        <v>2146</v>
      </c>
      <c r="C127" s="48"/>
      <c r="D127" s="58" t="s">
        <v>2020</v>
      </c>
      <c r="E127" s="47" t="s">
        <v>29</v>
      </c>
      <c r="F127" s="47" t="s">
        <v>1920</v>
      </c>
      <c r="G127" s="49">
        <v>750</v>
      </c>
    </row>
    <row r="128" spans="1:7" x14ac:dyDescent="0.25">
      <c r="A128" s="245"/>
      <c r="B128" s="47" t="s">
        <v>2147</v>
      </c>
      <c r="C128" s="48"/>
      <c r="D128" s="58" t="s">
        <v>2020</v>
      </c>
      <c r="E128" s="47" t="s">
        <v>29</v>
      </c>
      <c r="F128" s="47" t="s">
        <v>1920</v>
      </c>
      <c r="G128" s="49">
        <v>75</v>
      </c>
    </row>
    <row r="129" spans="1:7" x14ac:dyDescent="0.25">
      <c r="A129" s="245"/>
      <c r="B129" s="47" t="s">
        <v>2148</v>
      </c>
      <c r="C129" s="48"/>
      <c r="D129" s="58" t="s">
        <v>2020</v>
      </c>
      <c r="E129" s="47" t="s">
        <v>29</v>
      </c>
      <c r="F129" s="47" t="s">
        <v>1920</v>
      </c>
      <c r="G129" s="49">
        <v>230</v>
      </c>
    </row>
    <row r="130" spans="1:7" x14ac:dyDescent="0.25">
      <c r="A130" s="245"/>
      <c r="B130" s="47" t="s">
        <v>2149</v>
      </c>
      <c r="C130" s="48"/>
      <c r="D130" s="58" t="s">
        <v>2020</v>
      </c>
      <c r="E130" s="47" t="s">
        <v>29</v>
      </c>
      <c r="F130" s="47" t="s">
        <v>1920</v>
      </c>
      <c r="G130" s="49">
        <v>614.29999999999995</v>
      </c>
    </row>
    <row r="131" spans="1:7" x14ac:dyDescent="0.25">
      <c r="A131" s="245"/>
      <c r="B131" s="47" t="s">
        <v>2150</v>
      </c>
      <c r="C131" s="48"/>
      <c r="D131" s="58" t="s">
        <v>2020</v>
      </c>
      <c r="E131" s="47" t="s">
        <v>29</v>
      </c>
      <c r="F131" s="47" t="s">
        <v>1920</v>
      </c>
      <c r="G131" s="49">
        <v>1046.5999999999999</v>
      </c>
    </row>
    <row r="132" spans="1:7" x14ac:dyDescent="0.25">
      <c r="A132" s="245"/>
      <c r="B132" s="47" t="s">
        <v>267</v>
      </c>
      <c r="C132" s="48"/>
      <c r="D132" s="58" t="s">
        <v>2020</v>
      </c>
      <c r="E132" s="47" t="s">
        <v>29</v>
      </c>
      <c r="F132" s="47" t="s">
        <v>1920</v>
      </c>
      <c r="G132" s="49">
        <v>75</v>
      </c>
    </row>
    <row r="133" spans="1:7" x14ac:dyDescent="0.25">
      <c r="A133" s="245"/>
      <c r="B133" s="47" t="s">
        <v>383</v>
      </c>
      <c r="C133" s="48"/>
      <c r="D133" s="58" t="s">
        <v>2020</v>
      </c>
      <c r="E133" s="47" t="s">
        <v>29</v>
      </c>
      <c r="F133" s="47" t="s">
        <v>1920</v>
      </c>
      <c r="G133" s="49">
        <v>1290</v>
      </c>
    </row>
    <row r="134" spans="1:7" x14ac:dyDescent="0.25">
      <c r="A134" s="245"/>
      <c r="B134" s="47" t="s">
        <v>2151</v>
      </c>
      <c r="C134" s="48"/>
      <c r="D134" s="58" t="s">
        <v>2020</v>
      </c>
      <c r="E134" s="47" t="s">
        <v>29</v>
      </c>
      <c r="F134" s="47" t="s">
        <v>1920</v>
      </c>
      <c r="G134" s="49">
        <v>391.4</v>
      </c>
    </row>
    <row r="135" spans="1:7" x14ac:dyDescent="0.25">
      <c r="A135" s="245"/>
      <c r="B135" s="47" t="s">
        <v>2152</v>
      </c>
      <c r="C135" s="48"/>
      <c r="D135" s="58" t="s">
        <v>2020</v>
      </c>
      <c r="E135" s="47" t="s">
        <v>29</v>
      </c>
      <c r="F135" s="47" t="s">
        <v>1920</v>
      </c>
      <c r="G135" s="49">
        <v>35</v>
      </c>
    </row>
    <row r="136" spans="1:7" x14ac:dyDescent="0.25">
      <c r="A136" s="245"/>
      <c r="B136" s="47" t="s">
        <v>2153</v>
      </c>
      <c r="C136" s="48" t="s">
        <v>1949</v>
      </c>
      <c r="D136" s="58" t="s">
        <v>2020</v>
      </c>
      <c r="E136" s="47"/>
      <c r="F136" s="47" t="s">
        <v>1920</v>
      </c>
      <c r="G136" s="49">
        <v>180</v>
      </c>
    </row>
    <row r="137" spans="1:7" x14ac:dyDescent="0.25">
      <c r="A137" s="245"/>
      <c r="B137" s="47" t="s">
        <v>188</v>
      </c>
      <c r="C137" s="48" t="s">
        <v>1622</v>
      </c>
      <c r="D137" s="58" t="s">
        <v>2020</v>
      </c>
      <c r="E137" s="47" t="s">
        <v>86</v>
      </c>
      <c r="F137" s="47" t="s">
        <v>1920</v>
      </c>
      <c r="G137" s="49">
        <v>170</v>
      </c>
    </row>
    <row r="138" spans="1:7" x14ac:dyDescent="0.25">
      <c r="A138" s="245"/>
      <c r="B138" s="47" t="s">
        <v>85</v>
      </c>
      <c r="C138" s="48" t="s">
        <v>1950</v>
      </c>
      <c r="D138" s="58" t="s">
        <v>2020</v>
      </c>
      <c r="E138" s="47" t="s">
        <v>86</v>
      </c>
      <c r="F138" s="47" t="s">
        <v>1920</v>
      </c>
      <c r="G138" s="49">
        <v>192</v>
      </c>
    </row>
    <row r="139" spans="1:7" x14ac:dyDescent="0.25">
      <c r="A139" s="245"/>
      <c r="B139" s="47" t="s">
        <v>2546</v>
      </c>
      <c r="C139" s="48" t="s">
        <v>2547</v>
      </c>
      <c r="D139" s="58" t="s">
        <v>2020</v>
      </c>
      <c r="E139" s="47" t="s">
        <v>86</v>
      </c>
      <c r="F139" s="47" t="s">
        <v>1920</v>
      </c>
      <c r="G139" s="49">
        <v>214</v>
      </c>
    </row>
    <row r="140" spans="1:7" x14ac:dyDescent="0.25">
      <c r="A140" s="245"/>
      <c r="B140" s="47" t="s">
        <v>2154</v>
      </c>
      <c r="C140" s="48" t="s">
        <v>1951</v>
      </c>
      <c r="D140" s="58" t="s">
        <v>2020</v>
      </c>
      <c r="E140" s="47" t="s">
        <v>89</v>
      </c>
      <c r="F140" s="47" t="s">
        <v>1920</v>
      </c>
      <c r="G140" s="49">
        <v>22.9</v>
      </c>
    </row>
    <row r="141" spans="1:7" x14ac:dyDescent="0.25">
      <c r="A141" s="245"/>
      <c r="B141" s="47" t="s">
        <v>2155</v>
      </c>
      <c r="C141" s="48" t="s">
        <v>1952</v>
      </c>
      <c r="D141" s="58" t="s">
        <v>2020</v>
      </c>
      <c r="E141" s="47" t="s">
        <v>29</v>
      </c>
      <c r="F141" s="47" t="s">
        <v>1920</v>
      </c>
      <c r="G141" s="49">
        <v>6</v>
      </c>
    </row>
    <row r="142" spans="1:7" x14ac:dyDescent="0.25">
      <c r="A142" s="245"/>
      <c r="B142" s="47" t="s">
        <v>2156</v>
      </c>
      <c r="C142" s="48"/>
      <c r="D142" s="58" t="s">
        <v>2020</v>
      </c>
      <c r="E142" s="47" t="s">
        <v>29</v>
      </c>
      <c r="F142" s="47" t="s">
        <v>1920</v>
      </c>
      <c r="G142" s="49">
        <v>1484</v>
      </c>
    </row>
    <row r="143" spans="1:7" x14ac:dyDescent="0.25">
      <c r="A143" s="245"/>
      <c r="B143" s="47" t="s">
        <v>2157</v>
      </c>
      <c r="C143" s="48"/>
      <c r="D143" s="58" t="s">
        <v>2020</v>
      </c>
      <c r="E143" s="47" t="s">
        <v>82</v>
      </c>
      <c r="F143" s="47" t="s">
        <v>1920</v>
      </c>
      <c r="G143" s="49">
        <v>2.5</v>
      </c>
    </row>
    <row r="144" spans="1:7" x14ac:dyDescent="0.25">
      <c r="A144" s="245"/>
      <c r="B144" s="47" t="s">
        <v>2158</v>
      </c>
      <c r="C144" s="48"/>
      <c r="D144" s="58" t="s">
        <v>2020</v>
      </c>
      <c r="E144" s="47" t="s">
        <v>89</v>
      </c>
      <c r="F144" s="47" t="s">
        <v>1920</v>
      </c>
      <c r="G144" s="49">
        <v>393.36</v>
      </c>
    </row>
    <row r="145" spans="1:7" x14ac:dyDescent="0.25">
      <c r="A145" s="245"/>
      <c r="B145" s="47" t="s">
        <v>2159</v>
      </c>
      <c r="C145" s="48"/>
      <c r="D145" s="58" t="s">
        <v>2020</v>
      </c>
      <c r="E145" s="47" t="s">
        <v>29</v>
      </c>
      <c r="F145" s="47" t="s">
        <v>1920</v>
      </c>
      <c r="G145" s="49">
        <v>417.6</v>
      </c>
    </row>
    <row r="146" spans="1:7" x14ac:dyDescent="0.25">
      <c r="A146" s="245"/>
      <c r="B146" s="47" t="s">
        <v>2160</v>
      </c>
      <c r="C146" s="48"/>
      <c r="D146" s="58" t="s">
        <v>2020</v>
      </c>
      <c r="E146" s="47" t="s">
        <v>89</v>
      </c>
      <c r="F146" s="47" t="s">
        <v>1920</v>
      </c>
      <c r="G146" s="49">
        <v>387.5</v>
      </c>
    </row>
    <row r="147" spans="1:7" x14ac:dyDescent="0.25">
      <c r="A147" s="245"/>
      <c r="B147" s="47" t="s">
        <v>2161</v>
      </c>
      <c r="C147" s="48"/>
      <c r="D147" s="58" t="s">
        <v>2020</v>
      </c>
      <c r="E147" s="47" t="s">
        <v>89</v>
      </c>
      <c r="F147" s="47" t="s">
        <v>1920</v>
      </c>
      <c r="G147" s="49">
        <v>400</v>
      </c>
    </row>
    <row r="148" spans="1:7" x14ac:dyDescent="0.25">
      <c r="A148" s="245"/>
      <c r="B148" s="47" t="s">
        <v>2162</v>
      </c>
      <c r="C148" s="48"/>
      <c r="D148" s="58" t="s">
        <v>2020</v>
      </c>
      <c r="E148" s="47" t="s">
        <v>89</v>
      </c>
      <c r="F148" s="47" t="s">
        <v>1920</v>
      </c>
      <c r="G148" s="49">
        <v>1176.3399999999999</v>
      </c>
    </row>
    <row r="149" spans="1:7" x14ac:dyDescent="0.25">
      <c r="A149" s="245"/>
      <c r="B149" s="47" t="s">
        <v>2163</v>
      </c>
      <c r="C149" s="48" t="s">
        <v>1953</v>
      </c>
      <c r="D149" s="58" t="s">
        <v>2020</v>
      </c>
      <c r="E149" s="47" t="s">
        <v>29</v>
      </c>
      <c r="F149" s="47" t="s">
        <v>1920</v>
      </c>
      <c r="G149" s="49">
        <v>1755.6</v>
      </c>
    </row>
    <row r="150" spans="1:7" x14ac:dyDescent="0.25">
      <c r="A150" s="245"/>
      <c r="B150" s="47" t="s">
        <v>2164</v>
      </c>
      <c r="C150" s="48"/>
      <c r="D150" s="58" t="s">
        <v>2020</v>
      </c>
      <c r="E150" s="47" t="s">
        <v>29</v>
      </c>
      <c r="F150" s="47" t="s">
        <v>1920</v>
      </c>
      <c r="G150" s="49">
        <v>273.13</v>
      </c>
    </row>
    <row r="151" spans="1:7" x14ac:dyDescent="0.25">
      <c r="A151" s="245"/>
      <c r="B151" s="47" t="s">
        <v>2165</v>
      </c>
      <c r="C151" s="48"/>
      <c r="D151" s="58" t="s">
        <v>2020</v>
      </c>
      <c r="E151" s="47" t="s">
        <v>89</v>
      </c>
      <c r="F151" s="47" t="s">
        <v>1920</v>
      </c>
      <c r="G151" s="49">
        <v>159.43</v>
      </c>
    </row>
    <row r="152" spans="1:7" x14ac:dyDescent="0.25">
      <c r="A152" s="245"/>
      <c r="B152" s="47" t="s">
        <v>2166</v>
      </c>
      <c r="C152" s="48"/>
      <c r="D152" s="58" t="s">
        <v>2020</v>
      </c>
      <c r="E152" s="47" t="s">
        <v>29</v>
      </c>
      <c r="F152" s="47" t="s">
        <v>1920</v>
      </c>
      <c r="G152" s="49">
        <v>313.2</v>
      </c>
    </row>
    <row r="153" spans="1:7" x14ac:dyDescent="0.25">
      <c r="A153" s="245"/>
      <c r="B153" s="47" t="s">
        <v>2167</v>
      </c>
      <c r="C153" s="48"/>
      <c r="D153" s="58" t="s">
        <v>2020</v>
      </c>
      <c r="E153" s="47" t="s">
        <v>89</v>
      </c>
      <c r="F153" s="47" t="s">
        <v>1920</v>
      </c>
      <c r="G153" s="49">
        <v>152.82</v>
      </c>
    </row>
    <row r="154" spans="1:7" x14ac:dyDescent="0.25">
      <c r="A154" s="245"/>
      <c r="B154" s="47" t="s">
        <v>2168</v>
      </c>
      <c r="C154" s="48"/>
      <c r="D154" s="58" t="s">
        <v>2020</v>
      </c>
      <c r="E154" s="47" t="s">
        <v>83</v>
      </c>
      <c r="F154" s="47" t="s">
        <v>1920</v>
      </c>
      <c r="G154" s="49">
        <v>18</v>
      </c>
    </row>
    <row r="155" spans="1:7" x14ac:dyDescent="0.25">
      <c r="A155" s="245"/>
      <c r="B155" s="47" t="s">
        <v>2169</v>
      </c>
      <c r="C155" s="48"/>
      <c r="D155" s="58" t="s">
        <v>2020</v>
      </c>
      <c r="E155" s="47" t="s">
        <v>29</v>
      </c>
      <c r="F155" s="47" t="s">
        <v>1920</v>
      </c>
      <c r="G155" s="49">
        <v>425</v>
      </c>
    </row>
    <row r="156" spans="1:7" x14ac:dyDescent="0.25">
      <c r="A156" s="245"/>
      <c r="B156" s="47" t="s">
        <v>2170</v>
      </c>
      <c r="C156" s="48"/>
      <c r="D156" s="58" t="s">
        <v>2020</v>
      </c>
      <c r="E156" s="47" t="s">
        <v>29</v>
      </c>
      <c r="F156" s="47" t="s">
        <v>1920</v>
      </c>
      <c r="G156" s="49">
        <v>300</v>
      </c>
    </row>
    <row r="157" spans="1:7" x14ac:dyDescent="0.25">
      <c r="A157" s="245"/>
      <c r="B157" s="47" t="s">
        <v>2171</v>
      </c>
      <c r="C157" s="48"/>
      <c r="D157" s="58" t="s">
        <v>2020</v>
      </c>
      <c r="E157" s="47" t="s">
        <v>82</v>
      </c>
      <c r="F157" s="47" t="s">
        <v>1920</v>
      </c>
      <c r="G157" s="49">
        <v>2200</v>
      </c>
    </row>
    <row r="158" spans="1:7" x14ac:dyDescent="0.25">
      <c r="A158" s="245"/>
      <c r="B158" s="47" t="s">
        <v>2172</v>
      </c>
      <c r="C158" s="48"/>
      <c r="D158" s="58" t="s">
        <v>2020</v>
      </c>
      <c r="E158" s="47" t="s">
        <v>86</v>
      </c>
      <c r="F158" s="47" t="s">
        <v>1920</v>
      </c>
      <c r="G158" s="49">
        <v>260</v>
      </c>
    </row>
    <row r="159" spans="1:7" x14ac:dyDescent="0.25">
      <c r="A159" s="245"/>
      <c r="B159" s="47" t="s">
        <v>197</v>
      </c>
      <c r="C159" s="48" t="s">
        <v>197</v>
      </c>
      <c r="D159" s="58" t="s">
        <v>2020</v>
      </c>
      <c r="E159" s="47" t="s">
        <v>86</v>
      </c>
      <c r="F159" s="47" t="s">
        <v>1920</v>
      </c>
      <c r="G159" s="49">
        <v>190</v>
      </c>
    </row>
    <row r="160" spans="1:7" x14ac:dyDescent="0.25">
      <c r="A160" s="245"/>
      <c r="B160" s="47" t="s">
        <v>189</v>
      </c>
      <c r="C160" s="48" t="s">
        <v>1954</v>
      </c>
      <c r="D160" s="58" t="s">
        <v>2020</v>
      </c>
      <c r="E160" s="47" t="s">
        <v>83</v>
      </c>
      <c r="F160" s="47" t="s">
        <v>1920</v>
      </c>
      <c r="G160" s="49">
        <v>9.1</v>
      </c>
    </row>
    <row r="161" spans="1:7" x14ac:dyDescent="0.25">
      <c r="A161" s="245"/>
      <c r="B161" s="47" t="s">
        <v>2173</v>
      </c>
      <c r="C161" s="48" t="s">
        <v>1955</v>
      </c>
      <c r="D161" s="58" t="s">
        <v>2020</v>
      </c>
      <c r="E161" s="47" t="s">
        <v>83</v>
      </c>
      <c r="F161" s="47" t="s">
        <v>1920</v>
      </c>
      <c r="G161" s="49">
        <v>12.3</v>
      </c>
    </row>
    <row r="162" spans="1:7" x14ac:dyDescent="0.25">
      <c r="A162" s="245"/>
      <c r="B162" s="47" t="s">
        <v>81</v>
      </c>
      <c r="C162" s="48" t="s">
        <v>1956</v>
      </c>
      <c r="D162" s="58" t="s">
        <v>2020</v>
      </c>
      <c r="E162" s="47" t="s">
        <v>82</v>
      </c>
      <c r="F162" s="47" t="s">
        <v>1920</v>
      </c>
      <c r="G162" s="49">
        <v>24</v>
      </c>
    </row>
    <row r="163" spans="1:7" x14ac:dyDescent="0.25">
      <c r="A163" s="245"/>
      <c r="B163" s="47" t="s">
        <v>2174</v>
      </c>
      <c r="C163" s="48"/>
      <c r="D163" s="58" t="s">
        <v>2020</v>
      </c>
      <c r="E163" s="47" t="s">
        <v>29</v>
      </c>
      <c r="F163" s="47" t="s">
        <v>1920</v>
      </c>
      <c r="G163" s="49">
        <v>1</v>
      </c>
    </row>
    <row r="164" spans="1:7" x14ac:dyDescent="0.25">
      <c r="A164" s="245"/>
      <c r="B164" s="47" t="s">
        <v>2175</v>
      </c>
      <c r="C164" s="48" t="s">
        <v>1957</v>
      </c>
      <c r="D164" s="58" t="s">
        <v>2020</v>
      </c>
      <c r="E164" s="47" t="s">
        <v>33</v>
      </c>
      <c r="F164" s="47" t="s">
        <v>1920</v>
      </c>
      <c r="G164" s="49">
        <v>3500</v>
      </c>
    </row>
    <row r="165" spans="1:7" x14ac:dyDescent="0.25">
      <c r="A165" s="245"/>
      <c r="B165" s="47" t="s">
        <v>411</v>
      </c>
      <c r="C165" s="48"/>
      <c r="D165" s="58" t="s">
        <v>2020</v>
      </c>
      <c r="E165" s="47" t="s">
        <v>29</v>
      </c>
      <c r="F165" s="47" t="s">
        <v>1920</v>
      </c>
      <c r="G165" s="49">
        <v>140</v>
      </c>
    </row>
    <row r="166" spans="1:7" x14ac:dyDescent="0.25">
      <c r="A166" s="245"/>
      <c r="B166" s="47" t="s">
        <v>1958</v>
      </c>
      <c r="C166" s="48" t="s">
        <v>1958</v>
      </c>
      <c r="D166" s="58" t="s">
        <v>2020</v>
      </c>
      <c r="E166" s="47" t="s">
        <v>89</v>
      </c>
      <c r="F166" s="47" t="s">
        <v>1920</v>
      </c>
      <c r="G166" s="49">
        <v>2</v>
      </c>
    </row>
    <row r="167" spans="1:7" x14ac:dyDescent="0.25">
      <c r="A167" s="245"/>
      <c r="B167" s="47" t="s">
        <v>2176</v>
      </c>
      <c r="C167" s="48"/>
      <c r="D167" s="58" t="s">
        <v>2020</v>
      </c>
      <c r="E167" s="47" t="s">
        <v>29</v>
      </c>
      <c r="F167" s="47" t="s">
        <v>1920</v>
      </c>
      <c r="G167" s="49">
        <v>3630.96</v>
      </c>
    </row>
    <row r="168" spans="1:7" x14ac:dyDescent="0.25">
      <c r="A168" s="245"/>
      <c r="B168" s="47" t="s">
        <v>2177</v>
      </c>
      <c r="C168" s="48"/>
      <c r="D168" s="58" t="s">
        <v>2020</v>
      </c>
      <c r="E168" s="47" t="s">
        <v>29</v>
      </c>
      <c r="F168" s="47" t="s">
        <v>1920</v>
      </c>
      <c r="G168" s="49">
        <v>350</v>
      </c>
    </row>
    <row r="169" spans="1:7" x14ac:dyDescent="0.25">
      <c r="A169" s="245"/>
      <c r="B169" s="47" t="s">
        <v>2178</v>
      </c>
      <c r="C169" s="48"/>
      <c r="D169" s="58" t="s">
        <v>2020</v>
      </c>
      <c r="E169" s="47" t="s">
        <v>33</v>
      </c>
      <c r="F169" s="47" t="s">
        <v>1920</v>
      </c>
      <c r="G169" s="49">
        <v>1</v>
      </c>
    </row>
    <row r="170" spans="1:7" x14ac:dyDescent="0.25">
      <c r="A170" s="245"/>
      <c r="B170" s="47" t="s">
        <v>1959</v>
      </c>
      <c r="C170" s="48" t="s">
        <v>1959</v>
      </c>
      <c r="D170" s="58" t="s">
        <v>2020</v>
      </c>
      <c r="E170" s="47" t="s">
        <v>86</v>
      </c>
      <c r="F170" s="47" t="s">
        <v>1920</v>
      </c>
      <c r="G170" s="49">
        <v>165</v>
      </c>
    </row>
    <row r="171" spans="1:7" x14ac:dyDescent="0.25">
      <c r="A171" s="245"/>
      <c r="B171" s="47" t="s">
        <v>210</v>
      </c>
      <c r="C171" s="48"/>
      <c r="D171" s="58" t="s">
        <v>2020</v>
      </c>
      <c r="E171" s="47" t="s">
        <v>89</v>
      </c>
      <c r="F171" s="47" t="s">
        <v>1920</v>
      </c>
      <c r="G171" s="49">
        <v>2.5</v>
      </c>
    </row>
    <row r="172" spans="1:7" x14ac:dyDescent="0.25">
      <c r="A172" s="245"/>
      <c r="B172" s="47" t="s">
        <v>2179</v>
      </c>
      <c r="C172" s="48"/>
      <c r="D172" s="58" t="s">
        <v>2020</v>
      </c>
      <c r="E172" s="47" t="s">
        <v>29</v>
      </c>
      <c r="F172" s="47" t="s">
        <v>1920</v>
      </c>
      <c r="G172" s="49">
        <v>25</v>
      </c>
    </row>
    <row r="173" spans="1:7" x14ac:dyDescent="0.25">
      <c r="A173" s="245"/>
      <c r="B173" s="47" t="s">
        <v>2180</v>
      </c>
      <c r="C173" s="48"/>
      <c r="D173" s="58" t="s">
        <v>2020</v>
      </c>
      <c r="E173" s="47" t="s">
        <v>83</v>
      </c>
      <c r="F173" s="47" t="s">
        <v>1920</v>
      </c>
      <c r="G173" s="49">
        <v>5.03</v>
      </c>
    </row>
    <row r="174" spans="1:7" x14ac:dyDescent="0.25">
      <c r="A174" s="245"/>
      <c r="B174" s="47" t="s">
        <v>2181</v>
      </c>
      <c r="C174" s="48"/>
      <c r="D174" s="58" t="s">
        <v>2020</v>
      </c>
      <c r="E174" s="47" t="s">
        <v>83</v>
      </c>
      <c r="F174" s="47" t="s">
        <v>1920</v>
      </c>
      <c r="G174" s="49">
        <v>1.5</v>
      </c>
    </row>
    <row r="175" spans="1:7" x14ac:dyDescent="0.25">
      <c r="A175" s="245"/>
      <c r="B175" s="47" t="s">
        <v>2585</v>
      </c>
      <c r="C175" s="48" t="s">
        <v>1976</v>
      </c>
      <c r="D175" s="58"/>
      <c r="E175" s="47"/>
      <c r="F175" s="47"/>
      <c r="G175" s="49"/>
    </row>
    <row r="176" spans="1:7" x14ac:dyDescent="0.25">
      <c r="A176" s="245"/>
      <c r="B176" s="47" t="s">
        <v>2182</v>
      </c>
      <c r="C176" s="48"/>
      <c r="D176" s="58" t="s">
        <v>2020</v>
      </c>
      <c r="E176" s="47" t="s">
        <v>29</v>
      </c>
      <c r="F176" s="47" t="s">
        <v>1920</v>
      </c>
      <c r="G176" s="49">
        <v>36.299999999999997</v>
      </c>
    </row>
    <row r="177" spans="1:7" x14ac:dyDescent="0.25">
      <c r="A177" s="245"/>
      <c r="B177" s="47" t="s">
        <v>2183</v>
      </c>
      <c r="C177" s="48"/>
      <c r="D177" s="58" t="s">
        <v>2020</v>
      </c>
      <c r="E177" s="47" t="s">
        <v>29</v>
      </c>
      <c r="F177" s="47" t="s">
        <v>1920</v>
      </c>
      <c r="G177" s="49">
        <v>57.62</v>
      </c>
    </row>
    <row r="178" spans="1:7" x14ac:dyDescent="0.25">
      <c r="A178" s="245"/>
      <c r="B178" s="47" t="s">
        <v>2184</v>
      </c>
      <c r="C178" s="48"/>
      <c r="D178" s="58" t="s">
        <v>2020</v>
      </c>
      <c r="E178" s="47" t="s">
        <v>29</v>
      </c>
      <c r="F178" s="47" t="s">
        <v>1920</v>
      </c>
      <c r="G178" s="49">
        <v>57.62</v>
      </c>
    </row>
    <row r="179" spans="1:7" x14ac:dyDescent="0.25">
      <c r="A179" s="245"/>
      <c r="B179" s="47" t="s">
        <v>2185</v>
      </c>
      <c r="C179" s="48"/>
      <c r="D179" s="58" t="s">
        <v>2020</v>
      </c>
      <c r="E179" s="47" t="s">
        <v>86</v>
      </c>
      <c r="F179" s="47" t="s">
        <v>1920</v>
      </c>
      <c r="G179" s="49">
        <v>35</v>
      </c>
    </row>
    <row r="180" spans="1:7" x14ac:dyDescent="0.25">
      <c r="A180" s="245"/>
      <c r="B180" s="47" t="s">
        <v>2186</v>
      </c>
      <c r="C180" s="48"/>
      <c r="D180" s="58" t="s">
        <v>2020</v>
      </c>
      <c r="E180" s="47" t="s">
        <v>29</v>
      </c>
      <c r="F180" s="47" t="s">
        <v>1920</v>
      </c>
      <c r="G180" s="49">
        <v>110</v>
      </c>
    </row>
    <row r="181" spans="1:7" x14ac:dyDescent="0.25">
      <c r="A181" s="245"/>
      <c r="B181" s="47" t="s">
        <v>2187</v>
      </c>
      <c r="C181" s="48"/>
      <c r="D181" s="58" t="s">
        <v>2020</v>
      </c>
      <c r="E181" s="47" t="s">
        <v>29</v>
      </c>
      <c r="F181" s="47" t="s">
        <v>1920</v>
      </c>
      <c r="G181" s="49">
        <v>150</v>
      </c>
    </row>
    <row r="182" spans="1:7" x14ac:dyDescent="0.25">
      <c r="A182" s="245"/>
      <c r="B182" s="47" t="s">
        <v>2188</v>
      </c>
      <c r="C182" s="48"/>
      <c r="D182" s="58" t="s">
        <v>2020</v>
      </c>
      <c r="E182" s="47" t="s">
        <v>29</v>
      </c>
      <c r="F182" s="47" t="s">
        <v>1920</v>
      </c>
      <c r="G182" s="49">
        <v>378.47</v>
      </c>
    </row>
    <row r="183" spans="1:7" x14ac:dyDescent="0.25">
      <c r="A183" s="245"/>
      <c r="B183" s="47" t="s">
        <v>2189</v>
      </c>
      <c r="C183" s="48" t="s">
        <v>1960</v>
      </c>
      <c r="D183" s="58" t="s">
        <v>2020</v>
      </c>
      <c r="E183" s="47" t="s">
        <v>29</v>
      </c>
      <c r="F183" s="47" t="s">
        <v>1920</v>
      </c>
      <c r="G183" s="49">
        <v>68.83</v>
      </c>
    </row>
    <row r="184" spans="1:7" x14ac:dyDescent="0.25">
      <c r="A184" s="245"/>
      <c r="B184" s="47" t="s">
        <v>2190</v>
      </c>
      <c r="C184" s="48"/>
      <c r="D184" s="58" t="s">
        <v>2020</v>
      </c>
      <c r="E184" s="47" t="s">
        <v>82</v>
      </c>
      <c r="F184" s="47" t="s">
        <v>1920</v>
      </c>
      <c r="G184" s="49">
        <v>299</v>
      </c>
    </row>
    <row r="185" spans="1:7" x14ac:dyDescent="0.25">
      <c r="A185" s="245" t="s">
        <v>2016</v>
      </c>
      <c r="B185" s="50" t="s">
        <v>2191</v>
      </c>
      <c r="C185" s="51"/>
      <c r="D185" s="59" t="s">
        <v>2021</v>
      </c>
      <c r="E185" s="50" t="s">
        <v>48</v>
      </c>
      <c r="F185" s="50" t="s">
        <v>1920</v>
      </c>
      <c r="G185" s="52">
        <v>185</v>
      </c>
    </row>
    <row r="186" spans="1:7" x14ac:dyDescent="0.25">
      <c r="A186" s="245"/>
      <c r="B186" s="50" t="s">
        <v>2192</v>
      </c>
      <c r="C186" s="51" t="s">
        <v>1961</v>
      </c>
      <c r="D186" s="59" t="s">
        <v>2021</v>
      </c>
      <c r="E186" s="50" t="s">
        <v>48</v>
      </c>
      <c r="F186" s="50" t="s">
        <v>1920</v>
      </c>
      <c r="G186" s="52">
        <v>95</v>
      </c>
    </row>
    <row r="187" spans="1:7" x14ac:dyDescent="0.25">
      <c r="A187" s="245"/>
      <c r="B187" s="50" t="s">
        <v>115</v>
      </c>
      <c r="C187" s="51"/>
      <c r="D187" s="59" t="s">
        <v>2021</v>
      </c>
      <c r="E187" s="50" t="s">
        <v>48</v>
      </c>
      <c r="F187" s="50" t="s">
        <v>1920</v>
      </c>
      <c r="G187" s="52">
        <v>100</v>
      </c>
    </row>
    <row r="188" spans="1:7" x14ac:dyDescent="0.25">
      <c r="A188" s="245"/>
      <c r="B188" s="50" t="s">
        <v>45</v>
      </c>
      <c r="C188" s="51" t="s">
        <v>1962</v>
      </c>
      <c r="D188" s="59" t="s">
        <v>2021</v>
      </c>
      <c r="E188" s="50" t="s">
        <v>48</v>
      </c>
      <c r="F188" s="50" t="s">
        <v>1920</v>
      </c>
      <c r="G188" s="52">
        <v>95</v>
      </c>
    </row>
    <row r="189" spans="1:7" x14ac:dyDescent="0.25">
      <c r="A189" s="245"/>
      <c r="B189" s="50" t="s">
        <v>2193</v>
      </c>
      <c r="C189" s="51"/>
      <c r="D189" s="59" t="s">
        <v>2021</v>
      </c>
      <c r="E189" s="50" t="s">
        <v>48</v>
      </c>
      <c r="F189" s="50" t="s">
        <v>1920</v>
      </c>
      <c r="G189" s="52">
        <v>115</v>
      </c>
    </row>
    <row r="190" spans="1:7" x14ac:dyDescent="0.25">
      <c r="A190" s="245"/>
      <c r="B190" s="50" t="s">
        <v>2194</v>
      </c>
      <c r="C190" s="51" t="s">
        <v>1963</v>
      </c>
      <c r="D190" s="59" t="s">
        <v>2021</v>
      </c>
      <c r="E190" s="50" t="s">
        <v>48</v>
      </c>
      <c r="F190" s="50" t="s">
        <v>1920</v>
      </c>
      <c r="G190" s="52">
        <v>26.46</v>
      </c>
    </row>
    <row r="191" spans="1:7" x14ac:dyDescent="0.25">
      <c r="A191" s="245"/>
      <c r="B191" s="50" t="s">
        <v>2195</v>
      </c>
      <c r="C191" s="51" t="s">
        <v>1964</v>
      </c>
      <c r="D191" s="59" t="s">
        <v>2021</v>
      </c>
      <c r="E191" s="50" t="s">
        <v>48</v>
      </c>
      <c r="F191" s="50" t="s">
        <v>1920</v>
      </c>
      <c r="G191" s="52">
        <v>10.75</v>
      </c>
    </row>
    <row r="192" spans="1:7" x14ac:dyDescent="0.25">
      <c r="A192" s="245"/>
      <c r="B192" s="50" t="s">
        <v>2196</v>
      </c>
      <c r="C192" s="51" t="s">
        <v>1965</v>
      </c>
      <c r="D192" s="59" t="s">
        <v>2021</v>
      </c>
      <c r="E192" s="50" t="s">
        <v>48</v>
      </c>
      <c r="F192" s="50" t="s">
        <v>1920</v>
      </c>
      <c r="G192" s="52">
        <v>46.5</v>
      </c>
    </row>
    <row r="193" spans="1:7" x14ac:dyDescent="0.25">
      <c r="A193" s="245"/>
      <c r="B193" s="50" t="s">
        <v>2197</v>
      </c>
      <c r="C193" s="51" t="s">
        <v>883</v>
      </c>
      <c r="D193" s="59" t="s">
        <v>2021</v>
      </c>
      <c r="E193" s="50" t="s">
        <v>48</v>
      </c>
      <c r="F193" s="50" t="s">
        <v>1920</v>
      </c>
      <c r="G193" s="52">
        <v>66.069999999999993</v>
      </c>
    </row>
    <row r="194" spans="1:7" x14ac:dyDescent="0.25">
      <c r="A194" s="245"/>
      <c r="B194" s="50" t="s">
        <v>2198</v>
      </c>
      <c r="C194" s="51" t="s">
        <v>1966</v>
      </c>
      <c r="D194" s="59" t="s">
        <v>2021</v>
      </c>
      <c r="E194" s="50" t="s">
        <v>48</v>
      </c>
      <c r="F194" s="50" t="s">
        <v>1920</v>
      </c>
      <c r="G194" s="52">
        <v>48</v>
      </c>
    </row>
    <row r="195" spans="1:7" x14ac:dyDescent="0.25">
      <c r="A195" s="245"/>
      <c r="B195" s="50" t="s">
        <v>2199</v>
      </c>
      <c r="C195" s="51"/>
      <c r="D195" s="59" t="s">
        <v>2021</v>
      </c>
      <c r="E195" s="50" t="s">
        <v>22</v>
      </c>
      <c r="F195" s="50" t="s">
        <v>1920</v>
      </c>
      <c r="G195" s="52">
        <v>40</v>
      </c>
    </row>
    <row r="196" spans="1:7" x14ac:dyDescent="0.25">
      <c r="A196" s="245"/>
      <c r="B196" s="50" t="s">
        <v>2200</v>
      </c>
      <c r="C196" s="51"/>
      <c r="D196" s="59" t="s">
        <v>2021</v>
      </c>
      <c r="E196" s="50" t="s">
        <v>774</v>
      </c>
      <c r="F196" s="50" t="s">
        <v>1920</v>
      </c>
      <c r="G196" s="52">
        <v>360</v>
      </c>
    </row>
    <row r="197" spans="1:7" x14ac:dyDescent="0.25">
      <c r="A197" s="245"/>
      <c r="B197" s="50" t="s">
        <v>777</v>
      </c>
      <c r="C197" s="51" t="s">
        <v>1967</v>
      </c>
      <c r="D197" s="59" t="s">
        <v>2021</v>
      </c>
      <c r="E197" s="50" t="s">
        <v>22</v>
      </c>
      <c r="F197" s="50" t="s">
        <v>1920</v>
      </c>
      <c r="G197" s="52">
        <v>1250</v>
      </c>
    </row>
    <row r="198" spans="1:7" x14ac:dyDescent="0.25">
      <c r="A198" s="245"/>
      <c r="B198" s="50" t="s">
        <v>2201</v>
      </c>
      <c r="C198" s="51" t="s">
        <v>1968</v>
      </c>
      <c r="D198" s="59" t="s">
        <v>2021</v>
      </c>
      <c r="E198" s="50" t="s">
        <v>48</v>
      </c>
      <c r="F198" s="50" t="s">
        <v>1920</v>
      </c>
      <c r="G198" s="52">
        <v>185</v>
      </c>
    </row>
    <row r="199" spans="1:7" x14ac:dyDescent="0.25">
      <c r="A199" s="245"/>
      <c r="B199" s="50" t="s">
        <v>2202</v>
      </c>
      <c r="C199" s="51"/>
      <c r="D199" s="59" t="s">
        <v>2021</v>
      </c>
      <c r="E199" s="50" t="s">
        <v>22</v>
      </c>
      <c r="F199" s="50" t="s">
        <v>1920</v>
      </c>
      <c r="G199" s="52">
        <v>277</v>
      </c>
    </row>
    <row r="200" spans="1:7" x14ac:dyDescent="0.25">
      <c r="A200" s="245"/>
      <c r="B200" s="50" t="s">
        <v>2203</v>
      </c>
      <c r="C200" s="51" t="s">
        <v>1969</v>
      </c>
      <c r="D200" s="59" t="s">
        <v>2021</v>
      </c>
      <c r="E200" s="50" t="s">
        <v>48</v>
      </c>
      <c r="F200" s="50" t="s">
        <v>1920</v>
      </c>
      <c r="G200" s="52">
        <v>115</v>
      </c>
    </row>
    <row r="201" spans="1:7" x14ac:dyDescent="0.25">
      <c r="A201" s="245"/>
      <c r="B201" s="50" t="s">
        <v>63</v>
      </c>
      <c r="C201" s="51" t="s">
        <v>1970</v>
      </c>
      <c r="D201" s="59" t="s">
        <v>2021</v>
      </c>
      <c r="E201" s="50" t="s">
        <v>48</v>
      </c>
      <c r="F201" s="50" t="s">
        <v>1920</v>
      </c>
      <c r="G201" s="52">
        <v>135</v>
      </c>
    </row>
    <row r="202" spans="1:7" x14ac:dyDescent="0.25">
      <c r="A202" s="245"/>
      <c r="B202" s="50" t="s">
        <v>2204</v>
      </c>
      <c r="C202" s="51" t="s">
        <v>1971</v>
      </c>
      <c r="D202" s="59" t="s">
        <v>2021</v>
      </c>
      <c r="E202" s="50" t="s">
        <v>48</v>
      </c>
      <c r="F202" s="50" t="s">
        <v>1920</v>
      </c>
      <c r="G202" s="52">
        <v>135</v>
      </c>
    </row>
    <row r="203" spans="1:7" x14ac:dyDescent="0.25">
      <c r="A203" s="245"/>
      <c r="B203" s="50" t="s">
        <v>2205</v>
      </c>
      <c r="C203" s="51" t="s">
        <v>1972</v>
      </c>
      <c r="D203" s="59" t="s">
        <v>2021</v>
      </c>
      <c r="E203" s="50" t="s">
        <v>48</v>
      </c>
      <c r="F203" s="50" t="s">
        <v>1920</v>
      </c>
      <c r="G203" s="52">
        <v>100</v>
      </c>
    </row>
    <row r="204" spans="1:7" x14ac:dyDescent="0.25">
      <c r="A204" s="245"/>
      <c r="B204" s="50" t="s">
        <v>1973</v>
      </c>
      <c r="C204" s="51"/>
      <c r="D204" s="59" t="s">
        <v>2021</v>
      </c>
      <c r="E204" s="50" t="s">
        <v>48</v>
      </c>
      <c r="F204" s="50" t="s">
        <v>1920</v>
      </c>
      <c r="G204" s="52">
        <v>162.5</v>
      </c>
    </row>
    <row r="205" spans="1:7" x14ac:dyDescent="0.25">
      <c r="A205" s="245"/>
      <c r="B205" s="50" t="s">
        <v>2206</v>
      </c>
      <c r="C205" s="51"/>
      <c r="D205" s="59" t="s">
        <v>2021</v>
      </c>
      <c r="E205" s="50" t="s">
        <v>48</v>
      </c>
      <c r="F205" s="50" t="s">
        <v>1920</v>
      </c>
      <c r="G205" s="52">
        <v>143.75</v>
      </c>
    </row>
    <row r="206" spans="1:7" x14ac:dyDescent="0.25">
      <c r="A206" s="245"/>
      <c r="B206" s="50" t="s">
        <v>2207</v>
      </c>
      <c r="C206" s="51" t="s">
        <v>1974</v>
      </c>
      <c r="D206" s="59" t="s">
        <v>2021</v>
      </c>
      <c r="E206" s="50" t="s">
        <v>774</v>
      </c>
      <c r="F206" s="50" t="s">
        <v>1920</v>
      </c>
      <c r="G206" s="52">
        <v>2800</v>
      </c>
    </row>
    <row r="207" spans="1:7" x14ac:dyDescent="0.25">
      <c r="A207" s="245"/>
      <c r="B207" s="50" t="s">
        <v>1039</v>
      </c>
      <c r="C207" s="51"/>
      <c r="D207" s="59" t="s">
        <v>2021</v>
      </c>
      <c r="E207" s="50" t="s">
        <v>41</v>
      </c>
      <c r="F207" s="50" t="s">
        <v>1920</v>
      </c>
      <c r="G207" s="52">
        <v>1</v>
      </c>
    </row>
    <row r="208" spans="1:7" x14ac:dyDescent="0.25">
      <c r="A208" s="245"/>
      <c r="B208" s="50" t="s">
        <v>2208</v>
      </c>
      <c r="C208" s="51" t="s">
        <v>1332</v>
      </c>
      <c r="D208" s="59" t="s">
        <v>2021</v>
      </c>
      <c r="E208" s="50" t="s">
        <v>48</v>
      </c>
      <c r="F208" s="50" t="s">
        <v>1920</v>
      </c>
      <c r="G208" s="52">
        <v>11.67</v>
      </c>
    </row>
    <row r="209" spans="1:7" x14ac:dyDescent="0.25">
      <c r="A209" s="245"/>
      <c r="B209" s="50" t="s">
        <v>46</v>
      </c>
      <c r="C209" s="51"/>
      <c r="D209" s="59" t="s">
        <v>2021</v>
      </c>
      <c r="E209" s="50" t="s">
        <v>33</v>
      </c>
      <c r="F209" s="50" t="s">
        <v>1920</v>
      </c>
      <c r="G209" s="52">
        <v>7000</v>
      </c>
    </row>
    <row r="210" spans="1:7" x14ac:dyDescent="0.25">
      <c r="A210" s="245"/>
      <c r="B210" s="50" t="s">
        <v>39</v>
      </c>
      <c r="C210" s="51" t="s">
        <v>1975</v>
      </c>
      <c r="D210" s="59" t="s">
        <v>2021</v>
      </c>
      <c r="E210" s="50" t="s">
        <v>48</v>
      </c>
      <c r="F210" s="50" t="s">
        <v>1920</v>
      </c>
      <c r="G210" s="52">
        <v>145</v>
      </c>
    </row>
    <row r="211" spans="1:7" x14ac:dyDescent="0.25">
      <c r="A211" s="245"/>
      <c r="B211" s="50" t="s">
        <v>2209</v>
      </c>
      <c r="C211" s="51"/>
      <c r="D211" s="59" t="s">
        <v>2021</v>
      </c>
      <c r="E211" s="50" t="s">
        <v>48</v>
      </c>
      <c r="F211" s="50" t="s">
        <v>1920</v>
      </c>
      <c r="G211" s="52">
        <v>168.75</v>
      </c>
    </row>
    <row r="212" spans="1:7" x14ac:dyDescent="0.25">
      <c r="A212" s="245"/>
      <c r="B212" s="50" t="s">
        <v>43</v>
      </c>
      <c r="C212" s="51" t="s">
        <v>1976</v>
      </c>
      <c r="D212" s="59" t="s">
        <v>2021</v>
      </c>
      <c r="E212" s="50" t="s">
        <v>48</v>
      </c>
      <c r="F212" s="50" t="s">
        <v>1920</v>
      </c>
      <c r="G212" s="52">
        <v>55</v>
      </c>
    </row>
    <row r="213" spans="1:7" x14ac:dyDescent="0.25">
      <c r="A213" s="245"/>
      <c r="B213" s="50" t="s">
        <v>2210</v>
      </c>
      <c r="C213" s="51" t="s">
        <v>874</v>
      </c>
      <c r="D213" s="59" t="s">
        <v>2021</v>
      </c>
      <c r="E213" s="50" t="s">
        <v>48</v>
      </c>
      <c r="F213" s="50" t="s">
        <v>1920</v>
      </c>
      <c r="G213" s="52">
        <v>25.78</v>
      </c>
    </row>
    <row r="214" spans="1:7" x14ac:dyDescent="0.25">
      <c r="A214" s="245"/>
      <c r="B214" s="50" t="s">
        <v>2211</v>
      </c>
      <c r="C214" s="51" t="s">
        <v>986</v>
      </c>
      <c r="D214" s="59" t="s">
        <v>2021</v>
      </c>
      <c r="E214" s="50" t="s">
        <v>774</v>
      </c>
      <c r="F214" s="50" t="s">
        <v>1920</v>
      </c>
      <c r="G214" s="52">
        <v>365</v>
      </c>
    </row>
    <row r="215" spans="1:7" x14ac:dyDescent="0.25">
      <c r="A215" s="245"/>
      <c r="B215" s="50" t="s">
        <v>2212</v>
      </c>
      <c r="C215" s="51"/>
      <c r="D215" s="59" t="s">
        <v>2021</v>
      </c>
      <c r="E215" s="50" t="s">
        <v>48</v>
      </c>
      <c r="F215" s="50" t="s">
        <v>1920</v>
      </c>
      <c r="G215" s="52">
        <v>58</v>
      </c>
    </row>
    <row r="216" spans="1:7" x14ac:dyDescent="0.25">
      <c r="A216" s="245"/>
      <c r="B216" s="50" t="s">
        <v>2213</v>
      </c>
      <c r="C216" s="51"/>
      <c r="D216" s="59" t="s">
        <v>2021</v>
      </c>
      <c r="E216" s="50" t="s">
        <v>48</v>
      </c>
      <c r="F216" s="50" t="s">
        <v>1920</v>
      </c>
      <c r="G216" s="52">
        <v>7</v>
      </c>
    </row>
    <row r="217" spans="1:7" x14ac:dyDescent="0.25">
      <c r="A217" s="245"/>
      <c r="B217" s="50" t="s">
        <v>92</v>
      </c>
      <c r="C217" s="51" t="s">
        <v>1977</v>
      </c>
      <c r="D217" s="59" t="s">
        <v>2021</v>
      </c>
      <c r="E217" s="50" t="s">
        <v>48</v>
      </c>
      <c r="F217" s="50" t="s">
        <v>1920</v>
      </c>
      <c r="G217" s="52">
        <v>3.5</v>
      </c>
    </row>
    <row r="218" spans="1:7" x14ac:dyDescent="0.25">
      <c r="A218" s="245"/>
      <c r="B218" s="50" t="s">
        <v>2214</v>
      </c>
      <c r="C218" s="51" t="s">
        <v>1978</v>
      </c>
      <c r="D218" s="59" t="s">
        <v>2021</v>
      </c>
      <c r="E218" s="50" t="s">
        <v>48</v>
      </c>
      <c r="F218" s="50" t="s">
        <v>1920</v>
      </c>
      <c r="G218" s="52">
        <v>85</v>
      </c>
    </row>
    <row r="219" spans="1:7" x14ac:dyDescent="0.25">
      <c r="A219" s="245"/>
      <c r="B219" s="50" t="s">
        <v>42</v>
      </c>
      <c r="C219" s="51" t="s">
        <v>1979</v>
      </c>
      <c r="D219" s="59" t="s">
        <v>2021</v>
      </c>
      <c r="E219" s="50" t="s">
        <v>774</v>
      </c>
      <c r="F219" s="50" t="s">
        <v>1920</v>
      </c>
      <c r="G219" s="52">
        <v>365</v>
      </c>
    </row>
    <row r="220" spans="1:7" x14ac:dyDescent="0.25">
      <c r="A220" s="245"/>
      <c r="B220" s="50" t="s">
        <v>2215</v>
      </c>
      <c r="C220" s="51"/>
      <c r="D220" s="59" t="s">
        <v>2021</v>
      </c>
      <c r="E220" s="50" t="s">
        <v>48</v>
      </c>
      <c r="F220" s="50" t="s">
        <v>1920</v>
      </c>
      <c r="G220" s="52">
        <v>95</v>
      </c>
    </row>
    <row r="221" spans="1:7" x14ac:dyDescent="0.25">
      <c r="A221" s="245"/>
      <c r="B221" s="50" t="s">
        <v>69</v>
      </c>
      <c r="C221" s="51" t="s">
        <v>1980</v>
      </c>
      <c r="D221" s="59" t="s">
        <v>2021</v>
      </c>
      <c r="E221" s="50" t="s">
        <v>48</v>
      </c>
      <c r="F221" s="50" t="s">
        <v>1920</v>
      </c>
      <c r="G221" s="52">
        <v>55</v>
      </c>
    </row>
    <row r="222" spans="1:7" x14ac:dyDescent="0.25">
      <c r="A222" s="245"/>
      <c r="B222" s="50" t="s">
        <v>2216</v>
      </c>
      <c r="C222" s="51"/>
      <c r="D222" s="59" t="s">
        <v>2021</v>
      </c>
      <c r="E222" s="50" t="s">
        <v>48</v>
      </c>
      <c r="F222" s="50" t="s">
        <v>1920</v>
      </c>
      <c r="G222" s="52">
        <v>406.25</v>
      </c>
    </row>
    <row r="223" spans="1:7" x14ac:dyDescent="0.25">
      <c r="A223" s="245"/>
      <c r="B223" s="50" t="s">
        <v>1981</v>
      </c>
      <c r="C223" s="51" t="s">
        <v>1981</v>
      </c>
      <c r="D223" s="59" t="s">
        <v>2021</v>
      </c>
      <c r="E223" s="50" t="s">
        <v>774</v>
      </c>
      <c r="F223" s="50" t="s">
        <v>1920</v>
      </c>
      <c r="G223" s="52">
        <v>1250</v>
      </c>
    </row>
    <row r="224" spans="1:7" x14ac:dyDescent="0.25">
      <c r="A224" s="245"/>
      <c r="B224" s="50" t="s">
        <v>2217</v>
      </c>
      <c r="C224" s="51"/>
      <c r="D224" s="59" t="s">
        <v>2021</v>
      </c>
      <c r="E224" s="50" t="s">
        <v>48</v>
      </c>
      <c r="F224" s="50" t="s">
        <v>1920</v>
      </c>
      <c r="G224" s="52">
        <v>181.25</v>
      </c>
    </row>
    <row r="225" spans="1:7" x14ac:dyDescent="0.25">
      <c r="A225" s="245"/>
      <c r="B225" s="50" t="s">
        <v>173</v>
      </c>
      <c r="C225" s="51" t="s">
        <v>1982</v>
      </c>
      <c r="D225" s="59" t="s">
        <v>2021</v>
      </c>
      <c r="E225" s="50" t="s">
        <v>48</v>
      </c>
      <c r="F225" s="50" t="s">
        <v>1920</v>
      </c>
      <c r="G225" s="52">
        <v>95</v>
      </c>
    </row>
    <row r="226" spans="1:7" x14ac:dyDescent="0.25">
      <c r="A226" s="245"/>
      <c r="B226" s="50" t="s">
        <v>2218</v>
      </c>
      <c r="C226" s="51" t="s">
        <v>996</v>
      </c>
      <c r="D226" s="59" t="s">
        <v>2021</v>
      </c>
      <c r="E226" s="50" t="s">
        <v>48</v>
      </c>
      <c r="F226" s="50" t="s">
        <v>1920</v>
      </c>
      <c r="G226" s="52">
        <v>42.79</v>
      </c>
    </row>
    <row r="227" spans="1:7" x14ac:dyDescent="0.25">
      <c r="A227" s="245"/>
      <c r="B227" s="50" t="s">
        <v>2219</v>
      </c>
      <c r="C227" s="51" t="s">
        <v>1983</v>
      </c>
      <c r="D227" s="59" t="s">
        <v>2021</v>
      </c>
      <c r="E227" s="50" t="s">
        <v>48</v>
      </c>
      <c r="F227" s="50" t="s">
        <v>1920</v>
      </c>
      <c r="G227" s="52">
        <v>17</v>
      </c>
    </row>
    <row r="228" spans="1:7" x14ac:dyDescent="0.25">
      <c r="A228" s="245"/>
      <c r="B228" s="50" t="s">
        <v>2220</v>
      </c>
      <c r="C228" s="51"/>
      <c r="D228" s="59" t="s">
        <v>2021</v>
      </c>
      <c r="E228" s="50" t="s">
        <v>48</v>
      </c>
      <c r="F228" s="50" t="s">
        <v>1920</v>
      </c>
      <c r="G228" s="52">
        <v>15</v>
      </c>
    </row>
    <row r="229" spans="1:7" x14ac:dyDescent="0.25">
      <c r="A229" s="245"/>
      <c r="B229" s="50" t="s">
        <v>44</v>
      </c>
      <c r="C229" s="51" t="s">
        <v>1984</v>
      </c>
      <c r="D229" s="59" t="s">
        <v>2021</v>
      </c>
      <c r="E229" s="50" t="s">
        <v>48</v>
      </c>
      <c r="F229" s="50" t="s">
        <v>1920</v>
      </c>
      <c r="G229" s="52">
        <v>145</v>
      </c>
    </row>
    <row r="230" spans="1:7" x14ac:dyDescent="0.25">
      <c r="A230" s="245"/>
      <c r="B230" s="50" t="s">
        <v>2221</v>
      </c>
      <c r="C230" s="51"/>
      <c r="D230" s="59" t="s">
        <v>2021</v>
      </c>
      <c r="E230" s="50" t="s">
        <v>48</v>
      </c>
      <c r="F230" s="50" t="s">
        <v>1920</v>
      </c>
      <c r="G230" s="52">
        <v>106.25</v>
      </c>
    </row>
    <row r="231" spans="1:7" x14ac:dyDescent="0.25">
      <c r="A231" s="245"/>
      <c r="B231" s="50" t="s">
        <v>2222</v>
      </c>
      <c r="C231" s="51" t="s">
        <v>1985</v>
      </c>
      <c r="D231" s="59" t="s">
        <v>2021</v>
      </c>
      <c r="E231" s="50" t="s">
        <v>48</v>
      </c>
      <c r="F231" s="50" t="s">
        <v>1920</v>
      </c>
      <c r="G231" s="52">
        <v>21.61</v>
      </c>
    </row>
    <row r="232" spans="1:7" x14ac:dyDescent="0.25">
      <c r="A232" s="245"/>
      <c r="B232" s="50" t="s">
        <v>2223</v>
      </c>
      <c r="C232" s="51"/>
      <c r="D232" s="59" t="s">
        <v>2021</v>
      </c>
      <c r="E232" s="50" t="s">
        <v>774</v>
      </c>
      <c r="F232" s="50" t="s">
        <v>1920</v>
      </c>
      <c r="G232" s="52">
        <v>198</v>
      </c>
    </row>
    <row r="233" spans="1:7" x14ac:dyDescent="0.25">
      <c r="A233" s="245"/>
      <c r="B233" s="50" t="s">
        <v>773</v>
      </c>
      <c r="C233" s="51"/>
      <c r="D233" s="59" t="s">
        <v>2021</v>
      </c>
      <c r="E233" s="50" t="s">
        <v>774</v>
      </c>
      <c r="F233" s="50" t="s">
        <v>1920</v>
      </c>
      <c r="G233" s="52">
        <v>1</v>
      </c>
    </row>
    <row r="234" spans="1:7" x14ac:dyDescent="0.25">
      <c r="A234" s="245"/>
      <c r="B234" s="50" t="s">
        <v>1986</v>
      </c>
      <c r="C234" s="51" t="s">
        <v>1986</v>
      </c>
      <c r="D234" s="59" t="s">
        <v>2021</v>
      </c>
      <c r="E234" s="50" t="s">
        <v>774</v>
      </c>
      <c r="F234" s="50" t="s">
        <v>1920</v>
      </c>
      <c r="G234" s="52">
        <v>100</v>
      </c>
    </row>
    <row r="235" spans="1:7" x14ac:dyDescent="0.25">
      <c r="A235" s="245"/>
      <c r="B235" s="50" t="s">
        <v>2224</v>
      </c>
      <c r="C235" s="51" t="s">
        <v>1987</v>
      </c>
      <c r="D235" s="59" t="s">
        <v>2021</v>
      </c>
      <c r="E235" s="50" t="s">
        <v>48</v>
      </c>
      <c r="F235" s="50" t="s">
        <v>1920</v>
      </c>
      <c r="G235" s="52">
        <v>42.79</v>
      </c>
    </row>
    <row r="236" spans="1:7" x14ac:dyDescent="0.25">
      <c r="A236" s="245"/>
      <c r="B236" s="50" t="s">
        <v>64</v>
      </c>
      <c r="C236" s="51" t="s">
        <v>1040</v>
      </c>
      <c r="D236" s="59" t="s">
        <v>2021</v>
      </c>
      <c r="E236" s="50" t="s">
        <v>48</v>
      </c>
      <c r="F236" s="50" t="s">
        <v>1920</v>
      </c>
      <c r="G236" s="52">
        <v>100</v>
      </c>
    </row>
    <row r="237" spans="1:7" x14ac:dyDescent="0.25">
      <c r="A237" s="245"/>
      <c r="B237" s="50" t="s">
        <v>2225</v>
      </c>
      <c r="C237" s="51"/>
      <c r="D237" s="59" t="s">
        <v>2021</v>
      </c>
      <c r="E237" s="50" t="s">
        <v>48</v>
      </c>
      <c r="F237" s="50" t="s">
        <v>1920</v>
      </c>
      <c r="G237" s="52">
        <v>118.75</v>
      </c>
    </row>
    <row r="238" spans="1:7" x14ac:dyDescent="0.25">
      <c r="A238" s="245" t="s">
        <v>2017</v>
      </c>
      <c r="B238" s="53" t="s">
        <v>2226</v>
      </c>
      <c r="C238" s="54" t="s">
        <v>1988</v>
      </c>
      <c r="D238" s="60" t="s">
        <v>2022</v>
      </c>
      <c r="E238" s="53" t="s">
        <v>83</v>
      </c>
      <c r="F238" s="53" t="s">
        <v>1920</v>
      </c>
      <c r="G238" s="55">
        <v>3.19</v>
      </c>
    </row>
    <row r="239" spans="1:7" x14ac:dyDescent="0.25">
      <c r="A239" s="245"/>
      <c r="B239" s="53" t="s">
        <v>1989</v>
      </c>
      <c r="C239" s="54" t="s">
        <v>1989</v>
      </c>
      <c r="D239" s="60" t="s">
        <v>2022</v>
      </c>
      <c r="E239" s="53" t="s">
        <v>83</v>
      </c>
      <c r="F239" s="53" t="s">
        <v>1920</v>
      </c>
      <c r="G239" s="55">
        <v>4.6100000000000003</v>
      </c>
    </row>
    <row r="240" spans="1:7" x14ac:dyDescent="0.25">
      <c r="A240" s="245"/>
      <c r="B240" s="53" t="s">
        <v>1990</v>
      </c>
      <c r="C240" s="54" t="s">
        <v>1990</v>
      </c>
      <c r="D240" s="60" t="s">
        <v>2022</v>
      </c>
      <c r="E240" s="53" t="s">
        <v>83</v>
      </c>
      <c r="F240" s="53" t="s">
        <v>1920</v>
      </c>
      <c r="G240" s="55">
        <v>4</v>
      </c>
    </row>
    <row r="241" spans="1:7" x14ac:dyDescent="0.25">
      <c r="A241" s="245"/>
      <c r="B241" s="53" t="s">
        <v>2227</v>
      </c>
      <c r="C241" s="54"/>
      <c r="D241" s="60" t="s">
        <v>2022</v>
      </c>
      <c r="E241" s="53" t="s">
        <v>83</v>
      </c>
      <c r="F241" s="53" t="s">
        <v>1920</v>
      </c>
      <c r="G241" s="55">
        <v>1.5</v>
      </c>
    </row>
    <row r="242" spans="1:7" x14ac:dyDescent="0.25">
      <c r="A242" s="245"/>
      <c r="B242" s="53" t="s">
        <v>2228</v>
      </c>
      <c r="C242" s="54" t="s">
        <v>1991</v>
      </c>
      <c r="D242" s="60" t="s">
        <v>2022</v>
      </c>
      <c r="E242" s="53" t="s">
        <v>774</v>
      </c>
      <c r="F242" s="53" t="s">
        <v>1920</v>
      </c>
      <c r="G242" s="55">
        <v>125</v>
      </c>
    </row>
    <row r="243" spans="1:7" x14ac:dyDescent="0.25">
      <c r="A243" s="245"/>
      <c r="B243" s="53" t="s">
        <v>769</v>
      </c>
      <c r="C243" s="54" t="s">
        <v>1992</v>
      </c>
      <c r="D243" s="60" t="s">
        <v>2022</v>
      </c>
      <c r="E243" s="53" t="s">
        <v>33</v>
      </c>
      <c r="F243" s="53" t="s">
        <v>1920</v>
      </c>
      <c r="G243" s="55">
        <v>1</v>
      </c>
    </row>
    <row r="244" spans="1:7" x14ac:dyDescent="0.25">
      <c r="A244" s="245"/>
      <c r="B244" s="53" t="s">
        <v>2229</v>
      </c>
      <c r="C244" s="54"/>
      <c r="D244" s="60" t="s">
        <v>2022</v>
      </c>
      <c r="E244" s="53" t="s">
        <v>29</v>
      </c>
      <c r="F244" s="53" t="s">
        <v>1920</v>
      </c>
      <c r="G244" s="55">
        <v>400</v>
      </c>
    </row>
    <row r="245" spans="1:7" x14ac:dyDescent="0.25">
      <c r="A245" s="245"/>
      <c r="B245" s="53" t="s">
        <v>2230</v>
      </c>
      <c r="C245" s="54"/>
      <c r="D245" s="60" t="s">
        <v>2022</v>
      </c>
      <c r="E245" s="53" t="s">
        <v>33</v>
      </c>
      <c r="F245" s="53" t="s">
        <v>1920</v>
      </c>
      <c r="G245" s="55">
        <v>1</v>
      </c>
    </row>
    <row r="246" spans="1:7" x14ac:dyDescent="0.25">
      <c r="A246" s="245"/>
      <c r="B246" s="53" t="s">
        <v>31</v>
      </c>
      <c r="C246" s="54" t="s">
        <v>1993</v>
      </c>
      <c r="D246" s="60" t="s">
        <v>2022</v>
      </c>
      <c r="E246" s="53" t="s">
        <v>29</v>
      </c>
      <c r="F246" s="53" t="s">
        <v>1920</v>
      </c>
      <c r="G246" s="55">
        <v>150</v>
      </c>
    </row>
    <row r="247" spans="1:7" x14ac:dyDescent="0.25">
      <c r="A247" s="245"/>
      <c r="B247" s="53" t="s">
        <v>2231</v>
      </c>
      <c r="C247" s="54"/>
      <c r="D247" s="60" t="s">
        <v>2022</v>
      </c>
      <c r="E247" s="53" t="s">
        <v>29</v>
      </c>
      <c r="F247" s="53" t="s">
        <v>1920</v>
      </c>
      <c r="G247" s="55">
        <v>350</v>
      </c>
    </row>
    <row r="248" spans="1:7" x14ac:dyDescent="0.25">
      <c r="A248" s="245"/>
      <c r="B248" s="53" t="s">
        <v>2232</v>
      </c>
      <c r="C248" s="54" t="s">
        <v>1994</v>
      </c>
      <c r="D248" s="60" t="s">
        <v>2022</v>
      </c>
      <c r="E248" s="53" t="s">
        <v>83</v>
      </c>
      <c r="F248" s="53" t="s">
        <v>1920</v>
      </c>
      <c r="G248" s="55">
        <v>700</v>
      </c>
    </row>
    <row r="249" spans="1:7" x14ac:dyDescent="0.25">
      <c r="A249" s="245"/>
      <c r="B249" s="53" t="s">
        <v>193</v>
      </c>
      <c r="C249" s="54" t="s">
        <v>1995</v>
      </c>
      <c r="D249" s="60" t="s">
        <v>2022</v>
      </c>
      <c r="E249" s="53" t="s">
        <v>83</v>
      </c>
      <c r="F249" s="53" t="s">
        <v>1920</v>
      </c>
      <c r="G249" s="55">
        <v>32</v>
      </c>
    </row>
    <row r="250" spans="1:7" x14ac:dyDescent="0.25">
      <c r="A250" s="245"/>
      <c r="B250" s="53" t="s">
        <v>2233</v>
      </c>
      <c r="C250" s="54"/>
      <c r="D250" s="60" t="s">
        <v>2022</v>
      </c>
      <c r="E250" s="53" t="s">
        <v>41</v>
      </c>
      <c r="F250" s="53" t="s">
        <v>1920</v>
      </c>
      <c r="G250" s="55">
        <v>1</v>
      </c>
    </row>
    <row r="251" spans="1:7" x14ac:dyDescent="0.25">
      <c r="A251" s="245"/>
      <c r="B251" s="53" t="s">
        <v>2234</v>
      </c>
      <c r="C251" s="54"/>
      <c r="D251" s="60" t="s">
        <v>2022</v>
      </c>
      <c r="E251" s="53" t="s">
        <v>33</v>
      </c>
      <c r="F251" s="53" t="s">
        <v>1920</v>
      </c>
      <c r="G251" s="55">
        <v>1</v>
      </c>
    </row>
    <row r="252" spans="1:7" x14ac:dyDescent="0.25">
      <c r="A252" s="245"/>
      <c r="B252" s="53" t="s">
        <v>2235</v>
      </c>
      <c r="C252" s="54"/>
      <c r="D252" s="60" t="s">
        <v>2022</v>
      </c>
      <c r="E252" s="53" t="s">
        <v>82</v>
      </c>
      <c r="F252" s="53" t="s">
        <v>1920</v>
      </c>
      <c r="G252" s="55">
        <v>276</v>
      </c>
    </row>
    <row r="253" spans="1:7" x14ac:dyDescent="0.25">
      <c r="A253" s="245"/>
      <c r="B253" s="53" t="s">
        <v>2236</v>
      </c>
      <c r="C253" s="54"/>
      <c r="D253" s="60" t="s">
        <v>2022</v>
      </c>
      <c r="E253" s="53" t="s">
        <v>82</v>
      </c>
      <c r="F253" s="53" t="s">
        <v>1920</v>
      </c>
      <c r="G253" s="55">
        <v>277</v>
      </c>
    </row>
    <row r="254" spans="1:7" x14ac:dyDescent="0.25">
      <c r="A254" s="245"/>
      <c r="B254" s="53" t="s">
        <v>2237</v>
      </c>
      <c r="C254" s="54"/>
      <c r="D254" s="60" t="s">
        <v>2022</v>
      </c>
      <c r="E254" s="53" t="s">
        <v>82</v>
      </c>
      <c r="F254" s="53" t="s">
        <v>1920</v>
      </c>
      <c r="G254" s="55">
        <v>258</v>
      </c>
    </row>
    <row r="255" spans="1:7" x14ac:dyDescent="0.25">
      <c r="A255" s="245"/>
      <c r="B255" s="53" t="s">
        <v>2238</v>
      </c>
      <c r="C255" s="54"/>
      <c r="D255" s="60" t="s">
        <v>2022</v>
      </c>
      <c r="E255" s="53" t="s">
        <v>82</v>
      </c>
      <c r="F255" s="53" t="s">
        <v>1920</v>
      </c>
      <c r="G255" s="55">
        <v>320</v>
      </c>
    </row>
    <row r="256" spans="1:7" x14ac:dyDescent="0.25">
      <c r="A256" s="245"/>
      <c r="B256" s="53" t="s">
        <v>2239</v>
      </c>
      <c r="C256" s="54"/>
      <c r="D256" s="60" t="s">
        <v>2022</v>
      </c>
      <c r="E256" s="53" t="s">
        <v>82</v>
      </c>
      <c r="F256" s="53" t="s">
        <v>1920</v>
      </c>
      <c r="G256" s="55">
        <v>331.22</v>
      </c>
    </row>
    <row r="257" spans="1:7" x14ac:dyDescent="0.25">
      <c r="A257" s="245"/>
      <c r="B257" s="53" t="s">
        <v>2240</v>
      </c>
      <c r="C257" s="54"/>
      <c r="D257" s="60" t="s">
        <v>2022</v>
      </c>
      <c r="E257" s="53" t="s">
        <v>82</v>
      </c>
      <c r="F257" s="53" t="s">
        <v>1920</v>
      </c>
      <c r="G257" s="55">
        <v>318</v>
      </c>
    </row>
    <row r="258" spans="1:7" x14ac:dyDescent="0.25">
      <c r="A258" s="245"/>
      <c r="B258" s="53" t="s">
        <v>2241</v>
      </c>
      <c r="C258" s="54"/>
      <c r="D258" s="60" t="s">
        <v>2022</v>
      </c>
      <c r="E258" s="53" t="s">
        <v>82</v>
      </c>
      <c r="F258" s="53" t="s">
        <v>1920</v>
      </c>
      <c r="G258" s="55">
        <v>251</v>
      </c>
    </row>
    <row r="259" spans="1:7" x14ac:dyDescent="0.25">
      <c r="A259" s="245"/>
      <c r="B259" s="53" t="s">
        <v>505</v>
      </c>
      <c r="C259" s="54"/>
      <c r="D259" s="60" t="s">
        <v>2022</v>
      </c>
      <c r="E259" s="53" t="s">
        <v>41</v>
      </c>
      <c r="F259" s="53" t="s">
        <v>1920</v>
      </c>
      <c r="G259" s="55">
        <v>1</v>
      </c>
    </row>
    <row r="260" spans="1:7" x14ac:dyDescent="0.25">
      <c r="A260" s="245"/>
      <c r="B260" s="53" t="s">
        <v>28</v>
      </c>
      <c r="C260" s="54"/>
      <c r="D260" s="60" t="s">
        <v>2022</v>
      </c>
      <c r="E260" s="53" t="s">
        <v>29</v>
      </c>
      <c r="F260" s="53" t="s">
        <v>1920</v>
      </c>
      <c r="G260" s="55">
        <v>45</v>
      </c>
    </row>
    <row r="261" spans="1:7" x14ac:dyDescent="0.25">
      <c r="A261" s="245"/>
      <c r="B261" s="53" t="s">
        <v>2242</v>
      </c>
      <c r="C261" s="54"/>
      <c r="D261" s="60" t="s">
        <v>2022</v>
      </c>
      <c r="E261" s="53" t="s">
        <v>83</v>
      </c>
      <c r="F261" s="53" t="s">
        <v>1920</v>
      </c>
      <c r="G261" s="55">
        <v>2.91</v>
      </c>
    </row>
    <row r="262" spans="1:7" x14ac:dyDescent="0.25">
      <c r="A262" s="245"/>
      <c r="B262" s="53" t="s">
        <v>2243</v>
      </c>
      <c r="C262" s="54"/>
      <c r="D262" s="60" t="s">
        <v>2022</v>
      </c>
      <c r="E262" s="53" t="s">
        <v>48</v>
      </c>
      <c r="F262" s="53" t="s">
        <v>1920</v>
      </c>
      <c r="G262" s="55">
        <v>120</v>
      </c>
    </row>
    <row r="263" spans="1:7" x14ac:dyDescent="0.25">
      <c r="A263" s="245"/>
      <c r="B263" s="53" t="s">
        <v>143</v>
      </c>
      <c r="C263" s="54"/>
      <c r="D263" s="60" t="s">
        <v>2022</v>
      </c>
      <c r="E263" s="53" t="s">
        <v>83</v>
      </c>
      <c r="F263" s="53" t="s">
        <v>1920</v>
      </c>
      <c r="G263" s="55">
        <v>2.4500000000000002</v>
      </c>
    </row>
    <row r="264" spans="1:7" x14ac:dyDescent="0.25">
      <c r="A264" s="245"/>
      <c r="B264" s="53" t="s">
        <v>30</v>
      </c>
      <c r="C264" s="54"/>
      <c r="D264" s="60" t="s">
        <v>2022</v>
      </c>
      <c r="E264" s="53" t="s">
        <v>29</v>
      </c>
      <c r="F264" s="53" t="s">
        <v>1920</v>
      </c>
      <c r="G264" s="55">
        <v>390</v>
      </c>
    </row>
    <row r="265" spans="1:7" x14ac:dyDescent="0.25">
      <c r="A265" s="245"/>
      <c r="B265" s="53" t="s">
        <v>2244</v>
      </c>
      <c r="C265" s="54"/>
      <c r="D265" s="60" t="s">
        <v>2022</v>
      </c>
      <c r="E265" s="53" t="s">
        <v>774</v>
      </c>
      <c r="F265" s="53" t="s">
        <v>1920</v>
      </c>
      <c r="G265" s="55">
        <v>8500</v>
      </c>
    </row>
    <row r="266" spans="1:7" x14ac:dyDescent="0.25">
      <c r="A266" s="245"/>
      <c r="B266" s="53" t="s">
        <v>2245</v>
      </c>
      <c r="C266" s="54"/>
      <c r="D266" s="60" t="s">
        <v>2022</v>
      </c>
      <c r="E266" s="53" t="s">
        <v>33</v>
      </c>
      <c r="F266" s="53" t="s">
        <v>1920</v>
      </c>
      <c r="G266" s="55">
        <v>26553</v>
      </c>
    </row>
    <row r="267" spans="1:7" x14ac:dyDescent="0.25">
      <c r="A267" s="245"/>
      <c r="B267" s="53" t="s">
        <v>198</v>
      </c>
      <c r="C267" s="54"/>
      <c r="D267" s="60" t="s">
        <v>2022</v>
      </c>
      <c r="E267" s="53" t="s">
        <v>89</v>
      </c>
      <c r="F267" s="53" t="s">
        <v>1920</v>
      </c>
      <c r="G267" s="55">
        <v>30</v>
      </c>
    </row>
    <row r="268" spans="1:7" x14ac:dyDescent="0.25">
      <c r="A268" s="245"/>
      <c r="B268" s="53" t="s">
        <v>2246</v>
      </c>
      <c r="C268" s="54"/>
      <c r="D268" s="60" t="s">
        <v>2022</v>
      </c>
      <c r="E268" s="53" t="s">
        <v>89</v>
      </c>
      <c r="F268" s="53" t="s">
        <v>1920</v>
      </c>
      <c r="G268" s="55">
        <v>30</v>
      </c>
    </row>
    <row r="269" spans="1:7" x14ac:dyDescent="0.25">
      <c r="A269" s="245"/>
      <c r="B269" s="53" t="s">
        <v>2247</v>
      </c>
      <c r="C269" s="54"/>
      <c r="D269" s="60" t="s">
        <v>2022</v>
      </c>
      <c r="E269" s="53" t="s">
        <v>89</v>
      </c>
      <c r="F269" s="53" t="s">
        <v>1920</v>
      </c>
      <c r="G269" s="55">
        <v>65</v>
      </c>
    </row>
    <row r="270" spans="1:7" x14ac:dyDescent="0.25">
      <c r="A270" s="245"/>
      <c r="B270" s="53" t="s">
        <v>2248</v>
      </c>
      <c r="C270" s="54"/>
      <c r="D270" s="60" t="s">
        <v>2022</v>
      </c>
      <c r="E270" s="53" t="s">
        <v>29</v>
      </c>
      <c r="F270" s="53" t="s">
        <v>1920</v>
      </c>
      <c r="G270" s="55">
        <v>120</v>
      </c>
    </row>
    <row r="271" spans="1:7" x14ac:dyDescent="0.25">
      <c r="A271" s="245"/>
      <c r="B271" s="53" t="s">
        <v>2249</v>
      </c>
      <c r="C271" s="54"/>
      <c r="D271" s="60" t="s">
        <v>2022</v>
      </c>
      <c r="E271" s="53" t="s">
        <v>41</v>
      </c>
      <c r="F271" s="53" t="s">
        <v>1920</v>
      </c>
      <c r="G271" s="55">
        <v>1</v>
      </c>
    </row>
    <row r="272" spans="1:7" x14ac:dyDescent="0.25">
      <c r="A272" s="245"/>
      <c r="B272" s="53" t="s">
        <v>2250</v>
      </c>
      <c r="C272" s="54"/>
      <c r="D272" s="60" t="s">
        <v>2022</v>
      </c>
      <c r="E272" s="53" t="s">
        <v>29</v>
      </c>
      <c r="F272" s="53" t="s">
        <v>1920</v>
      </c>
      <c r="G272" s="55">
        <v>5500</v>
      </c>
    </row>
    <row r="273" spans="1:7" x14ac:dyDescent="0.25">
      <c r="A273" s="245"/>
      <c r="B273" s="53" t="s">
        <v>2251</v>
      </c>
      <c r="C273" s="54"/>
      <c r="D273" s="60" t="s">
        <v>2022</v>
      </c>
      <c r="E273" s="53" t="s">
        <v>29</v>
      </c>
      <c r="F273" s="53" t="s">
        <v>1920</v>
      </c>
      <c r="G273" s="55">
        <v>50</v>
      </c>
    </row>
    <row r="274" spans="1:7" x14ac:dyDescent="0.25">
      <c r="A274" s="245"/>
      <c r="B274" s="53" t="s">
        <v>2252</v>
      </c>
      <c r="C274" s="54" t="s">
        <v>1996</v>
      </c>
      <c r="D274" s="60" t="s">
        <v>2022</v>
      </c>
      <c r="E274" s="53" t="s">
        <v>33</v>
      </c>
      <c r="F274" s="53" t="s">
        <v>1920</v>
      </c>
      <c r="G274" s="55">
        <v>6250</v>
      </c>
    </row>
    <row r="275" spans="1:7" x14ac:dyDescent="0.25">
      <c r="A275" s="245"/>
      <c r="B275" s="53" t="s">
        <v>2253</v>
      </c>
      <c r="C275" s="54"/>
      <c r="D275" s="60" t="s">
        <v>2022</v>
      </c>
      <c r="E275" s="53" t="s">
        <v>33</v>
      </c>
      <c r="F275" s="53" t="s">
        <v>1920</v>
      </c>
      <c r="G275" s="55">
        <v>1</v>
      </c>
    </row>
    <row r="276" spans="1:7" x14ac:dyDescent="0.25">
      <c r="A276" s="245"/>
      <c r="B276" s="53" t="s">
        <v>2254</v>
      </c>
      <c r="C276" s="54"/>
      <c r="D276" s="60" t="s">
        <v>2022</v>
      </c>
      <c r="E276" s="53" t="s">
        <v>29</v>
      </c>
      <c r="F276" s="53" t="s">
        <v>1920</v>
      </c>
      <c r="G276" s="55">
        <v>180</v>
      </c>
    </row>
    <row r="277" spans="1:7" x14ac:dyDescent="0.25">
      <c r="A277" s="245"/>
      <c r="B277" s="53" t="s">
        <v>183</v>
      </c>
      <c r="C277" s="54" t="s">
        <v>1997</v>
      </c>
      <c r="D277" s="60" t="s">
        <v>2022</v>
      </c>
      <c r="E277" s="53" t="s">
        <v>29</v>
      </c>
      <c r="F277" s="53" t="s">
        <v>1920</v>
      </c>
      <c r="G277" s="55">
        <v>3750</v>
      </c>
    </row>
    <row r="278" spans="1:7" x14ac:dyDescent="0.25">
      <c r="A278" s="245"/>
      <c r="B278" s="53" t="s">
        <v>176</v>
      </c>
      <c r="C278" s="54" t="s">
        <v>1998</v>
      </c>
      <c r="D278" s="60" t="s">
        <v>2022</v>
      </c>
      <c r="E278" s="53" t="s">
        <v>29</v>
      </c>
      <c r="F278" s="53" t="s">
        <v>1920</v>
      </c>
      <c r="G278" s="55">
        <v>1200</v>
      </c>
    </row>
    <row r="279" spans="1:7" x14ac:dyDescent="0.25">
      <c r="A279" s="245"/>
      <c r="B279" s="53" t="s">
        <v>268</v>
      </c>
      <c r="C279" s="54"/>
      <c r="D279" s="60" t="s">
        <v>2022</v>
      </c>
      <c r="E279" s="53" t="s">
        <v>48</v>
      </c>
      <c r="F279" s="53" t="s">
        <v>1920</v>
      </c>
      <c r="G279" s="55">
        <v>85</v>
      </c>
    </row>
    <row r="280" spans="1:7" x14ac:dyDescent="0.25">
      <c r="A280" s="245"/>
      <c r="B280" s="53" t="s">
        <v>2255</v>
      </c>
      <c r="C280" s="54"/>
      <c r="D280" s="60" t="s">
        <v>2022</v>
      </c>
      <c r="E280" s="53" t="s">
        <v>82</v>
      </c>
      <c r="F280" s="53" t="s">
        <v>1920</v>
      </c>
      <c r="G280" s="55">
        <v>600</v>
      </c>
    </row>
    <row r="281" spans="1:7" x14ac:dyDescent="0.25">
      <c r="A281" s="245"/>
      <c r="B281" s="53" t="s">
        <v>2256</v>
      </c>
      <c r="C281" s="54"/>
      <c r="D281" s="60" t="s">
        <v>2022</v>
      </c>
      <c r="E281" s="53" t="s">
        <v>29</v>
      </c>
      <c r="F281" s="53" t="s">
        <v>1920</v>
      </c>
      <c r="G281" s="55">
        <v>750</v>
      </c>
    </row>
    <row r="282" spans="1:7" x14ac:dyDescent="0.25">
      <c r="A282" s="245"/>
      <c r="B282" s="53" t="s">
        <v>2257</v>
      </c>
      <c r="C282" s="54"/>
      <c r="D282" s="60" t="s">
        <v>2022</v>
      </c>
      <c r="E282" s="53" t="s">
        <v>33</v>
      </c>
      <c r="F282" s="53" t="s">
        <v>1920</v>
      </c>
      <c r="G282" s="55">
        <v>5000</v>
      </c>
    </row>
    <row r="283" spans="1:7" x14ac:dyDescent="0.25">
      <c r="A283" s="245"/>
      <c r="B283" s="53" t="s">
        <v>236</v>
      </c>
      <c r="C283" s="54"/>
      <c r="D283" s="60" t="s">
        <v>2022</v>
      </c>
      <c r="E283" s="53" t="s">
        <v>29</v>
      </c>
      <c r="F283" s="53" t="s">
        <v>1920</v>
      </c>
      <c r="G283" s="55">
        <v>700</v>
      </c>
    </row>
    <row r="284" spans="1:7" x14ac:dyDescent="0.25">
      <c r="A284" s="245"/>
      <c r="B284" s="53" t="s">
        <v>2258</v>
      </c>
      <c r="C284" s="54"/>
      <c r="D284" s="60" t="s">
        <v>2022</v>
      </c>
      <c r="E284" s="53" t="s">
        <v>33</v>
      </c>
      <c r="F284" s="53" t="s">
        <v>1920</v>
      </c>
      <c r="G284" s="55">
        <v>2100</v>
      </c>
    </row>
    <row r="285" spans="1:7" x14ac:dyDescent="0.25">
      <c r="A285" s="245"/>
      <c r="B285" s="53" t="s">
        <v>2259</v>
      </c>
      <c r="C285" s="54"/>
      <c r="D285" s="60" t="s">
        <v>2022</v>
      </c>
      <c r="E285" s="53" t="s">
        <v>83</v>
      </c>
      <c r="F285" s="53" t="s">
        <v>1920</v>
      </c>
      <c r="G285" s="55">
        <v>65</v>
      </c>
    </row>
    <row r="286" spans="1:7" x14ac:dyDescent="0.25">
      <c r="A286" s="245"/>
      <c r="B286" s="53" t="s">
        <v>770</v>
      </c>
      <c r="C286" s="54"/>
      <c r="D286" s="60" t="s">
        <v>2022</v>
      </c>
      <c r="E286" s="53" t="s">
        <v>33</v>
      </c>
      <c r="F286" s="53" t="s">
        <v>1920</v>
      </c>
      <c r="G286" s="55">
        <v>1</v>
      </c>
    </row>
    <row r="287" spans="1:7" x14ac:dyDescent="0.25">
      <c r="A287" s="245"/>
      <c r="B287" s="53" t="s">
        <v>2260</v>
      </c>
      <c r="C287" s="54"/>
      <c r="D287" s="60" t="s">
        <v>2022</v>
      </c>
      <c r="E287" s="53" t="s">
        <v>83</v>
      </c>
      <c r="F287" s="53" t="s">
        <v>1920</v>
      </c>
      <c r="G287" s="55">
        <v>7.81</v>
      </c>
    </row>
    <row r="288" spans="1:7" x14ac:dyDescent="0.25">
      <c r="A288" s="245"/>
      <c r="B288" s="53" t="s">
        <v>2261</v>
      </c>
      <c r="C288" s="54"/>
      <c r="D288" s="60" t="s">
        <v>2022</v>
      </c>
      <c r="E288" s="53" t="s">
        <v>89</v>
      </c>
      <c r="F288" s="53" t="s">
        <v>1920</v>
      </c>
      <c r="G288" s="55">
        <v>195</v>
      </c>
    </row>
    <row r="289" spans="1:7" x14ac:dyDescent="0.25">
      <c r="A289" s="245"/>
      <c r="B289" s="53" t="s">
        <v>2262</v>
      </c>
      <c r="C289" s="54" t="s">
        <v>1999</v>
      </c>
      <c r="D289" s="60" t="s">
        <v>2022</v>
      </c>
      <c r="E289" s="53" t="s">
        <v>29</v>
      </c>
      <c r="F289" s="53" t="s">
        <v>1920</v>
      </c>
      <c r="G289" s="55">
        <v>145</v>
      </c>
    </row>
    <row r="290" spans="1:7" x14ac:dyDescent="0.25">
      <c r="A290" s="245"/>
      <c r="B290" s="53" t="s">
        <v>604</v>
      </c>
      <c r="C290" s="54"/>
      <c r="D290" s="60" t="s">
        <v>2022</v>
      </c>
      <c r="E290" s="53" t="s">
        <v>89</v>
      </c>
      <c r="F290" s="53" t="s">
        <v>1920</v>
      </c>
      <c r="G290" s="55">
        <v>10</v>
      </c>
    </row>
    <row r="291" spans="1:7" x14ac:dyDescent="0.25">
      <c r="A291" s="245"/>
      <c r="B291" s="53" t="s">
        <v>2263</v>
      </c>
      <c r="C291" s="54" t="s">
        <v>2000</v>
      </c>
      <c r="D291" s="60" t="s">
        <v>2022</v>
      </c>
      <c r="E291" s="53" t="s">
        <v>83</v>
      </c>
      <c r="F291" s="53" t="s">
        <v>1920</v>
      </c>
      <c r="G291" s="55">
        <v>5.92</v>
      </c>
    </row>
    <row r="292" spans="1:7" x14ac:dyDescent="0.25">
      <c r="A292" s="245"/>
      <c r="B292" s="53" t="s">
        <v>2264</v>
      </c>
      <c r="C292" s="54" t="s">
        <v>2001</v>
      </c>
      <c r="D292" s="60" t="s">
        <v>2022</v>
      </c>
      <c r="E292" s="53" t="s">
        <v>83</v>
      </c>
      <c r="F292" s="53" t="s">
        <v>1920</v>
      </c>
      <c r="G292" s="55">
        <v>15.64</v>
      </c>
    </row>
    <row r="293" spans="1:7" x14ac:dyDescent="0.25">
      <c r="A293" s="245"/>
      <c r="B293" s="53" t="s">
        <v>2265</v>
      </c>
      <c r="C293" s="54" t="s">
        <v>2002</v>
      </c>
      <c r="D293" s="60" t="s">
        <v>2022</v>
      </c>
      <c r="E293" s="53" t="s">
        <v>83</v>
      </c>
      <c r="F293" s="53" t="s">
        <v>1920</v>
      </c>
      <c r="G293" s="55">
        <v>7.19</v>
      </c>
    </row>
    <row r="294" spans="1:7" x14ac:dyDescent="0.25">
      <c r="A294" s="245"/>
      <c r="B294" s="53" t="s">
        <v>125</v>
      </c>
      <c r="C294" s="54" t="s">
        <v>2003</v>
      </c>
      <c r="D294" s="60" t="s">
        <v>2022</v>
      </c>
      <c r="E294" s="53" t="s">
        <v>83</v>
      </c>
      <c r="F294" s="53" t="s">
        <v>1920</v>
      </c>
      <c r="G294" s="55">
        <v>51.8</v>
      </c>
    </row>
    <row r="295" spans="1:7" x14ac:dyDescent="0.25">
      <c r="A295" s="245"/>
      <c r="B295" s="53" t="s">
        <v>2266</v>
      </c>
      <c r="C295" s="54" t="s">
        <v>2004</v>
      </c>
      <c r="D295" s="60" t="s">
        <v>2022</v>
      </c>
      <c r="E295" s="53" t="s">
        <v>83</v>
      </c>
      <c r="F295" s="53" t="s">
        <v>1920</v>
      </c>
      <c r="G295" s="55">
        <v>12.77</v>
      </c>
    </row>
    <row r="296" spans="1:7" x14ac:dyDescent="0.25">
      <c r="A296" s="245"/>
      <c r="B296" s="53" t="s">
        <v>2267</v>
      </c>
      <c r="C296" s="54" t="s">
        <v>2005</v>
      </c>
      <c r="D296" s="60" t="s">
        <v>2022</v>
      </c>
      <c r="E296" s="53" t="s">
        <v>83</v>
      </c>
      <c r="F296" s="53" t="s">
        <v>1920</v>
      </c>
      <c r="G296" s="55">
        <v>11.48</v>
      </c>
    </row>
    <row r="297" spans="1:7" x14ac:dyDescent="0.25">
      <c r="A297" s="245"/>
      <c r="B297" s="53" t="s">
        <v>2268</v>
      </c>
      <c r="C297" s="54" t="s">
        <v>2006</v>
      </c>
      <c r="D297" s="60" t="s">
        <v>2022</v>
      </c>
      <c r="E297" s="53" t="s">
        <v>83</v>
      </c>
      <c r="F297" s="53" t="s">
        <v>1920</v>
      </c>
      <c r="G297" s="55">
        <v>7.6</v>
      </c>
    </row>
    <row r="298" spans="1:7" x14ac:dyDescent="0.25">
      <c r="A298" s="245"/>
      <c r="B298" s="53" t="s">
        <v>2269</v>
      </c>
      <c r="C298" s="54" t="s">
        <v>2007</v>
      </c>
      <c r="D298" s="60" t="s">
        <v>2022</v>
      </c>
      <c r="E298" s="53" t="s">
        <v>83</v>
      </c>
      <c r="F298" s="53" t="s">
        <v>1920</v>
      </c>
      <c r="G298" s="55">
        <v>8.11</v>
      </c>
    </row>
    <row r="299" spans="1:7" x14ac:dyDescent="0.25">
      <c r="A299" s="245"/>
      <c r="B299" s="53" t="s">
        <v>2270</v>
      </c>
      <c r="C299" s="54" t="s">
        <v>2008</v>
      </c>
      <c r="D299" s="60" t="s">
        <v>2022</v>
      </c>
      <c r="E299" s="53" t="s">
        <v>89</v>
      </c>
      <c r="F299" s="53" t="s">
        <v>1920</v>
      </c>
      <c r="G299" s="55">
        <v>66</v>
      </c>
    </row>
    <row r="300" spans="1:7" x14ac:dyDescent="0.25">
      <c r="A300" s="245"/>
      <c r="B300" s="53" t="s">
        <v>2271</v>
      </c>
      <c r="C300" s="54"/>
      <c r="D300" s="60" t="s">
        <v>2022</v>
      </c>
      <c r="E300" s="53" t="s">
        <v>48</v>
      </c>
      <c r="F300" s="53" t="s">
        <v>1920</v>
      </c>
      <c r="G300" s="55">
        <v>135</v>
      </c>
    </row>
    <row r="301" spans="1:7" x14ac:dyDescent="0.25">
      <c r="A301" s="245"/>
      <c r="B301" s="53" t="s">
        <v>2272</v>
      </c>
      <c r="C301" s="54"/>
      <c r="D301" s="60" t="s">
        <v>2022</v>
      </c>
      <c r="E301" s="53" t="s">
        <v>41</v>
      </c>
      <c r="F301" s="53" t="s">
        <v>1920</v>
      </c>
      <c r="G301" s="55">
        <v>1</v>
      </c>
    </row>
    <row r="302" spans="1:7" x14ac:dyDescent="0.25">
      <c r="A302" s="245"/>
      <c r="B302" s="53" t="s">
        <v>2273</v>
      </c>
      <c r="C302" s="54"/>
      <c r="D302" s="60" t="s">
        <v>2022</v>
      </c>
      <c r="E302" s="53" t="s">
        <v>33</v>
      </c>
      <c r="F302" s="53" t="s">
        <v>1920</v>
      </c>
      <c r="G302" s="55">
        <v>1650</v>
      </c>
    </row>
    <row r="303" spans="1:7" x14ac:dyDescent="0.25">
      <c r="A303" s="245"/>
      <c r="B303" s="53" t="s">
        <v>2274</v>
      </c>
      <c r="C303" s="54"/>
      <c r="D303" s="60" t="s">
        <v>2022</v>
      </c>
      <c r="E303" s="53" t="s">
        <v>82</v>
      </c>
      <c r="F303" s="53" t="s">
        <v>1920</v>
      </c>
      <c r="G303" s="55">
        <v>2200</v>
      </c>
    </row>
    <row r="304" spans="1:7" x14ac:dyDescent="0.25">
      <c r="A304" s="245"/>
      <c r="B304" s="53" t="s">
        <v>2275</v>
      </c>
      <c r="C304" s="54"/>
      <c r="D304" s="60" t="s">
        <v>2022</v>
      </c>
      <c r="E304" s="53" t="s">
        <v>83</v>
      </c>
      <c r="F304" s="53" t="s">
        <v>1920</v>
      </c>
      <c r="G304" s="55">
        <v>75</v>
      </c>
    </row>
    <row r="305" spans="1:7" x14ac:dyDescent="0.25">
      <c r="A305" s="245"/>
      <c r="B305" s="53" t="s">
        <v>211</v>
      </c>
      <c r="C305" s="54"/>
      <c r="D305" s="60" t="s">
        <v>2022</v>
      </c>
      <c r="E305" s="53" t="s">
        <v>29</v>
      </c>
      <c r="F305" s="53" t="s">
        <v>1920</v>
      </c>
      <c r="G305" s="55">
        <v>143</v>
      </c>
    </row>
    <row r="306" spans="1:7" x14ac:dyDescent="0.25">
      <c r="A306" s="245"/>
      <c r="B306" s="53" t="s">
        <v>148</v>
      </c>
      <c r="C306" s="54"/>
      <c r="D306" s="60" t="s">
        <v>2022</v>
      </c>
      <c r="E306" s="53" t="s">
        <v>33</v>
      </c>
      <c r="F306" s="53" t="s">
        <v>1920</v>
      </c>
      <c r="G306" s="55">
        <v>1</v>
      </c>
    </row>
    <row r="307" spans="1:7" x14ac:dyDescent="0.25">
      <c r="A307" s="245"/>
      <c r="B307" s="53" t="s">
        <v>2276</v>
      </c>
      <c r="C307" s="54"/>
      <c r="D307" s="60" t="s">
        <v>2022</v>
      </c>
      <c r="E307" s="53" t="s">
        <v>29</v>
      </c>
      <c r="F307" s="53" t="s">
        <v>1920</v>
      </c>
      <c r="G307" s="55">
        <v>45</v>
      </c>
    </row>
    <row r="308" spans="1:7" x14ac:dyDescent="0.25">
      <c r="A308" s="245"/>
      <c r="B308" s="53" t="s">
        <v>2277</v>
      </c>
      <c r="C308" s="54" t="s">
        <v>2009</v>
      </c>
      <c r="D308" s="60" t="s">
        <v>2022</v>
      </c>
      <c r="E308" s="53" t="s">
        <v>33</v>
      </c>
      <c r="F308" s="53" t="s">
        <v>1920</v>
      </c>
      <c r="G308" s="55">
        <v>40</v>
      </c>
    </row>
    <row r="309" spans="1:7" x14ac:dyDescent="0.25">
      <c r="A309" s="245"/>
      <c r="B309" s="53" t="s">
        <v>2278</v>
      </c>
      <c r="C309" s="54"/>
      <c r="D309" s="60" t="s">
        <v>2022</v>
      </c>
      <c r="E309" s="53" t="s">
        <v>89</v>
      </c>
      <c r="F309" s="53" t="s">
        <v>1920</v>
      </c>
      <c r="G309" s="55">
        <v>8</v>
      </c>
    </row>
    <row r="310" spans="1:7" x14ac:dyDescent="0.25">
      <c r="A310" s="245"/>
      <c r="B310" s="53" t="s">
        <v>2279</v>
      </c>
      <c r="C310" s="54" t="s">
        <v>2010</v>
      </c>
      <c r="D310" s="60" t="s">
        <v>2022</v>
      </c>
      <c r="E310" s="53" t="s">
        <v>82</v>
      </c>
      <c r="F310" s="53" t="s">
        <v>1920</v>
      </c>
      <c r="G310" s="55">
        <v>25</v>
      </c>
    </row>
    <row r="311" spans="1:7" x14ac:dyDescent="0.25">
      <c r="A311" s="245"/>
      <c r="B311" s="53" t="s">
        <v>55</v>
      </c>
      <c r="C311" s="54" t="s">
        <v>2011</v>
      </c>
      <c r="D311" s="60" t="s">
        <v>2022</v>
      </c>
      <c r="E311" s="53" t="s">
        <v>48</v>
      </c>
      <c r="F311" s="53" t="s">
        <v>1920</v>
      </c>
      <c r="G311" s="55">
        <v>102.16</v>
      </c>
    </row>
    <row r="312" spans="1:7" x14ac:dyDescent="0.25">
      <c r="A312" s="245"/>
      <c r="B312" s="53" t="s">
        <v>2280</v>
      </c>
      <c r="C312" s="54"/>
      <c r="D312" s="60" t="s">
        <v>2022</v>
      </c>
      <c r="E312" s="53" t="s">
        <v>48</v>
      </c>
      <c r="F312" s="53" t="s">
        <v>1920</v>
      </c>
      <c r="G312" s="55">
        <v>25</v>
      </c>
    </row>
    <row r="313" spans="1:7" x14ac:dyDescent="0.25">
      <c r="A313" s="245"/>
      <c r="B313" s="53" t="s">
        <v>242</v>
      </c>
      <c r="C313" s="54"/>
      <c r="D313" s="60" t="s">
        <v>2022</v>
      </c>
      <c r="E313" s="53" t="s">
        <v>83</v>
      </c>
      <c r="F313" s="53" t="s">
        <v>1920</v>
      </c>
      <c r="G313" s="55">
        <v>8.5</v>
      </c>
    </row>
    <row r="314" spans="1:7" x14ac:dyDescent="0.25">
      <c r="A314" s="245"/>
      <c r="B314" s="53" t="s">
        <v>306</v>
      </c>
      <c r="C314" s="54" t="s">
        <v>2012</v>
      </c>
      <c r="D314" s="60" t="s">
        <v>2022</v>
      </c>
      <c r="E314" s="53" t="s">
        <v>33</v>
      </c>
      <c r="F314" s="53" t="s">
        <v>1920</v>
      </c>
      <c r="G314" s="55">
        <v>1</v>
      </c>
    </row>
    <row r="315" spans="1:7" x14ac:dyDescent="0.25">
      <c r="A315" s="245"/>
      <c r="B315" s="53" t="s">
        <v>2281</v>
      </c>
      <c r="C315" s="54" t="s">
        <v>2013</v>
      </c>
      <c r="D315" s="60" t="s">
        <v>2022</v>
      </c>
      <c r="E315" s="53" t="s">
        <v>33</v>
      </c>
      <c r="F315" s="53" t="s">
        <v>1920</v>
      </c>
      <c r="G315" s="55">
        <v>1</v>
      </c>
    </row>
    <row r="316" spans="1:7" x14ac:dyDescent="0.25">
      <c r="A316" s="245"/>
      <c r="B316" s="53" t="s">
        <v>2282</v>
      </c>
      <c r="C316" s="54"/>
      <c r="D316" s="60" t="s">
        <v>2022</v>
      </c>
      <c r="E316" s="53" t="s">
        <v>41</v>
      </c>
      <c r="F316" s="53" t="s">
        <v>1920</v>
      </c>
      <c r="G316" s="55">
        <v>1</v>
      </c>
    </row>
    <row r="317" spans="1:7" x14ac:dyDescent="0.25">
      <c r="A317" s="245"/>
      <c r="B317" s="53" t="s">
        <v>2283</v>
      </c>
      <c r="C317" s="54"/>
      <c r="D317" s="60" t="s">
        <v>2022</v>
      </c>
      <c r="E317" s="53" t="s">
        <v>82</v>
      </c>
      <c r="F317" s="53" t="s">
        <v>1920</v>
      </c>
      <c r="G317" s="55">
        <v>275.7</v>
      </c>
    </row>
    <row r="318" spans="1:7" x14ac:dyDescent="0.25">
      <c r="A318" s="245"/>
      <c r="B318" s="53" t="s">
        <v>289</v>
      </c>
      <c r="C318" s="54"/>
      <c r="D318" s="60" t="s">
        <v>2022</v>
      </c>
      <c r="E318" s="53" t="s">
        <v>83</v>
      </c>
      <c r="F318" s="53" t="s">
        <v>1920</v>
      </c>
      <c r="G318" s="55">
        <v>1</v>
      </c>
    </row>
  </sheetData>
  <mergeCells count="4">
    <mergeCell ref="A2:A18"/>
    <mergeCell ref="A19:A184"/>
    <mergeCell ref="A185:A237"/>
    <mergeCell ref="A238:A31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DE58A-E4EE-4A6F-A504-90EF1CBD07B8}">
  <dimension ref="A1:G690"/>
  <sheetViews>
    <sheetView topLeftCell="A651" workbookViewId="0">
      <selection activeCell="P36" sqref="P36"/>
    </sheetView>
  </sheetViews>
  <sheetFormatPr defaultColWidth="8.7109375" defaultRowHeight="15" x14ac:dyDescent="0.25"/>
  <cols>
    <col min="1" max="1" width="11.85546875" style="165" customWidth="1"/>
    <col min="2" max="2" width="53.42578125" style="163" customWidth="1"/>
    <col min="3" max="3" width="14.42578125" style="165" customWidth="1"/>
    <col min="4" max="4" width="16.5703125" style="115" customWidth="1"/>
    <col min="5" max="5" width="10.5703125" style="165" customWidth="1"/>
    <col min="6" max="6" width="12.42578125" style="163" customWidth="1"/>
    <col min="7" max="7" width="8.42578125" style="164" customWidth="1"/>
    <col min="8" max="16384" width="8.7109375" style="163"/>
  </cols>
  <sheetData>
    <row r="1" spans="1:7" x14ac:dyDescent="0.25">
      <c r="A1" s="161" t="s">
        <v>2397</v>
      </c>
      <c r="B1" s="162" t="s">
        <v>779</v>
      </c>
      <c r="C1" s="161" t="s">
        <v>2400</v>
      </c>
      <c r="D1" s="116" t="s">
        <v>2399</v>
      </c>
      <c r="E1" s="161" t="s">
        <v>2398</v>
      </c>
      <c r="G1" s="163"/>
    </row>
    <row r="2" spans="1:7" x14ac:dyDescent="0.25">
      <c r="A2" s="161">
        <v>5</v>
      </c>
      <c r="B2" s="162" t="str">
        <f>VLOOKUP($A2,Estimate!$A:$H,3,FALSE)</f>
        <v>Quality System Documents &amp; Records (for entire Package A)</v>
      </c>
      <c r="C2" s="161" t="str">
        <f>IF(A2/ROUND(A2,0)=1,"Q","P")</f>
        <v>Q</v>
      </c>
      <c r="D2" s="116">
        <v>1</v>
      </c>
      <c r="E2" s="161" t="str">
        <f>VLOOKUP($A2,Estimate!$A:$H,4,FALSE)</f>
        <v xml:space="preserve">Lump </v>
      </c>
    </row>
    <row r="3" spans="1:7" x14ac:dyDescent="0.25">
      <c r="A3" s="161">
        <v>5.0999999999999996</v>
      </c>
      <c r="B3" s="162" t="str">
        <f>VLOOKUP($A3,Estimate!$A:$H,3,FALSE)</f>
        <v>Project Engineer</v>
      </c>
      <c r="C3" s="161" t="str">
        <f t="shared" ref="C3:C66" si="0">IF(A3/ROUND(A3,0)=1,"Q","P")</f>
        <v>P</v>
      </c>
      <c r="D3" s="116">
        <v>6</v>
      </c>
      <c r="E3" s="161" t="str">
        <f>VLOOKUP($A3,Estimate!$A:$H,4,FALSE)</f>
        <v xml:space="preserve">week </v>
      </c>
    </row>
    <row r="4" spans="1:7" x14ac:dyDescent="0.25">
      <c r="A4" s="161">
        <v>6</v>
      </c>
      <c r="B4" s="162" t="str">
        <f>VLOOKUP($A4,Estimate!$A:$H,3,FALSE)</f>
        <v>Quality Verification &amp; Control</v>
      </c>
      <c r="C4" s="161" t="str">
        <f t="shared" si="0"/>
        <v>Q</v>
      </c>
      <c r="D4" s="116">
        <v>1</v>
      </c>
      <c r="E4" s="161" t="str">
        <f>VLOOKUP($A4,Estimate!$A:$H,4,FALSE)</f>
        <v xml:space="preserve">Lump </v>
      </c>
    </row>
    <row r="5" spans="1:7" x14ac:dyDescent="0.25">
      <c r="A5" s="161">
        <v>6.1</v>
      </c>
      <c r="B5" s="162" t="str">
        <f>VLOOKUP($A5,Estimate!$A:$H,3,FALSE)</f>
        <v>Field Density Tests (QTY)</v>
      </c>
      <c r="C5" s="161" t="str">
        <f t="shared" si="0"/>
        <v>P</v>
      </c>
      <c r="D5" s="116">
        <v>12</v>
      </c>
      <c r="E5" s="161" t="s">
        <v>29</v>
      </c>
    </row>
    <row r="6" spans="1:7" x14ac:dyDescent="0.25">
      <c r="A6" s="161">
        <v>6.2</v>
      </c>
      <c r="B6" s="162" t="str">
        <f>VLOOKUP($A6,Estimate!$A:$H,3,FALSE)</f>
        <v>Concrete Cylinders (QTY)</v>
      </c>
      <c r="C6" s="161" t="str">
        <f t="shared" si="0"/>
        <v>P</v>
      </c>
      <c r="D6" s="116">
        <v>6</v>
      </c>
      <c r="E6" s="161" t="s">
        <v>29</v>
      </c>
    </row>
    <row r="7" spans="1:7" x14ac:dyDescent="0.25">
      <c r="A7" s="161">
        <v>6.3</v>
      </c>
      <c r="B7" s="162" t="str">
        <f>VLOOKUP($A7,Estimate!$A:$H,3,FALSE)</f>
        <v>Survey</v>
      </c>
      <c r="C7" s="161" t="str">
        <f t="shared" si="0"/>
        <v>P</v>
      </c>
      <c r="D7" s="116">
        <v>600</v>
      </c>
      <c r="E7" s="161" t="str">
        <f>VLOOKUP($A7,Estimate!$A:$H,4,FALSE)</f>
        <v xml:space="preserve">Item </v>
      </c>
    </row>
    <row r="8" spans="1:7" x14ac:dyDescent="0.25">
      <c r="A8" s="161">
        <v>7</v>
      </c>
      <c r="B8" s="162" t="str">
        <f>VLOOKUP($A8,Estimate!$A:$H,3,FALSE)</f>
        <v>Site Establishment &amp; Disestablishment</v>
      </c>
      <c r="C8" s="161" t="str">
        <f t="shared" si="0"/>
        <v>Q</v>
      </c>
      <c r="D8" s="116">
        <v>1</v>
      </c>
      <c r="E8" s="161" t="str">
        <f>VLOOKUP($A8,Estimate!$A:$H,4,FALSE)</f>
        <v xml:space="preserve">Lump </v>
      </c>
    </row>
    <row r="9" spans="1:7" x14ac:dyDescent="0.25">
      <c r="A9" s="161">
        <v>8</v>
      </c>
      <c r="B9" s="162" t="str">
        <f>VLOOKUP($A9,Estimate!$A:$H,3,FALSE)</f>
        <v>Control of Traffic</v>
      </c>
      <c r="C9" s="161" t="str">
        <f t="shared" si="0"/>
        <v>Q</v>
      </c>
      <c r="D9" s="116">
        <v>1</v>
      </c>
      <c r="E9" s="161" t="str">
        <f>VLOOKUP($A9,Estimate!$A:$H,4,FALSE)</f>
        <v xml:space="preserve">Lump </v>
      </c>
    </row>
    <row r="10" spans="1:7" x14ac:dyDescent="0.25">
      <c r="A10" s="161">
        <v>8.1</v>
      </c>
      <c r="B10" s="162" t="str">
        <f>VLOOKUP($A10,Estimate!$A:$H,3,FALSE)</f>
        <v>Duration (Weeks)</v>
      </c>
      <c r="C10" s="161" t="str">
        <f t="shared" si="0"/>
        <v>P</v>
      </c>
      <c r="D10" s="116">
        <v>2</v>
      </c>
      <c r="E10" s="161" t="s">
        <v>22</v>
      </c>
    </row>
    <row r="11" spans="1:7" x14ac:dyDescent="0.25">
      <c r="A11" s="161">
        <v>9</v>
      </c>
      <c r="B11" s="162" t="str">
        <f>VLOOKUP($A11,Estimate!$A:$H,3,FALSE)</f>
        <v>General Earthworks Cut</v>
      </c>
      <c r="C11" s="161" t="str">
        <f t="shared" si="0"/>
        <v>Q</v>
      </c>
      <c r="D11" s="116">
        <v>60</v>
      </c>
      <c r="E11" s="161" t="str">
        <f>VLOOKUP($A11,Estimate!$A:$H,4,FALSE)</f>
        <v xml:space="preserve">m3   </v>
      </c>
    </row>
    <row r="12" spans="1:7" x14ac:dyDescent="0.25">
      <c r="A12" s="161">
        <v>9.1</v>
      </c>
      <c r="B12" s="162" t="str">
        <f>VLOOKUP($A12,Estimate!$A:$H,3,FALSE)</f>
        <v>Excavator - 25T</v>
      </c>
      <c r="C12" s="161" t="str">
        <f t="shared" si="0"/>
        <v>P</v>
      </c>
      <c r="D12" s="116">
        <v>15</v>
      </c>
      <c r="E12" s="161" t="str">
        <f>VLOOKUP($A12,Estimate!$A:$H,4,FALSE)</f>
        <v xml:space="preserve">hr   </v>
      </c>
    </row>
    <row r="13" spans="1:7" x14ac:dyDescent="0.25">
      <c r="A13" s="161">
        <v>9.1999999999999993</v>
      </c>
      <c r="B13" s="162" t="str">
        <f>VLOOKUP($A13,Estimate!$A:$H,3,FALSE)</f>
        <v>Truck &amp; Dog</v>
      </c>
      <c r="C13" s="161" t="str">
        <f t="shared" si="0"/>
        <v>P</v>
      </c>
      <c r="D13" s="116">
        <v>2</v>
      </c>
      <c r="E13" s="161" t="str">
        <f>VLOOKUP($A13,Estimate!$A:$H,4,FALSE)</f>
        <v xml:space="preserve">hr   </v>
      </c>
    </row>
    <row r="14" spans="1:7" x14ac:dyDescent="0.25">
      <c r="A14" s="161">
        <v>9.3000000000000007</v>
      </c>
      <c r="B14" s="162" t="str">
        <f>VLOOKUP($A14,Estimate!$A:$H,3,FALSE)</f>
        <v>Labour</v>
      </c>
      <c r="C14" s="161" t="str">
        <f t="shared" si="0"/>
        <v>P</v>
      </c>
      <c r="D14" s="116">
        <v>1</v>
      </c>
      <c r="E14" s="161" t="str">
        <f>VLOOKUP($A14,Estimate!$A:$H,4,FALSE)</f>
        <v xml:space="preserve">hr   </v>
      </c>
    </row>
    <row r="15" spans="1:7" x14ac:dyDescent="0.25">
      <c r="A15" s="161">
        <v>10</v>
      </c>
      <c r="B15" s="162" t="str">
        <f>VLOOKUP($A15,Estimate!$A:$H,3,FALSE)</f>
        <v>Replace unsuitable material below sub grade with select material complete (Provisional)</v>
      </c>
      <c r="C15" s="161" t="str">
        <f t="shared" si="0"/>
        <v>Q</v>
      </c>
      <c r="D15" s="116">
        <v>10</v>
      </c>
      <c r="E15" s="161" t="str">
        <f>VLOOKUP($A15,Estimate!$A:$H,4,FALSE)</f>
        <v xml:space="preserve">m3   </v>
      </c>
    </row>
    <row r="16" spans="1:7" x14ac:dyDescent="0.25">
      <c r="A16" s="161">
        <v>10.1</v>
      </c>
      <c r="B16" s="162" t="str">
        <f>VLOOKUP($A16,Estimate!$A:$H,3,FALSE)</f>
        <v>Excavator - 25T</v>
      </c>
      <c r="C16" s="161" t="str">
        <f t="shared" si="0"/>
        <v>P</v>
      </c>
      <c r="D16" s="116">
        <v>15</v>
      </c>
      <c r="E16" s="161" t="str">
        <f>VLOOKUP($A16,Estimate!$A:$H,4,FALSE)</f>
        <v xml:space="preserve">hr   </v>
      </c>
    </row>
    <row r="17" spans="1:7" x14ac:dyDescent="0.25">
      <c r="A17" s="161">
        <v>10.199999999999999</v>
      </c>
      <c r="B17" s="162" t="str">
        <f>VLOOKUP($A17,Estimate!$A:$H,3,FALSE)</f>
        <v>Truck &amp; Dog</v>
      </c>
      <c r="C17" s="161" t="str">
        <f t="shared" si="0"/>
        <v>P</v>
      </c>
      <c r="D17" s="116">
        <v>2</v>
      </c>
      <c r="E17" s="161" t="str">
        <f>VLOOKUP($A17,Estimate!$A:$H,4,FALSE)</f>
        <v xml:space="preserve">hr   </v>
      </c>
    </row>
    <row r="18" spans="1:7" x14ac:dyDescent="0.25">
      <c r="A18" s="161">
        <v>10.3</v>
      </c>
      <c r="B18" s="162" t="str">
        <f>VLOOKUP($A18,Estimate!$A:$H,3,FALSE)</f>
        <v>Excavator - 25T</v>
      </c>
      <c r="C18" s="161" t="str">
        <f t="shared" si="0"/>
        <v>P</v>
      </c>
      <c r="D18" s="116">
        <v>15</v>
      </c>
      <c r="E18" s="161" t="str">
        <f>VLOOKUP($A18,Estimate!$A:$H,4,FALSE)</f>
        <v xml:space="preserve">hr   </v>
      </c>
    </row>
    <row r="19" spans="1:7" x14ac:dyDescent="0.25">
      <c r="A19" s="161">
        <v>10.4</v>
      </c>
      <c r="B19" s="162" t="str">
        <f>VLOOKUP($A19,Estimate!$A:$H,3,FALSE)</f>
        <v>Labour</v>
      </c>
      <c r="C19" s="161" t="str">
        <f t="shared" si="0"/>
        <v>P</v>
      </c>
      <c r="D19" s="116">
        <v>3</v>
      </c>
      <c r="E19" s="161" t="str">
        <f>VLOOKUP($A19,Estimate!$A:$H,4,FALSE)</f>
        <v xml:space="preserve">hr   </v>
      </c>
    </row>
    <row r="20" spans="1:7" x14ac:dyDescent="0.25">
      <c r="A20" s="161">
        <v>11</v>
      </c>
      <c r="B20" s="162" t="str">
        <f>VLOOKUP($A20,Estimate!$A:$H,3,FALSE)</f>
        <v>In-Situ reinforced concrete Base Slab for culverts complete</v>
      </c>
      <c r="C20" s="161" t="str">
        <f t="shared" si="0"/>
        <v>Q</v>
      </c>
      <c r="D20" s="116">
        <v>4</v>
      </c>
      <c r="E20" s="161" t="str">
        <f>VLOOKUP($A20,Estimate!$A:$H,4,FALSE)</f>
        <v xml:space="preserve">m3   </v>
      </c>
    </row>
    <row r="21" spans="1:7" x14ac:dyDescent="0.25">
      <c r="A21" s="161">
        <v>12</v>
      </c>
      <c r="B21" s="162" t="str">
        <f>VLOOKUP($A21,Estimate!$A:$H,3,FALSE)</f>
        <v>1200 x 600</v>
      </c>
      <c r="C21" s="161" t="str">
        <f t="shared" si="0"/>
        <v>Q</v>
      </c>
      <c r="D21" s="116">
        <v>12</v>
      </c>
      <c r="E21" s="161" t="str">
        <f>VLOOKUP($A21,Estimate!$A:$H,4,FALSE)</f>
        <v xml:space="preserve">m    </v>
      </c>
    </row>
    <row r="22" spans="1:7" x14ac:dyDescent="0.25">
      <c r="A22" s="161">
        <v>12.1</v>
      </c>
      <c r="B22" s="162" t="str">
        <f>VLOOKUP($A22,Estimate!$A:$H,3,FALSE)</f>
        <v>Labour</v>
      </c>
      <c r="C22" s="161" t="str">
        <f t="shared" si="0"/>
        <v>P</v>
      </c>
      <c r="D22" s="116">
        <v>3</v>
      </c>
      <c r="E22" s="161" t="str">
        <f>VLOOKUP($A22,Estimate!$A:$H,4,FALSE)</f>
        <v xml:space="preserve">hr   </v>
      </c>
    </row>
    <row r="23" spans="1:7" x14ac:dyDescent="0.25">
      <c r="A23" s="161">
        <v>12.2</v>
      </c>
      <c r="B23" s="162" t="str">
        <f>VLOOKUP($A23,Estimate!$A:$H,3,FALSE)</f>
        <v>Bobcat</v>
      </c>
      <c r="C23" s="161" t="str">
        <f t="shared" si="0"/>
        <v>P</v>
      </c>
      <c r="D23" s="116">
        <v>3</v>
      </c>
      <c r="E23" s="161" t="str">
        <f>VLOOKUP($A23,Estimate!$A:$H,4,FALSE)</f>
        <v xml:space="preserve">hr   </v>
      </c>
    </row>
    <row r="24" spans="1:7" x14ac:dyDescent="0.25">
      <c r="A24" s="161">
        <v>12.3</v>
      </c>
      <c r="B24" s="162" t="str">
        <f>VLOOKUP($A24,Estimate!$A:$H,3,FALSE)</f>
        <v>Labour</v>
      </c>
      <c r="C24" s="161" t="str">
        <f t="shared" si="0"/>
        <v>P</v>
      </c>
      <c r="D24" s="116">
        <v>3</v>
      </c>
      <c r="E24" s="161" t="str">
        <f>VLOOKUP($A24,Estimate!$A:$H,4,FALSE)</f>
        <v xml:space="preserve">hr   </v>
      </c>
    </row>
    <row r="25" spans="1:7" x14ac:dyDescent="0.25">
      <c r="A25" s="161">
        <v>13</v>
      </c>
      <c r="B25" s="162" t="str">
        <f>VLOOKUP($A25,Estimate!$A:$H,3,FALSE)</f>
        <v>Cast in situ Concrete Headwalls &amp; Wingwalls &amp; Aprons complete</v>
      </c>
      <c r="C25" s="161" t="str">
        <f t="shared" si="0"/>
        <v>Q</v>
      </c>
      <c r="D25" s="116">
        <v>3</v>
      </c>
      <c r="E25" s="161" t="str">
        <f>VLOOKUP($A25,Estimate!$A:$H,4,FALSE)</f>
        <v xml:space="preserve">m3   </v>
      </c>
    </row>
    <row r="26" spans="1:7" x14ac:dyDescent="0.25">
      <c r="A26" s="161">
        <v>14</v>
      </c>
      <c r="B26" s="162" t="str">
        <f>VLOOKUP($A26,Estimate!$A:$H,3,FALSE)</f>
        <v>Excavation - Inlet, Outlet &amp; Diversion Channels</v>
      </c>
      <c r="C26" s="161" t="str">
        <f t="shared" si="0"/>
        <v>Q</v>
      </c>
      <c r="D26" s="116">
        <v>60</v>
      </c>
      <c r="E26" s="161" t="str">
        <f>VLOOKUP($A26,Estimate!$A:$H,4,FALSE)</f>
        <v xml:space="preserve">m3   </v>
      </c>
    </row>
    <row r="27" spans="1:7" x14ac:dyDescent="0.25">
      <c r="A27" s="161">
        <v>14.1</v>
      </c>
      <c r="B27" s="162" t="str">
        <f>VLOOKUP($A27,Estimate!$A:$H,3,FALSE)</f>
        <v>Excavator - 25T</v>
      </c>
      <c r="C27" s="161" t="str">
        <f t="shared" si="0"/>
        <v>P</v>
      </c>
      <c r="D27" s="116">
        <v>15</v>
      </c>
      <c r="E27" s="161" t="str">
        <f>VLOOKUP($A27,Estimate!$A:$H,4,FALSE)</f>
        <v xml:space="preserve">hr   </v>
      </c>
    </row>
    <row r="28" spans="1:7" x14ac:dyDescent="0.25">
      <c r="A28" s="161">
        <v>14.2</v>
      </c>
      <c r="B28" s="162" t="str">
        <f>VLOOKUP($A28,Estimate!$A:$H,3,FALSE)</f>
        <v>Truck &amp; Dog</v>
      </c>
      <c r="C28" s="161" t="str">
        <f t="shared" si="0"/>
        <v>P</v>
      </c>
      <c r="D28" s="116">
        <v>2</v>
      </c>
      <c r="E28" s="161" t="str">
        <f>VLOOKUP($A28,Estimate!$A:$H,4,FALSE)</f>
        <v xml:space="preserve">hr   </v>
      </c>
    </row>
    <row r="29" spans="1:7" x14ac:dyDescent="0.25">
      <c r="A29" s="161">
        <v>15</v>
      </c>
      <c r="B29" s="162" t="str">
        <f>VLOOKUP($A29,Estimate!$A:$H,3,FALSE)</f>
        <v>Full service, supply agent and mix complete (Provisional if ordered)</v>
      </c>
      <c r="C29" s="161" t="str">
        <f t="shared" si="0"/>
        <v>Q</v>
      </c>
      <c r="D29" s="116">
        <v>170</v>
      </c>
      <c r="E29" s="161" t="str">
        <f>VLOOKUP($A29,Estimate!$A:$H,4,FALSE)</f>
        <v xml:space="preserve">m2   </v>
      </c>
    </row>
    <row r="30" spans="1:7" x14ac:dyDescent="0.25">
      <c r="A30" s="161">
        <v>15.1</v>
      </c>
      <c r="B30" s="162" t="str">
        <f>VLOOKUP($A30,Estimate!$A:$H,3,FALSE)</f>
        <v>CAT297 Stabiliser</v>
      </c>
      <c r="C30" s="161" t="str">
        <f t="shared" si="0"/>
        <v>P</v>
      </c>
      <c r="D30" s="116">
        <v>18.89</v>
      </c>
      <c r="E30" s="161" t="str">
        <f>VLOOKUP($A30,Estimate!$A:$H,4,FALSE)</f>
        <v xml:space="preserve">hr   </v>
      </c>
    </row>
    <row r="31" spans="1:7" x14ac:dyDescent="0.25">
      <c r="A31" s="161">
        <v>15.2</v>
      </c>
      <c r="B31" s="162" t="str">
        <f>VLOOKUP($A31,Estimate!$A:$H,3,FALSE)</f>
        <v>Labour</v>
      </c>
      <c r="C31" s="161" t="str">
        <f t="shared" si="0"/>
        <v>P</v>
      </c>
      <c r="D31" s="116">
        <v>4</v>
      </c>
      <c r="E31" s="161" t="str">
        <f>VLOOKUP($A31,Estimate!$A:$H,4,FALSE)</f>
        <v xml:space="preserve">hr   </v>
      </c>
    </row>
    <row r="32" spans="1:7" x14ac:dyDescent="0.25">
      <c r="A32" s="161">
        <v>15.3</v>
      </c>
      <c r="B32" s="162" t="str">
        <f>VLOOKUP($A32,Estimate!$A:$H,3,FALSE)</f>
        <v>Cement</v>
      </c>
      <c r="C32" s="161" t="str">
        <f t="shared" si="0"/>
        <v>P</v>
      </c>
      <c r="D32" s="117">
        <v>1.2E-2</v>
      </c>
      <c r="E32" s="161" t="str">
        <f>VLOOKUP($A32,Estimate!$A:$H,4,FALSE)</f>
        <v>tonne</v>
      </c>
      <c r="G32" s="166"/>
    </row>
    <row r="33" spans="1:5" x14ac:dyDescent="0.25">
      <c r="A33" s="161">
        <v>16</v>
      </c>
      <c r="B33" s="162" t="str">
        <f>VLOOKUP($A33,Estimate!$A:$H,3,FALSE)</f>
        <v>Place only Type 2.1 (cement modified)</v>
      </c>
      <c r="C33" s="161" t="str">
        <f t="shared" si="0"/>
        <v>Q</v>
      </c>
      <c r="D33" s="116">
        <v>20</v>
      </c>
      <c r="E33" s="161" t="str">
        <f>VLOOKUP($A33,Estimate!$A:$H,4,FALSE)</f>
        <v xml:space="preserve">m3   </v>
      </c>
    </row>
    <row r="34" spans="1:5" ht="17.25" x14ac:dyDescent="0.25">
      <c r="A34" s="161">
        <v>16.100000000000001</v>
      </c>
      <c r="B34" s="162" t="str">
        <f>VLOOKUP($A34,Estimate!$A:$H,3,FALSE)</f>
        <v>Tonnes Gravel = QTY*density</v>
      </c>
      <c r="C34" s="161" t="str">
        <f t="shared" si="0"/>
        <v>P</v>
      </c>
      <c r="D34" s="116">
        <v>2.4</v>
      </c>
      <c r="E34" s="161" t="s">
        <v>2402</v>
      </c>
    </row>
    <row r="35" spans="1:5" x14ac:dyDescent="0.25">
      <c r="A35" s="161">
        <v>16.2</v>
      </c>
      <c r="B35" s="162" t="str">
        <f>VLOOKUP($A35,Estimate!$A:$H,3,FALSE)</f>
        <v>Truck &amp; Dog</v>
      </c>
      <c r="C35" s="161" t="str">
        <f t="shared" si="0"/>
        <v>P</v>
      </c>
      <c r="D35" s="116">
        <v>3</v>
      </c>
      <c r="E35" s="161" t="str">
        <f>VLOOKUP($A35,Estimate!$A:$H,4,FALSE)</f>
        <v xml:space="preserve">hr   </v>
      </c>
    </row>
    <row r="36" spans="1:5" x14ac:dyDescent="0.25">
      <c r="A36" s="161">
        <v>16.25</v>
      </c>
      <c r="B36" s="162" t="str">
        <f>VLOOKUP($A36,Estimate!$A:$H,3,FALSE)</f>
        <v>Grader</v>
      </c>
      <c r="C36" s="161" t="str">
        <f t="shared" si="0"/>
        <v>P</v>
      </c>
      <c r="D36" s="116">
        <v>11.11</v>
      </c>
      <c r="E36" s="161" t="str">
        <f>VLOOKUP($A36,Estimate!$A:$H,4,FALSE)</f>
        <v xml:space="preserve">hr   </v>
      </c>
    </row>
    <row r="37" spans="1:5" x14ac:dyDescent="0.25">
      <c r="A37" s="161">
        <v>16.3</v>
      </c>
      <c r="B37" s="162" t="str">
        <f>VLOOKUP($A37,Estimate!$A:$H,3,FALSE)</f>
        <v>Grader</v>
      </c>
      <c r="C37" s="161" t="str">
        <f t="shared" si="0"/>
        <v>P</v>
      </c>
      <c r="D37" s="116">
        <v>100</v>
      </c>
      <c r="E37" s="161" t="str">
        <f>VLOOKUP($A37,Estimate!$A:$H,4,FALSE)</f>
        <v xml:space="preserve">hr   </v>
      </c>
    </row>
    <row r="38" spans="1:5" x14ac:dyDescent="0.25">
      <c r="A38" s="161">
        <v>16.399999999999999</v>
      </c>
      <c r="B38" s="162" t="str">
        <f>VLOOKUP($A38,Estimate!$A:$H,3,FALSE)</f>
        <v>Labour</v>
      </c>
      <c r="C38" s="161" t="str">
        <f t="shared" si="0"/>
        <v>P</v>
      </c>
      <c r="D38" s="116">
        <v>3</v>
      </c>
      <c r="E38" s="161" t="str">
        <f>VLOOKUP($A38,Estimate!$A:$H,4,FALSE)</f>
        <v xml:space="preserve">hr   </v>
      </c>
    </row>
    <row r="39" spans="1:5" x14ac:dyDescent="0.25">
      <c r="A39" s="161">
        <v>17</v>
      </c>
      <c r="B39" s="162" t="str">
        <f>VLOOKUP($A39,Estimate!$A:$H,3,FALSE)</f>
        <v>Place only Type 2.3 (cement modified)</v>
      </c>
      <c r="C39" s="161" t="str">
        <f t="shared" si="0"/>
        <v>Q</v>
      </c>
      <c r="D39" s="116">
        <v>20</v>
      </c>
      <c r="E39" s="161" t="str">
        <f>VLOOKUP($A39,Estimate!$A:$H,4,FALSE)</f>
        <v xml:space="preserve">m3   </v>
      </c>
    </row>
    <row r="40" spans="1:5" x14ac:dyDescent="0.25">
      <c r="A40" s="161">
        <v>17.100000000000001</v>
      </c>
      <c r="B40" s="162" t="str">
        <f>VLOOKUP($A40,Estimate!$A:$H,3,FALSE)</f>
        <v>Tonnes Gravel = QTY*density</v>
      </c>
      <c r="C40" s="161" t="str">
        <f t="shared" si="0"/>
        <v>P</v>
      </c>
      <c r="D40" s="116">
        <v>2.4</v>
      </c>
      <c r="E40" s="161" t="s">
        <v>2403</v>
      </c>
    </row>
    <row r="41" spans="1:5" x14ac:dyDescent="0.25">
      <c r="A41" s="161">
        <v>17.2</v>
      </c>
      <c r="B41" s="162" t="str">
        <f>VLOOKUP($A41,Estimate!$A:$H,3,FALSE)</f>
        <v>Truck &amp; Dog</v>
      </c>
      <c r="C41" s="161" t="str">
        <f t="shared" si="0"/>
        <v>P</v>
      </c>
      <c r="D41" s="116">
        <v>3</v>
      </c>
      <c r="E41" s="161" t="str">
        <f>VLOOKUP($A41,Estimate!$A:$H,4,FALSE)</f>
        <v xml:space="preserve">hr   </v>
      </c>
    </row>
    <row r="42" spans="1:5" x14ac:dyDescent="0.25">
      <c r="A42" s="161">
        <v>17.3</v>
      </c>
      <c r="B42" s="162" t="str">
        <f>VLOOKUP($A42,Estimate!$A:$H,3,FALSE)</f>
        <v>Grader</v>
      </c>
      <c r="C42" s="161" t="str">
        <f t="shared" si="0"/>
        <v>P</v>
      </c>
      <c r="D42" s="116">
        <v>11.11</v>
      </c>
      <c r="E42" s="161" t="str">
        <f>VLOOKUP($A42,Estimate!$A:$H,4,FALSE)</f>
        <v xml:space="preserve">hr   </v>
      </c>
    </row>
    <row r="43" spans="1:5" x14ac:dyDescent="0.25">
      <c r="A43" s="161">
        <v>17.399999999999999</v>
      </c>
      <c r="B43" s="162" t="str">
        <f>VLOOKUP($A43,Estimate!$A:$H,3,FALSE)</f>
        <v>Labour</v>
      </c>
      <c r="C43" s="161" t="str">
        <f t="shared" si="0"/>
        <v>P</v>
      </c>
      <c r="D43" s="116">
        <v>3</v>
      </c>
      <c r="E43" s="161" t="str">
        <f>VLOOKUP($A43,Estimate!$A:$H,4,FALSE)</f>
        <v xml:space="preserve">hr   </v>
      </c>
    </row>
    <row r="44" spans="1:5" x14ac:dyDescent="0.25">
      <c r="A44" s="161">
        <v>18</v>
      </c>
      <c r="B44" s="162" t="str">
        <f>VLOOKUP($A44,Estimate!$A:$H,3,FALSE)</f>
        <v>(vii)  AMC5</v>
      </c>
      <c r="C44" s="161" t="str">
        <f t="shared" si="0"/>
        <v>Q</v>
      </c>
      <c r="D44" s="116">
        <v>200</v>
      </c>
      <c r="E44" s="161" t="str">
        <f>VLOOKUP($A44,Estimate!$A:$H,4,FALSE)</f>
        <v xml:space="preserve">m2   </v>
      </c>
    </row>
    <row r="45" spans="1:5" x14ac:dyDescent="0.25">
      <c r="A45" s="161">
        <v>18.100000000000001</v>
      </c>
      <c r="B45" s="162" t="str">
        <f>VLOOKUP($A45,Estimate!$A:$H,3,FALSE)</f>
        <v>Seal Visit One</v>
      </c>
      <c r="C45" s="161" t="str">
        <f t="shared" si="0"/>
        <v>P</v>
      </c>
      <c r="D45" s="116">
        <v>1.05</v>
      </c>
      <c r="E45" s="161" t="str">
        <f>VLOOKUP($A45,Estimate!$A:$H,4,FALSE)</f>
        <v xml:space="preserve">m²   </v>
      </c>
    </row>
    <row r="46" spans="1:5" x14ac:dyDescent="0.25">
      <c r="A46" s="161">
        <v>19</v>
      </c>
      <c r="B46" s="162" t="str">
        <f>VLOOKUP($A46,Estimate!$A:$H,3,FALSE)</f>
        <v>Supply &amp; Spray Binder -  Bitumen (includes PMB's, Adhesion Agent where required and Preparation of Surface) supply &amp; spread aggregates complete</v>
      </c>
      <c r="C46" s="161" t="str">
        <f t="shared" si="0"/>
        <v>Q</v>
      </c>
      <c r="D46" s="116">
        <v>200</v>
      </c>
      <c r="E46" s="161" t="str">
        <f>VLOOKUP($A46,Estimate!$A:$H,4,FALSE)</f>
        <v xml:space="preserve">m2   </v>
      </c>
    </row>
    <row r="47" spans="1:5" x14ac:dyDescent="0.25">
      <c r="A47" s="161">
        <v>19.100000000000001</v>
      </c>
      <c r="B47" s="162" t="str">
        <f>VLOOKUP($A47,Estimate!$A:$H,3,FALSE)</f>
        <v>Seal Visit One</v>
      </c>
      <c r="C47" s="161" t="str">
        <f t="shared" si="0"/>
        <v>P</v>
      </c>
      <c r="D47" s="116">
        <v>1.05</v>
      </c>
      <c r="E47" s="161" t="str">
        <f>VLOOKUP($A47,Estimate!$A:$H,4,FALSE)</f>
        <v xml:space="preserve">m²   </v>
      </c>
    </row>
    <row r="48" spans="1:5" x14ac:dyDescent="0.25">
      <c r="A48" s="161">
        <v>20</v>
      </c>
      <c r="B48" s="162" t="str">
        <f>VLOOKUP($A48,Estimate!$A:$H,3,FALSE)</f>
        <v>Guide Posts complete supply and install</v>
      </c>
      <c r="C48" s="161" t="str">
        <f t="shared" si="0"/>
        <v>Q</v>
      </c>
      <c r="D48" s="116">
        <v>4</v>
      </c>
      <c r="E48" s="161" t="str">
        <f>VLOOKUP($A48,Estimate!$A:$H,4,FALSE)</f>
        <v xml:space="preserve">each </v>
      </c>
    </row>
    <row r="49" spans="1:5" x14ac:dyDescent="0.25">
      <c r="A49" s="161">
        <v>21</v>
      </c>
      <c r="B49" s="162" t="str">
        <f>VLOOKUP($A49,Estimate!$A:$H,3,FALSE)</f>
        <v>(i)  Grass Seeding</v>
      </c>
      <c r="C49" s="161" t="str">
        <f t="shared" si="0"/>
        <v>Q</v>
      </c>
      <c r="D49" s="116">
        <v>100</v>
      </c>
      <c r="E49" s="161" t="str">
        <f>VLOOKUP($A49,Estimate!$A:$H,4,FALSE)</f>
        <v xml:space="preserve">m2   </v>
      </c>
    </row>
    <row r="50" spans="1:5" x14ac:dyDescent="0.25">
      <c r="A50" s="161">
        <v>21.1</v>
      </c>
      <c r="B50" s="162" t="str">
        <f>VLOOKUP($A50,Estimate!$A:$H,3,FALSE)</f>
        <v>Grass Seeding</v>
      </c>
      <c r="C50" s="161" t="str">
        <f t="shared" si="0"/>
        <v>P</v>
      </c>
      <c r="D50" s="116">
        <v>1.1000000000000001</v>
      </c>
      <c r="E50" s="161" t="str">
        <f>VLOOKUP($A50,Estimate!$A:$H,4,FALSE)</f>
        <v xml:space="preserve">m²   </v>
      </c>
    </row>
    <row r="51" spans="1:5" x14ac:dyDescent="0.25">
      <c r="A51" s="161">
        <v>22</v>
      </c>
      <c r="B51" s="162" t="str">
        <f>VLOOKUP($A51,Estimate!$A:$H,3,FALSE)</f>
        <v>Special Item - As Constructed Survey and Plans</v>
      </c>
      <c r="C51" s="161" t="str">
        <f t="shared" si="0"/>
        <v>Q</v>
      </c>
      <c r="D51" s="116">
        <v>1</v>
      </c>
      <c r="E51" s="161" t="str">
        <f>VLOOKUP($A51,Estimate!$A:$H,4,FALSE)</f>
        <v xml:space="preserve">Lump </v>
      </c>
    </row>
    <row r="52" spans="1:5" x14ac:dyDescent="0.25">
      <c r="A52" s="161">
        <v>23</v>
      </c>
      <c r="B52" s="162" t="str">
        <f>VLOOKUP($A52,Estimate!$A:$H,3,FALSE)</f>
        <v>Quality Verification &amp; Control</v>
      </c>
      <c r="C52" s="161" t="str">
        <f t="shared" si="0"/>
        <v>Q</v>
      </c>
      <c r="D52" s="116">
        <v>1</v>
      </c>
      <c r="E52" s="161" t="str">
        <f>VLOOKUP($A52,Estimate!$A:$H,4,FALSE)</f>
        <v xml:space="preserve">Lump </v>
      </c>
    </row>
    <row r="53" spans="1:5" x14ac:dyDescent="0.25">
      <c r="A53" s="161">
        <v>23.1</v>
      </c>
      <c r="B53" s="162" t="str">
        <f>VLOOKUP($A53,Estimate!$A:$H,3,FALSE)</f>
        <v>(15) Field Density Tests</v>
      </c>
      <c r="C53" s="161" t="str">
        <f t="shared" si="0"/>
        <v>P</v>
      </c>
      <c r="D53" s="116">
        <v>15</v>
      </c>
      <c r="E53" s="161" t="s">
        <v>29</v>
      </c>
    </row>
    <row r="54" spans="1:5" x14ac:dyDescent="0.25">
      <c r="A54" s="161">
        <v>23.2</v>
      </c>
      <c r="B54" s="162" t="str">
        <f>VLOOKUP($A54,Estimate!$A:$H,3,FALSE)</f>
        <v>(6) Concrete Cylinder Sets</v>
      </c>
      <c r="C54" s="161" t="str">
        <f t="shared" si="0"/>
        <v>P</v>
      </c>
      <c r="D54" s="116">
        <v>6</v>
      </c>
      <c r="E54" s="161" t="s">
        <v>29</v>
      </c>
    </row>
    <row r="55" spans="1:5" x14ac:dyDescent="0.25">
      <c r="A55" s="161">
        <v>23.4</v>
      </c>
      <c r="B55" s="162" t="str">
        <f>VLOOKUP($A55,Estimate!$A:$H,3,FALSE)</f>
        <v>Survey</v>
      </c>
      <c r="C55" s="161" t="str">
        <f t="shared" si="0"/>
        <v>P</v>
      </c>
      <c r="D55" s="116">
        <v>5800</v>
      </c>
      <c r="E55" s="161" t="str">
        <f>VLOOKUP($A55,Estimate!$A:$H,4,FALSE)</f>
        <v xml:space="preserve">Item </v>
      </c>
    </row>
    <row r="56" spans="1:5" x14ac:dyDescent="0.25">
      <c r="A56" s="161">
        <v>25</v>
      </c>
      <c r="B56" s="162" t="str">
        <f>VLOOKUP($A56,Estimate!$A:$H,3,FALSE)</f>
        <v>Control of Traffic</v>
      </c>
      <c r="C56" s="161" t="str">
        <f t="shared" si="0"/>
        <v>Q</v>
      </c>
      <c r="D56" s="116">
        <v>1</v>
      </c>
      <c r="E56" s="161" t="str">
        <f>VLOOKUP($A56,Estimate!$A:$H,4,FALSE)</f>
        <v xml:space="preserve">Lump </v>
      </c>
    </row>
    <row r="57" spans="1:5" x14ac:dyDescent="0.25">
      <c r="A57" s="161">
        <v>26</v>
      </c>
      <c r="B57" s="162" t="str">
        <f>VLOOKUP($A57,Estimate!$A:$H,3,FALSE)</f>
        <v>Temporary Erosion &amp; Sedimentation Control (includes supply and installation of all components)</v>
      </c>
      <c r="C57" s="161" t="str">
        <f t="shared" si="0"/>
        <v>Q</v>
      </c>
      <c r="D57" s="116">
        <v>1</v>
      </c>
      <c r="E57" s="161" t="str">
        <f>VLOOKUP($A57,Estimate!$A:$H,4,FALSE)</f>
        <v xml:space="preserve">Lump </v>
      </c>
    </row>
    <row r="58" spans="1:5" x14ac:dyDescent="0.25">
      <c r="A58" s="161">
        <v>26.1</v>
      </c>
      <c r="B58" s="162" t="str">
        <f>VLOOKUP($A58,Estimate!$A:$H,3,FALSE)</f>
        <v>Labour</v>
      </c>
      <c r="C58" s="161" t="str">
        <f t="shared" si="0"/>
        <v>P</v>
      </c>
      <c r="D58" s="116">
        <v>3</v>
      </c>
      <c r="E58" s="161" t="str">
        <f>VLOOKUP($A58,Estimate!$A:$H,4,FALSE)</f>
        <v xml:space="preserve">hr   </v>
      </c>
    </row>
    <row r="59" spans="1:5" x14ac:dyDescent="0.25">
      <c r="A59" s="161">
        <v>27</v>
      </c>
      <c r="B59" s="162" t="str">
        <f>VLOOKUP($A59,Estimate!$A:$H,3,FALSE)</f>
        <v>General Earthworks Cut</v>
      </c>
      <c r="C59" s="161" t="str">
        <f t="shared" si="0"/>
        <v>Q</v>
      </c>
      <c r="D59" s="116">
        <v>998</v>
      </c>
      <c r="E59" s="161" t="str">
        <f>VLOOKUP($A59,Estimate!$A:$H,4,FALSE)</f>
        <v xml:space="preserve">m3   </v>
      </c>
    </row>
    <row r="60" spans="1:5" x14ac:dyDescent="0.25">
      <c r="A60" s="161">
        <v>27.1</v>
      </c>
      <c r="B60" s="162" t="str">
        <f>VLOOKUP($A60,Estimate!$A:$H,3,FALSE)</f>
        <v>Grader</v>
      </c>
      <c r="C60" s="161" t="str">
        <f t="shared" si="0"/>
        <v>P</v>
      </c>
      <c r="D60" s="116">
        <v>250</v>
      </c>
      <c r="E60" s="161" t="str">
        <f>VLOOKUP($A60,Estimate!$A:$H,4,FALSE)</f>
        <v xml:space="preserve">hr   </v>
      </c>
    </row>
    <row r="61" spans="1:5" x14ac:dyDescent="0.25">
      <c r="A61" s="161">
        <v>27.2</v>
      </c>
      <c r="B61" s="162" t="str">
        <f>VLOOKUP($A61,Estimate!$A:$H,3,FALSE)</f>
        <v>Labour</v>
      </c>
      <c r="C61" s="161" t="str">
        <f t="shared" si="0"/>
        <v>P</v>
      </c>
      <c r="D61" s="116">
        <v>3</v>
      </c>
      <c r="E61" s="161" t="str">
        <f>VLOOKUP($A61,Estimate!$A:$H,4,FALSE)</f>
        <v xml:space="preserve">hr   </v>
      </c>
    </row>
    <row r="62" spans="1:5" x14ac:dyDescent="0.25">
      <c r="A62" s="161">
        <v>28</v>
      </c>
      <c r="B62" s="162" t="str">
        <f>VLOOKUP($A62,Estimate!$A:$H,3,FALSE)</f>
        <v>Replace unsuitable material below sub grade with select material complete (PROVISIONAL)</v>
      </c>
      <c r="C62" s="161" t="str">
        <f t="shared" si="0"/>
        <v>Q</v>
      </c>
      <c r="D62" s="116">
        <v>10</v>
      </c>
      <c r="E62" s="161" t="str">
        <f>VLOOKUP($A62,Estimate!$A:$H,4,FALSE)</f>
        <v xml:space="preserve">m3   </v>
      </c>
    </row>
    <row r="63" spans="1:5" x14ac:dyDescent="0.25">
      <c r="A63" s="161">
        <v>28.1</v>
      </c>
      <c r="B63" s="162" t="str">
        <f>VLOOKUP($A63,Estimate!$A:$H,3,FALSE)</f>
        <v>Excavator - 25T</v>
      </c>
      <c r="C63" s="161" t="str">
        <f t="shared" si="0"/>
        <v>P</v>
      </c>
      <c r="D63" s="116">
        <v>15</v>
      </c>
      <c r="E63" s="161" t="str">
        <f>VLOOKUP($A63,Estimate!$A:$H,4,FALSE)</f>
        <v xml:space="preserve">hr   </v>
      </c>
    </row>
    <row r="64" spans="1:5" x14ac:dyDescent="0.25">
      <c r="A64" s="161">
        <v>28.2</v>
      </c>
      <c r="B64" s="162" t="str">
        <f>VLOOKUP($A64,Estimate!$A:$H,3,FALSE)</f>
        <v>Excavator - 25T</v>
      </c>
      <c r="C64" s="161" t="str">
        <f t="shared" si="0"/>
        <v>P</v>
      </c>
      <c r="D64" s="116">
        <v>15</v>
      </c>
      <c r="E64" s="161" t="str">
        <f>VLOOKUP($A64,Estimate!$A:$H,4,FALSE)</f>
        <v xml:space="preserve">hr   </v>
      </c>
    </row>
    <row r="65" spans="1:5" x14ac:dyDescent="0.25">
      <c r="A65" s="161">
        <v>28.3</v>
      </c>
      <c r="B65" s="162" t="str">
        <f>VLOOKUP($A65,Estimate!$A:$H,3,FALSE)</f>
        <v>Labour</v>
      </c>
      <c r="C65" s="161" t="str">
        <f t="shared" si="0"/>
        <v>P</v>
      </c>
      <c r="D65" s="116">
        <v>3</v>
      </c>
      <c r="E65" s="161" t="str">
        <f>VLOOKUP($A65,Estimate!$A:$H,4,FALSE)</f>
        <v xml:space="preserve">hr   </v>
      </c>
    </row>
    <row r="66" spans="1:5" x14ac:dyDescent="0.25">
      <c r="A66" s="161">
        <v>29</v>
      </c>
      <c r="B66" s="162" t="str">
        <f>VLOOKUP($A66,Estimate!$A:$H,3,FALSE)</f>
        <v xml:space="preserve"> Removal / Demolition of Drainage Components complete</v>
      </c>
      <c r="C66" s="161" t="str">
        <f t="shared" si="0"/>
        <v>Q</v>
      </c>
      <c r="D66" s="116">
        <v>1</v>
      </c>
      <c r="E66" s="161" t="str">
        <f>VLOOKUP($A66,Estimate!$A:$H,4,FALSE)</f>
        <v xml:space="preserve">Lump </v>
      </c>
    </row>
    <row r="67" spans="1:5" x14ac:dyDescent="0.25">
      <c r="A67" s="161">
        <v>29.1</v>
      </c>
      <c r="B67" s="162" t="str">
        <f>VLOOKUP($A67,Estimate!$A:$H,3,FALSE)</f>
        <v>Excavator - 25T</v>
      </c>
      <c r="C67" s="161" t="str">
        <f t="shared" ref="C67:C130" si="1">IF(A67/ROUND(A67,0)=1,"Q","P")</f>
        <v>P</v>
      </c>
      <c r="D67" s="116">
        <v>0.06</v>
      </c>
      <c r="E67" s="161" t="str">
        <f>VLOOKUP($A67,Estimate!$A:$H,4,FALSE)</f>
        <v xml:space="preserve">hr   </v>
      </c>
    </row>
    <row r="68" spans="1:5" x14ac:dyDescent="0.25">
      <c r="A68" s="161">
        <v>30</v>
      </c>
      <c r="B68" s="162" t="str">
        <f>VLOOKUP($A68,Estimate!$A:$H,3,FALSE)</f>
        <v>Alteration to Existing Stormwater Structures (New 225 Upvc at Ch 140</v>
      </c>
      <c r="C68" s="161" t="str">
        <f t="shared" si="1"/>
        <v>Q</v>
      </c>
      <c r="D68" s="116">
        <v>1</v>
      </c>
      <c r="E68" s="161" t="str">
        <f>VLOOKUP($A68,Estimate!$A:$H,4,FALSE)</f>
        <v xml:space="preserve">Lump </v>
      </c>
    </row>
    <row r="69" spans="1:5" x14ac:dyDescent="0.25">
      <c r="A69" s="161">
        <v>31</v>
      </c>
      <c r="B69" s="162" t="str">
        <f>VLOOKUP($A69,Estimate!$A:$H,3,FALSE)</f>
        <v>225mm dia uPVC</v>
      </c>
      <c r="C69" s="161" t="str">
        <f t="shared" si="1"/>
        <v>Q</v>
      </c>
      <c r="D69" s="116">
        <v>16</v>
      </c>
      <c r="E69" s="161" t="str">
        <f>VLOOKUP($A69,Estimate!$A:$H,4,FALSE)</f>
        <v xml:space="preserve">m    </v>
      </c>
    </row>
    <row r="70" spans="1:5" x14ac:dyDescent="0.25">
      <c r="A70" s="161">
        <v>31.1</v>
      </c>
      <c r="B70" s="162" t="str">
        <f>VLOOKUP($A70,Estimate!$A:$H,3,FALSE)</f>
        <v>Excavator - 25T</v>
      </c>
      <c r="C70" s="161" t="str">
        <f t="shared" si="1"/>
        <v>P</v>
      </c>
      <c r="D70" s="116">
        <v>3.2</v>
      </c>
      <c r="E70" s="161" t="str">
        <f>VLOOKUP($A70,Estimate!$A:$H,4,FALSE)</f>
        <v xml:space="preserve">hr   </v>
      </c>
    </row>
    <row r="71" spans="1:5" x14ac:dyDescent="0.25">
      <c r="A71" s="161">
        <v>31.2</v>
      </c>
      <c r="B71" s="162" t="str">
        <f>VLOOKUP($A71,Estimate!$A:$H,3,FALSE)</f>
        <v>Labour</v>
      </c>
      <c r="C71" s="161" t="str">
        <f t="shared" si="1"/>
        <v>P</v>
      </c>
      <c r="D71" s="116">
        <v>3</v>
      </c>
      <c r="E71" s="161" t="str">
        <f>VLOOKUP($A71,Estimate!$A:$H,4,FALSE)</f>
        <v xml:space="preserve">hr   </v>
      </c>
    </row>
    <row r="72" spans="1:5" x14ac:dyDescent="0.25">
      <c r="A72" s="161">
        <v>32</v>
      </c>
      <c r="B72" s="162" t="str">
        <f>VLOOKUP($A72,Estimate!$A:$H,3,FALSE)</f>
        <v>(x) Inter-allotment Drainage Pit</v>
      </c>
      <c r="C72" s="161" t="str">
        <f t="shared" si="1"/>
        <v>Q</v>
      </c>
      <c r="D72" s="116">
        <v>1</v>
      </c>
      <c r="E72" s="161" t="str">
        <f>VLOOKUP($A72,Estimate!$A:$H,4,FALSE)</f>
        <v xml:space="preserve">each </v>
      </c>
    </row>
    <row r="73" spans="1:5" x14ac:dyDescent="0.25">
      <c r="A73" s="161">
        <v>33</v>
      </c>
      <c r="B73" s="162" t="str">
        <f>VLOOKUP($A73,Estimate!$A:$H,3,FALSE)</f>
        <v>Concrete Lining of Open Drains</v>
      </c>
      <c r="C73" s="161" t="str">
        <f t="shared" si="1"/>
        <v>Q</v>
      </c>
      <c r="D73" s="116">
        <v>5</v>
      </c>
      <c r="E73" s="161" t="str">
        <f>VLOOKUP($A73,Estimate!$A:$H,4,FALSE)</f>
        <v xml:space="preserve">m2   </v>
      </c>
    </row>
    <row r="74" spans="1:5" x14ac:dyDescent="0.25">
      <c r="A74" s="161">
        <v>33.1</v>
      </c>
      <c r="B74" s="162" t="str">
        <f>VLOOKUP($A74,Estimate!$A:$H,3,FALSE)</f>
        <v>Excavator - 25T</v>
      </c>
      <c r="C74" s="161" t="str">
        <f t="shared" si="1"/>
        <v>P</v>
      </c>
      <c r="D74" s="116">
        <v>10</v>
      </c>
      <c r="E74" s="161" t="str">
        <f>VLOOKUP($A74,Estimate!$A:$H,4,FALSE)</f>
        <v xml:space="preserve">hr   </v>
      </c>
    </row>
    <row r="75" spans="1:5" x14ac:dyDescent="0.25">
      <c r="A75" s="161">
        <v>34</v>
      </c>
      <c r="B75" s="162" t="str">
        <f>VLOOKUP($A75,Estimate!$A:$H,3,FALSE)</f>
        <v>(i)  Concrete Barrier Kerb &amp; Channel B1 complete</v>
      </c>
      <c r="C75" s="161" t="str">
        <f t="shared" si="1"/>
        <v>Q</v>
      </c>
      <c r="D75" s="116">
        <v>198</v>
      </c>
      <c r="E75" s="161" t="str">
        <f>VLOOKUP($A75,Estimate!$A:$H,4,FALSE)</f>
        <v xml:space="preserve">m    </v>
      </c>
    </row>
    <row r="76" spans="1:5" x14ac:dyDescent="0.25">
      <c r="A76" s="161">
        <v>34.1</v>
      </c>
      <c r="B76" s="162" t="str">
        <f>VLOOKUP($A76,Estimate!$A:$H,3,FALSE)</f>
        <v>S32 - Kerb Mix</v>
      </c>
      <c r="C76" s="161" t="str">
        <f t="shared" si="1"/>
        <v>P</v>
      </c>
      <c r="D76" s="116">
        <v>8.6</v>
      </c>
      <c r="E76" s="161" t="str">
        <f>VLOOKUP($A76,Estimate!$A:$H,4,FALSE)</f>
        <v xml:space="preserve">m³   </v>
      </c>
    </row>
    <row r="77" spans="1:5" x14ac:dyDescent="0.25">
      <c r="A77" s="161">
        <v>34.200000000000003</v>
      </c>
      <c r="B77" s="162" t="str">
        <f>VLOOKUP($A77,Estimate!$A:$H,3,FALSE)</f>
        <v>Sand</v>
      </c>
      <c r="C77" s="161" t="str">
        <f t="shared" si="1"/>
        <v>P</v>
      </c>
      <c r="D77" s="116">
        <v>75</v>
      </c>
      <c r="E77" s="161" t="str">
        <f>VLOOKUP($A77,Estimate!$A:$H,4,FALSE)</f>
        <v>tonne</v>
      </c>
    </row>
    <row r="78" spans="1:5" x14ac:dyDescent="0.25">
      <c r="A78" s="161">
        <v>34.299999999999997</v>
      </c>
      <c r="B78" s="162" t="str">
        <f>VLOOKUP($A78,Estimate!$A:$H,3,FALSE)</f>
        <v>Cement</v>
      </c>
      <c r="C78" s="161" t="str">
        <f t="shared" si="1"/>
        <v>P</v>
      </c>
      <c r="D78" s="116">
        <v>8</v>
      </c>
      <c r="E78" s="161" t="str">
        <f>VLOOKUP($A78,Estimate!$A:$H,4,FALSE)</f>
        <v>tonne</v>
      </c>
    </row>
    <row r="79" spans="1:5" x14ac:dyDescent="0.25">
      <c r="A79" s="161">
        <v>35</v>
      </c>
      <c r="B79" s="162" t="str">
        <f>VLOOKUP($A79,Estimate!$A:$H,3,FALSE)</f>
        <v>(iv)  Concrete Dish Drain (0.9m wide) complete</v>
      </c>
      <c r="C79" s="161" t="str">
        <f t="shared" si="1"/>
        <v>Q</v>
      </c>
      <c r="D79" s="116">
        <v>51</v>
      </c>
      <c r="E79" s="161" t="str">
        <f>VLOOKUP($A79,Estimate!$A:$H,4,FALSE)</f>
        <v xml:space="preserve">m    </v>
      </c>
    </row>
    <row r="80" spans="1:5" x14ac:dyDescent="0.25">
      <c r="A80" s="161">
        <v>35.1</v>
      </c>
      <c r="B80" s="162" t="str">
        <f>VLOOKUP($A80,Estimate!$A:$H,3,FALSE)</f>
        <v>N32</v>
      </c>
      <c r="C80" s="161" t="str">
        <f t="shared" si="1"/>
        <v>P</v>
      </c>
      <c r="D80" s="116">
        <v>3</v>
      </c>
      <c r="E80" s="161" t="str">
        <f>VLOOKUP($A80,Estimate!$A:$H,4,FALSE)</f>
        <v xml:space="preserve">m³   </v>
      </c>
    </row>
    <row r="81" spans="1:5" x14ac:dyDescent="0.25">
      <c r="A81" s="161">
        <v>35.200000000000003</v>
      </c>
      <c r="B81" s="162" t="str">
        <f>VLOOKUP($A81,Estimate!$A:$H,3,FALSE)</f>
        <v>Sand</v>
      </c>
      <c r="C81" s="161" t="str">
        <f t="shared" si="1"/>
        <v>P</v>
      </c>
      <c r="D81" s="116">
        <v>75</v>
      </c>
      <c r="E81" s="161" t="str">
        <f>VLOOKUP($A81,Estimate!$A:$H,4,FALSE)</f>
        <v>tonne</v>
      </c>
    </row>
    <row r="82" spans="1:5" x14ac:dyDescent="0.25">
      <c r="A82" s="161">
        <v>35.299999999999997</v>
      </c>
      <c r="B82" s="162" t="str">
        <f>VLOOKUP($A82,Estimate!$A:$H,3,FALSE)</f>
        <v>Cement</v>
      </c>
      <c r="C82" s="161" t="str">
        <f t="shared" si="1"/>
        <v>P</v>
      </c>
      <c r="D82" s="116">
        <v>8</v>
      </c>
      <c r="E82" s="161" t="str">
        <f>VLOOKUP($A82,Estimate!$A:$H,4,FALSE)</f>
        <v>tonne</v>
      </c>
    </row>
    <row r="83" spans="1:5" x14ac:dyDescent="0.25">
      <c r="A83" s="161">
        <v>36</v>
      </c>
      <c r="B83" s="162" t="str">
        <f>VLOOKUP($A83,Estimate!$A:$H,3,FALSE)</f>
        <v>(vi)  Concrete Kerb (Type B2) complete</v>
      </c>
      <c r="C83" s="161" t="str">
        <f t="shared" si="1"/>
        <v>Q</v>
      </c>
      <c r="D83" s="116">
        <v>48</v>
      </c>
      <c r="E83" s="161" t="str">
        <f>VLOOKUP($A83,Estimate!$A:$H,4,FALSE)</f>
        <v xml:space="preserve">m    </v>
      </c>
    </row>
    <row r="84" spans="1:5" x14ac:dyDescent="0.25">
      <c r="A84" s="161">
        <v>36.1</v>
      </c>
      <c r="B84" s="162" t="str">
        <f>VLOOKUP($A84,Estimate!$A:$H,3,FALSE)</f>
        <v>S32 - Kerb Mix</v>
      </c>
      <c r="C84" s="161" t="str">
        <f t="shared" si="1"/>
        <v>P</v>
      </c>
      <c r="D84" s="116">
        <v>8.6</v>
      </c>
      <c r="E84" s="161" t="str">
        <f>VLOOKUP($A84,Estimate!$A:$H,4,FALSE)</f>
        <v xml:space="preserve">m³   </v>
      </c>
    </row>
    <row r="85" spans="1:5" x14ac:dyDescent="0.25">
      <c r="A85" s="161">
        <v>36.200000000000003</v>
      </c>
      <c r="B85" s="162" t="str">
        <f>VLOOKUP($A85,Estimate!$A:$H,3,FALSE)</f>
        <v>Sand</v>
      </c>
      <c r="C85" s="161" t="str">
        <f t="shared" si="1"/>
        <v>P</v>
      </c>
      <c r="D85" s="116">
        <v>75</v>
      </c>
      <c r="E85" s="161" t="str">
        <f>VLOOKUP($A85,Estimate!$A:$H,4,FALSE)</f>
        <v>tonne</v>
      </c>
    </row>
    <row r="86" spans="1:5" x14ac:dyDescent="0.25">
      <c r="A86" s="161">
        <v>36.299999999999997</v>
      </c>
      <c r="B86" s="162" t="str">
        <f>VLOOKUP($A86,Estimate!$A:$H,3,FALSE)</f>
        <v>Cement</v>
      </c>
      <c r="C86" s="161" t="str">
        <f t="shared" si="1"/>
        <v>P</v>
      </c>
      <c r="D86" s="116">
        <v>8</v>
      </c>
      <c r="E86" s="161" t="str">
        <f>VLOOKUP($A86,Estimate!$A:$H,4,FALSE)</f>
        <v>tonne</v>
      </c>
    </row>
    <row r="87" spans="1:5" x14ac:dyDescent="0.25">
      <c r="A87" s="161">
        <v>37</v>
      </c>
      <c r="B87" s="162" t="str">
        <f>VLOOKUP($A87,Estimate!$A:$H,3,FALSE)</f>
        <v>(i)  100mm dia Slotted Corrugated Plastic Pipe</v>
      </c>
      <c r="C87" s="161" t="str">
        <f t="shared" si="1"/>
        <v>Q</v>
      </c>
      <c r="D87" s="116">
        <v>372</v>
      </c>
      <c r="E87" s="161" t="str">
        <f>VLOOKUP($A87,Estimate!$A:$H,4,FALSE)</f>
        <v xml:space="preserve">m    </v>
      </c>
    </row>
    <row r="88" spans="1:5" x14ac:dyDescent="0.25">
      <c r="A88" s="161">
        <v>37.1</v>
      </c>
      <c r="B88" s="162" t="str">
        <f>VLOOKUP($A88,Estimate!$A:$H,3,FALSE)</f>
        <v>Excavator - 25T</v>
      </c>
      <c r="C88" s="161" t="str">
        <f t="shared" si="1"/>
        <v>P</v>
      </c>
      <c r="D88" s="116">
        <v>11.11</v>
      </c>
      <c r="E88" s="161" t="str">
        <f>VLOOKUP($A88,Estimate!$A:$H,4,FALSE)</f>
        <v xml:space="preserve">hr   </v>
      </c>
    </row>
    <row r="89" spans="1:5" x14ac:dyDescent="0.25">
      <c r="A89" s="161">
        <v>37.200000000000003</v>
      </c>
      <c r="B89" s="162" t="str">
        <f>VLOOKUP($A89,Estimate!$A:$H,3,FALSE)</f>
        <v>Labour</v>
      </c>
      <c r="C89" s="161" t="str">
        <f t="shared" si="1"/>
        <v>P</v>
      </c>
      <c r="D89" s="116">
        <v>3</v>
      </c>
      <c r="E89" s="161" t="str">
        <f>VLOOKUP($A89,Estimate!$A:$H,4,FALSE)</f>
        <v xml:space="preserve">hr   </v>
      </c>
    </row>
    <row r="90" spans="1:5" x14ac:dyDescent="0.25">
      <c r="A90" s="161">
        <v>38</v>
      </c>
      <c r="B90" s="162" t="str">
        <f>VLOOKUP($A90,Estimate!$A:$H,3,FALSE)</f>
        <v>Cleanout Structures</v>
      </c>
      <c r="C90" s="161" t="str">
        <f t="shared" si="1"/>
        <v>Q</v>
      </c>
      <c r="D90" s="116">
        <v>5</v>
      </c>
      <c r="E90" s="161" t="str">
        <f>VLOOKUP($A90,Estimate!$A:$H,4,FALSE)</f>
        <v xml:space="preserve">each </v>
      </c>
    </row>
    <row r="91" spans="1:5" x14ac:dyDescent="0.25">
      <c r="A91" s="161">
        <v>39</v>
      </c>
      <c r="B91" s="162" t="str">
        <f>VLOOKUP($A91,Estimate!$A:$H,3,FALSE)</f>
        <v>Place only Type 2.3</v>
      </c>
      <c r="C91" s="161" t="str">
        <f t="shared" si="1"/>
        <v>Q</v>
      </c>
      <c r="D91" s="116">
        <v>236</v>
      </c>
      <c r="E91" s="161" t="str">
        <f>VLOOKUP($A91,Estimate!$A:$H,4,FALSE)</f>
        <v xml:space="preserve">m3   </v>
      </c>
    </row>
    <row r="92" spans="1:5" x14ac:dyDescent="0.25">
      <c r="A92" s="161">
        <v>39.1</v>
      </c>
      <c r="B92" s="162" t="str">
        <f>VLOOKUP($A92,Estimate!$A:$H,3,FALSE)</f>
        <v>Tonnes Gravel = QTY* density</v>
      </c>
      <c r="C92" s="161" t="str">
        <f t="shared" si="1"/>
        <v>P</v>
      </c>
      <c r="D92" s="116">
        <v>2.4</v>
      </c>
      <c r="E92" s="161" t="s">
        <v>2403</v>
      </c>
    </row>
    <row r="93" spans="1:5" x14ac:dyDescent="0.25">
      <c r="A93" s="161">
        <v>39.200000000000003</v>
      </c>
      <c r="B93" s="162" t="str">
        <f>VLOOKUP($A93,Estimate!$A:$H,3,FALSE)</f>
        <v>Truck &amp; Dog</v>
      </c>
      <c r="C93" s="161" t="str">
        <f t="shared" si="1"/>
        <v>P</v>
      </c>
      <c r="D93" s="116">
        <v>3</v>
      </c>
      <c r="E93" s="161" t="str">
        <f>VLOOKUP($A93,Estimate!$A:$H,4,FALSE)</f>
        <v xml:space="preserve">hr   </v>
      </c>
    </row>
    <row r="94" spans="1:5" x14ac:dyDescent="0.25">
      <c r="A94" s="161">
        <v>39.299999999999997</v>
      </c>
      <c r="B94" s="162" t="str">
        <f>VLOOKUP($A94,Estimate!$A:$H,3,FALSE)</f>
        <v>Grader</v>
      </c>
      <c r="C94" s="161" t="str">
        <f t="shared" si="1"/>
        <v>P</v>
      </c>
      <c r="D94" s="116">
        <v>44.44</v>
      </c>
      <c r="E94" s="161" t="str">
        <f>VLOOKUP($A94,Estimate!$A:$H,4,FALSE)</f>
        <v xml:space="preserve">hr   </v>
      </c>
    </row>
    <row r="95" spans="1:5" x14ac:dyDescent="0.25">
      <c r="A95" s="161">
        <v>40</v>
      </c>
      <c r="B95" s="162" t="str">
        <f>VLOOKUP($A95,Estimate!$A:$H,3,FALSE)</f>
        <v>Place only Type 2.1</v>
      </c>
      <c r="C95" s="161" t="str">
        <f t="shared" si="1"/>
        <v>Q</v>
      </c>
      <c r="D95" s="116">
        <v>488</v>
      </c>
      <c r="E95" s="161" t="str">
        <f>VLOOKUP($A95,Estimate!$A:$H,4,FALSE)</f>
        <v xml:space="preserve">m3   </v>
      </c>
    </row>
    <row r="96" spans="1:5" x14ac:dyDescent="0.25">
      <c r="A96" s="161">
        <v>40.1</v>
      </c>
      <c r="B96" s="162" t="str">
        <f>VLOOKUP($A96,Estimate!$A:$H,3,FALSE)</f>
        <v>Tonnes Gravel = QTY*density</v>
      </c>
      <c r="C96" s="161" t="str">
        <f t="shared" si="1"/>
        <v>P</v>
      </c>
      <c r="D96" s="116">
        <v>2.4</v>
      </c>
      <c r="E96" s="161" t="s">
        <v>2403</v>
      </c>
    </row>
    <row r="97" spans="1:5" x14ac:dyDescent="0.25">
      <c r="A97" s="161">
        <v>40.200000000000003</v>
      </c>
      <c r="B97" s="162" t="str">
        <f>VLOOKUP($A97,Estimate!$A:$H,3,FALSE)</f>
        <v>Grader</v>
      </c>
      <c r="C97" s="161" t="str">
        <f t="shared" si="1"/>
        <v>P</v>
      </c>
      <c r="D97" s="116">
        <v>150</v>
      </c>
      <c r="E97" s="161" t="str">
        <f>VLOOKUP($A97,Estimate!$A:$H,4,FALSE)</f>
        <v xml:space="preserve">hr   </v>
      </c>
    </row>
    <row r="98" spans="1:5" x14ac:dyDescent="0.25">
      <c r="A98" s="161">
        <v>41</v>
      </c>
      <c r="B98" s="162" t="str">
        <f>VLOOKUP($A98,Estimate!$A:$H,3,FALSE)</f>
        <v>Special Item - Geogrid layer</v>
      </c>
      <c r="C98" s="161" t="str">
        <f t="shared" si="1"/>
        <v>Q</v>
      </c>
      <c r="D98" s="116">
        <v>1953</v>
      </c>
      <c r="E98" s="161" t="str">
        <f>VLOOKUP($A98,Estimate!$A:$H,4,FALSE)</f>
        <v xml:space="preserve">m2   </v>
      </c>
    </row>
    <row r="99" spans="1:5" x14ac:dyDescent="0.25">
      <c r="A99" s="161">
        <v>41.1</v>
      </c>
      <c r="B99" s="162" t="str">
        <f>VLOOKUP($A99,Estimate!$A:$H,3,FALSE)</f>
        <v>TX160 - Geogrid</v>
      </c>
      <c r="C99" s="161" t="str">
        <f t="shared" si="1"/>
        <v>P</v>
      </c>
      <c r="D99" s="116">
        <v>1.1000000000000001</v>
      </c>
      <c r="E99" s="161" t="str">
        <f>VLOOKUP($A99,Estimate!$A:$H,4,FALSE)</f>
        <v xml:space="preserve">m²   </v>
      </c>
    </row>
    <row r="100" spans="1:5" x14ac:dyDescent="0.25">
      <c r="A100" s="161">
        <v>41.2</v>
      </c>
      <c r="B100" s="162" t="str">
        <f>VLOOKUP($A100,Estimate!$A:$H,3,FALSE)</f>
        <v>Labour</v>
      </c>
      <c r="C100" s="161" t="str">
        <f t="shared" si="1"/>
        <v>P</v>
      </c>
      <c r="D100" s="116">
        <v>570</v>
      </c>
      <c r="E100" s="161" t="str">
        <f>VLOOKUP($A100,Estimate!$A:$H,4,FALSE)</f>
        <v xml:space="preserve">hr   </v>
      </c>
    </row>
    <row r="101" spans="1:5" x14ac:dyDescent="0.25">
      <c r="A101" s="161">
        <v>42</v>
      </c>
      <c r="B101" s="162" t="str">
        <f>VLOOKUP($A101,Estimate!$A:$H,3,FALSE)</f>
        <v>Special Item - Geotextile layer</v>
      </c>
      <c r="C101" s="161" t="str">
        <f t="shared" si="1"/>
        <v>Q</v>
      </c>
      <c r="D101" s="116">
        <v>1953</v>
      </c>
      <c r="E101" s="161" t="str">
        <f>VLOOKUP($A101,Estimate!$A:$H,4,FALSE)</f>
        <v xml:space="preserve">m2   </v>
      </c>
    </row>
    <row r="102" spans="1:5" x14ac:dyDescent="0.25">
      <c r="A102" s="161">
        <v>42.1</v>
      </c>
      <c r="B102" s="162" t="str">
        <f>VLOOKUP($A102,Estimate!$A:$H,3,FALSE)</f>
        <v>A24</v>
      </c>
      <c r="C102" s="161" t="str">
        <f t="shared" si="1"/>
        <v>P</v>
      </c>
      <c r="D102" s="116">
        <v>1.1000000000000001</v>
      </c>
      <c r="E102" s="161" t="str">
        <f>VLOOKUP($A102,Estimate!$A:$H,4,FALSE)</f>
        <v xml:space="preserve">m²   </v>
      </c>
    </row>
    <row r="103" spans="1:5" x14ac:dyDescent="0.25">
      <c r="A103" s="161">
        <v>43</v>
      </c>
      <c r="B103" s="162" t="str">
        <f>VLOOKUP($A103,Estimate!$A:$H,3,FALSE)</f>
        <v>(vii)  AMC5</v>
      </c>
      <c r="C103" s="161" t="str">
        <f t="shared" si="1"/>
        <v>Q</v>
      </c>
      <c r="D103" s="116">
        <v>1812</v>
      </c>
      <c r="E103" s="161" t="str">
        <f>VLOOKUP($A103,Estimate!$A:$H,4,FALSE)</f>
        <v xml:space="preserve">m2   </v>
      </c>
    </row>
    <row r="104" spans="1:5" x14ac:dyDescent="0.25">
      <c r="A104" s="161">
        <v>43.1</v>
      </c>
      <c r="B104" s="162" t="str">
        <f>VLOOKUP($A104,Estimate!$A:$H,3,FALSE)</f>
        <v>Seal Visit Two</v>
      </c>
      <c r="C104" s="161" t="str">
        <f t="shared" si="1"/>
        <v>P</v>
      </c>
      <c r="D104" s="116">
        <v>1.05</v>
      </c>
      <c r="E104" s="161" t="str">
        <f>VLOOKUP($A104,Estimate!$A:$H,4,FALSE)</f>
        <v xml:space="preserve">m²   </v>
      </c>
    </row>
    <row r="105" spans="1:5" x14ac:dyDescent="0.25">
      <c r="A105" s="161">
        <v>44</v>
      </c>
      <c r="B105" s="162" t="str">
        <f>VLOOKUP($A105,Estimate!$A:$H,3,FALSE)</f>
        <v>(ii)  14mm Nominal Size</v>
      </c>
      <c r="C105" s="161" t="str">
        <f t="shared" si="1"/>
        <v>Q</v>
      </c>
      <c r="D105" s="116">
        <v>173</v>
      </c>
      <c r="E105" s="161" t="str">
        <f>VLOOKUP($A105,Estimate!$A:$H,4,FALSE)</f>
        <v>tonne</v>
      </c>
    </row>
    <row r="106" spans="1:5" x14ac:dyDescent="0.25">
      <c r="A106" s="161">
        <v>44.1</v>
      </c>
      <c r="B106" s="162" t="str">
        <f>VLOOKUP($A106,Estimate!$A:$H,3,FALSE)</f>
        <v>DG14 - Dobbins Lane</v>
      </c>
      <c r="C106" s="161" t="str">
        <f t="shared" si="1"/>
        <v>P</v>
      </c>
      <c r="D106" s="116">
        <v>1.05</v>
      </c>
      <c r="E106" s="161" t="str">
        <f>VLOOKUP($A106,Estimate!$A:$H,4,FALSE)</f>
        <v>tonne</v>
      </c>
    </row>
    <row r="107" spans="1:5" x14ac:dyDescent="0.25">
      <c r="A107" s="161">
        <v>45</v>
      </c>
      <c r="B107" s="162" t="str">
        <f>VLOOKUP($A107,Estimate!$A:$H,3,FALSE)</f>
        <v>(i) 100mm thick concrete footpath</v>
      </c>
      <c r="C107" s="161" t="str">
        <f t="shared" si="1"/>
        <v>Q</v>
      </c>
      <c r="D107" s="116">
        <v>53</v>
      </c>
      <c r="E107" s="161" t="str">
        <f>VLOOKUP($A107,Estimate!$A:$H,4,FALSE)</f>
        <v xml:space="preserve">m2   </v>
      </c>
    </row>
    <row r="108" spans="1:5" x14ac:dyDescent="0.25">
      <c r="A108" s="161">
        <v>45.1</v>
      </c>
      <c r="B108" s="162" t="str">
        <f>VLOOKUP($A108,Estimate!$A:$H,3,FALSE)</f>
        <v>Excavator - 25T</v>
      </c>
      <c r="C108" s="161" t="str">
        <f t="shared" si="1"/>
        <v>P</v>
      </c>
      <c r="D108" s="116">
        <v>10</v>
      </c>
      <c r="E108" s="161" t="str">
        <f>VLOOKUP($A108,Estimate!$A:$H,4,FALSE)</f>
        <v xml:space="preserve">hr   </v>
      </c>
    </row>
    <row r="109" spans="1:5" x14ac:dyDescent="0.25">
      <c r="A109" s="161">
        <v>46</v>
      </c>
      <c r="B109" s="162" t="str">
        <f>VLOOKUP($A109,Estimate!$A:$H,3,FALSE)</f>
        <v>(ii)  Concrete Kerb Ramp</v>
      </c>
      <c r="C109" s="161" t="str">
        <f t="shared" si="1"/>
        <v>Q</v>
      </c>
      <c r="D109" s="116">
        <v>2</v>
      </c>
      <c r="E109" s="161" t="str">
        <f>VLOOKUP($A109,Estimate!$A:$H,4,FALSE)</f>
        <v xml:space="preserve">each </v>
      </c>
    </row>
    <row r="110" spans="1:5" x14ac:dyDescent="0.25">
      <c r="A110" s="161">
        <v>47</v>
      </c>
      <c r="B110" s="162" t="str">
        <f>VLOOKUP($A110,Estimate!$A:$H,3,FALSE)</f>
        <v>(v)   Industrial Invert Crossing</v>
      </c>
      <c r="C110" s="161" t="str">
        <f t="shared" si="1"/>
        <v>Q</v>
      </c>
      <c r="D110" s="116">
        <v>1</v>
      </c>
      <c r="E110" s="161" t="str">
        <f>VLOOKUP($A110,Estimate!$A:$H,4,FALSE)</f>
        <v xml:space="preserve">each </v>
      </c>
    </row>
    <row r="111" spans="1:5" x14ac:dyDescent="0.25">
      <c r="A111" s="161">
        <v>47.1</v>
      </c>
      <c r="B111" s="162" t="str">
        <f>VLOOKUP($A111,Estimate!$A:$H,3,FALSE)</f>
        <v>Excavator - 25T</v>
      </c>
      <c r="C111" s="161" t="str">
        <f t="shared" si="1"/>
        <v>P</v>
      </c>
      <c r="D111" s="116">
        <v>10</v>
      </c>
      <c r="E111" s="161" t="str">
        <f>VLOOKUP($A111,Estimate!$A:$H,4,FALSE)</f>
        <v xml:space="preserve">hr   </v>
      </c>
    </row>
    <row r="112" spans="1:5" x14ac:dyDescent="0.25">
      <c r="A112" s="161">
        <v>48</v>
      </c>
      <c r="B112" s="162" t="str">
        <f>VLOOKUP($A112,Estimate!$A:$H,3,FALSE)</f>
        <v>(ii)  Turfing</v>
      </c>
      <c r="C112" s="161" t="str">
        <f t="shared" si="1"/>
        <v>Q</v>
      </c>
      <c r="D112" s="116">
        <v>150</v>
      </c>
      <c r="E112" s="161" t="str">
        <f>VLOOKUP($A112,Estimate!$A:$H,4,FALSE)</f>
        <v xml:space="preserve">m2   </v>
      </c>
    </row>
    <row r="113" spans="1:5" x14ac:dyDescent="0.25">
      <c r="A113" s="161">
        <v>48.1</v>
      </c>
      <c r="B113" s="162" t="str">
        <f>VLOOKUP($A113,Estimate!$A:$H,3,FALSE)</f>
        <v>Turf Subbie</v>
      </c>
      <c r="C113" s="161" t="str">
        <f t="shared" si="1"/>
        <v>P</v>
      </c>
      <c r="D113" s="116">
        <v>1.05</v>
      </c>
      <c r="E113" s="161" t="str">
        <f>VLOOKUP($A113,Estimate!$A:$H,4,FALSE)</f>
        <v xml:space="preserve">m²   </v>
      </c>
    </row>
    <row r="114" spans="1:5" x14ac:dyDescent="0.25">
      <c r="A114" s="161">
        <v>49</v>
      </c>
      <c r="B114" s="162" t="str">
        <f>VLOOKUP($A114,Estimate!$A:$H,3,FALSE)</f>
        <v>Supply and place  Imported Topsoil</v>
      </c>
      <c r="C114" s="161" t="str">
        <f t="shared" si="1"/>
        <v>Q</v>
      </c>
      <c r="D114" s="116">
        <v>15</v>
      </c>
      <c r="E114" s="161" t="str">
        <f>VLOOKUP($A114,Estimate!$A:$H,4,FALSE)</f>
        <v xml:space="preserve">m3   </v>
      </c>
    </row>
    <row r="115" spans="1:5" x14ac:dyDescent="0.25">
      <c r="A115" s="161">
        <v>49.1</v>
      </c>
      <c r="B115" s="162" t="str">
        <f>VLOOKUP($A115,Estimate!$A:$H,3,FALSE)</f>
        <v>Bobcat</v>
      </c>
      <c r="C115" s="161" t="str">
        <f t="shared" si="1"/>
        <v>P</v>
      </c>
      <c r="D115" s="116">
        <v>6</v>
      </c>
      <c r="E115" s="161" t="str">
        <f>VLOOKUP($A115,Estimate!$A:$H,4,FALSE)</f>
        <v xml:space="preserve">hr   </v>
      </c>
    </row>
    <row r="116" spans="1:5" x14ac:dyDescent="0.25">
      <c r="A116" s="161">
        <v>50</v>
      </c>
      <c r="B116" s="162" t="str">
        <f>VLOOKUP($A116,Estimate!$A:$H,3,FALSE)</f>
        <v>Special Item - As Constructed Survey and Plans</v>
      </c>
      <c r="C116" s="161" t="str">
        <f t="shared" si="1"/>
        <v>Q</v>
      </c>
      <c r="D116" s="116">
        <v>1</v>
      </c>
      <c r="E116" s="161" t="str">
        <f>VLOOKUP($A116,Estimate!$A:$H,4,FALSE)</f>
        <v xml:space="preserve">Lump </v>
      </c>
    </row>
    <row r="117" spans="1:5" x14ac:dyDescent="0.25">
      <c r="A117" s="161">
        <v>51</v>
      </c>
      <c r="B117" s="162" t="str">
        <f>VLOOKUP($A117,Estimate!$A:$H,3,FALSE)</f>
        <v>Quality Verification &amp; Control</v>
      </c>
      <c r="C117" s="161" t="str">
        <f t="shared" si="1"/>
        <v>Q</v>
      </c>
      <c r="D117" s="116">
        <v>1</v>
      </c>
      <c r="E117" s="161" t="str">
        <f>VLOOKUP($A117,Estimate!$A:$H,4,FALSE)</f>
        <v xml:space="preserve">Lump </v>
      </c>
    </row>
    <row r="118" spans="1:5" x14ac:dyDescent="0.25">
      <c r="A118" s="161">
        <v>51.1</v>
      </c>
      <c r="B118" s="162" t="str">
        <f>VLOOKUP($A118,Estimate!$A:$H,3,FALSE)</f>
        <v>(12) Field Density Tests</v>
      </c>
      <c r="C118" s="161" t="str">
        <f t="shared" si="1"/>
        <v>P</v>
      </c>
      <c r="D118" s="116">
        <v>12</v>
      </c>
      <c r="E118" s="161" t="s">
        <v>29</v>
      </c>
    </row>
    <row r="119" spans="1:5" x14ac:dyDescent="0.25">
      <c r="A119" s="161">
        <v>51.2</v>
      </c>
      <c r="B119" s="162" t="str">
        <f>VLOOKUP($A119,Estimate!$A:$H,3,FALSE)</f>
        <v>(6) Concrete Cylinder Sets</v>
      </c>
      <c r="C119" s="161" t="str">
        <f t="shared" si="1"/>
        <v>P</v>
      </c>
      <c r="D119" s="116">
        <v>6</v>
      </c>
      <c r="E119" s="161" t="s">
        <v>29</v>
      </c>
    </row>
    <row r="120" spans="1:5" x14ac:dyDescent="0.25">
      <c r="A120" s="161">
        <v>51.3</v>
      </c>
      <c r="B120" s="162" t="str">
        <f>VLOOKUP($A120,Estimate!$A:$H,3,FALSE)</f>
        <v>Survey</v>
      </c>
      <c r="C120" s="161" t="str">
        <f t="shared" si="1"/>
        <v>P</v>
      </c>
      <c r="D120" s="116">
        <v>2500</v>
      </c>
      <c r="E120" s="161" t="str">
        <f>VLOOKUP($A120,Estimate!$A:$H,4,FALSE)</f>
        <v xml:space="preserve">Item </v>
      </c>
    </row>
    <row r="121" spans="1:5" x14ac:dyDescent="0.25">
      <c r="A121" s="161">
        <v>52</v>
      </c>
      <c r="B121" s="162" t="str">
        <f>VLOOKUP($A121,Estimate!$A:$H,3,FALSE)</f>
        <v>Control of Traffic</v>
      </c>
      <c r="C121" s="161" t="str">
        <f t="shared" si="1"/>
        <v>Q</v>
      </c>
      <c r="D121" s="116">
        <v>1</v>
      </c>
      <c r="E121" s="161" t="str">
        <f>VLOOKUP($A121,Estimate!$A:$H,4,FALSE)</f>
        <v xml:space="preserve">Lump </v>
      </c>
    </row>
    <row r="122" spans="1:5" x14ac:dyDescent="0.25">
      <c r="A122" s="161">
        <v>52.1</v>
      </c>
      <c r="B122" s="162" t="str">
        <f>VLOOKUP($A122,Estimate!$A:$H,3,FALSE)</f>
        <v>(2) No. Weeks TC Required</v>
      </c>
      <c r="C122" s="161" t="str">
        <f t="shared" si="1"/>
        <v>P</v>
      </c>
      <c r="D122" s="116">
        <v>2</v>
      </c>
      <c r="E122" s="161" t="s">
        <v>22</v>
      </c>
    </row>
    <row r="123" spans="1:5" x14ac:dyDescent="0.25">
      <c r="A123" s="161">
        <v>53</v>
      </c>
      <c r="B123" s="162" t="str">
        <f>VLOOKUP($A123,Estimate!$A:$H,3,FALSE)</f>
        <v>General Earthworks Cut</v>
      </c>
      <c r="C123" s="161" t="str">
        <f t="shared" si="1"/>
        <v>Q</v>
      </c>
      <c r="D123" s="116">
        <v>869</v>
      </c>
      <c r="E123" s="161" t="str">
        <f>VLOOKUP($A123,Estimate!$A:$H,4,FALSE)</f>
        <v xml:space="preserve">m3   </v>
      </c>
    </row>
    <row r="124" spans="1:5" x14ac:dyDescent="0.25">
      <c r="A124" s="161">
        <v>53.1</v>
      </c>
      <c r="B124" s="162" t="str">
        <f>VLOOKUP($A124,Estimate!$A:$H,3,FALSE)</f>
        <v>Excavator - 25T</v>
      </c>
      <c r="C124" s="161" t="str">
        <f t="shared" si="1"/>
        <v>P</v>
      </c>
      <c r="D124" s="116">
        <v>40</v>
      </c>
      <c r="E124" s="161" t="str">
        <f>VLOOKUP($A124,Estimate!$A:$H,4,FALSE)</f>
        <v xml:space="preserve">hr   </v>
      </c>
    </row>
    <row r="125" spans="1:5" x14ac:dyDescent="0.25">
      <c r="A125" s="161">
        <v>53.2</v>
      </c>
      <c r="B125" s="162" t="str">
        <f>VLOOKUP($A125,Estimate!$A:$H,3,FALSE)</f>
        <v>Truck &amp; Dog</v>
      </c>
      <c r="C125" s="161" t="str">
        <f t="shared" si="1"/>
        <v>P</v>
      </c>
      <c r="D125" s="116">
        <v>3</v>
      </c>
      <c r="E125" s="161" t="str">
        <f>VLOOKUP($A125,Estimate!$A:$H,4,FALSE)</f>
        <v xml:space="preserve">hr   </v>
      </c>
    </row>
    <row r="126" spans="1:5" x14ac:dyDescent="0.25">
      <c r="A126" s="161">
        <v>53.3</v>
      </c>
      <c r="B126" s="162" t="str">
        <f>VLOOKUP($A126,Estimate!$A:$H,3,FALSE)</f>
        <v>Grader</v>
      </c>
      <c r="C126" s="161" t="str">
        <f t="shared" si="1"/>
        <v>P</v>
      </c>
      <c r="D126" s="116">
        <v>250</v>
      </c>
      <c r="E126" s="161" t="str">
        <f>VLOOKUP($A126,Estimate!$A:$H,4,FALSE)</f>
        <v xml:space="preserve">hr   </v>
      </c>
    </row>
    <row r="127" spans="1:5" x14ac:dyDescent="0.25">
      <c r="A127" s="161">
        <v>53.4</v>
      </c>
      <c r="B127" s="162" t="str">
        <f>VLOOKUP($A127,Estimate!$A:$H,3,FALSE)</f>
        <v>Labour</v>
      </c>
      <c r="C127" s="161" t="str">
        <f t="shared" si="1"/>
        <v>P</v>
      </c>
      <c r="D127" s="116">
        <v>3</v>
      </c>
      <c r="E127" s="161" t="str">
        <f>VLOOKUP($A127,Estimate!$A:$H,4,FALSE)</f>
        <v xml:space="preserve">hr   </v>
      </c>
    </row>
    <row r="128" spans="1:5" x14ac:dyDescent="0.25">
      <c r="A128" s="161">
        <v>54</v>
      </c>
      <c r="B128" s="162" t="str">
        <f>VLOOKUP($A128,Estimate!$A:$H,3,FALSE)</f>
        <v>General Earthworks Fill</v>
      </c>
      <c r="C128" s="161" t="str">
        <f t="shared" si="1"/>
        <v>Q</v>
      </c>
      <c r="D128" s="116">
        <v>4</v>
      </c>
      <c r="E128" s="161" t="str">
        <f>VLOOKUP($A128,Estimate!$A:$H,4,FALSE)</f>
        <v xml:space="preserve">m3   </v>
      </c>
    </row>
    <row r="129" spans="1:5" x14ac:dyDescent="0.25">
      <c r="A129" s="161">
        <v>54.1</v>
      </c>
      <c r="B129" s="162" t="str">
        <f>VLOOKUP($A129,Estimate!$A:$H,3,FALSE)</f>
        <v>Excavator - 25T</v>
      </c>
      <c r="C129" s="161" t="str">
        <f t="shared" si="1"/>
        <v>P</v>
      </c>
      <c r="D129" s="116">
        <v>20</v>
      </c>
      <c r="E129" s="161" t="str">
        <f>VLOOKUP($A129,Estimate!$A:$H,4,FALSE)</f>
        <v xml:space="preserve">hr   </v>
      </c>
    </row>
    <row r="130" spans="1:5" x14ac:dyDescent="0.25">
      <c r="A130" s="161">
        <v>54.2</v>
      </c>
      <c r="B130" s="162" t="str">
        <f>VLOOKUP($A130,Estimate!$A:$H,3,FALSE)</f>
        <v>Labour</v>
      </c>
      <c r="C130" s="161" t="str">
        <f t="shared" si="1"/>
        <v>P</v>
      </c>
      <c r="D130" s="116">
        <v>3</v>
      </c>
      <c r="E130" s="161" t="str">
        <f>VLOOKUP($A130,Estimate!$A:$H,4,FALSE)</f>
        <v xml:space="preserve">hr   </v>
      </c>
    </row>
    <row r="131" spans="1:5" x14ac:dyDescent="0.25">
      <c r="A131" s="161">
        <v>55</v>
      </c>
      <c r="B131" s="162" t="str">
        <f>VLOOKUP($A131,Estimate!$A:$H,3,FALSE)</f>
        <v>Replace unsuitable material below sub grade with select material complete (PROVISIONAL)</v>
      </c>
      <c r="C131" s="161" t="str">
        <f t="shared" ref="C131:C195" si="2">IF(A131/ROUND(A131,0)=1,"Q","P")</f>
        <v>Q</v>
      </c>
      <c r="D131" s="116">
        <v>10</v>
      </c>
      <c r="E131" s="161" t="str">
        <f>VLOOKUP($A131,Estimate!$A:$H,4,FALSE)</f>
        <v xml:space="preserve">m3   </v>
      </c>
    </row>
    <row r="132" spans="1:5" x14ac:dyDescent="0.25">
      <c r="A132" s="161">
        <v>55.1</v>
      </c>
      <c r="B132" s="162" t="str">
        <f>VLOOKUP($A132,Estimate!$A:$H,3,FALSE)</f>
        <v>Excavator - 25T</v>
      </c>
      <c r="C132" s="161" t="str">
        <f t="shared" si="2"/>
        <v>P</v>
      </c>
      <c r="D132" s="116">
        <v>15</v>
      </c>
      <c r="E132" s="161" t="str">
        <f>VLOOKUP($A132,Estimate!$A:$H,4,FALSE)</f>
        <v xml:space="preserve">hr   </v>
      </c>
    </row>
    <row r="133" spans="1:5" x14ac:dyDescent="0.25">
      <c r="A133" s="161">
        <v>55.2</v>
      </c>
      <c r="B133" s="162" t="str">
        <f>VLOOKUP($A133,Estimate!$A:$H,3,FALSE)</f>
        <v>Excavator - 25T</v>
      </c>
      <c r="C133" s="161" t="str">
        <f t="shared" si="2"/>
        <v>P</v>
      </c>
      <c r="D133" s="116">
        <v>15</v>
      </c>
      <c r="E133" s="161" t="str">
        <f>VLOOKUP($A133,Estimate!$A:$H,4,FALSE)</f>
        <v xml:space="preserve">hr   </v>
      </c>
    </row>
    <row r="134" spans="1:5" x14ac:dyDescent="0.25">
      <c r="A134" s="161">
        <v>55.3</v>
      </c>
      <c r="B134" s="162" t="str">
        <f>VLOOKUP($A134,Estimate!$A:$H,3,FALSE)</f>
        <v>Labour</v>
      </c>
      <c r="C134" s="161" t="str">
        <f t="shared" si="2"/>
        <v>P</v>
      </c>
      <c r="D134" s="116">
        <v>3</v>
      </c>
      <c r="E134" s="161" t="str">
        <f>VLOOKUP($A134,Estimate!$A:$H,4,FALSE)</f>
        <v xml:space="preserve">hr   </v>
      </c>
    </row>
    <row r="135" spans="1:5" x14ac:dyDescent="0.25">
      <c r="A135" s="161">
        <v>56</v>
      </c>
      <c r="B135" s="162" t="str">
        <f>VLOOKUP($A135,Estimate!$A:$H,3,FALSE)</f>
        <v>Alteration to Existing Stormwater Structures (Break new PVC pipt into existing line and andage)</v>
      </c>
      <c r="C135" s="161" t="str">
        <f t="shared" si="2"/>
        <v>Q</v>
      </c>
      <c r="D135" s="116">
        <v>1</v>
      </c>
      <c r="E135" s="161" t="str">
        <f>VLOOKUP($A135,Estimate!$A:$H,4,FALSE)</f>
        <v xml:space="preserve">Lump </v>
      </c>
    </row>
    <row r="136" spans="1:5" x14ac:dyDescent="0.25">
      <c r="A136" s="161">
        <v>57</v>
      </c>
      <c r="B136" s="162" t="str">
        <f>VLOOKUP($A136,Estimate!$A:$H,3,FALSE)</f>
        <v>UPVC pipes (150mm) supply, install, backfill complete</v>
      </c>
      <c r="C136" s="161" t="str">
        <f t="shared" si="2"/>
        <v>Q</v>
      </c>
      <c r="D136" s="116">
        <v>21</v>
      </c>
      <c r="E136" s="161" t="str">
        <f>VLOOKUP($A136,Estimate!$A:$H,4,FALSE)</f>
        <v xml:space="preserve">m    </v>
      </c>
    </row>
    <row r="137" spans="1:5" x14ac:dyDescent="0.25">
      <c r="A137" s="161">
        <v>57.1</v>
      </c>
      <c r="B137" s="162" t="str">
        <f>VLOOKUP($A137,Estimate!$A:$H,3,FALSE)</f>
        <v>Excavator - 25T</v>
      </c>
      <c r="C137" s="161" t="str">
        <f t="shared" si="2"/>
        <v>P</v>
      </c>
      <c r="D137" s="116">
        <v>4.2</v>
      </c>
      <c r="E137" s="161" t="str">
        <f>VLOOKUP($A137,Estimate!$A:$H,4,FALSE)</f>
        <v xml:space="preserve">hr   </v>
      </c>
    </row>
    <row r="138" spans="1:5" x14ac:dyDescent="0.25">
      <c r="A138" s="161">
        <v>58</v>
      </c>
      <c r="B138" s="162" t="str">
        <f>VLOOKUP($A138,Estimate!$A:$H,3,FALSE)</f>
        <v>Connect property drainage pipes</v>
      </c>
      <c r="C138" s="161" t="str">
        <f t="shared" si="2"/>
        <v>Q</v>
      </c>
      <c r="D138" s="116">
        <v>1</v>
      </c>
      <c r="E138" s="161" t="str">
        <f>VLOOKUP($A138,Estimate!$A:$H,4,FALSE)</f>
        <v xml:space="preserve">Lump </v>
      </c>
    </row>
    <row r="139" spans="1:5" x14ac:dyDescent="0.25">
      <c r="A139" s="161">
        <v>58.1</v>
      </c>
      <c r="B139" s="162" t="str">
        <f>VLOOKUP($A139,Estimate!$A:$H,3,FALSE)</f>
        <v>Plumber</v>
      </c>
      <c r="C139" s="161" t="str">
        <f t="shared" si="2"/>
        <v>P</v>
      </c>
      <c r="D139" s="116">
        <v>0.5</v>
      </c>
      <c r="E139" s="161" t="str">
        <f>VLOOKUP($A139,Estimate!$A:$H,4,FALSE)</f>
        <v xml:space="preserve">hr   </v>
      </c>
    </row>
    <row r="140" spans="1:5" x14ac:dyDescent="0.25">
      <c r="A140" s="161">
        <v>59</v>
      </c>
      <c r="B140" s="162" t="str">
        <f>VLOOKUP($A140,Estimate!$A:$H,3,FALSE)</f>
        <v>Construct Complete in place, downpipe extension and overflow grate</v>
      </c>
      <c r="C140" s="161" t="str">
        <f t="shared" si="2"/>
        <v>Q</v>
      </c>
      <c r="D140" s="116">
        <v>1</v>
      </c>
      <c r="E140" s="161" t="str">
        <f>VLOOKUP($A140,Estimate!$A:$H,4,FALSE)</f>
        <v xml:space="preserve">each </v>
      </c>
    </row>
    <row r="141" spans="1:5" x14ac:dyDescent="0.25">
      <c r="A141" s="161">
        <v>60</v>
      </c>
      <c r="B141" s="162" t="str">
        <f>VLOOKUP($A141,Estimate!$A:$H,3,FALSE)</f>
        <v>(i)  Concrete Barrier Kerb &amp; Channel B1 complete</v>
      </c>
      <c r="C141" s="161" t="str">
        <f t="shared" si="2"/>
        <v>Q</v>
      </c>
      <c r="D141" s="116">
        <v>80</v>
      </c>
      <c r="E141" s="161" t="str">
        <f>VLOOKUP($A141,Estimate!$A:$H,4,FALSE)</f>
        <v xml:space="preserve">m    </v>
      </c>
    </row>
    <row r="142" spans="1:5" x14ac:dyDescent="0.25">
      <c r="A142" s="161">
        <v>60.1</v>
      </c>
      <c r="B142" s="162" t="str">
        <f>VLOOKUP($A142,Estimate!$A:$H,3,FALSE)</f>
        <v>S32 - Kerb Mix</v>
      </c>
      <c r="C142" s="161" t="str">
        <f t="shared" si="2"/>
        <v>P</v>
      </c>
      <c r="D142" s="116">
        <v>8.6</v>
      </c>
      <c r="E142" s="161" t="str">
        <f>VLOOKUP($A142,Estimate!$A:$H,4,FALSE)</f>
        <v xml:space="preserve">m³   </v>
      </c>
    </row>
    <row r="143" spans="1:5" x14ac:dyDescent="0.25">
      <c r="A143" s="161">
        <v>60.2</v>
      </c>
      <c r="B143" s="162" t="str">
        <f>VLOOKUP($A143,Estimate!$A:$H,3,FALSE)</f>
        <v>Sand</v>
      </c>
      <c r="C143" s="161" t="str">
        <f t="shared" si="2"/>
        <v>P</v>
      </c>
      <c r="D143" s="116">
        <v>75</v>
      </c>
      <c r="E143" s="161" t="str">
        <f>VLOOKUP($A143,Estimate!$A:$H,4,FALSE)</f>
        <v>tonne</v>
      </c>
    </row>
    <row r="144" spans="1:5" x14ac:dyDescent="0.25">
      <c r="A144" s="161">
        <v>60.3</v>
      </c>
      <c r="B144" s="162" t="str">
        <f>VLOOKUP($A144,Estimate!$A:$H,3,FALSE)</f>
        <v>Cement</v>
      </c>
      <c r="C144" s="161" t="str">
        <f t="shared" si="2"/>
        <v>P</v>
      </c>
      <c r="D144" s="116">
        <v>8</v>
      </c>
      <c r="E144" s="161" t="str">
        <f>VLOOKUP($A144,Estimate!$A:$H,4,FALSE)</f>
        <v>tonne</v>
      </c>
    </row>
    <row r="145" spans="1:5" x14ac:dyDescent="0.25">
      <c r="A145" s="161">
        <v>61</v>
      </c>
      <c r="B145" s="162" t="str">
        <f>VLOOKUP($A145,Estimate!$A:$H,3,FALSE)</f>
        <v>(iv)  Concrete Dish Drain (0.9m wide) complete</v>
      </c>
      <c r="C145" s="161" t="str">
        <f t="shared" si="2"/>
        <v>Q</v>
      </c>
      <c r="D145" s="116">
        <v>12</v>
      </c>
      <c r="E145" s="161" t="str">
        <f>VLOOKUP($A145,Estimate!$A:$H,4,FALSE)</f>
        <v xml:space="preserve">m    </v>
      </c>
    </row>
    <row r="146" spans="1:5" x14ac:dyDescent="0.25">
      <c r="A146" s="161">
        <v>61.1</v>
      </c>
      <c r="B146" s="162" t="str">
        <f>VLOOKUP($A146,Estimate!$A:$H,3,FALSE)</f>
        <v>N32</v>
      </c>
      <c r="C146" s="161" t="str">
        <f t="shared" si="2"/>
        <v>P</v>
      </c>
      <c r="D146" s="116">
        <v>3</v>
      </c>
      <c r="E146" s="161" t="str">
        <f>VLOOKUP($A146,Estimate!$A:$H,4,FALSE)</f>
        <v xml:space="preserve">m³   </v>
      </c>
    </row>
    <row r="147" spans="1:5" x14ac:dyDescent="0.25">
      <c r="A147" s="161">
        <v>61.2</v>
      </c>
      <c r="B147" s="162" t="str">
        <f>VLOOKUP($A147,Estimate!$A:$H,3,FALSE)</f>
        <v>Sand</v>
      </c>
      <c r="C147" s="161" t="str">
        <f t="shared" si="2"/>
        <v>P</v>
      </c>
      <c r="D147" s="116">
        <v>75</v>
      </c>
      <c r="E147" s="161" t="str">
        <f>VLOOKUP($A147,Estimate!$A:$H,4,FALSE)</f>
        <v>tonne</v>
      </c>
    </row>
    <row r="148" spans="1:5" x14ac:dyDescent="0.25">
      <c r="A148" s="161">
        <v>61.3</v>
      </c>
      <c r="B148" s="162" t="str">
        <f>VLOOKUP($A148,Estimate!$A:$H,3,FALSE)</f>
        <v>Cement</v>
      </c>
      <c r="C148" s="161" t="str">
        <f t="shared" si="2"/>
        <v>P</v>
      </c>
      <c r="D148" s="116">
        <v>8</v>
      </c>
      <c r="E148" s="161" t="str">
        <f>VLOOKUP($A148,Estimate!$A:$H,4,FALSE)</f>
        <v>tonne</v>
      </c>
    </row>
    <row r="149" spans="1:5" x14ac:dyDescent="0.25">
      <c r="A149" s="161">
        <v>62</v>
      </c>
      <c r="B149" s="162" t="str">
        <f>VLOOKUP($A149,Estimate!$A:$H,3,FALSE)</f>
        <v>(vi)  Concrete Kerb (Type B2) complete</v>
      </c>
      <c r="C149" s="161" t="str">
        <f t="shared" si="2"/>
        <v>Q</v>
      </c>
      <c r="D149" s="116">
        <v>81</v>
      </c>
      <c r="E149" s="161" t="str">
        <f>VLOOKUP($A149,Estimate!$A:$H,4,FALSE)</f>
        <v xml:space="preserve">m    </v>
      </c>
    </row>
    <row r="150" spans="1:5" x14ac:dyDescent="0.25">
      <c r="A150" s="161">
        <v>62.1</v>
      </c>
      <c r="B150" s="162" t="str">
        <f>VLOOKUP($A150,Estimate!$A:$H,3,FALSE)</f>
        <v>S32 - Kerb Mix</v>
      </c>
      <c r="C150" s="161" t="str">
        <f t="shared" si="2"/>
        <v>P</v>
      </c>
      <c r="D150" s="116">
        <v>8.6</v>
      </c>
      <c r="E150" s="161" t="str">
        <f>VLOOKUP($A150,Estimate!$A:$H,4,FALSE)</f>
        <v xml:space="preserve">m³   </v>
      </c>
    </row>
    <row r="151" spans="1:5" x14ac:dyDescent="0.25">
      <c r="A151" s="161">
        <v>62.2</v>
      </c>
      <c r="B151" s="162" t="str">
        <f>VLOOKUP($A151,Estimate!$A:$H,3,FALSE)</f>
        <v>Sand</v>
      </c>
      <c r="C151" s="161" t="str">
        <f t="shared" si="2"/>
        <v>P</v>
      </c>
      <c r="D151" s="116">
        <v>75</v>
      </c>
      <c r="E151" s="161" t="str">
        <f>VLOOKUP($A151,Estimate!$A:$H,4,FALSE)</f>
        <v>tonne</v>
      </c>
    </row>
    <row r="152" spans="1:5" x14ac:dyDescent="0.25">
      <c r="A152" s="161">
        <v>62.3</v>
      </c>
      <c r="B152" s="162" t="str">
        <f>VLOOKUP($A152,Estimate!$A:$H,3,FALSE)</f>
        <v>Cement</v>
      </c>
      <c r="C152" s="161" t="str">
        <f t="shared" si="2"/>
        <v>P</v>
      </c>
      <c r="D152" s="116">
        <v>8</v>
      </c>
      <c r="E152" s="161" t="str">
        <f>VLOOKUP($A152,Estimate!$A:$H,4,FALSE)</f>
        <v>tonne</v>
      </c>
    </row>
    <row r="153" spans="1:5" x14ac:dyDescent="0.25">
      <c r="A153" s="161">
        <v>63</v>
      </c>
      <c r="B153" s="162" t="str">
        <f>VLOOKUP($A153,Estimate!$A:$H,3,FALSE)</f>
        <v>(i)  100mm dia Slotted Corrugated Plastic Pipe</v>
      </c>
      <c r="C153" s="161" t="str">
        <f t="shared" si="2"/>
        <v>Q</v>
      </c>
      <c r="D153" s="116">
        <v>312</v>
      </c>
      <c r="E153" s="161" t="str">
        <f>VLOOKUP($A153,Estimate!$A:$H,4,FALSE)</f>
        <v xml:space="preserve">m    </v>
      </c>
    </row>
    <row r="154" spans="1:5" x14ac:dyDescent="0.25">
      <c r="A154" s="161">
        <v>63.1</v>
      </c>
      <c r="B154" s="162" t="str">
        <f>VLOOKUP($A154,Estimate!$A:$H,3,FALSE)</f>
        <v>Excavator - 25T</v>
      </c>
      <c r="C154" s="161" t="str">
        <f t="shared" si="2"/>
        <v>P</v>
      </c>
      <c r="D154" s="116">
        <v>11.11</v>
      </c>
      <c r="E154" s="161" t="str">
        <f>VLOOKUP($A154,Estimate!$A:$H,4,FALSE)</f>
        <v xml:space="preserve">hr   </v>
      </c>
    </row>
    <row r="155" spans="1:5" x14ac:dyDescent="0.25">
      <c r="A155" s="161">
        <v>64</v>
      </c>
      <c r="B155" s="162" t="str">
        <f>VLOOKUP($A155,Estimate!$A:$H,3,FALSE)</f>
        <v>Cleanout Structures</v>
      </c>
      <c r="C155" s="161" t="str">
        <f t="shared" si="2"/>
        <v>Q</v>
      </c>
      <c r="D155" s="116">
        <v>5</v>
      </c>
      <c r="E155" s="161" t="str">
        <f>VLOOKUP($A155,Estimate!$A:$H,4,FALSE)</f>
        <v xml:space="preserve">each </v>
      </c>
    </row>
    <row r="156" spans="1:5" x14ac:dyDescent="0.25">
      <c r="A156" s="161">
        <v>65</v>
      </c>
      <c r="B156" s="162" t="str">
        <f>VLOOKUP($A156,Estimate!$A:$H,3,FALSE)</f>
        <v>Place only Type 2.1</v>
      </c>
      <c r="C156" s="161" t="str">
        <f t="shared" si="2"/>
        <v>Q</v>
      </c>
      <c r="D156" s="116">
        <v>314</v>
      </c>
      <c r="E156" s="161" t="str">
        <f>VLOOKUP($A156,Estimate!$A:$H,4,FALSE)</f>
        <v xml:space="preserve">m3   </v>
      </c>
    </row>
    <row r="157" spans="1:5" x14ac:dyDescent="0.25">
      <c r="A157" s="161">
        <v>65.099999999999994</v>
      </c>
      <c r="B157" s="162" t="str">
        <f>VLOOKUP($A157,Estimate!$A:$H,3,FALSE)</f>
        <v xml:space="preserve"> Tonnes Gravel = QTY*density</v>
      </c>
      <c r="C157" s="161" t="str">
        <f t="shared" si="2"/>
        <v>P</v>
      </c>
      <c r="D157" s="116">
        <v>2.4</v>
      </c>
      <c r="E157" s="161" t="s">
        <v>2403</v>
      </c>
    </row>
    <row r="158" spans="1:5" x14ac:dyDescent="0.25">
      <c r="A158" s="161">
        <v>65.2</v>
      </c>
      <c r="B158" s="162" t="str">
        <f>VLOOKUP($A158,Estimate!$A:$H,3,FALSE)</f>
        <v>Truck &amp; Dog</v>
      </c>
      <c r="C158" s="161" t="str">
        <f t="shared" si="2"/>
        <v>P</v>
      </c>
      <c r="D158" s="116">
        <v>3</v>
      </c>
      <c r="E158" s="161" t="str">
        <f>VLOOKUP($A158,Estimate!$A:$H,4,FALSE)</f>
        <v xml:space="preserve">hr   </v>
      </c>
    </row>
    <row r="159" spans="1:5" x14ac:dyDescent="0.25">
      <c r="A159" s="161">
        <v>65.3</v>
      </c>
      <c r="B159" s="162" t="str">
        <f>VLOOKUP($A159,Estimate!$A:$H,3,FALSE)</f>
        <v>Grader</v>
      </c>
      <c r="C159" s="161" t="str">
        <f t="shared" si="2"/>
        <v>P</v>
      </c>
      <c r="D159" s="116">
        <v>44.44</v>
      </c>
      <c r="E159" s="161" t="str">
        <f>VLOOKUP($A159,Estimate!$A:$H,4,FALSE)</f>
        <v xml:space="preserve">hr   </v>
      </c>
    </row>
    <row r="160" spans="1:5" x14ac:dyDescent="0.25">
      <c r="A160" s="161">
        <v>65.400000000000006</v>
      </c>
      <c r="B160" s="162" t="str">
        <f>VLOOKUP($A160,Estimate!$A:$H,3,FALSE)</f>
        <v>Grader</v>
      </c>
      <c r="C160" s="161" t="str">
        <f t="shared" si="2"/>
        <v>P</v>
      </c>
      <c r="D160" s="116">
        <v>150</v>
      </c>
      <c r="E160" s="161" t="str">
        <f>VLOOKUP($A160,Estimate!$A:$H,4,FALSE)</f>
        <v xml:space="preserve">hr   </v>
      </c>
    </row>
    <row r="161" spans="1:5" x14ac:dyDescent="0.25">
      <c r="A161" s="161">
        <v>66</v>
      </c>
      <c r="B161" s="162" t="str">
        <f>VLOOKUP($A161,Estimate!$A:$H,3,FALSE)</f>
        <v>Place only Type 2.3</v>
      </c>
      <c r="C161" s="161" t="str">
        <f t="shared" si="2"/>
        <v>Q</v>
      </c>
      <c r="D161" s="116">
        <v>187</v>
      </c>
      <c r="E161" s="161" t="str">
        <f>VLOOKUP($A161,Estimate!$A:$H,4,FALSE)</f>
        <v xml:space="preserve">m3   </v>
      </c>
    </row>
    <row r="162" spans="1:5" x14ac:dyDescent="0.25">
      <c r="A162" s="161">
        <v>66.099999999999994</v>
      </c>
      <c r="B162" s="162" t="str">
        <f>VLOOKUP($A162,Estimate!$A:$H,3,FALSE)</f>
        <v>Tonnes Gravel = QTY*density</v>
      </c>
      <c r="C162" s="161" t="str">
        <f t="shared" si="2"/>
        <v>P</v>
      </c>
      <c r="D162" s="116">
        <v>2.4</v>
      </c>
      <c r="E162" s="161" t="s">
        <v>2403</v>
      </c>
    </row>
    <row r="163" spans="1:5" x14ac:dyDescent="0.25">
      <c r="A163" s="161">
        <v>66.2</v>
      </c>
      <c r="B163" s="162" t="str">
        <f>VLOOKUP($A163,Estimate!$A:$H,3,FALSE)</f>
        <v>Truck &amp; Dog</v>
      </c>
      <c r="C163" s="161" t="str">
        <f t="shared" si="2"/>
        <v>P</v>
      </c>
      <c r="D163" s="116">
        <v>3</v>
      </c>
      <c r="E163" s="161" t="str">
        <f>VLOOKUP($A163,Estimate!$A:$H,4,FALSE)</f>
        <v xml:space="preserve">hr   </v>
      </c>
    </row>
    <row r="164" spans="1:5" x14ac:dyDescent="0.25">
      <c r="A164" s="161">
        <v>66.3</v>
      </c>
      <c r="B164" s="162" t="str">
        <f>VLOOKUP($A164,Estimate!$A:$H,3,FALSE)</f>
        <v>Grader</v>
      </c>
      <c r="C164" s="161" t="str">
        <f t="shared" si="2"/>
        <v>P</v>
      </c>
      <c r="D164" s="116">
        <v>44.44</v>
      </c>
      <c r="E164" s="161" t="str">
        <f>VLOOKUP($A164,Estimate!$A:$H,4,FALSE)</f>
        <v xml:space="preserve">hr   </v>
      </c>
    </row>
    <row r="165" spans="1:5" x14ac:dyDescent="0.25">
      <c r="A165" s="161">
        <v>67</v>
      </c>
      <c r="B165" s="162" t="str">
        <f>VLOOKUP($A165,Estimate!$A:$H,3,FALSE)</f>
        <v>Special Item - Geogrid layer</v>
      </c>
      <c r="C165" s="161" t="str">
        <f t="shared" si="2"/>
        <v>Q</v>
      </c>
      <c r="D165" s="116">
        <v>2103</v>
      </c>
      <c r="E165" s="161" t="str">
        <f>VLOOKUP($A165,Estimate!$A:$H,4,FALSE)</f>
        <v xml:space="preserve">m2   </v>
      </c>
    </row>
    <row r="166" spans="1:5" x14ac:dyDescent="0.25">
      <c r="A166" s="161">
        <v>67.099999999999994</v>
      </c>
      <c r="B166" s="162" t="str">
        <f>VLOOKUP($A166,Estimate!$A:$H,3,FALSE)</f>
        <v>TX160 - Geogrid</v>
      </c>
      <c r="C166" s="161" t="str">
        <f t="shared" si="2"/>
        <v>P</v>
      </c>
      <c r="D166" s="116">
        <v>1.1000000000000001</v>
      </c>
      <c r="E166" s="161" t="str">
        <f>VLOOKUP($A166,Estimate!$A:$H,4,FALSE)</f>
        <v xml:space="preserve">m²   </v>
      </c>
    </row>
    <row r="167" spans="1:5" x14ac:dyDescent="0.25">
      <c r="A167" s="161">
        <v>67.2</v>
      </c>
      <c r="B167" s="162" t="str">
        <f>VLOOKUP($A167,Estimate!$A:$H,3,FALSE)</f>
        <v>Labour</v>
      </c>
      <c r="C167" s="161" t="str">
        <f t="shared" si="2"/>
        <v>P</v>
      </c>
      <c r="D167" s="116">
        <v>570</v>
      </c>
      <c r="E167" s="161" t="str">
        <f>VLOOKUP($A167,Estimate!$A:$H,4,FALSE)</f>
        <v xml:space="preserve">hr   </v>
      </c>
    </row>
    <row r="168" spans="1:5" x14ac:dyDescent="0.25">
      <c r="A168" s="161">
        <v>68</v>
      </c>
      <c r="B168" s="162" t="str">
        <f>VLOOKUP($A168,Estimate!$A:$H,3,FALSE)</f>
        <v>Special Item - Geotextile layer</v>
      </c>
      <c r="C168" s="161" t="str">
        <f t="shared" si="2"/>
        <v>Q</v>
      </c>
      <c r="D168" s="116">
        <v>2103</v>
      </c>
      <c r="E168" s="161" t="str">
        <f>VLOOKUP($A168,Estimate!$A:$H,4,FALSE)</f>
        <v xml:space="preserve">m2   </v>
      </c>
    </row>
    <row r="169" spans="1:5" x14ac:dyDescent="0.25">
      <c r="A169" s="161">
        <v>68.099999999999994</v>
      </c>
      <c r="B169" s="162" t="str">
        <f>VLOOKUP($A169,Estimate!$A:$H,3,FALSE)</f>
        <v>A24</v>
      </c>
      <c r="C169" s="161" t="str">
        <f t="shared" si="2"/>
        <v>P</v>
      </c>
      <c r="D169" s="116">
        <v>1.1000000000000001</v>
      </c>
      <c r="E169" s="161" t="str">
        <f>VLOOKUP($A169,Estimate!$A:$H,4,FALSE)</f>
        <v xml:space="preserve">m²   </v>
      </c>
    </row>
    <row r="170" spans="1:5" x14ac:dyDescent="0.25">
      <c r="A170" s="161">
        <v>68.2</v>
      </c>
      <c r="B170" s="162" t="str">
        <f>VLOOKUP($A170,Estimate!$A:$H,3,FALSE)</f>
        <v>Labour</v>
      </c>
      <c r="C170" s="161" t="str">
        <f t="shared" si="2"/>
        <v>P</v>
      </c>
      <c r="D170" s="116">
        <v>570</v>
      </c>
      <c r="E170" s="161" t="str">
        <f>VLOOKUP($A170,Estimate!$A:$H,4,FALSE)</f>
        <v xml:space="preserve">hr   </v>
      </c>
    </row>
    <row r="171" spans="1:5" x14ac:dyDescent="0.25">
      <c r="A171" s="161">
        <v>69</v>
      </c>
      <c r="B171" s="162" t="str">
        <f>VLOOKUP($A171,Estimate!$A:$H,3,FALSE)</f>
        <v>(vii)  AMC5</v>
      </c>
      <c r="C171" s="161" t="str">
        <f t="shared" si="2"/>
        <v>Q</v>
      </c>
      <c r="D171" s="116">
        <v>2103</v>
      </c>
      <c r="E171" s="161" t="str">
        <f>VLOOKUP($A171,Estimate!$A:$H,4,FALSE)</f>
        <v xml:space="preserve">m2   </v>
      </c>
    </row>
    <row r="172" spans="1:5" x14ac:dyDescent="0.25">
      <c r="A172" s="161">
        <v>69.099999999999994</v>
      </c>
      <c r="B172" s="162" t="str">
        <f>VLOOKUP($A172,Estimate!$A:$H,3,FALSE)</f>
        <v>Seal Visit Three</v>
      </c>
      <c r="C172" s="161" t="str">
        <f t="shared" si="2"/>
        <v>P</v>
      </c>
      <c r="D172" s="116">
        <v>1.05</v>
      </c>
      <c r="E172" s="161" t="str">
        <f>VLOOKUP($A172,Estimate!$A:$H,4,FALSE)</f>
        <v xml:space="preserve">m²   </v>
      </c>
    </row>
    <row r="173" spans="1:5" x14ac:dyDescent="0.25">
      <c r="A173" s="161">
        <v>70</v>
      </c>
      <c r="B173" s="162" t="str">
        <f>VLOOKUP($A173,Estimate!$A:$H,3,FALSE)</f>
        <v>(ii)  14mm Nominal Size</v>
      </c>
      <c r="C173" s="161" t="str">
        <f t="shared" si="2"/>
        <v>Q</v>
      </c>
      <c r="D173" s="116">
        <v>202</v>
      </c>
      <c r="E173" s="161" t="str">
        <f>VLOOKUP($A173,Estimate!$A:$H,4,FALSE)</f>
        <v>tonne</v>
      </c>
    </row>
    <row r="174" spans="1:5" x14ac:dyDescent="0.25">
      <c r="A174" s="161">
        <v>71</v>
      </c>
      <c r="B174" s="162" t="str">
        <f>VLOOKUP($A174,Estimate!$A:$H,3,FALSE)</f>
        <v>Pavement Marking Paint - Longitudinal Lines including car parking bays</v>
      </c>
      <c r="C174" s="161" t="str">
        <f t="shared" si="2"/>
        <v>Q</v>
      </c>
      <c r="D174" s="116">
        <v>434</v>
      </c>
      <c r="E174" s="161" t="str">
        <f>VLOOKUP($A174,Estimate!$A:$H,4,FALSE)</f>
        <v xml:space="preserve">m    </v>
      </c>
    </row>
    <row r="175" spans="1:5" x14ac:dyDescent="0.25">
      <c r="A175" s="161">
        <v>72</v>
      </c>
      <c r="B175" s="162" t="str">
        <f>VLOOKUP($A175,Estimate!$A:$H,3,FALSE)</f>
        <v>Pavement Marking Paint - Transverse Lines, Symbols, Legends, Arrows, Chevrons, Traffic Islands &amp; Kerbs</v>
      </c>
      <c r="C175" s="161" t="str">
        <f t="shared" si="2"/>
        <v>Q</v>
      </c>
      <c r="D175" s="116">
        <v>1</v>
      </c>
      <c r="E175" s="161" t="str">
        <f>VLOOKUP($A175,Estimate!$A:$H,4,FALSE)</f>
        <v xml:space="preserve">Item </v>
      </c>
    </row>
    <row r="176" spans="1:5" x14ac:dyDescent="0.25">
      <c r="A176" s="161">
        <v>73</v>
      </c>
      <c r="B176" s="162" t="str">
        <f>VLOOKUP($A176,Estimate!$A:$H,3,FALSE)</f>
        <v>(i) 100mm thick concrete footpath</v>
      </c>
      <c r="C176" s="161" t="str">
        <f t="shared" si="2"/>
        <v>Q</v>
      </c>
      <c r="D176" s="116">
        <v>180</v>
      </c>
      <c r="E176" s="161" t="str">
        <f>VLOOKUP($A176,Estimate!$A:$H,4,FALSE)</f>
        <v xml:space="preserve">m2   </v>
      </c>
    </row>
    <row r="177" spans="1:5" x14ac:dyDescent="0.25">
      <c r="A177" s="161">
        <v>73.099999999999994</v>
      </c>
      <c r="B177" s="162" t="str">
        <f>VLOOKUP($A177,Estimate!$A:$H,3,FALSE)</f>
        <v>Excavator - 25T</v>
      </c>
      <c r="C177" s="161" t="str">
        <f t="shared" si="2"/>
        <v>P</v>
      </c>
      <c r="D177" s="116">
        <v>10</v>
      </c>
      <c r="E177" s="161" t="str">
        <f>VLOOKUP($A177,Estimate!$A:$H,4,FALSE)</f>
        <v xml:space="preserve">hr   </v>
      </c>
    </row>
    <row r="178" spans="1:5" x14ac:dyDescent="0.25">
      <c r="A178" s="161">
        <v>74</v>
      </c>
      <c r="B178" s="162" t="str">
        <f>VLOOKUP($A178,Estimate!$A:$H,3,FALSE)</f>
        <v>(ii)  Concrete Kerb Ramp</v>
      </c>
      <c r="C178" s="161" t="str">
        <f t="shared" si="2"/>
        <v>Q</v>
      </c>
      <c r="D178" s="116">
        <v>5</v>
      </c>
      <c r="E178" s="161" t="str">
        <f>VLOOKUP($A178,Estimate!$A:$H,4,FALSE)</f>
        <v xml:space="preserve">each </v>
      </c>
    </row>
    <row r="179" spans="1:5" x14ac:dyDescent="0.25">
      <c r="A179" s="161">
        <v>75</v>
      </c>
      <c r="B179" s="162" t="str">
        <f>VLOOKUP($A179,Estimate!$A:$H,3,FALSE)</f>
        <v>(iv)  Residential Invert Crossing</v>
      </c>
      <c r="C179" s="161" t="str">
        <f t="shared" si="2"/>
        <v>Q</v>
      </c>
      <c r="D179" s="116">
        <v>1</v>
      </c>
      <c r="E179" s="161" t="str">
        <f>VLOOKUP($A179,Estimate!$A:$H,4,FALSE)</f>
        <v xml:space="preserve">each </v>
      </c>
    </row>
    <row r="180" spans="1:5" x14ac:dyDescent="0.25">
      <c r="A180" s="161">
        <v>75.099999999999994</v>
      </c>
      <c r="B180" s="162" t="str">
        <f>VLOOKUP($A180,Estimate!$A:$H,3,FALSE)</f>
        <v>Excavator - 25T</v>
      </c>
      <c r="C180" s="161" t="str">
        <f t="shared" si="2"/>
        <v>P</v>
      </c>
      <c r="D180" s="116">
        <v>1</v>
      </c>
      <c r="E180" s="161" t="str">
        <f>VLOOKUP($A180,Estimate!$A:$H,4,FALSE)</f>
        <v xml:space="preserve">hr   </v>
      </c>
    </row>
    <row r="181" spans="1:5" x14ac:dyDescent="0.25">
      <c r="A181" s="161">
        <v>76</v>
      </c>
      <c r="B181" s="162" t="str">
        <f>VLOOKUP($A181,Estimate!$A:$H,3,FALSE)</f>
        <v>(v)   Industrial Invert Crossing</v>
      </c>
      <c r="C181" s="161" t="str">
        <f t="shared" si="2"/>
        <v>Q</v>
      </c>
      <c r="D181" s="116">
        <v>1</v>
      </c>
      <c r="E181" s="161" t="str">
        <f>VLOOKUP($A181,Estimate!$A:$H,4,FALSE)</f>
        <v xml:space="preserve">each </v>
      </c>
    </row>
    <row r="182" spans="1:5" x14ac:dyDescent="0.25">
      <c r="A182" s="161">
        <v>76.099999999999994</v>
      </c>
      <c r="B182" s="162" t="str">
        <f>VLOOKUP($A182,Estimate!$A:$H,3,FALSE)</f>
        <v>Excavator - 25T</v>
      </c>
      <c r="C182" s="161" t="str">
        <f t="shared" si="2"/>
        <v>P</v>
      </c>
      <c r="D182" s="116">
        <v>10</v>
      </c>
      <c r="E182" s="161" t="str">
        <f>VLOOKUP($A182,Estimate!$A:$H,4,FALSE)</f>
        <v xml:space="preserve">hr   </v>
      </c>
    </row>
    <row r="183" spans="1:5" x14ac:dyDescent="0.25">
      <c r="A183" s="161">
        <v>77</v>
      </c>
      <c r="B183" s="162" t="str">
        <f>VLOOKUP($A183,Estimate!$A:$H,3,FALSE)</f>
        <v>Special Item - Supply &amp; Install Tactile Marking</v>
      </c>
      <c r="C183" s="161" t="str">
        <f t="shared" si="2"/>
        <v>Q</v>
      </c>
      <c r="D183" s="116">
        <v>1</v>
      </c>
      <c r="E183" s="161" t="str">
        <f>VLOOKUP($A183,Estimate!$A:$H,4,FALSE)</f>
        <v xml:space="preserve">Lump </v>
      </c>
    </row>
    <row r="184" spans="1:5" x14ac:dyDescent="0.25">
      <c r="A184" s="161">
        <v>78</v>
      </c>
      <c r="B184" s="162" t="str">
        <f>VLOOKUP($A184,Estimate!$A:$H,3,FALSE)</f>
        <v>Special Item - As Constructed Survey and Plans</v>
      </c>
      <c r="C184" s="161" t="str">
        <f t="shared" si="2"/>
        <v>Q</v>
      </c>
      <c r="D184" s="116">
        <v>1</v>
      </c>
      <c r="E184" s="161" t="str">
        <f>VLOOKUP($A184,Estimate!$A:$H,4,FALSE)</f>
        <v xml:space="preserve">Lump </v>
      </c>
    </row>
    <row r="185" spans="1:5" x14ac:dyDescent="0.25">
      <c r="A185" s="161">
        <v>79</v>
      </c>
      <c r="B185" s="162" t="str">
        <f>VLOOKUP($A185,Estimate!$A:$H,3,FALSE)</f>
        <v>Excavate and backfil all materials for following diameter water mains, approved backfill under roads, testing of backfill compaction, disposal of surplus materials and restoration of surfaces:</v>
      </c>
      <c r="C185" s="161" t="str">
        <f t="shared" si="2"/>
        <v>Q</v>
      </c>
      <c r="D185" s="116">
        <v>156</v>
      </c>
      <c r="E185" s="161" t="str">
        <f>VLOOKUP($A185,Estimate!$A:$H,4,FALSE)</f>
        <v xml:space="preserve">m    </v>
      </c>
    </row>
    <row r="186" spans="1:5" x14ac:dyDescent="0.25">
      <c r="A186" s="161">
        <v>80</v>
      </c>
      <c r="B186" s="162" t="str">
        <f>VLOOKUP($A186,Estimate!$A:$H,3,FALSE)</f>
        <v>100mm dia. DICL Class PN35</v>
      </c>
      <c r="C186" s="161" t="str">
        <f t="shared" si="2"/>
        <v>Q</v>
      </c>
      <c r="D186" s="116">
        <v>156</v>
      </c>
      <c r="E186" s="161" t="str">
        <f>VLOOKUP($A186,Estimate!$A:$H,4,FALSE)</f>
        <v xml:space="preserve">m    </v>
      </c>
    </row>
    <row r="187" spans="1:5" x14ac:dyDescent="0.25">
      <c r="A187" s="161">
        <v>81</v>
      </c>
      <c r="B187" s="162" t="str">
        <f>VLOOKUP($A187,Estimate!$A:$H,3,FALSE)</f>
        <v>100mm dia.</v>
      </c>
      <c r="C187" s="161" t="str">
        <f t="shared" si="2"/>
        <v>Q</v>
      </c>
      <c r="D187" s="116">
        <v>2</v>
      </c>
      <c r="E187" s="161" t="str">
        <f>VLOOKUP($A187,Estimate!$A:$H,4,FALSE)</f>
        <v xml:space="preserve">No.  </v>
      </c>
    </row>
    <row r="188" spans="1:5" x14ac:dyDescent="0.25">
      <c r="A188" s="161">
        <v>81.5</v>
      </c>
      <c r="B188" s="162" t="str">
        <f>VLOOKUP($A188,Estimate!$A:$H,3,FALSE)</f>
        <v>100mm dia.</v>
      </c>
      <c r="C188" s="161" t="s">
        <v>2401</v>
      </c>
      <c r="D188" s="116">
        <v>3</v>
      </c>
      <c r="E188" s="161" t="str">
        <f>VLOOKUP($A188,Estimate!$A:$H,4,FALSE)</f>
        <v xml:space="preserve">No.  </v>
      </c>
    </row>
    <row r="189" spans="1:5" x14ac:dyDescent="0.25">
      <c r="A189" s="161">
        <v>82</v>
      </c>
      <c r="B189" s="162" t="str">
        <f>VLOOKUP($A189,Estimate!$A:$H,3,FALSE)</f>
        <v>100mm x 100mm.</v>
      </c>
      <c r="C189" s="161" t="str">
        <f t="shared" si="2"/>
        <v>Q</v>
      </c>
      <c r="D189" s="116">
        <v>1</v>
      </c>
      <c r="E189" s="161" t="str">
        <f>VLOOKUP($A189,Estimate!$A:$H,4,FALSE)</f>
        <v xml:space="preserve">No.  </v>
      </c>
    </row>
    <row r="190" spans="1:5" x14ac:dyDescent="0.25">
      <c r="A190" s="161">
        <v>83</v>
      </c>
      <c r="B190" s="162" t="str">
        <f>VLOOKUP($A190,Estimate!$A:$H,3,FALSE)</f>
        <v>100mm x 45 degree.</v>
      </c>
      <c r="C190" s="161" t="str">
        <f t="shared" si="2"/>
        <v>Q</v>
      </c>
      <c r="D190" s="116">
        <v>6</v>
      </c>
      <c r="E190" s="161" t="str">
        <f>VLOOKUP($A190,Estimate!$A:$H,4,FALSE)</f>
        <v xml:space="preserve">No.  </v>
      </c>
    </row>
    <row r="191" spans="1:5" x14ac:dyDescent="0.25">
      <c r="A191" s="161">
        <v>84</v>
      </c>
      <c r="B191" s="162" t="str">
        <f>VLOOKUP($A191,Estimate!$A:$H,3,FALSE)</f>
        <v>100mm</v>
      </c>
      <c r="C191" s="161" t="str">
        <f t="shared" si="2"/>
        <v>Q</v>
      </c>
      <c r="D191" s="116">
        <v>3</v>
      </c>
      <c r="E191" s="161" t="str">
        <f>VLOOKUP($A191,Estimate!$A:$H,4,FALSE)</f>
        <v xml:space="preserve">No.  </v>
      </c>
    </row>
    <row r="192" spans="1:5" x14ac:dyDescent="0.25">
      <c r="A192" s="161">
        <v>85</v>
      </c>
      <c r="B192" s="162" t="str">
        <f>VLOOKUP($A192,Estimate!$A:$H,3,FALSE)</f>
        <v>100mm</v>
      </c>
      <c r="C192" s="161" t="str">
        <f t="shared" si="2"/>
        <v>Q</v>
      </c>
      <c r="D192" s="116">
        <v>1</v>
      </c>
      <c r="E192" s="161" t="str">
        <f>VLOOKUP($A192,Estimate!$A:$H,4,FALSE)</f>
        <v xml:space="preserve">No.  </v>
      </c>
    </row>
    <row r="193" spans="1:5" x14ac:dyDescent="0.25">
      <c r="A193" s="161">
        <v>86</v>
      </c>
      <c r="B193" s="162" t="str">
        <f>VLOOKUP($A193,Estimate!$A:$H,3,FALSE)</f>
        <v>Single connection with road crossing</v>
      </c>
      <c r="C193" s="161" t="str">
        <f t="shared" si="2"/>
        <v>Q</v>
      </c>
      <c r="D193" s="116">
        <v>4</v>
      </c>
      <c r="E193" s="161" t="str">
        <f>VLOOKUP($A193,Estimate!$A:$H,4,FALSE)</f>
        <v xml:space="preserve">No.  </v>
      </c>
    </row>
    <row r="194" spans="1:5" x14ac:dyDescent="0.25">
      <c r="A194" s="161">
        <v>87</v>
      </c>
      <c r="B194" s="162" t="str">
        <f>VLOOKUP($A194,Estimate!$A:$H,3,FALSE)</f>
        <v>Double connection with road crossing</v>
      </c>
      <c r="C194" s="161" t="str">
        <f t="shared" si="2"/>
        <v>Q</v>
      </c>
      <c r="D194" s="116">
        <v>2</v>
      </c>
      <c r="E194" s="161" t="str">
        <f>VLOOKUP($A194,Estimate!$A:$H,4,FALSE)</f>
        <v xml:space="preserve">No.  </v>
      </c>
    </row>
    <row r="195" spans="1:5" x14ac:dyDescent="0.25">
      <c r="A195" s="161">
        <v>88</v>
      </c>
      <c r="B195" s="162" t="str">
        <f>VLOOKUP($A195,Estimate!$A:$H,3,FALSE)</f>
        <v>Sterilisation of mains including supply of chlorine, water for chlorination and bacteriological sampling and testing.</v>
      </c>
      <c r="C195" s="161" t="str">
        <f t="shared" si="2"/>
        <v>Q</v>
      </c>
      <c r="D195" s="116">
        <v>1</v>
      </c>
      <c r="E195" s="161" t="str">
        <f>VLOOKUP($A195,Estimate!$A:$H,4,FALSE)</f>
        <v xml:space="preserve">Item </v>
      </c>
    </row>
    <row r="196" spans="1:5" x14ac:dyDescent="0.25">
      <c r="A196" s="161">
        <v>89</v>
      </c>
      <c r="B196" s="162" t="str">
        <f>VLOOKUP($A196,Estimate!$A:$H,3,FALSE)</f>
        <v>Locate existing  water main and arrange connection of new water main. (Work by WRC).</v>
      </c>
      <c r="C196" s="161" t="str">
        <f t="shared" ref="C196:C259" si="3">IF(A196/ROUND(A196,0)=1,"Q","P")</f>
        <v>Q</v>
      </c>
      <c r="D196" s="116">
        <v>1</v>
      </c>
      <c r="E196" s="161" t="str">
        <f>VLOOKUP($A196,Estimate!$A:$H,4,FALSE)</f>
        <v>PC It</v>
      </c>
    </row>
    <row r="197" spans="1:5" x14ac:dyDescent="0.25">
      <c r="A197" s="161">
        <v>90</v>
      </c>
      <c r="B197" s="162" t="str">
        <f>VLOOKUP($A197,Estimate!$A:$H,3,FALSE)</f>
        <v>Special Item - As Constructed Survey and Plans</v>
      </c>
      <c r="C197" s="161" t="str">
        <f t="shared" si="3"/>
        <v>Q</v>
      </c>
      <c r="D197" s="116">
        <v>1</v>
      </c>
      <c r="E197" s="161" t="str">
        <f>VLOOKUP($A197,Estimate!$A:$H,4,FALSE)</f>
        <v xml:space="preserve">Item </v>
      </c>
    </row>
    <row r="198" spans="1:5" x14ac:dyDescent="0.25">
      <c r="A198" s="161">
        <v>91</v>
      </c>
      <c r="B198" s="162" t="str">
        <f>VLOOKUP($A198,Estimate!$A:$H,3,FALSE)</f>
        <v>Quality Verification &amp; Control</v>
      </c>
      <c r="C198" s="161" t="str">
        <f t="shared" si="3"/>
        <v>Q</v>
      </c>
      <c r="D198" s="116">
        <v>1</v>
      </c>
      <c r="E198" s="161" t="str">
        <f>VLOOKUP($A198,Estimate!$A:$H,4,FALSE)</f>
        <v xml:space="preserve">Lump </v>
      </c>
    </row>
    <row r="199" spans="1:5" x14ac:dyDescent="0.25">
      <c r="A199" s="161">
        <v>91.1</v>
      </c>
      <c r="B199" s="162" t="str">
        <f>VLOOKUP($A199,Estimate!$A:$H,3,FALSE)</f>
        <v>(12) Field Density Tests</v>
      </c>
      <c r="C199" s="161" t="str">
        <f t="shared" si="3"/>
        <v>P</v>
      </c>
      <c r="D199" s="116">
        <v>12</v>
      </c>
      <c r="E199" s="161" t="s">
        <v>29</v>
      </c>
    </row>
    <row r="200" spans="1:5" x14ac:dyDescent="0.25">
      <c r="A200" s="161">
        <v>91.2</v>
      </c>
      <c r="B200" s="162" t="str">
        <f>VLOOKUP($A200,Estimate!$A:$H,3,FALSE)</f>
        <v>(6) Concrete Cylinder Sets</v>
      </c>
      <c r="C200" s="161" t="str">
        <f t="shared" si="3"/>
        <v>P</v>
      </c>
      <c r="D200" s="116">
        <v>6</v>
      </c>
      <c r="E200" s="161" t="s">
        <v>29</v>
      </c>
    </row>
    <row r="201" spans="1:5" x14ac:dyDescent="0.25">
      <c r="A201" s="161">
        <v>91.3</v>
      </c>
      <c r="B201" s="162" t="str">
        <f>VLOOKUP($A201,Estimate!$A:$H,3,FALSE)</f>
        <v>Survey</v>
      </c>
      <c r="C201" s="161" t="str">
        <f t="shared" si="3"/>
        <v>P</v>
      </c>
      <c r="D201" s="116">
        <v>7300</v>
      </c>
      <c r="E201" s="161" t="str">
        <f>VLOOKUP($A201,Estimate!$A:$H,4,FALSE)</f>
        <v xml:space="preserve">Item </v>
      </c>
    </row>
    <row r="202" spans="1:5" x14ac:dyDescent="0.25">
      <c r="A202" s="161">
        <v>92</v>
      </c>
      <c r="B202" s="162" t="str">
        <f>VLOOKUP($A202,Estimate!$A:$H,3,FALSE)</f>
        <v>Control of Traffic</v>
      </c>
      <c r="C202" s="161" t="str">
        <f t="shared" si="3"/>
        <v>Q</v>
      </c>
      <c r="D202" s="116">
        <v>1</v>
      </c>
      <c r="E202" s="161" t="str">
        <f>VLOOKUP($A202,Estimate!$A:$H,4,FALSE)</f>
        <v xml:space="preserve">Lump </v>
      </c>
    </row>
    <row r="203" spans="1:5" x14ac:dyDescent="0.25">
      <c r="A203" s="161">
        <v>92.1</v>
      </c>
      <c r="B203" s="162" t="str">
        <f>VLOOKUP($A203,Estimate!$A:$H,3,FALSE)</f>
        <v>(4) No. Weeks TC Required</v>
      </c>
      <c r="C203" s="161" t="str">
        <f t="shared" si="3"/>
        <v>P</v>
      </c>
      <c r="D203" s="116">
        <v>4</v>
      </c>
      <c r="E203" s="161" t="s">
        <v>22</v>
      </c>
    </row>
    <row r="204" spans="1:5" x14ac:dyDescent="0.25">
      <c r="A204" s="161">
        <v>93</v>
      </c>
      <c r="B204" s="162" t="str">
        <f>VLOOKUP($A204,Estimate!$A:$H,3,FALSE)</f>
        <v>Temporary Erosion &amp; Sedimentation Control (includes supply and installation of all components)</v>
      </c>
      <c r="C204" s="161" t="str">
        <f t="shared" si="3"/>
        <v>Q</v>
      </c>
      <c r="D204" s="116">
        <v>1</v>
      </c>
      <c r="E204" s="161" t="str">
        <f>VLOOKUP($A204,Estimate!$A:$H,4,FALSE)</f>
        <v xml:space="preserve">Lump </v>
      </c>
    </row>
    <row r="205" spans="1:5" x14ac:dyDescent="0.25">
      <c r="A205" s="161">
        <v>93.1</v>
      </c>
      <c r="B205" s="162" t="str">
        <f>VLOOKUP($A205,Estimate!$A:$H,3,FALSE)</f>
        <v>Labour</v>
      </c>
      <c r="C205" s="161" t="str">
        <f t="shared" si="3"/>
        <v>P</v>
      </c>
      <c r="D205" s="116">
        <v>3</v>
      </c>
      <c r="E205" s="161" t="str">
        <f>VLOOKUP($A205,Estimate!$A:$H,4,FALSE)</f>
        <v xml:space="preserve">hr   </v>
      </c>
    </row>
    <row r="206" spans="1:5" x14ac:dyDescent="0.25">
      <c r="A206" s="161">
        <v>94</v>
      </c>
      <c r="B206" s="162" t="str">
        <f>VLOOKUP($A206,Estimate!$A:$H,3,FALSE)</f>
        <v>Special Item - Demolition of Structure (concrete slabs, culverts, pipes etc)</v>
      </c>
      <c r="C206" s="161" t="str">
        <f t="shared" si="3"/>
        <v>Q</v>
      </c>
      <c r="D206" s="116">
        <v>1</v>
      </c>
      <c r="E206" s="161" t="str">
        <f>VLOOKUP($A206,Estimate!$A:$H,4,FALSE)</f>
        <v xml:space="preserve">Lump </v>
      </c>
    </row>
    <row r="207" spans="1:5" x14ac:dyDescent="0.25">
      <c r="A207" s="161">
        <v>94.1</v>
      </c>
      <c r="B207" s="162" t="str">
        <f>VLOOKUP($A207,Estimate!$A:$H,3,FALSE)</f>
        <v>Excavator - 25T</v>
      </c>
      <c r="C207" s="161" t="str">
        <f t="shared" si="3"/>
        <v>P</v>
      </c>
      <c r="D207" s="116">
        <v>0.06</v>
      </c>
      <c r="E207" s="161" t="str">
        <f>VLOOKUP($A207,Estimate!$A:$H,4,FALSE)</f>
        <v xml:space="preserve">hr   </v>
      </c>
    </row>
    <row r="208" spans="1:5" x14ac:dyDescent="0.25">
      <c r="A208" s="161">
        <v>94.2</v>
      </c>
      <c r="B208" s="162" t="str">
        <f>VLOOKUP($A208,Estimate!$A:$H,3,FALSE)</f>
        <v>Tipper</v>
      </c>
      <c r="C208" s="161" t="str">
        <f t="shared" si="3"/>
        <v>P</v>
      </c>
      <c r="D208" s="116">
        <v>3</v>
      </c>
      <c r="E208" s="161" t="str">
        <f>VLOOKUP($A208,Estimate!$A:$H,4,FALSE)</f>
        <v xml:space="preserve">hr   </v>
      </c>
    </row>
    <row r="209" spans="1:5" x14ac:dyDescent="0.25">
      <c r="A209" s="161">
        <v>95</v>
      </c>
      <c r="B209" s="162" t="str">
        <f>VLOOKUP($A209,Estimate!$A:$H,3,FALSE)</f>
        <v>General Earthworks Cut</v>
      </c>
      <c r="C209" s="161" t="str">
        <f t="shared" si="3"/>
        <v>Q</v>
      </c>
      <c r="D209" s="116">
        <v>1430</v>
      </c>
      <c r="E209" s="161" t="str">
        <f>VLOOKUP($A209,Estimate!$A:$H,4,FALSE)</f>
        <v xml:space="preserve">m3   </v>
      </c>
    </row>
    <row r="210" spans="1:5" x14ac:dyDescent="0.25">
      <c r="A210" s="161">
        <v>95.1</v>
      </c>
      <c r="B210" s="162" t="str">
        <f>VLOOKUP($A210,Estimate!$A:$H,3,FALSE)</f>
        <v>Excavator - 25T</v>
      </c>
      <c r="C210" s="161" t="str">
        <f t="shared" si="3"/>
        <v>P</v>
      </c>
      <c r="D210" s="116">
        <v>40</v>
      </c>
      <c r="E210" s="161" t="str">
        <f>VLOOKUP($A210,Estimate!$A:$H,4,FALSE)</f>
        <v xml:space="preserve">hr   </v>
      </c>
    </row>
    <row r="211" spans="1:5" x14ac:dyDescent="0.25">
      <c r="A211" s="161">
        <v>95.2</v>
      </c>
      <c r="B211" s="162" t="str">
        <f>VLOOKUP($A211,Estimate!$A:$H,3,FALSE)</f>
        <v>Truck &amp; Dog</v>
      </c>
      <c r="C211" s="161" t="str">
        <f t="shared" si="3"/>
        <v>P</v>
      </c>
      <c r="D211" s="116">
        <v>3</v>
      </c>
      <c r="E211" s="161" t="str">
        <f>VLOOKUP($A211,Estimate!$A:$H,4,FALSE)</f>
        <v xml:space="preserve">hr   </v>
      </c>
    </row>
    <row r="212" spans="1:5" x14ac:dyDescent="0.25">
      <c r="A212" s="161">
        <v>95.3</v>
      </c>
      <c r="B212" s="162" t="str">
        <f>VLOOKUP($A212,Estimate!$A:$H,3,FALSE)</f>
        <v>Grader</v>
      </c>
      <c r="C212" s="161" t="str">
        <f t="shared" si="3"/>
        <v>P</v>
      </c>
      <c r="D212" s="116">
        <v>250</v>
      </c>
      <c r="E212" s="161" t="str">
        <f>VLOOKUP($A212,Estimate!$A:$H,4,FALSE)</f>
        <v xml:space="preserve">hr   </v>
      </c>
    </row>
    <row r="213" spans="1:5" x14ac:dyDescent="0.25">
      <c r="A213" s="161">
        <v>96</v>
      </c>
      <c r="B213" s="162" t="str">
        <f>VLOOKUP($A213,Estimate!$A:$H,3,FALSE)</f>
        <v xml:space="preserve"> Removal / Demolition of Drainage Components complete</v>
      </c>
      <c r="C213" s="161" t="str">
        <f t="shared" si="3"/>
        <v>Q</v>
      </c>
      <c r="D213" s="116">
        <v>1</v>
      </c>
      <c r="E213" s="161" t="str">
        <f>VLOOKUP($A213,Estimate!$A:$H,4,FALSE)</f>
        <v xml:space="preserve">Lump </v>
      </c>
    </row>
    <row r="214" spans="1:5" x14ac:dyDescent="0.25">
      <c r="A214" s="161">
        <v>96.1</v>
      </c>
      <c r="B214" s="162" t="str">
        <f>VLOOKUP($A214,Estimate!$A:$H,3,FALSE)</f>
        <v>Excavator - 25T</v>
      </c>
      <c r="C214" s="161" t="str">
        <f t="shared" si="3"/>
        <v>P</v>
      </c>
      <c r="D214" s="116">
        <v>0.11</v>
      </c>
      <c r="E214" s="161" t="str">
        <f>VLOOKUP($A214,Estimate!$A:$H,4,FALSE)</f>
        <v xml:space="preserve">hr   </v>
      </c>
    </row>
    <row r="215" spans="1:5" x14ac:dyDescent="0.25">
      <c r="A215" s="161">
        <v>97</v>
      </c>
      <c r="B215" s="162" t="str">
        <f>VLOOKUP($A215,Estimate!$A:$H,3,FALSE)</f>
        <v>Alteration to Existing Stormwater Structures (Break new RCP's into existing RCBC - 4 Nos)</v>
      </c>
      <c r="C215" s="161" t="str">
        <f t="shared" si="3"/>
        <v>Q</v>
      </c>
      <c r="D215" s="116">
        <v>1</v>
      </c>
      <c r="E215" s="161" t="str">
        <f>VLOOKUP($A215,Estimate!$A:$H,4,FALSE)</f>
        <v xml:space="preserve">Lump </v>
      </c>
    </row>
    <row r="216" spans="1:5" x14ac:dyDescent="0.25">
      <c r="A216" s="161">
        <v>98</v>
      </c>
      <c r="B216" s="162" t="str">
        <f>VLOOKUP($A216,Estimate!$A:$H,3,FALSE)</f>
        <v>375mm dia Class 2, Flush Joint</v>
      </c>
      <c r="C216" s="161" t="str">
        <f t="shared" si="3"/>
        <v>Q</v>
      </c>
      <c r="D216" s="116">
        <v>7.32</v>
      </c>
      <c r="E216" s="161" t="str">
        <f>VLOOKUP($A216,Estimate!$A:$H,4,FALSE)</f>
        <v xml:space="preserve">m    </v>
      </c>
    </row>
    <row r="217" spans="1:5" x14ac:dyDescent="0.25">
      <c r="A217" s="161">
        <v>98.1</v>
      </c>
      <c r="B217" s="162" t="str">
        <f>VLOOKUP($A217,Estimate!$A:$H,3,FALSE)</f>
        <v>Excavator - 25T</v>
      </c>
      <c r="C217" s="161" t="str">
        <f t="shared" si="3"/>
        <v>P</v>
      </c>
      <c r="D217" s="116">
        <v>1.46</v>
      </c>
      <c r="E217" s="161" t="str">
        <f>VLOOKUP($A217,Estimate!$A:$H,4,FALSE)</f>
        <v xml:space="preserve">hr   </v>
      </c>
    </row>
    <row r="218" spans="1:5" x14ac:dyDescent="0.25">
      <c r="A218" s="161">
        <v>99</v>
      </c>
      <c r="B218" s="162" t="str">
        <f>VLOOKUP($A218,Estimate!$A:$H,3,FALSE)</f>
        <v>375mm dia Class 3, Flush Joint</v>
      </c>
      <c r="C218" s="161" t="str">
        <f t="shared" si="3"/>
        <v>Q</v>
      </c>
      <c r="D218" s="116">
        <v>17.079999999999998</v>
      </c>
      <c r="E218" s="161" t="str">
        <f>VLOOKUP($A218,Estimate!$A:$H,4,FALSE)</f>
        <v xml:space="preserve">m    </v>
      </c>
    </row>
    <row r="219" spans="1:5" x14ac:dyDescent="0.25">
      <c r="A219" s="161">
        <v>99.1</v>
      </c>
      <c r="B219" s="162" t="str">
        <f>VLOOKUP($A219,Estimate!$A:$H,3,FALSE)</f>
        <v>Excavator - 25T</v>
      </c>
      <c r="C219" s="161" t="str">
        <f t="shared" si="3"/>
        <v>P</v>
      </c>
      <c r="D219" s="116">
        <v>3.42</v>
      </c>
      <c r="E219" s="161" t="str">
        <f>VLOOKUP($A219,Estimate!$A:$H,4,FALSE)</f>
        <v xml:space="preserve">hr   </v>
      </c>
    </row>
    <row r="220" spans="1:5" x14ac:dyDescent="0.25">
      <c r="A220" s="161">
        <v>100</v>
      </c>
      <c r="B220" s="162" t="str">
        <f>VLOOKUP($A220,Estimate!$A:$H,3,FALSE)</f>
        <v>Renew Property Drainage connections</v>
      </c>
      <c r="C220" s="161" t="str">
        <f t="shared" si="3"/>
        <v>Q</v>
      </c>
      <c r="D220" s="116">
        <v>1</v>
      </c>
      <c r="E220" s="161" t="str">
        <f>VLOOKUP($A220,Estimate!$A:$H,4,FALSE)</f>
        <v xml:space="preserve">Lump </v>
      </c>
    </row>
    <row r="221" spans="1:5" x14ac:dyDescent="0.25">
      <c r="A221" s="161">
        <v>100.1</v>
      </c>
      <c r="B221" s="162" t="str">
        <f>VLOOKUP($A221,Estimate!$A:$H,3,FALSE)</f>
        <v>(16) No. of properties</v>
      </c>
      <c r="C221" s="161" t="str">
        <f t="shared" si="3"/>
        <v>P</v>
      </c>
      <c r="D221" s="116">
        <v>16</v>
      </c>
      <c r="E221" s="161" t="s">
        <v>29</v>
      </c>
    </row>
    <row r="222" spans="1:5" x14ac:dyDescent="0.25">
      <c r="A222" s="161">
        <v>101</v>
      </c>
      <c r="B222" s="162" t="str">
        <f>VLOOKUP($A222,Estimate!$A:$H,3,FALSE)</f>
        <v>MCC Type A Gully Pit</v>
      </c>
      <c r="C222" s="161" t="str">
        <f t="shared" si="3"/>
        <v>Q</v>
      </c>
      <c r="D222" s="116">
        <v>4</v>
      </c>
      <c r="E222" s="161" t="str">
        <f>VLOOKUP($A222,Estimate!$A:$H,4,FALSE)</f>
        <v xml:space="preserve">each </v>
      </c>
    </row>
    <row r="223" spans="1:5" x14ac:dyDescent="0.25">
      <c r="A223" s="161">
        <v>101.1</v>
      </c>
      <c r="B223" s="162" t="str">
        <f>VLOOKUP($A223,Estimate!$A:$H,3,FALSE)</f>
        <v>Pit Builder</v>
      </c>
      <c r="C223" s="161" t="str">
        <f t="shared" si="3"/>
        <v>P</v>
      </c>
      <c r="D223" s="116">
        <v>2</v>
      </c>
      <c r="E223" s="161" t="str">
        <f>VLOOKUP($A223,Estimate!$A:$H,4,FALSE)</f>
        <v xml:space="preserve">each </v>
      </c>
    </row>
    <row r="224" spans="1:5" x14ac:dyDescent="0.25">
      <c r="A224" s="161">
        <v>102</v>
      </c>
      <c r="B224" s="162" t="str">
        <f>VLOOKUP($A224,Estimate!$A:$H,3,FALSE)</f>
        <v>(i)  Concrete Barrier Kerb &amp; Channel B1 complete</v>
      </c>
      <c r="C224" s="161" t="str">
        <f t="shared" si="3"/>
        <v>Q</v>
      </c>
      <c r="D224" s="116">
        <v>524</v>
      </c>
      <c r="E224" s="161" t="str">
        <f>VLOOKUP($A224,Estimate!$A:$H,4,FALSE)</f>
        <v xml:space="preserve">m    </v>
      </c>
    </row>
    <row r="225" spans="1:5" x14ac:dyDescent="0.25">
      <c r="A225" s="161">
        <v>102.1</v>
      </c>
      <c r="B225" s="162" t="str">
        <f>VLOOKUP($A225,Estimate!$A:$H,3,FALSE)</f>
        <v>S32 - Kerb Mix</v>
      </c>
      <c r="C225" s="161" t="str">
        <f t="shared" si="3"/>
        <v>P</v>
      </c>
      <c r="D225" s="116">
        <v>8.6</v>
      </c>
      <c r="E225" s="161" t="str">
        <f>VLOOKUP($A225,Estimate!$A:$H,4,FALSE)</f>
        <v xml:space="preserve">m³   </v>
      </c>
    </row>
    <row r="226" spans="1:5" x14ac:dyDescent="0.25">
      <c r="A226" s="161">
        <v>102.2</v>
      </c>
      <c r="B226" s="162" t="str">
        <f>VLOOKUP($A226,Estimate!$A:$H,3,FALSE)</f>
        <v>Sand</v>
      </c>
      <c r="C226" s="161" t="str">
        <f t="shared" si="3"/>
        <v>P</v>
      </c>
      <c r="D226" s="116">
        <v>75</v>
      </c>
      <c r="E226" s="161" t="str">
        <f>VLOOKUP($A226,Estimate!$A:$H,4,FALSE)</f>
        <v>tonne</v>
      </c>
    </row>
    <row r="227" spans="1:5" x14ac:dyDescent="0.25">
      <c r="A227" s="161">
        <v>102.3</v>
      </c>
      <c r="B227" s="162" t="str">
        <f>VLOOKUP($A227,Estimate!$A:$H,3,FALSE)</f>
        <v>Cement</v>
      </c>
      <c r="C227" s="161" t="str">
        <f t="shared" si="3"/>
        <v>P</v>
      </c>
      <c r="D227" s="116">
        <v>8</v>
      </c>
      <c r="E227" s="161" t="str">
        <f>VLOOKUP($A227,Estimate!$A:$H,4,FALSE)</f>
        <v>tonne</v>
      </c>
    </row>
    <row r="228" spans="1:5" x14ac:dyDescent="0.25">
      <c r="A228" s="161">
        <v>103</v>
      </c>
      <c r="B228" s="162" t="str">
        <f>VLOOKUP($A228,Estimate!$A:$H,3,FALSE)</f>
        <v>(ii)  Concrete Mountable Kerb &amp; Channel M1 complete</v>
      </c>
      <c r="C228" s="161" t="str">
        <f t="shared" si="3"/>
        <v>Q</v>
      </c>
      <c r="D228" s="116">
        <v>42</v>
      </c>
      <c r="E228" s="161" t="str">
        <f>VLOOKUP($A228,Estimate!$A:$H,4,FALSE)</f>
        <v xml:space="preserve">m    </v>
      </c>
    </row>
    <row r="229" spans="1:5" x14ac:dyDescent="0.25">
      <c r="A229" s="161">
        <v>103.1</v>
      </c>
      <c r="B229" s="162" t="str">
        <f>VLOOKUP($A229,Estimate!$A:$H,3,FALSE)</f>
        <v>S32 - Kerb Mix</v>
      </c>
      <c r="C229" s="161" t="str">
        <f t="shared" si="3"/>
        <v>P</v>
      </c>
      <c r="D229" s="116">
        <v>7.6</v>
      </c>
      <c r="E229" s="161" t="str">
        <f>VLOOKUP($A229,Estimate!$A:$H,4,FALSE)</f>
        <v xml:space="preserve">m³   </v>
      </c>
    </row>
    <row r="230" spans="1:5" x14ac:dyDescent="0.25">
      <c r="A230" s="161">
        <v>103.2</v>
      </c>
      <c r="B230" s="162" t="str">
        <f>VLOOKUP($A230,Estimate!$A:$H,3,FALSE)</f>
        <v>Sand</v>
      </c>
      <c r="C230" s="161" t="str">
        <f t="shared" si="3"/>
        <v>P</v>
      </c>
      <c r="D230" s="116">
        <v>75</v>
      </c>
      <c r="E230" s="161" t="str">
        <f>VLOOKUP($A230,Estimate!$A:$H,4,FALSE)</f>
        <v>tonne</v>
      </c>
    </row>
    <row r="231" spans="1:5" x14ac:dyDescent="0.25">
      <c r="A231" s="161">
        <v>103.3</v>
      </c>
      <c r="B231" s="162" t="str">
        <f>VLOOKUP($A231,Estimate!$A:$H,3,FALSE)</f>
        <v>Cement</v>
      </c>
      <c r="C231" s="161" t="str">
        <f t="shared" si="3"/>
        <v>P</v>
      </c>
      <c r="D231" s="116">
        <v>8</v>
      </c>
      <c r="E231" s="161" t="str">
        <f>VLOOKUP($A231,Estimate!$A:$H,4,FALSE)</f>
        <v>tonne</v>
      </c>
    </row>
    <row r="232" spans="1:5" x14ac:dyDescent="0.25">
      <c r="A232" s="161">
        <v>104</v>
      </c>
      <c r="B232" s="162" t="str">
        <f>VLOOKUP($A232,Estimate!$A:$H,3,FALSE)</f>
        <v>(i)  100mm dia Slotted Corrugated Plastic Pipe</v>
      </c>
      <c r="C232" s="161" t="str">
        <f t="shared" si="3"/>
        <v>Q</v>
      </c>
      <c r="D232" s="116">
        <v>491</v>
      </c>
      <c r="E232" s="161" t="str">
        <f>VLOOKUP($A232,Estimate!$A:$H,4,FALSE)</f>
        <v xml:space="preserve">m    </v>
      </c>
    </row>
    <row r="233" spans="1:5" x14ac:dyDescent="0.25">
      <c r="A233" s="161">
        <v>104.1</v>
      </c>
      <c r="B233" s="162" t="str">
        <f>VLOOKUP($A233,Estimate!$A:$H,3,FALSE)</f>
        <v>Excavator - 25T</v>
      </c>
      <c r="C233" s="161" t="str">
        <f t="shared" si="3"/>
        <v>P</v>
      </c>
      <c r="D233" s="116">
        <v>11.11</v>
      </c>
      <c r="E233" s="161" t="str">
        <f>VLOOKUP($A233,Estimate!$A:$H,4,FALSE)</f>
        <v xml:space="preserve">hr   </v>
      </c>
    </row>
    <row r="234" spans="1:5" x14ac:dyDescent="0.25">
      <c r="A234" s="161">
        <v>105</v>
      </c>
      <c r="B234" s="162" t="str">
        <f>VLOOKUP($A234,Estimate!$A:$H,3,FALSE)</f>
        <v>Cleanout Structures</v>
      </c>
      <c r="C234" s="161" t="str">
        <f t="shared" si="3"/>
        <v>Q</v>
      </c>
      <c r="D234" s="116">
        <v>14</v>
      </c>
      <c r="E234" s="161" t="str">
        <f>VLOOKUP($A234,Estimate!$A:$H,4,FALSE)</f>
        <v xml:space="preserve">each </v>
      </c>
    </row>
    <row r="235" spans="1:5" x14ac:dyDescent="0.25">
      <c r="A235" s="161">
        <v>106</v>
      </c>
      <c r="B235" s="162" t="str">
        <f>VLOOKUP($A235,Estimate!$A:$H,3,FALSE)</f>
        <v>Place only Type 2.3 (cement modified)</v>
      </c>
      <c r="C235" s="161" t="str">
        <f t="shared" si="3"/>
        <v>Q</v>
      </c>
      <c r="D235" s="116">
        <v>521</v>
      </c>
      <c r="E235" s="161" t="str">
        <f>VLOOKUP($A235,Estimate!$A:$H,4,FALSE)</f>
        <v xml:space="preserve">m3   </v>
      </c>
    </row>
    <row r="236" spans="1:5" x14ac:dyDescent="0.25">
      <c r="A236" s="161">
        <v>106.1</v>
      </c>
      <c r="B236" s="162" t="str">
        <f>VLOOKUP($A236,Estimate!$A:$H,3,FALSE)</f>
        <v>Tonnes Gravel = QTY*density</v>
      </c>
      <c r="C236" s="161" t="str">
        <f t="shared" si="3"/>
        <v>P</v>
      </c>
      <c r="D236" s="116">
        <v>2.4</v>
      </c>
      <c r="E236" s="161" t="s">
        <v>2403</v>
      </c>
    </row>
    <row r="237" spans="1:5" x14ac:dyDescent="0.25">
      <c r="A237" s="161">
        <v>106.2</v>
      </c>
      <c r="B237" s="162" t="str">
        <f>VLOOKUP($A237,Estimate!$A:$H,3,FALSE)</f>
        <v>Truck &amp; Dog</v>
      </c>
      <c r="C237" s="161" t="str">
        <f t="shared" si="3"/>
        <v>P</v>
      </c>
      <c r="D237" s="116">
        <v>3</v>
      </c>
      <c r="E237" s="161" t="str">
        <f>VLOOKUP($A237,Estimate!$A:$H,4,FALSE)</f>
        <v xml:space="preserve">hr   </v>
      </c>
    </row>
    <row r="238" spans="1:5" x14ac:dyDescent="0.25">
      <c r="A238" s="161">
        <v>106.3</v>
      </c>
      <c r="B238" s="162" t="str">
        <f>VLOOKUP($A238,Estimate!$A:$H,3,FALSE)</f>
        <v>Grader</v>
      </c>
      <c r="C238" s="161" t="str">
        <f t="shared" si="3"/>
        <v>P</v>
      </c>
      <c r="D238" s="116">
        <v>44.44</v>
      </c>
      <c r="E238" s="161" t="str">
        <f>VLOOKUP($A238,Estimate!$A:$H,4,FALSE)</f>
        <v xml:space="preserve">hr   </v>
      </c>
    </row>
    <row r="239" spans="1:5" x14ac:dyDescent="0.25">
      <c r="A239" s="161">
        <v>107</v>
      </c>
      <c r="B239" s="162" t="str">
        <f>VLOOKUP($A239,Estimate!$A:$H,3,FALSE)</f>
        <v>Place only Type 2.1</v>
      </c>
      <c r="C239" s="161" t="str">
        <f t="shared" si="3"/>
        <v>Q</v>
      </c>
      <c r="D239" s="116">
        <v>345</v>
      </c>
      <c r="E239" s="161" t="str">
        <f>VLOOKUP($A239,Estimate!$A:$H,4,FALSE)</f>
        <v xml:space="preserve">m3   </v>
      </c>
    </row>
    <row r="240" spans="1:5" x14ac:dyDescent="0.25">
      <c r="A240" s="161">
        <v>107.1</v>
      </c>
      <c r="B240" s="162" t="str">
        <f>VLOOKUP($A240,Estimate!$A:$H,3,FALSE)</f>
        <v>Tonnes Gravel = QTY*density</v>
      </c>
      <c r="C240" s="161" t="str">
        <f t="shared" si="3"/>
        <v>P</v>
      </c>
      <c r="D240" s="116">
        <v>2.4</v>
      </c>
      <c r="E240" s="161" t="s">
        <v>2403</v>
      </c>
    </row>
    <row r="241" spans="1:5" x14ac:dyDescent="0.25">
      <c r="A241" s="161">
        <v>107.2</v>
      </c>
      <c r="B241" s="162" t="str">
        <f>VLOOKUP($A241,Estimate!$A:$H,3,FALSE)</f>
        <v>Truck &amp; Dog</v>
      </c>
      <c r="C241" s="161" t="str">
        <f t="shared" si="3"/>
        <v>P</v>
      </c>
      <c r="D241" s="116">
        <v>3</v>
      </c>
      <c r="E241" s="161" t="str">
        <f>VLOOKUP($A241,Estimate!$A:$H,4,FALSE)</f>
        <v xml:space="preserve">hr   </v>
      </c>
    </row>
    <row r="242" spans="1:5" x14ac:dyDescent="0.25">
      <c r="A242" s="161">
        <v>107.3</v>
      </c>
      <c r="B242" s="162" t="str">
        <f>VLOOKUP($A242,Estimate!$A:$H,3,FALSE)</f>
        <v>Grader</v>
      </c>
      <c r="C242" s="161" t="str">
        <f t="shared" si="3"/>
        <v>P</v>
      </c>
      <c r="D242" s="116">
        <v>44.44</v>
      </c>
      <c r="E242" s="161" t="str">
        <f>VLOOKUP($A242,Estimate!$A:$H,4,FALSE)</f>
        <v xml:space="preserve">hr   </v>
      </c>
    </row>
    <row r="243" spans="1:5" x14ac:dyDescent="0.25">
      <c r="A243" s="161">
        <v>107.4</v>
      </c>
      <c r="B243" s="162" t="str">
        <f>VLOOKUP($A243,Estimate!$A:$H,3,FALSE)</f>
        <v>Grader</v>
      </c>
      <c r="C243" s="161" t="str">
        <f t="shared" si="3"/>
        <v>P</v>
      </c>
      <c r="D243" s="116">
        <v>150</v>
      </c>
      <c r="E243" s="161" t="str">
        <f>VLOOKUP($A243,Estimate!$A:$H,4,FALSE)</f>
        <v xml:space="preserve">hr   </v>
      </c>
    </row>
    <row r="244" spans="1:5" x14ac:dyDescent="0.25">
      <c r="A244" s="161">
        <v>108</v>
      </c>
      <c r="B244" s="162" t="str">
        <f>VLOOKUP($A244,Estimate!$A:$H,3,FALSE)</f>
        <v>Special Item - Geotextile layer</v>
      </c>
      <c r="C244" s="161" t="str">
        <f t="shared" si="3"/>
        <v>Q</v>
      </c>
      <c r="D244" s="116">
        <v>2797</v>
      </c>
      <c r="E244" s="161" t="str">
        <f>VLOOKUP($A244,Estimate!$A:$H,4,FALSE)</f>
        <v xml:space="preserve">m2   </v>
      </c>
    </row>
    <row r="245" spans="1:5" x14ac:dyDescent="0.25">
      <c r="A245" s="161">
        <v>108.1</v>
      </c>
      <c r="B245" s="162" t="str">
        <f>VLOOKUP($A245,Estimate!$A:$H,3,FALSE)</f>
        <v>A24</v>
      </c>
      <c r="C245" s="161" t="str">
        <f t="shared" si="3"/>
        <v>P</v>
      </c>
      <c r="D245" s="116">
        <v>1.1000000000000001</v>
      </c>
      <c r="E245" s="161" t="str">
        <f>VLOOKUP($A245,Estimate!$A:$H,4,FALSE)</f>
        <v xml:space="preserve">m²   </v>
      </c>
    </row>
    <row r="246" spans="1:5" x14ac:dyDescent="0.25">
      <c r="A246" s="161">
        <v>109</v>
      </c>
      <c r="B246" s="162" t="str">
        <f>VLOOKUP($A246,Estimate!$A:$H,3,FALSE)</f>
        <v>(vii)  AMC5</v>
      </c>
      <c r="C246" s="161" t="str">
        <f t="shared" si="3"/>
        <v>Q</v>
      </c>
      <c r="D246" s="116">
        <v>2466</v>
      </c>
      <c r="E246" s="161" t="str">
        <f>VLOOKUP($A246,Estimate!$A:$H,4,FALSE)</f>
        <v xml:space="preserve">m2   </v>
      </c>
    </row>
    <row r="247" spans="1:5" x14ac:dyDescent="0.25">
      <c r="A247" s="161">
        <v>109.1</v>
      </c>
      <c r="B247" s="162" t="str">
        <f>VLOOKUP($A247,Estimate!$A:$H,3,FALSE)</f>
        <v>Seal Visit Four</v>
      </c>
      <c r="C247" s="161" t="str">
        <f t="shared" si="3"/>
        <v>P</v>
      </c>
      <c r="D247" s="116">
        <v>1.05</v>
      </c>
      <c r="E247" s="161" t="str">
        <f>VLOOKUP($A247,Estimate!$A:$H,4,FALSE)</f>
        <v xml:space="preserve">m²   </v>
      </c>
    </row>
    <row r="248" spans="1:5" x14ac:dyDescent="0.25">
      <c r="A248" s="161">
        <v>110</v>
      </c>
      <c r="B248" s="162" t="str">
        <f>VLOOKUP($A248,Estimate!$A:$H,3,FALSE)</f>
        <v>(ii)  14mm Nominal Size</v>
      </c>
      <c r="C248" s="161" t="str">
        <f t="shared" si="3"/>
        <v>Q</v>
      </c>
      <c r="D248" s="116">
        <v>296</v>
      </c>
      <c r="E248" s="161" t="str">
        <f>VLOOKUP($A248,Estimate!$A:$H,4,FALSE)</f>
        <v>tonne</v>
      </c>
    </row>
    <row r="249" spans="1:5" x14ac:dyDescent="0.25">
      <c r="A249" s="161">
        <v>110.1</v>
      </c>
      <c r="B249" s="162" t="str">
        <f>VLOOKUP($A249,Estimate!$A:$H,3,FALSE)</f>
        <v>DG14 - Dodd St</v>
      </c>
      <c r="C249" s="161" t="str">
        <f t="shared" si="3"/>
        <v>P</v>
      </c>
      <c r="D249" s="116">
        <v>1.05</v>
      </c>
      <c r="E249" s="161" t="str">
        <f>VLOOKUP($A249,Estimate!$A:$H,4,FALSE)</f>
        <v>tonne</v>
      </c>
    </row>
    <row r="250" spans="1:5" x14ac:dyDescent="0.25">
      <c r="A250" s="161">
        <v>111</v>
      </c>
      <c r="B250" s="162" t="str">
        <f>VLOOKUP($A250,Estimate!$A:$H,3,FALSE)</f>
        <v>Pavement Marking Paint - Transverse Lines, Symbols, Legends, Arrows, Chevrons, Traffic Islands &amp; Kerbs</v>
      </c>
      <c r="C250" s="161" t="str">
        <f t="shared" si="3"/>
        <v>Q</v>
      </c>
      <c r="D250" s="116">
        <v>2</v>
      </c>
      <c r="E250" s="161" t="str">
        <f>VLOOKUP($A250,Estimate!$A:$H,4,FALSE)</f>
        <v xml:space="preserve">Item </v>
      </c>
    </row>
    <row r="251" spans="1:5" x14ac:dyDescent="0.25">
      <c r="A251" s="161">
        <v>112</v>
      </c>
      <c r="B251" s="162" t="str">
        <f>VLOOKUP($A251,Estimate!$A:$H,3,FALSE)</f>
        <v>Remove and reinstate Existing Signs &amp; Support Structures</v>
      </c>
      <c r="C251" s="161" t="str">
        <f t="shared" si="3"/>
        <v>Q</v>
      </c>
      <c r="D251" s="116">
        <v>2</v>
      </c>
      <c r="E251" s="161" t="str">
        <f>VLOOKUP($A251,Estimate!$A:$H,4,FALSE)</f>
        <v xml:space="preserve">Item </v>
      </c>
    </row>
    <row r="252" spans="1:5" x14ac:dyDescent="0.25">
      <c r="A252" s="161">
        <v>113</v>
      </c>
      <c r="B252" s="162" t="str">
        <f>VLOOKUP($A252,Estimate!$A:$H,3,FALSE)</f>
        <v>(iv)  Residential Invert Crossing</v>
      </c>
      <c r="C252" s="161" t="str">
        <f t="shared" si="3"/>
        <v>Q</v>
      </c>
      <c r="D252" s="116">
        <v>7</v>
      </c>
      <c r="E252" s="161" t="str">
        <f>VLOOKUP($A252,Estimate!$A:$H,4,FALSE)</f>
        <v xml:space="preserve">each </v>
      </c>
    </row>
    <row r="253" spans="1:5" x14ac:dyDescent="0.25">
      <c r="A253" s="161">
        <v>113.1</v>
      </c>
      <c r="B253" s="162" t="str">
        <f>VLOOKUP($A253,Estimate!$A:$H,3,FALSE)</f>
        <v>Excavator - 25T</v>
      </c>
      <c r="C253" s="161" t="str">
        <f t="shared" si="3"/>
        <v>P</v>
      </c>
      <c r="D253" s="116">
        <v>7</v>
      </c>
      <c r="E253" s="161" t="str">
        <f>VLOOKUP($A253,Estimate!$A:$H,4,FALSE)</f>
        <v xml:space="preserve">hr   </v>
      </c>
    </row>
    <row r="254" spans="1:5" x14ac:dyDescent="0.25">
      <c r="A254" s="161">
        <v>114</v>
      </c>
      <c r="B254" s="162" t="str">
        <f>VLOOKUP($A254,Estimate!$A:$H,3,FALSE)</f>
        <v>Special Item - As Constructed Survey and Plans</v>
      </c>
      <c r="C254" s="161" t="str">
        <f t="shared" si="3"/>
        <v>Q</v>
      </c>
      <c r="D254" s="116">
        <v>1</v>
      </c>
      <c r="E254" s="161" t="str">
        <f>VLOOKUP($A254,Estimate!$A:$H,4,FALSE)</f>
        <v xml:space="preserve">Lump </v>
      </c>
    </row>
    <row r="255" spans="1:5" x14ac:dyDescent="0.25">
      <c r="A255" s="161">
        <v>115</v>
      </c>
      <c r="B255" s="162" t="str">
        <f>VLOOKUP($A255,Estimate!$A:$H,3,FALSE)</f>
        <v>Quality Verification &amp; Control</v>
      </c>
      <c r="C255" s="161" t="str">
        <f t="shared" si="3"/>
        <v>Q</v>
      </c>
      <c r="D255" s="116">
        <v>1</v>
      </c>
      <c r="E255" s="161" t="str">
        <f>VLOOKUP($A255,Estimate!$A:$H,4,FALSE)</f>
        <v xml:space="preserve">Lump </v>
      </c>
    </row>
    <row r="256" spans="1:5" x14ac:dyDescent="0.25">
      <c r="A256" s="161">
        <v>115.1</v>
      </c>
      <c r="B256" s="162" t="str">
        <f>VLOOKUP($A256,Estimate!$A:$H,3,FALSE)</f>
        <v>(12) Field Density Tests</v>
      </c>
      <c r="C256" s="161" t="str">
        <f t="shared" si="3"/>
        <v>P</v>
      </c>
      <c r="D256" s="116">
        <v>12</v>
      </c>
      <c r="E256" s="161" t="s">
        <v>29</v>
      </c>
    </row>
    <row r="257" spans="1:5" x14ac:dyDescent="0.25">
      <c r="A257" s="161">
        <v>115.2</v>
      </c>
      <c r="B257" s="162" t="str">
        <f>VLOOKUP($A257,Estimate!$A:$H,3,FALSE)</f>
        <v>(6) Concrete Cylinder Sets</v>
      </c>
      <c r="C257" s="161" t="str">
        <f t="shared" si="3"/>
        <v>P</v>
      </c>
      <c r="D257" s="116">
        <v>6</v>
      </c>
      <c r="E257" s="161" t="s">
        <v>29</v>
      </c>
    </row>
    <row r="258" spans="1:5" x14ac:dyDescent="0.25">
      <c r="A258" s="161">
        <v>115.3</v>
      </c>
      <c r="B258" s="162" t="str">
        <f>VLOOKUP($A258,Estimate!$A:$H,3,FALSE)</f>
        <v>Survey</v>
      </c>
      <c r="C258" s="161" t="str">
        <f t="shared" si="3"/>
        <v>P</v>
      </c>
      <c r="D258" s="116">
        <v>3900</v>
      </c>
      <c r="E258" s="161" t="str">
        <f>VLOOKUP($A258,Estimate!$A:$H,4,FALSE)</f>
        <v xml:space="preserve">Item </v>
      </c>
    </row>
    <row r="259" spans="1:5" x14ac:dyDescent="0.25">
      <c r="A259" s="161">
        <v>116</v>
      </c>
      <c r="B259" s="162" t="str">
        <f>VLOOKUP($A259,Estimate!$A:$H,3,FALSE)</f>
        <v>Control of Traffic</v>
      </c>
      <c r="C259" s="161" t="str">
        <f t="shared" si="3"/>
        <v>Q</v>
      </c>
      <c r="D259" s="116">
        <v>1</v>
      </c>
      <c r="E259" s="161" t="str">
        <f>VLOOKUP($A259,Estimate!$A:$H,4,FALSE)</f>
        <v xml:space="preserve">Lump </v>
      </c>
    </row>
    <row r="260" spans="1:5" x14ac:dyDescent="0.25">
      <c r="A260" s="161">
        <v>116.1</v>
      </c>
      <c r="B260" s="162" t="str">
        <f>VLOOKUP($A260,Estimate!$A:$H,3,FALSE)</f>
        <v>(4) No. Weeks TC Required - No. = days per week</v>
      </c>
      <c r="C260" s="161" t="str">
        <f t="shared" ref="C260:C323" si="4">IF(A260/ROUND(A260,0)=1,"Q","P")</f>
        <v>P</v>
      </c>
      <c r="D260" s="116">
        <v>4</v>
      </c>
      <c r="E260" s="161" t="s">
        <v>22</v>
      </c>
    </row>
    <row r="261" spans="1:5" x14ac:dyDescent="0.25">
      <c r="A261" s="161">
        <v>116.2</v>
      </c>
      <c r="B261" s="162" t="str">
        <f>VLOOKUP($A261,Estimate!$A:$H,3,FALSE)</f>
        <v>Traffic Control Crew</v>
      </c>
      <c r="C261" s="161" t="str">
        <f t="shared" si="4"/>
        <v>P</v>
      </c>
      <c r="D261" s="116">
        <v>6</v>
      </c>
      <c r="E261" s="161" t="str">
        <f>VLOOKUP($A261,Estimate!$A:$H,4,FALSE)</f>
        <v xml:space="preserve">hr   </v>
      </c>
    </row>
    <row r="262" spans="1:5" x14ac:dyDescent="0.25">
      <c r="A262" s="161">
        <v>117</v>
      </c>
      <c r="B262" s="162" t="str">
        <f>VLOOKUP($A262,Estimate!$A:$H,3,FALSE)</f>
        <v>General Earthworks Cut</v>
      </c>
      <c r="C262" s="161" t="str">
        <f t="shared" si="4"/>
        <v>Q</v>
      </c>
      <c r="D262" s="116">
        <v>652</v>
      </c>
      <c r="E262" s="161" t="str">
        <f>VLOOKUP($A262,Estimate!$A:$H,4,FALSE)</f>
        <v xml:space="preserve">m3   </v>
      </c>
    </row>
    <row r="263" spans="1:5" x14ac:dyDescent="0.25">
      <c r="A263" s="161">
        <v>117.1</v>
      </c>
      <c r="B263" s="162" t="str">
        <f>VLOOKUP($A263,Estimate!$A:$H,3,FALSE)</f>
        <v>Grader</v>
      </c>
      <c r="C263" s="161" t="str">
        <f t="shared" si="4"/>
        <v>P</v>
      </c>
      <c r="D263" s="116">
        <v>250</v>
      </c>
      <c r="E263" s="161" t="str">
        <f>VLOOKUP($A263,Estimate!$A:$H,4,FALSE)</f>
        <v xml:space="preserve">hr   </v>
      </c>
    </row>
    <row r="264" spans="1:5" x14ac:dyDescent="0.25">
      <c r="A264" s="161">
        <v>117.2</v>
      </c>
      <c r="B264" s="162" t="str">
        <f>VLOOKUP($A264,Estimate!$A:$H,3,FALSE)</f>
        <v>Labour</v>
      </c>
      <c r="C264" s="161" t="str">
        <f t="shared" si="4"/>
        <v>P</v>
      </c>
      <c r="D264" s="116">
        <v>3</v>
      </c>
      <c r="E264" s="161" t="str">
        <f>VLOOKUP($A264,Estimate!$A:$H,4,FALSE)</f>
        <v xml:space="preserve">hr   </v>
      </c>
    </row>
    <row r="265" spans="1:5" x14ac:dyDescent="0.25">
      <c r="A265" s="161">
        <v>118</v>
      </c>
      <c r="B265" s="162" t="str">
        <f>VLOOKUP($A265,Estimate!$A:$H,3,FALSE)</f>
        <v>General Earthworks Fill (Fill behind kerb to boundary)</v>
      </c>
      <c r="C265" s="161" t="str">
        <f t="shared" si="4"/>
        <v>Q</v>
      </c>
      <c r="D265" s="116">
        <v>104</v>
      </c>
      <c r="E265" s="161" t="str">
        <f>VLOOKUP($A265,Estimate!$A:$H,4,FALSE)</f>
        <v xml:space="preserve">m3   </v>
      </c>
    </row>
    <row r="266" spans="1:5" x14ac:dyDescent="0.25">
      <c r="A266" s="161">
        <v>118.1</v>
      </c>
      <c r="B266" s="162" t="str">
        <f>VLOOKUP($A266,Estimate!$A:$H,3,FALSE)</f>
        <v>Excavator - 25T</v>
      </c>
      <c r="C266" s="161" t="str">
        <f t="shared" si="4"/>
        <v>P</v>
      </c>
      <c r="D266" s="116">
        <v>20</v>
      </c>
      <c r="E266" s="161" t="str">
        <f>VLOOKUP($A266,Estimate!$A:$H,4,FALSE)</f>
        <v xml:space="preserve">hr   </v>
      </c>
    </row>
    <row r="267" spans="1:5" x14ac:dyDescent="0.25">
      <c r="A267" s="161">
        <v>118.2</v>
      </c>
      <c r="B267" s="162" t="str">
        <f>VLOOKUP($A267,Estimate!$A:$H,3,FALSE)</f>
        <v>Labour</v>
      </c>
      <c r="C267" s="161" t="str">
        <f t="shared" si="4"/>
        <v>P</v>
      </c>
      <c r="D267" s="116">
        <v>3</v>
      </c>
      <c r="E267" s="161" t="str">
        <f>VLOOKUP($A267,Estimate!$A:$H,4,FALSE)</f>
        <v xml:space="preserve">hr   </v>
      </c>
    </row>
    <row r="268" spans="1:5" x14ac:dyDescent="0.25">
      <c r="A268" s="161">
        <v>119</v>
      </c>
      <c r="B268" s="162" t="str">
        <f>VLOOKUP($A268,Estimate!$A:$H,3,FALSE)</f>
        <v>Replace unsuitable material below sub grade with select material complete (PROVISIONAL)</v>
      </c>
      <c r="C268" s="161" t="str">
        <f t="shared" si="4"/>
        <v>Q</v>
      </c>
      <c r="D268" s="116">
        <v>65</v>
      </c>
      <c r="E268" s="161" t="str">
        <f>VLOOKUP($A268,Estimate!$A:$H,4,FALSE)</f>
        <v xml:space="preserve">m3   </v>
      </c>
    </row>
    <row r="269" spans="1:5" x14ac:dyDescent="0.25">
      <c r="A269" s="161">
        <v>119.1</v>
      </c>
      <c r="B269" s="162" t="str">
        <f>VLOOKUP($A269,Estimate!$A:$H,3,FALSE)</f>
        <v>Excavator - 25T</v>
      </c>
      <c r="C269" s="161" t="str">
        <f t="shared" si="4"/>
        <v>P</v>
      </c>
      <c r="D269" s="116">
        <v>15</v>
      </c>
      <c r="E269" s="161" t="str">
        <f>VLOOKUP($A269,Estimate!$A:$H,4,FALSE)</f>
        <v xml:space="preserve">hr   </v>
      </c>
    </row>
    <row r="270" spans="1:5" x14ac:dyDescent="0.25">
      <c r="A270" s="161">
        <v>119.2</v>
      </c>
      <c r="B270" s="162" t="str">
        <f>VLOOKUP($A270,Estimate!$A:$H,3,FALSE)</f>
        <v>Truck &amp; Dog</v>
      </c>
      <c r="C270" s="161" t="str">
        <f t="shared" si="4"/>
        <v>P</v>
      </c>
      <c r="D270" s="116">
        <v>2</v>
      </c>
      <c r="E270" s="161" t="str">
        <f>VLOOKUP($A270,Estimate!$A:$H,4,FALSE)</f>
        <v xml:space="preserve">hr   </v>
      </c>
    </row>
    <row r="271" spans="1:5" x14ac:dyDescent="0.25">
      <c r="A271" s="161">
        <v>119.3</v>
      </c>
      <c r="B271" s="162" t="str">
        <f>VLOOKUP($A271,Estimate!$A:$H,3,FALSE)</f>
        <v>Labour</v>
      </c>
      <c r="C271" s="161" t="str">
        <f t="shared" si="4"/>
        <v>P</v>
      </c>
      <c r="D271" s="116">
        <v>3</v>
      </c>
      <c r="E271" s="161" t="str">
        <f>VLOOKUP($A271,Estimate!$A:$H,4,FALSE)</f>
        <v xml:space="preserve">hr   </v>
      </c>
    </row>
    <row r="272" spans="1:5" x14ac:dyDescent="0.25">
      <c r="A272" s="161">
        <v>120</v>
      </c>
      <c r="B272" s="162" t="str">
        <f>VLOOKUP($A272,Estimate!$A:$H,3,FALSE)</f>
        <v xml:space="preserve"> Removal / Demolition of Drainage Components complete</v>
      </c>
      <c r="C272" s="161" t="str">
        <f t="shared" si="4"/>
        <v>Q</v>
      </c>
      <c r="D272" s="116">
        <v>2</v>
      </c>
      <c r="E272" s="161" t="str">
        <f>VLOOKUP($A272,Estimate!$A:$H,4,FALSE)</f>
        <v xml:space="preserve">Lump </v>
      </c>
    </row>
    <row r="273" spans="1:5" x14ac:dyDescent="0.25">
      <c r="A273" s="161">
        <v>120.1</v>
      </c>
      <c r="B273" s="162" t="str">
        <f>VLOOKUP($A273,Estimate!$A:$H,3,FALSE)</f>
        <v>Excavator - 25T</v>
      </c>
      <c r="C273" s="161" t="str">
        <f t="shared" si="4"/>
        <v>P</v>
      </c>
      <c r="D273" s="116">
        <v>0.22</v>
      </c>
      <c r="E273" s="161" t="str">
        <f>VLOOKUP($A273,Estimate!$A:$H,4,FALSE)</f>
        <v xml:space="preserve">hr   </v>
      </c>
    </row>
    <row r="274" spans="1:5" x14ac:dyDescent="0.25">
      <c r="A274" s="161">
        <v>120.2</v>
      </c>
      <c r="B274" s="162" t="str">
        <f>VLOOKUP($A274,Estimate!$A:$H,3,FALSE)</f>
        <v>Tipper</v>
      </c>
      <c r="C274" s="161" t="str">
        <f t="shared" si="4"/>
        <v>P</v>
      </c>
      <c r="D274" s="116">
        <v>3</v>
      </c>
      <c r="E274" s="161" t="str">
        <f>VLOOKUP($A274,Estimate!$A:$H,4,FALSE)</f>
        <v xml:space="preserve">hr   </v>
      </c>
    </row>
    <row r="275" spans="1:5" x14ac:dyDescent="0.25">
      <c r="A275" s="161">
        <v>121</v>
      </c>
      <c r="B275" s="162" t="str">
        <f>VLOOKUP($A275,Estimate!$A:$H,3,FALSE)</f>
        <v>Relocate existing kerb adapter and roofwater connection from property</v>
      </c>
      <c r="C275" s="161" t="str">
        <f t="shared" si="4"/>
        <v>Q</v>
      </c>
      <c r="D275" s="116">
        <v>2</v>
      </c>
      <c r="E275" s="161" t="str">
        <f>VLOOKUP($A275,Estimate!$A:$H,4,FALSE)</f>
        <v xml:space="preserve">Item </v>
      </c>
    </row>
    <row r="276" spans="1:5" x14ac:dyDescent="0.25">
      <c r="A276" s="161">
        <v>121.1</v>
      </c>
      <c r="B276" s="162" t="str">
        <f>VLOOKUP($A276,Estimate!$A:$H,3,FALSE)</f>
        <v>Plumber</v>
      </c>
      <c r="C276" s="161" t="str">
        <f t="shared" si="4"/>
        <v>P</v>
      </c>
      <c r="D276" s="116">
        <v>0.5</v>
      </c>
      <c r="E276" s="161" t="str">
        <f>VLOOKUP($A276,Estimate!$A:$H,4,FALSE)</f>
        <v xml:space="preserve">hr   </v>
      </c>
    </row>
    <row r="277" spans="1:5" x14ac:dyDescent="0.25">
      <c r="A277" s="161">
        <v>122</v>
      </c>
      <c r="B277" s="162" t="str">
        <f>VLOOKUP($A277,Estimate!$A:$H,3,FALSE)</f>
        <v>375mm dia Class 2, Flush Joint</v>
      </c>
      <c r="C277" s="161" t="str">
        <f t="shared" si="4"/>
        <v>Q</v>
      </c>
      <c r="D277" s="116">
        <v>93</v>
      </c>
      <c r="E277" s="161" t="str">
        <f>VLOOKUP($A277,Estimate!$A:$H,4,FALSE)</f>
        <v xml:space="preserve">m    </v>
      </c>
    </row>
    <row r="278" spans="1:5" x14ac:dyDescent="0.25">
      <c r="A278" s="161">
        <v>122.1</v>
      </c>
      <c r="B278" s="162" t="str">
        <f>VLOOKUP($A278,Estimate!$A:$H,3,FALSE)</f>
        <v>Excavator - 25T</v>
      </c>
      <c r="C278" s="161" t="str">
        <f t="shared" si="4"/>
        <v>P</v>
      </c>
      <c r="D278" s="116">
        <v>4.4400000000000004</v>
      </c>
      <c r="E278" s="161" t="str">
        <f>VLOOKUP($A278,Estimate!$A:$H,4,FALSE)</f>
        <v xml:space="preserve">hr   </v>
      </c>
    </row>
    <row r="279" spans="1:5" x14ac:dyDescent="0.25">
      <c r="A279" s="161">
        <v>122.2</v>
      </c>
      <c r="B279" s="162" t="str">
        <f>VLOOKUP($A279,Estimate!$A:$H,3,FALSE)</f>
        <v>Labour</v>
      </c>
      <c r="C279" s="161" t="str">
        <f t="shared" si="4"/>
        <v>P</v>
      </c>
      <c r="D279" s="116">
        <v>3</v>
      </c>
      <c r="E279" s="161" t="str">
        <f>VLOOKUP($A279,Estimate!$A:$H,4,FALSE)</f>
        <v xml:space="preserve">hr   </v>
      </c>
    </row>
    <row r="280" spans="1:5" x14ac:dyDescent="0.25">
      <c r="A280" s="161">
        <v>123</v>
      </c>
      <c r="B280" s="162" t="str">
        <f>VLOOKUP($A280,Estimate!$A:$H,3,FALSE)</f>
        <v>450mm dia Class 2, Flush Joint</v>
      </c>
      <c r="C280" s="161" t="str">
        <f t="shared" si="4"/>
        <v>Q</v>
      </c>
      <c r="D280" s="116">
        <v>9.7200000000000006</v>
      </c>
      <c r="E280" s="161" t="str">
        <f>VLOOKUP($A280,Estimate!$A:$H,4,FALSE)</f>
        <v xml:space="preserve">m    </v>
      </c>
    </row>
    <row r="281" spans="1:5" x14ac:dyDescent="0.25">
      <c r="A281" s="161">
        <v>123.1</v>
      </c>
      <c r="B281" s="162" t="str">
        <f>VLOOKUP($A281,Estimate!$A:$H,3,FALSE)</f>
        <v>Excavator - 25T</v>
      </c>
      <c r="C281" s="161" t="str">
        <f t="shared" si="4"/>
        <v>P</v>
      </c>
      <c r="D281" s="116">
        <v>1.94</v>
      </c>
      <c r="E281" s="161" t="str">
        <f>VLOOKUP($A281,Estimate!$A:$H,4,FALSE)</f>
        <v xml:space="preserve">hr   </v>
      </c>
    </row>
    <row r="282" spans="1:5" x14ac:dyDescent="0.25">
      <c r="A282" s="161">
        <v>123.2</v>
      </c>
      <c r="B282" s="162" t="str">
        <f>VLOOKUP($A282,Estimate!$A:$H,3,FALSE)</f>
        <v>Labour</v>
      </c>
      <c r="C282" s="161" t="str">
        <f t="shared" si="4"/>
        <v>P</v>
      </c>
      <c r="D282" s="116">
        <v>3</v>
      </c>
      <c r="E282" s="161" t="str">
        <f>VLOOKUP($A282,Estimate!$A:$H,4,FALSE)</f>
        <v xml:space="preserve">hr   </v>
      </c>
    </row>
    <row r="283" spans="1:5" x14ac:dyDescent="0.25">
      <c r="A283" s="161">
        <v>124</v>
      </c>
      <c r="B283" s="162" t="str">
        <f>VLOOKUP($A283,Estimate!$A:$H,3,FALSE)</f>
        <v>450mm dia Class 2, Rubber Ring Joint</v>
      </c>
      <c r="C283" s="161" t="str">
        <f t="shared" si="4"/>
        <v>Q</v>
      </c>
      <c r="D283" s="116">
        <v>30</v>
      </c>
      <c r="E283" s="161" t="str">
        <f>VLOOKUP($A283,Estimate!$A:$H,4,FALSE)</f>
        <v xml:space="preserve">m    </v>
      </c>
    </row>
    <row r="284" spans="1:5" x14ac:dyDescent="0.25">
      <c r="A284" s="161">
        <v>124.1</v>
      </c>
      <c r="B284" s="162" t="str">
        <f>VLOOKUP($A284,Estimate!$A:$H,3,FALSE)</f>
        <v>Excavator - 25T</v>
      </c>
      <c r="C284" s="161" t="str">
        <f t="shared" si="4"/>
        <v>P</v>
      </c>
      <c r="D284" s="116">
        <v>3.33</v>
      </c>
      <c r="E284" s="161" t="str">
        <f>VLOOKUP($A284,Estimate!$A:$H,4,FALSE)</f>
        <v xml:space="preserve">hr   </v>
      </c>
    </row>
    <row r="285" spans="1:5" x14ac:dyDescent="0.25">
      <c r="A285" s="161">
        <v>124.2</v>
      </c>
      <c r="B285" s="162" t="str">
        <f>VLOOKUP($A285,Estimate!$A:$H,3,FALSE)</f>
        <v>Labour</v>
      </c>
      <c r="C285" s="161" t="str">
        <f t="shared" si="4"/>
        <v>P</v>
      </c>
      <c r="D285" s="116">
        <v>3</v>
      </c>
      <c r="E285" s="161" t="str">
        <f>VLOOKUP($A285,Estimate!$A:$H,4,FALSE)</f>
        <v xml:space="preserve">hr   </v>
      </c>
    </row>
    <row r="286" spans="1:5" x14ac:dyDescent="0.25">
      <c r="A286" s="161">
        <v>125</v>
      </c>
      <c r="B286" s="162" t="str">
        <f>VLOOKUP($A286,Estimate!$A:$H,3,FALSE)</f>
        <v>900 x 450</v>
      </c>
      <c r="C286" s="161" t="str">
        <f t="shared" si="4"/>
        <v>Q</v>
      </c>
      <c r="D286" s="116">
        <v>12</v>
      </c>
      <c r="E286" s="161" t="str">
        <f>VLOOKUP($A286,Estimate!$A:$H,4,FALSE)</f>
        <v xml:space="preserve">m    </v>
      </c>
    </row>
    <row r="287" spans="1:5" x14ac:dyDescent="0.25">
      <c r="A287" s="161">
        <v>125.1</v>
      </c>
      <c r="B287" s="162" t="str">
        <f>VLOOKUP($A287,Estimate!$A:$H,3,FALSE)</f>
        <v>Excavator - 25T</v>
      </c>
      <c r="C287" s="161" t="str">
        <f t="shared" si="4"/>
        <v>P</v>
      </c>
      <c r="D287" s="116">
        <v>2</v>
      </c>
      <c r="E287" s="161" t="str">
        <f>VLOOKUP($A287,Estimate!$A:$H,4,FALSE)</f>
        <v xml:space="preserve">hr   </v>
      </c>
    </row>
    <row r="288" spans="1:5" x14ac:dyDescent="0.25">
      <c r="A288" s="161">
        <v>125.2</v>
      </c>
      <c r="B288" s="162" t="str">
        <f>VLOOKUP($A288,Estimate!$A:$H,3,FALSE)</f>
        <v>Labour</v>
      </c>
      <c r="C288" s="161" t="str">
        <f t="shared" si="4"/>
        <v>P</v>
      </c>
      <c r="D288" s="116">
        <v>3</v>
      </c>
      <c r="E288" s="161" t="str">
        <f>VLOOKUP($A288,Estimate!$A:$H,4,FALSE)</f>
        <v xml:space="preserve">hr   </v>
      </c>
    </row>
    <row r="289" spans="1:5" x14ac:dyDescent="0.25">
      <c r="A289" s="161">
        <v>125.3</v>
      </c>
      <c r="B289" s="162" t="str">
        <f>VLOOKUP($A289,Estimate!$A:$H,3,FALSE)</f>
        <v>Bobcat</v>
      </c>
      <c r="C289" s="161" t="str">
        <f t="shared" si="4"/>
        <v>P</v>
      </c>
      <c r="D289" s="116">
        <v>3</v>
      </c>
      <c r="E289" s="161" t="str">
        <f>VLOOKUP($A289,Estimate!$A:$H,4,FALSE)</f>
        <v xml:space="preserve">hr   </v>
      </c>
    </row>
    <row r="290" spans="1:5" x14ac:dyDescent="0.25">
      <c r="A290" s="161">
        <v>125.4</v>
      </c>
      <c r="B290" s="162" t="str">
        <f>VLOOKUP($A290,Estimate!$A:$H,3,FALSE)</f>
        <v>Labour</v>
      </c>
      <c r="C290" s="161" t="str">
        <f t="shared" si="4"/>
        <v>P</v>
      </c>
      <c r="D290" s="116">
        <v>3</v>
      </c>
      <c r="E290" s="161" t="str">
        <f>VLOOKUP($A290,Estimate!$A:$H,4,FALSE)</f>
        <v xml:space="preserve">hr   </v>
      </c>
    </row>
    <row r="291" spans="1:5" x14ac:dyDescent="0.25">
      <c r="A291" s="161">
        <v>126</v>
      </c>
      <c r="B291" s="162" t="str">
        <f>VLOOKUP($A291,Estimate!$A:$H,3,FALSE)</f>
        <v>1200 x 450</v>
      </c>
      <c r="C291" s="161" t="str">
        <f t="shared" si="4"/>
        <v>Q</v>
      </c>
      <c r="D291" s="116">
        <v>88</v>
      </c>
      <c r="E291" s="161" t="str">
        <f>VLOOKUP($A291,Estimate!$A:$H,4,FALSE)</f>
        <v xml:space="preserve">m    </v>
      </c>
    </row>
    <row r="292" spans="1:5" x14ac:dyDescent="0.25">
      <c r="A292" s="161">
        <v>126.1</v>
      </c>
      <c r="B292" s="162" t="str">
        <f>VLOOKUP($A292,Estimate!$A:$H,3,FALSE)</f>
        <v>Excavator - 25T</v>
      </c>
      <c r="C292" s="161" t="str">
        <f t="shared" si="4"/>
        <v>P</v>
      </c>
      <c r="D292" s="116">
        <v>2</v>
      </c>
      <c r="E292" s="161" t="str">
        <f>VLOOKUP($A292,Estimate!$A:$H,4,FALSE)</f>
        <v xml:space="preserve">hr   </v>
      </c>
    </row>
    <row r="293" spans="1:5" x14ac:dyDescent="0.25">
      <c r="A293" s="161">
        <v>126.2</v>
      </c>
      <c r="B293" s="162" t="str">
        <f>VLOOKUP($A293,Estimate!$A:$H,3,FALSE)</f>
        <v>Labour</v>
      </c>
      <c r="C293" s="161" t="str">
        <f t="shared" si="4"/>
        <v>P</v>
      </c>
      <c r="D293" s="116">
        <v>3</v>
      </c>
      <c r="E293" s="161" t="str">
        <f>VLOOKUP($A293,Estimate!$A:$H,4,FALSE)</f>
        <v xml:space="preserve">hr   </v>
      </c>
    </row>
    <row r="294" spans="1:5" x14ac:dyDescent="0.25">
      <c r="A294" s="161">
        <v>126.3</v>
      </c>
      <c r="B294" s="162" t="str">
        <f>VLOOKUP($A294,Estimate!$A:$H,3,FALSE)</f>
        <v>Bobcat</v>
      </c>
      <c r="C294" s="161" t="str">
        <f t="shared" si="4"/>
        <v>P</v>
      </c>
      <c r="D294" s="116">
        <v>3</v>
      </c>
      <c r="E294" s="161" t="str">
        <f>VLOOKUP($A294,Estimate!$A:$H,4,FALSE)</f>
        <v xml:space="preserve">hr   </v>
      </c>
    </row>
    <row r="295" spans="1:5" x14ac:dyDescent="0.25">
      <c r="A295" s="161">
        <v>126.4</v>
      </c>
      <c r="B295" s="162" t="str">
        <f>VLOOKUP($A295,Estimate!$A:$H,3,FALSE)</f>
        <v>Labour</v>
      </c>
      <c r="C295" s="161" t="str">
        <f t="shared" si="4"/>
        <v>P</v>
      </c>
      <c r="D295" s="116">
        <v>3</v>
      </c>
      <c r="E295" s="161" t="str">
        <f>VLOOKUP($A295,Estimate!$A:$H,4,FALSE)</f>
        <v xml:space="preserve">hr   </v>
      </c>
    </row>
    <row r="296" spans="1:5" x14ac:dyDescent="0.25">
      <c r="A296" s="161">
        <v>127</v>
      </c>
      <c r="B296" s="162" t="str">
        <f>VLOOKUP($A296,Estimate!$A:$H,3,FALSE)</f>
        <v>1200 x 600</v>
      </c>
      <c r="C296" s="161" t="str">
        <f t="shared" si="4"/>
        <v>Q</v>
      </c>
      <c r="D296" s="116">
        <v>10</v>
      </c>
      <c r="E296" s="161" t="str">
        <f>VLOOKUP($A296,Estimate!$A:$H,4,FALSE)</f>
        <v xml:space="preserve">m    </v>
      </c>
    </row>
    <row r="297" spans="1:5" x14ac:dyDescent="0.25">
      <c r="A297" s="161">
        <v>127.1</v>
      </c>
      <c r="B297" s="162" t="str">
        <f>VLOOKUP($A297,Estimate!$A:$H,3,FALSE)</f>
        <v>Excavator - 25T</v>
      </c>
      <c r="C297" s="161" t="str">
        <f t="shared" si="4"/>
        <v>P</v>
      </c>
      <c r="D297" s="116">
        <v>2</v>
      </c>
      <c r="E297" s="161" t="str">
        <f>VLOOKUP($A297,Estimate!$A:$H,4,FALSE)</f>
        <v xml:space="preserve">hr   </v>
      </c>
    </row>
    <row r="298" spans="1:5" x14ac:dyDescent="0.25">
      <c r="A298" s="161">
        <v>127.2</v>
      </c>
      <c r="B298" s="162" t="str">
        <f>VLOOKUP($A298,Estimate!$A:$H,3,FALSE)</f>
        <v>Labour</v>
      </c>
      <c r="C298" s="161" t="str">
        <f t="shared" si="4"/>
        <v>P</v>
      </c>
      <c r="D298" s="116">
        <v>3</v>
      </c>
      <c r="E298" s="161" t="str">
        <f>VLOOKUP($A298,Estimate!$A:$H,4,FALSE)</f>
        <v xml:space="preserve">hr   </v>
      </c>
    </row>
    <row r="299" spans="1:5" x14ac:dyDescent="0.25">
      <c r="A299" s="161">
        <v>127.3</v>
      </c>
      <c r="B299" s="162" t="str">
        <f>VLOOKUP($A299,Estimate!$A:$H,3,FALSE)</f>
        <v>Bobcat</v>
      </c>
      <c r="C299" s="161" t="str">
        <f t="shared" si="4"/>
        <v>P</v>
      </c>
      <c r="D299" s="116">
        <v>3</v>
      </c>
      <c r="E299" s="161" t="str">
        <f>VLOOKUP($A299,Estimate!$A:$H,4,FALSE)</f>
        <v xml:space="preserve">hr   </v>
      </c>
    </row>
    <row r="300" spans="1:5" x14ac:dyDescent="0.25">
      <c r="A300" s="161">
        <v>127.4</v>
      </c>
      <c r="B300" s="162" t="str">
        <f>VLOOKUP($A300,Estimate!$A:$H,3,FALSE)</f>
        <v>Labour</v>
      </c>
      <c r="C300" s="161" t="str">
        <f t="shared" si="4"/>
        <v>P</v>
      </c>
      <c r="D300" s="116">
        <v>3</v>
      </c>
      <c r="E300" s="161" t="str">
        <f>VLOOKUP($A300,Estimate!$A:$H,4,FALSE)</f>
        <v xml:space="preserve">hr   </v>
      </c>
    </row>
    <row r="301" spans="1:5" x14ac:dyDescent="0.25">
      <c r="A301" s="161">
        <v>128</v>
      </c>
      <c r="B301" s="162" t="str">
        <f>VLOOKUP($A301,Estimate!$A:$H,3,FALSE)</f>
        <v>Cast in situ Concrete Headwalls &amp; Wingwalls &amp; Aprons complete</v>
      </c>
      <c r="C301" s="161" t="str">
        <f t="shared" si="4"/>
        <v>Q</v>
      </c>
      <c r="D301" s="116">
        <v>0.63</v>
      </c>
      <c r="E301" s="161" t="str">
        <f>VLOOKUP($A301,Estimate!$A:$H,4,FALSE)</f>
        <v xml:space="preserve">m3   </v>
      </c>
    </row>
    <row r="302" spans="1:5" x14ac:dyDescent="0.25">
      <c r="A302" s="161">
        <v>129</v>
      </c>
      <c r="B302" s="162" t="str">
        <f>VLOOKUP($A302,Estimate!$A:$H,3,FALSE)</f>
        <v>BRO Pit Gully Pit</v>
      </c>
      <c r="C302" s="161" t="str">
        <f t="shared" si="4"/>
        <v>Q</v>
      </c>
      <c r="D302" s="116">
        <v>5</v>
      </c>
      <c r="E302" s="161" t="str">
        <f>VLOOKUP($A302,Estimate!$A:$H,4,FALSE)</f>
        <v xml:space="preserve">each </v>
      </c>
    </row>
    <row r="303" spans="1:5" x14ac:dyDescent="0.25">
      <c r="A303" s="161">
        <v>130</v>
      </c>
      <c r="B303" s="162" t="str">
        <f>VLOOKUP($A303,Estimate!$A:$H,3,FALSE)</f>
        <v>(v)  Concrete Manholes - Cast Insitu</v>
      </c>
      <c r="C303" s="161" t="str">
        <f t="shared" si="4"/>
        <v>Q</v>
      </c>
      <c r="D303" s="116">
        <v>2</v>
      </c>
      <c r="E303" s="161" t="str">
        <f>VLOOKUP($A303,Estimate!$A:$H,4,FALSE)</f>
        <v xml:space="preserve">each </v>
      </c>
    </row>
    <row r="304" spans="1:5" x14ac:dyDescent="0.25">
      <c r="A304" s="161">
        <v>131</v>
      </c>
      <c r="B304" s="162" t="str">
        <f>VLOOKUP($A304,Estimate!$A:$H,3,FALSE)</f>
        <v>(i)  Concrete Barrier Kerb &amp; Channel B1 complete</v>
      </c>
      <c r="C304" s="161" t="str">
        <f t="shared" si="4"/>
        <v>Q</v>
      </c>
      <c r="D304" s="116">
        <v>32</v>
      </c>
      <c r="E304" s="161" t="str">
        <f>VLOOKUP($A304,Estimate!$A:$H,4,FALSE)</f>
        <v xml:space="preserve">m    </v>
      </c>
    </row>
    <row r="305" spans="1:5" x14ac:dyDescent="0.25">
      <c r="A305" s="161">
        <v>132</v>
      </c>
      <c r="B305" s="162" t="str">
        <f>VLOOKUP($A305,Estimate!$A:$H,3,FALSE)</f>
        <v>(ii)  Concrete Mountable Kerb &amp; Channel M1 complete</v>
      </c>
      <c r="C305" s="161" t="str">
        <f t="shared" si="4"/>
        <v>Q</v>
      </c>
      <c r="D305" s="116">
        <v>180</v>
      </c>
      <c r="E305" s="161" t="str">
        <f>VLOOKUP($A305,Estimate!$A:$H,4,FALSE)</f>
        <v xml:space="preserve">m    </v>
      </c>
    </row>
    <row r="306" spans="1:5" x14ac:dyDescent="0.25">
      <c r="A306" s="161">
        <v>133</v>
      </c>
      <c r="B306" s="162" t="str">
        <f>VLOOKUP($A306,Estimate!$A:$H,3,FALSE)</f>
        <v>(i)  100mm dia Slotted Corrugated Plastic Pipe</v>
      </c>
      <c r="C306" s="161" t="str">
        <f t="shared" si="4"/>
        <v>Q</v>
      </c>
      <c r="D306" s="116">
        <v>210</v>
      </c>
      <c r="E306" s="161" t="str">
        <f>VLOOKUP($A306,Estimate!$A:$H,4,FALSE)</f>
        <v xml:space="preserve">m    </v>
      </c>
    </row>
    <row r="307" spans="1:5" x14ac:dyDescent="0.25">
      <c r="A307" s="161">
        <v>133.1</v>
      </c>
      <c r="B307" s="162" t="str">
        <f>VLOOKUP($A307,Estimate!$A:$H,3,FALSE)</f>
        <v>Excavator - 25T</v>
      </c>
      <c r="C307" s="161" t="str">
        <f t="shared" si="4"/>
        <v>P</v>
      </c>
      <c r="D307" s="116">
        <v>11.11</v>
      </c>
      <c r="E307" s="161" t="str">
        <f>VLOOKUP($A307,Estimate!$A:$H,4,FALSE)</f>
        <v xml:space="preserve">hr   </v>
      </c>
    </row>
    <row r="308" spans="1:5" x14ac:dyDescent="0.25">
      <c r="A308" s="161">
        <v>133.19999999999999</v>
      </c>
      <c r="B308" s="162" t="str">
        <f>VLOOKUP($A308,Estimate!$A:$H,3,FALSE)</f>
        <v>Labour</v>
      </c>
      <c r="C308" s="161" t="str">
        <f t="shared" si="4"/>
        <v>P</v>
      </c>
      <c r="D308" s="116">
        <v>3</v>
      </c>
      <c r="E308" s="161" t="str">
        <f>VLOOKUP($A308,Estimate!$A:$H,4,FALSE)</f>
        <v xml:space="preserve">hr   </v>
      </c>
    </row>
    <row r="309" spans="1:5" x14ac:dyDescent="0.25">
      <c r="A309" s="161">
        <v>134</v>
      </c>
      <c r="B309" s="162" t="str">
        <f>VLOOKUP($A309,Estimate!$A:$H,3,FALSE)</f>
        <v>Cleanout Structures</v>
      </c>
      <c r="C309" s="161" t="str">
        <f t="shared" si="4"/>
        <v>Q</v>
      </c>
      <c r="D309" s="116">
        <v>6</v>
      </c>
      <c r="E309" s="161" t="str">
        <f>VLOOKUP($A309,Estimate!$A:$H,4,FALSE)</f>
        <v xml:space="preserve">each </v>
      </c>
    </row>
    <row r="310" spans="1:5" x14ac:dyDescent="0.25">
      <c r="A310" s="161">
        <v>135</v>
      </c>
      <c r="B310" s="162" t="str">
        <f>VLOOKUP($A310,Estimate!$A:$H,3,FALSE)</f>
        <v>Place only Type 2.3</v>
      </c>
      <c r="C310" s="161" t="str">
        <f t="shared" si="4"/>
        <v>Q</v>
      </c>
      <c r="D310" s="116">
        <v>148</v>
      </c>
      <c r="E310" s="161" t="str">
        <f>VLOOKUP($A310,Estimate!$A:$H,4,FALSE)</f>
        <v xml:space="preserve">m3   </v>
      </c>
    </row>
    <row r="311" spans="1:5" x14ac:dyDescent="0.25">
      <c r="A311" s="161">
        <v>135.1</v>
      </c>
      <c r="B311" s="162" t="str">
        <f>VLOOKUP($A311,Estimate!$A:$H,3,FALSE)</f>
        <v>QTY*density Tonnes Gravel</v>
      </c>
      <c r="C311" s="161" t="str">
        <f t="shared" si="4"/>
        <v>P</v>
      </c>
      <c r="D311" s="116">
        <v>2.4</v>
      </c>
      <c r="E311" s="161" t="s">
        <v>2403</v>
      </c>
    </row>
    <row r="312" spans="1:5" x14ac:dyDescent="0.25">
      <c r="A312" s="161">
        <v>135.19999999999999</v>
      </c>
      <c r="B312" s="162" t="str">
        <f>VLOOKUP($A312,Estimate!$A:$H,3,FALSE)</f>
        <v>Truck &amp; Dog</v>
      </c>
      <c r="C312" s="161" t="str">
        <f t="shared" si="4"/>
        <v>P</v>
      </c>
      <c r="D312" s="116">
        <v>3</v>
      </c>
      <c r="E312" s="161" t="str">
        <f>VLOOKUP($A312,Estimate!$A:$H,4,FALSE)</f>
        <v xml:space="preserve">hr   </v>
      </c>
    </row>
    <row r="313" spans="1:5" x14ac:dyDescent="0.25">
      <c r="A313" s="161">
        <v>135.30000000000001</v>
      </c>
      <c r="B313" s="162" t="str">
        <f>VLOOKUP($A313,Estimate!$A:$H,3,FALSE)</f>
        <v>Grader</v>
      </c>
      <c r="C313" s="161" t="str">
        <f t="shared" si="4"/>
        <v>P</v>
      </c>
      <c r="D313" s="116">
        <v>44.44</v>
      </c>
      <c r="E313" s="161" t="str">
        <f>VLOOKUP($A313,Estimate!$A:$H,4,FALSE)</f>
        <v xml:space="preserve">hr   </v>
      </c>
    </row>
    <row r="314" spans="1:5" x14ac:dyDescent="0.25">
      <c r="A314" s="161">
        <v>135.4</v>
      </c>
      <c r="B314" s="162" t="str">
        <f>VLOOKUP($A314,Estimate!$A:$H,3,FALSE)</f>
        <v>Labour</v>
      </c>
      <c r="C314" s="161" t="str">
        <f t="shared" si="4"/>
        <v>P</v>
      </c>
      <c r="D314" s="116">
        <v>3</v>
      </c>
      <c r="E314" s="161" t="str">
        <f>VLOOKUP($A314,Estimate!$A:$H,4,FALSE)</f>
        <v xml:space="preserve">hr   </v>
      </c>
    </row>
    <row r="315" spans="1:5" x14ac:dyDescent="0.25">
      <c r="A315" s="161">
        <v>136</v>
      </c>
      <c r="B315" s="162" t="str">
        <f>VLOOKUP($A315,Estimate!$A:$H,3,FALSE)</f>
        <v>Place only Type 2.1 (828m²)</v>
      </c>
      <c r="C315" s="161" t="str">
        <f t="shared" si="4"/>
        <v>Q</v>
      </c>
      <c r="D315" s="116">
        <v>96</v>
      </c>
      <c r="E315" s="161" t="str">
        <f>VLOOKUP($A315,Estimate!$A:$H,4,FALSE)</f>
        <v xml:space="preserve">m3   </v>
      </c>
    </row>
    <row r="316" spans="1:5" x14ac:dyDescent="0.25">
      <c r="A316" s="161">
        <v>136.1</v>
      </c>
      <c r="B316" s="162" t="str">
        <f>VLOOKUP($A316,Estimate!$A:$H,3,FALSE)</f>
        <v>QTY*density Tonnes Gravel</v>
      </c>
      <c r="C316" s="161" t="str">
        <f t="shared" si="4"/>
        <v>P</v>
      </c>
      <c r="D316" s="116">
        <v>2.4</v>
      </c>
      <c r="E316" s="161" t="s">
        <v>2403</v>
      </c>
    </row>
    <row r="317" spans="1:5" x14ac:dyDescent="0.25">
      <c r="A317" s="161">
        <v>136.19999999999999</v>
      </c>
      <c r="B317" s="162" t="str">
        <f>VLOOKUP($A317,Estimate!$A:$H,3,FALSE)</f>
        <v>Truck &amp; Dog</v>
      </c>
      <c r="C317" s="161" t="str">
        <f t="shared" si="4"/>
        <v>P</v>
      </c>
      <c r="D317" s="116">
        <v>3</v>
      </c>
      <c r="E317" s="161" t="str">
        <f>VLOOKUP($A317,Estimate!$A:$H,4,FALSE)</f>
        <v xml:space="preserve">hr   </v>
      </c>
    </row>
    <row r="318" spans="1:5" x14ac:dyDescent="0.25">
      <c r="A318" s="161">
        <v>136.30000000000001</v>
      </c>
      <c r="B318" s="162" t="str">
        <f>VLOOKUP($A318,Estimate!$A:$H,3,FALSE)</f>
        <v>Grader</v>
      </c>
      <c r="C318" s="161" t="str">
        <f t="shared" si="4"/>
        <v>P</v>
      </c>
      <c r="D318" s="116">
        <v>44.44</v>
      </c>
      <c r="E318" s="161" t="str">
        <f>VLOOKUP($A318,Estimate!$A:$H,4,FALSE)</f>
        <v xml:space="preserve">hr   </v>
      </c>
    </row>
    <row r="319" spans="1:5" x14ac:dyDescent="0.25">
      <c r="A319" s="161">
        <v>136.4</v>
      </c>
      <c r="B319" s="162" t="str">
        <f>VLOOKUP($A319,Estimate!$A:$H,3,FALSE)</f>
        <v>Grader</v>
      </c>
      <c r="C319" s="161" t="str">
        <f t="shared" si="4"/>
        <v>P</v>
      </c>
      <c r="D319" s="116">
        <v>150</v>
      </c>
      <c r="E319" s="161" t="str">
        <f>VLOOKUP($A319,Estimate!$A:$H,4,FALSE)</f>
        <v xml:space="preserve">hr   </v>
      </c>
    </row>
    <row r="320" spans="1:5" x14ac:dyDescent="0.25">
      <c r="A320" s="161">
        <v>136.5</v>
      </c>
      <c r="B320" s="162" t="str">
        <f>VLOOKUP($A320,Estimate!$A:$H,3,FALSE)</f>
        <v>Labour</v>
      </c>
      <c r="C320" s="161" t="str">
        <f t="shared" si="4"/>
        <v>P</v>
      </c>
      <c r="D320" s="116">
        <v>3</v>
      </c>
      <c r="E320" s="161" t="str">
        <f>VLOOKUP($A320,Estimate!$A:$H,4,FALSE)</f>
        <v xml:space="preserve">hr   </v>
      </c>
    </row>
    <row r="321" spans="1:5" x14ac:dyDescent="0.25">
      <c r="A321" s="161">
        <v>137</v>
      </c>
      <c r="B321" s="162" t="str">
        <f>VLOOKUP($A321,Estimate!$A:$H,3,FALSE)</f>
        <v>Special Item - Geotextile layer</v>
      </c>
      <c r="C321" s="161" t="str">
        <f t="shared" si="4"/>
        <v>Q</v>
      </c>
      <c r="D321" s="116">
        <v>928</v>
      </c>
      <c r="E321" s="161" t="str">
        <f>VLOOKUP($A321,Estimate!$A:$H,4,FALSE)</f>
        <v xml:space="preserve">m2   </v>
      </c>
    </row>
    <row r="322" spans="1:5" x14ac:dyDescent="0.25">
      <c r="A322" s="161">
        <v>137.1</v>
      </c>
      <c r="B322" s="162" t="str">
        <f>VLOOKUP($A322,Estimate!$A:$H,3,FALSE)</f>
        <v>Labour</v>
      </c>
      <c r="C322" s="161" t="str">
        <f t="shared" si="4"/>
        <v>P</v>
      </c>
      <c r="D322" s="116">
        <v>570</v>
      </c>
      <c r="E322" s="161" t="str">
        <f>VLOOKUP($A322,Estimate!$A:$H,4,FALSE)</f>
        <v xml:space="preserve">hr   </v>
      </c>
    </row>
    <row r="323" spans="1:5" x14ac:dyDescent="0.25">
      <c r="A323" s="161">
        <v>138</v>
      </c>
      <c r="B323" s="162" t="str">
        <f>VLOOKUP($A323,Estimate!$A:$H,3,FALSE)</f>
        <v>(vii)  AMC5</v>
      </c>
      <c r="C323" s="161" t="str">
        <f t="shared" si="4"/>
        <v>Q</v>
      </c>
      <c r="D323" s="116">
        <v>828</v>
      </c>
      <c r="E323" s="161" t="str">
        <f>VLOOKUP($A323,Estimate!$A:$H,4,FALSE)</f>
        <v xml:space="preserve">m2   </v>
      </c>
    </row>
    <row r="324" spans="1:5" x14ac:dyDescent="0.25">
      <c r="A324" s="161">
        <v>139</v>
      </c>
      <c r="B324" s="162" t="str">
        <f>VLOOKUP($A324,Estimate!$A:$H,3,FALSE)</f>
        <v>(ii)  14mm Nominal Size</v>
      </c>
      <c r="C324" s="161" t="str">
        <f t="shared" ref="C324:C387" si="5">IF(A324/ROUND(A324,0)=1,"Q","P")</f>
        <v>Q</v>
      </c>
      <c r="D324" s="116">
        <v>99.36</v>
      </c>
      <c r="E324" s="161" t="str">
        <f>VLOOKUP($A324,Estimate!$A:$H,4,FALSE)</f>
        <v>tonne</v>
      </c>
    </row>
    <row r="325" spans="1:5" x14ac:dyDescent="0.25">
      <c r="A325" s="161">
        <v>140</v>
      </c>
      <c r="B325" s="162" t="str">
        <f>VLOOKUP($A325,Estimate!$A:$H,3,FALSE)</f>
        <v>Remove and reinstate Existing Signs &amp; Support Structures</v>
      </c>
      <c r="C325" s="161" t="str">
        <f t="shared" si="5"/>
        <v>Q</v>
      </c>
      <c r="D325" s="116">
        <v>2</v>
      </c>
      <c r="E325" s="161" t="str">
        <f>VLOOKUP($A325,Estimate!$A:$H,4,FALSE)</f>
        <v xml:space="preserve">Item </v>
      </c>
    </row>
    <row r="326" spans="1:5" x14ac:dyDescent="0.25">
      <c r="A326" s="161">
        <v>141</v>
      </c>
      <c r="B326" s="162" t="str">
        <f>VLOOKUP($A326,Estimate!$A:$H,3,FALSE)</f>
        <v>Supply &amp; Erection of Boundary Fencing  (1200 high chainlink star picket fence)</v>
      </c>
      <c r="C326" s="161" t="str">
        <f t="shared" si="5"/>
        <v>Q</v>
      </c>
      <c r="D326" s="116">
        <v>11</v>
      </c>
      <c r="E326" s="161" t="str">
        <f>VLOOKUP($A326,Estimate!$A:$H,4,FALSE)</f>
        <v xml:space="preserve">m    </v>
      </c>
    </row>
    <row r="327" spans="1:5" x14ac:dyDescent="0.25">
      <c r="A327" s="161">
        <v>142</v>
      </c>
      <c r="B327" s="162" t="str">
        <f>VLOOKUP($A327,Estimate!$A:$H,3,FALSE)</f>
        <v>(iv)  Residential Invert Crossing (? m)</v>
      </c>
      <c r="C327" s="161" t="str">
        <f t="shared" si="5"/>
        <v>Q</v>
      </c>
      <c r="D327" s="116">
        <v>5</v>
      </c>
      <c r="E327" s="161" t="str">
        <f>VLOOKUP($A327,Estimate!$A:$H,4,FALSE)</f>
        <v xml:space="preserve">each </v>
      </c>
    </row>
    <row r="328" spans="1:5" x14ac:dyDescent="0.25">
      <c r="A328" s="161">
        <v>142.1</v>
      </c>
      <c r="B328" s="162" t="str">
        <f>VLOOKUP($A328,Estimate!$A:$H,3,FALSE)</f>
        <v>Excavator - 25T</v>
      </c>
      <c r="C328" s="161" t="str">
        <f t="shared" si="5"/>
        <v>P</v>
      </c>
      <c r="D328" s="116">
        <v>5</v>
      </c>
      <c r="E328" s="161" t="str">
        <f>VLOOKUP($A328,Estimate!$A:$H,4,FALSE)</f>
        <v xml:space="preserve">hr   </v>
      </c>
    </row>
    <row r="329" spans="1:5" x14ac:dyDescent="0.25">
      <c r="A329" s="161">
        <v>143</v>
      </c>
      <c r="B329" s="162" t="str">
        <f>VLOOKUP($A329,Estimate!$A:$H,3,FALSE)</f>
        <v>Service connections</v>
      </c>
      <c r="C329" s="161" t="str">
        <f t="shared" si="5"/>
        <v>Q</v>
      </c>
      <c r="D329" s="116">
        <v>1</v>
      </c>
      <c r="E329" s="161" t="str">
        <f>VLOOKUP($A329,Estimate!$A:$H,4,FALSE)</f>
        <v xml:space="preserve">Lump </v>
      </c>
    </row>
    <row r="330" spans="1:5" x14ac:dyDescent="0.25">
      <c r="A330" s="161">
        <v>144</v>
      </c>
      <c r="B330" s="162" t="str">
        <f>VLOOKUP($A330,Estimate!$A:$H,3,FALSE)</f>
        <v>Alterations to water main</v>
      </c>
      <c r="C330" s="161" t="str">
        <f t="shared" si="5"/>
        <v>Q</v>
      </c>
      <c r="D330" s="116">
        <v>1</v>
      </c>
      <c r="E330" s="161" t="str">
        <f>VLOOKUP($A330,Estimate!$A:$H,4,FALSE)</f>
        <v xml:space="preserve">Lump </v>
      </c>
    </row>
    <row r="331" spans="1:5" x14ac:dyDescent="0.25">
      <c r="A331" s="161">
        <v>145</v>
      </c>
      <c r="B331" s="162" t="str">
        <f>VLOOKUP($A331,Estimate!$A:$H,3,FALSE)</f>
        <v>Alterations to valves and hydrant margins</v>
      </c>
      <c r="C331" s="161" t="str">
        <f t="shared" si="5"/>
        <v>Q</v>
      </c>
      <c r="D331" s="116">
        <v>1</v>
      </c>
      <c r="E331" s="161" t="str">
        <f>VLOOKUP($A331,Estimate!$A:$H,4,FALSE)</f>
        <v xml:space="preserve">Lump </v>
      </c>
    </row>
    <row r="332" spans="1:5" x14ac:dyDescent="0.25">
      <c r="A332" s="161">
        <v>146</v>
      </c>
      <c r="B332" s="162" t="str">
        <f>VLOOKUP($A332,Estimate!$A:$H,3,FALSE)</f>
        <v>Special Item - As Constructed Survey and Plans</v>
      </c>
      <c r="C332" s="161" t="str">
        <f t="shared" si="5"/>
        <v>Q</v>
      </c>
      <c r="D332" s="116">
        <v>1</v>
      </c>
      <c r="E332" s="161" t="str">
        <f>VLOOKUP($A332,Estimate!$A:$H,4,FALSE)</f>
        <v xml:space="preserve">Lump </v>
      </c>
    </row>
    <row r="333" spans="1:5" x14ac:dyDescent="0.25">
      <c r="A333" s="161">
        <v>147</v>
      </c>
      <c r="B333" s="162" t="str">
        <f>VLOOKUP($A333,Estimate!$A:$H,3,FALSE)</f>
        <v>Quality Verification &amp; Control</v>
      </c>
      <c r="C333" s="161" t="str">
        <f t="shared" si="5"/>
        <v>Q</v>
      </c>
      <c r="D333" s="116">
        <v>1</v>
      </c>
      <c r="E333" s="161" t="str">
        <f>VLOOKUP($A333,Estimate!$A:$H,4,FALSE)</f>
        <v xml:space="preserve">Lump </v>
      </c>
    </row>
    <row r="334" spans="1:5" x14ac:dyDescent="0.25">
      <c r="A334" s="161">
        <v>147.1</v>
      </c>
      <c r="B334" s="162" t="str">
        <f>VLOOKUP($A334,Estimate!$A:$H,3,FALSE)</f>
        <v>(30) Field Density Tests</v>
      </c>
      <c r="C334" s="161" t="str">
        <f t="shared" si="5"/>
        <v>P</v>
      </c>
      <c r="D334" s="116">
        <v>30</v>
      </c>
      <c r="E334" s="161" t="s">
        <v>29</v>
      </c>
    </row>
    <row r="335" spans="1:5" x14ac:dyDescent="0.25">
      <c r="A335" s="161">
        <v>147.19999999999999</v>
      </c>
      <c r="B335" s="162" t="str">
        <f>VLOOKUP($A335,Estimate!$A:$H,3,FALSE)</f>
        <v>(6) Concrete Cylinder Sets</v>
      </c>
      <c r="C335" s="161" t="str">
        <f t="shared" si="5"/>
        <v>P</v>
      </c>
      <c r="D335" s="116">
        <v>6</v>
      </c>
      <c r="E335" s="161" t="s">
        <v>29</v>
      </c>
    </row>
    <row r="336" spans="1:5" x14ac:dyDescent="0.25">
      <c r="A336" s="161">
        <v>147.30000000000001</v>
      </c>
      <c r="B336" s="162" t="str">
        <f>VLOOKUP($A336,Estimate!$A:$H,3,FALSE)</f>
        <v>Survey</v>
      </c>
      <c r="C336" s="161" t="str">
        <f t="shared" si="5"/>
        <v>P</v>
      </c>
      <c r="D336" s="116">
        <v>3800</v>
      </c>
      <c r="E336" s="161" t="str">
        <f>VLOOKUP($A336,Estimate!$A:$H,4,FALSE)</f>
        <v xml:space="preserve">Item </v>
      </c>
    </row>
    <row r="337" spans="1:5" x14ac:dyDescent="0.25">
      <c r="A337" s="161">
        <v>148</v>
      </c>
      <c r="B337" s="162" t="str">
        <f>VLOOKUP($A337,Estimate!$A:$H,3,FALSE)</f>
        <v>Control of Traffic</v>
      </c>
      <c r="C337" s="161" t="str">
        <f t="shared" si="5"/>
        <v>Q</v>
      </c>
      <c r="D337" s="116">
        <v>1</v>
      </c>
      <c r="E337" s="161" t="str">
        <f>VLOOKUP($A337,Estimate!$A:$H,4,FALSE)</f>
        <v xml:space="preserve">Lump </v>
      </c>
    </row>
    <row r="338" spans="1:5" x14ac:dyDescent="0.25">
      <c r="A338" s="161">
        <v>148.1</v>
      </c>
      <c r="B338" s="162" t="str">
        <f>VLOOKUP($A338,Estimate!$A:$H,3,FALSE)</f>
        <v>Traffic Control Crew</v>
      </c>
      <c r="C338" s="161" t="str">
        <f t="shared" si="5"/>
        <v>P</v>
      </c>
      <c r="D338" s="116">
        <v>6</v>
      </c>
      <c r="E338" s="161" t="str">
        <f>VLOOKUP($A338,Estimate!$A:$H,4,FALSE)</f>
        <v xml:space="preserve">hr   </v>
      </c>
    </row>
    <row r="339" spans="1:5" x14ac:dyDescent="0.25">
      <c r="A339" s="161">
        <v>149</v>
      </c>
      <c r="B339" s="162" t="str">
        <f>VLOOKUP($A339,Estimate!$A:$H,3,FALSE)</f>
        <v>Temporary Erosion &amp; Sedimentation Control (includes supply and installation of all components)</v>
      </c>
      <c r="C339" s="161" t="str">
        <f t="shared" si="5"/>
        <v>Q</v>
      </c>
      <c r="D339" s="116">
        <v>1</v>
      </c>
      <c r="E339" s="161" t="str">
        <f>VLOOKUP($A339,Estimate!$A:$H,4,FALSE)</f>
        <v xml:space="preserve">Lump </v>
      </c>
    </row>
    <row r="340" spans="1:5" x14ac:dyDescent="0.25">
      <c r="A340" s="161">
        <v>150</v>
      </c>
      <c r="B340" s="162" t="str">
        <f>VLOOKUP($A340,Estimate!$A:$H,3,FALSE)</f>
        <v>Clearing and Grubbing (removal of kerb &amp; channel)</v>
      </c>
      <c r="C340" s="161" t="str">
        <f t="shared" si="5"/>
        <v>Q</v>
      </c>
      <c r="D340" s="116">
        <v>1</v>
      </c>
      <c r="E340" s="161" t="str">
        <f>VLOOKUP($A340,Estimate!$A:$H,4,FALSE)</f>
        <v xml:space="preserve">Lump </v>
      </c>
    </row>
    <row r="341" spans="1:5" x14ac:dyDescent="0.25">
      <c r="A341" s="161">
        <v>150.1</v>
      </c>
      <c r="B341" s="162" t="str">
        <f>VLOOKUP($A341,Estimate!$A:$H,3,FALSE)</f>
        <v>Excavator - 25T</v>
      </c>
      <c r="C341" s="161" t="str">
        <f t="shared" si="5"/>
        <v>P</v>
      </c>
      <c r="D341" s="116">
        <v>0.06</v>
      </c>
      <c r="E341" s="161" t="str">
        <f>VLOOKUP($A341,Estimate!$A:$H,4,FALSE)</f>
        <v xml:space="preserve">hr   </v>
      </c>
    </row>
    <row r="342" spans="1:5" x14ac:dyDescent="0.25">
      <c r="A342" s="161">
        <v>150.19999999999999</v>
      </c>
      <c r="B342" s="162" t="str">
        <f>VLOOKUP($A342,Estimate!$A:$H,3,FALSE)</f>
        <v>Tipper</v>
      </c>
      <c r="C342" s="161" t="str">
        <f t="shared" si="5"/>
        <v>P</v>
      </c>
      <c r="D342" s="116">
        <v>3</v>
      </c>
      <c r="E342" s="161" t="str">
        <f>VLOOKUP($A342,Estimate!$A:$H,4,FALSE)</f>
        <v xml:space="preserve">hr   </v>
      </c>
    </row>
    <row r="343" spans="1:5" x14ac:dyDescent="0.25">
      <c r="A343" s="161">
        <v>151</v>
      </c>
      <c r="B343" s="162" t="str">
        <f>VLOOKUP($A343,Estimate!$A:$H,3,FALSE)</f>
        <v>General Earthworks Cut</v>
      </c>
      <c r="C343" s="161" t="str">
        <f t="shared" si="5"/>
        <v>Q</v>
      </c>
      <c r="D343" s="116">
        <v>543</v>
      </c>
      <c r="E343" s="161" t="str">
        <f>VLOOKUP($A343,Estimate!$A:$H,4,FALSE)</f>
        <v xml:space="preserve">m3   </v>
      </c>
    </row>
    <row r="344" spans="1:5" x14ac:dyDescent="0.25">
      <c r="A344" s="161">
        <v>151.1</v>
      </c>
      <c r="B344" s="162" t="str">
        <f>VLOOKUP($A344,Estimate!$A:$H,3,FALSE)</f>
        <v>Excavator - 25T</v>
      </c>
      <c r="C344" s="161" t="str">
        <f t="shared" si="5"/>
        <v>P</v>
      </c>
      <c r="D344" s="116">
        <v>40</v>
      </c>
      <c r="E344" s="161" t="str">
        <f>VLOOKUP($A344,Estimate!$A:$H,4,FALSE)</f>
        <v xml:space="preserve">hr   </v>
      </c>
    </row>
    <row r="345" spans="1:5" x14ac:dyDescent="0.25">
      <c r="A345" s="161">
        <v>151.19999999999999</v>
      </c>
      <c r="B345" s="162" t="str">
        <f>VLOOKUP($A345,Estimate!$A:$H,3,FALSE)</f>
        <v>Grader</v>
      </c>
      <c r="C345" s="161" t="str">
        <f t="shared" si="5"/>
        <v>P</v>
      </c>
      <c r="D345" s="116">
        <v>150</v>
      </c>
      <c r="E345" s="161" t="str">
        <f>VLOOKUP($A345,Estimate!$A:$H,4,FALSE)</f>
        <v xml:space="preserve">hr   </v>
      </c>
    </row>
    <row r="346" spans="1:5" x14ac:dyDescent="0.25">
      <c r="A346" s="161">
        <v>152</v>
      </c>
      <c r="B346" s="162" t="str">
        <f>VLOOKUP($A346,Estimate!$A:$H,3,FALSE)</f>
        <v>Replace unsuitable material below sub grade with select material complete (provisional)</v>
      </c>
      <c r="C346" s="161" t="str">
        <f t="shared" si="5"/>
        <v>Q</v>
      </c>
      <c r="D346" s="116">
        <v>20</v>
      </c>
      <c r="E346" s="161" t="str">
        <f>VLOOKUP($A346,Estimate!$A:$H,4,FALSE)</f>
        <v xml:space="preserve">m3   </v>
      </c>
    </row>
    <row r="347" spans="1:5" x14ac:dyDescent="0.25">
      <c r="A347" s="161">
        <v>152.1</v>
      </c>
      <c r="B347" s="162" t="str">
        <f>VLOOKUP($A347,Estimate!$A:$H,3,FALSE)</f>
        <v>Excavator - 25T</v>
      </c>
      <c r="C347" s="161" t="str">
        <f t="shared" si="5"/>
        <v>P</v>
      </c>
      <c r="D347" s="116">
        <v>15</v>
      </c>
      <c r="E347" s="161" t="str">
        <f>VLOOKUP($A347,Estimate!$A:$H,4,FALSE)</f>
        <v xml:space="preserve">hr   </v>
      </c>
    </row>
    <row r="348" spans="1:5" x14ac:dyDescent="0.25">
      <c r="A348" s="161">
        <v>152.19999999999999</v>
      </c>
      <c r="B348" s="162" t="str">
        <f>VLOOKUP($A348,Estimate!$A:$H,3,FALSE)</f>
        <v>Excavator - 25T</v>
      </c>
      <c r="C348" s="161" t="str">
        <f t="shared" si="5"/>
        <v>P</v>
      </c>
      <c r="D348" s="116">
        <v>15</v>
      </c>
      <c r="E348" s="161" t="str">
        <f>VLOOKUP($A348,Estimate!$A:$H,4,FALSE)</f>
        <v xml:space="preserve">hr   </v>
      </c>
    </row>
    <row r="349" spans="1:5" x14ac:dyDescent="0.25">
      <c r="A349" s="161">
        <v>153</v>
      </c>
      <c r="B349" s="162" t="str">
        <f>VLOOKUP($A349,Estimate!$A:$H,3,FALSE)</f>
        <v xml:space="preserve"> Removal / Demolition of Drainage Components complete</v>
      </c>
      <c r="C349" s="161" t="str">
        <f t="shared" si="5"/>
        <v>Q</v>
      </c>
      <c r="D349" s="116">
        <v>1</v>
      </c>
      <c r="E349" s="161" t="str">
        <f>VLOOKUP($A349,Estimate!$A:$H,4,FALSE)</f>
        <v xml:space="preserve">Lump </v>
      </c>
    </row>
    <row r="350" spans="1:5" x14ac:dyDescent="0.25">
      <c r="A350" s="161">
        <v>153.1</v>
      </c>
      <c r="B350" s="162" t="str">
        <f>VLOOKUP($A350,Estimate!$A:$H,3,FALSE)</f>
        <v>Excavator - 25T</v>
      </c>
      <c r="C350" s="161" t="str">
        <f t="shared" si="5"/>
        <v>P</v>
      </c>
      <c r="D350" s="116">
        <v>0.11</v>
      </c>
      <c r="E350" s="161" t="str">
        <f>VLOOKUP($A350,Estimate!$A:$H,4,FALSE)</f>
        <v xml:space="preserve">hr   </v>
      </c>
    </row>
    <row r="351" spans="1:5" x14ac:dyDescent="0.25">
      <c r="A351" s="161">
        <v>153.19999999999999</v>
      </c>
      <c r="B351" s="162" t="str">
        <f>VLOOKUP($A351,Estimate!$A:$H,3,FALSE)</f>
        <v>Tipper</v>
      </c>
      <c r="C351" s="161" t="str">
        <f t="shared" si="5"/>
        <v>P</v>
      </c>
      <c r="D351" s="116">
        <v>3</v>
      </c>
      <c r="E351" s="161" t="str">
        <f>VLOOKUP($A351,Estimate!$A:$H,4,FALSE)</f>
        <v xml:space="preserve">hr   </v>
      </c>
    </row>
    <row r="352" spans="1:5" x14ac:dyDescent="0.25">
      <c r="A352" s="161">
        <v>154</v>
      </c>
      <c r="B352" s="162" t="str">
        <f>VLOOKUP($A352,Estimate!$A:$H,3,FALSE)</f>
        <v>Connect property drainage pipes (No. 21)</v>
      </c>
      <c r="C352" s="161" t="str">
        <f t="shared" si="5"/>
        <v>Q</v>
      </c>
      <c r="D352" s="116">
        <v>1</v>
      </c>
      <c r="E352" s="161" t="str">
        <f>VLOOKUP($A352,Estimate!$A:$H,4,FALSE)</f>
        <v xml:space="preserve">Lump </v>
      </c>
    </row>
    <row r="353" spans="1:5" x14ac:dyDescent="0.25">
      <c r="A353" s="161">
        <v>154.1</v>
      </c>
      <c r="B353" s="162" t="str">
        <f>VLOOKUP($A353,Estimate!$A:$H,3,FALSE)</f>
        <v>Plumber</v>
      </c>
      <c r="C353" s="161" t="str">
        <f t="shared" si="5"/>
        <v>P</v>
      </c>
      <c r="D353" s="116">
        <v>0.5</v>
      </c>
      <c r="E353" s="161" t="str">
        <f>VLOOKUP($A353,Estimate!$A:$H,4,FALSE)</f>
        <v xml:space="preserve">hr   </v>
      </c>
    </row>
    <row r="354" spans="1:5" x14ac:dyDescent="0.25">
      <c r="A354" s="161">
        <v>155</v>
      </c>
      <c r="B354" s="162" t="str">
        <f>VLOOKUP($A354,Estimate!$A:$H,3,FALSE)</f>
        <v>In-Situ reinforced concrete Base Slab for culverts complete</v>
      </c>
      <c r="C354" s="161" t="str">
        <f t="shared" si="5"/>
        <v>Q</v>
      </c>
      <c r="D354" s="116">
        <v>3</v>
      </c>
      <c r="E354" s="161" t="str">
        <f>VLOOKUP($A354,Estimate!$A:$H,4,FALSE)</f>
        <v xml:space="preserve">m3   </v>
      </c>
    </row>
    <row r="355" spans="1:5" x14ac:dyDescent="0.25">
      <c r="A355" s="161">
        <v>156</v>
      </c>
      <c r="B355" s="162" t="str">
        <f>VLOOKUP($A355,Estimate!$A:$H,3,FALSE)</f>
        <v>1200 x 300</v>
      </c>
      <c r="C355" s="161" t="str">
        <f t="shared" si="5"/>
        <v>Q</v>
      </c>
      <c r="D355" s="116">
        <v>12.4</v>
      </c>
      <c r="E355" s="161" t="str">
        <f>VLOOKUP($A355,Estimate!$A:$H,4,FALSE)</f>
        <v xml:space="preserve">m    </v>
      </c>
    </row>
    <row r="356" spans="1:5" x14ac:dyDescent="0.25">
      <c r="A356" s="161">
        <v>156.1</v>
      </c>
      <c r="B356" s="162" t="str">
        <f>VLOOKUP($A356,Estimate!$A:$H,3,FALSE)</f>
        <v>Excavator - 25T</v>
      </c>
      <c r="C356" s="161" t="str">
        <f t="shared" si="5"/>
        <v>P</v>
      </c>
      <c r="D356" s="116">
        <v>2</v>
      </c>
      <c r="E356" s="161" t="str">
        <f>VLOOKUP($A356,Estimate!$A:$H,4,FALSE)</f>
        <v xml:space="preserve">hr   </v>
      </c>
    </row>
    <row r="357" spans="1:5" x14ac:dyDescent="0.25">
      <c r="A357" s="161">
        <v>156.19999999999999</v>
      </c>
      <c r="B357" s="162" t="str">
        <f>VLOOKUP($A357,Estimate!$A:$H,3,FALSE)</f>
        <v>Labour</v>
      </c>
      <c r="C357" s="161" t="str">
        <f t="shared" si="5"/>
        <v>P</v>
      </c>
      <c r="D357" s="116">
        <v>3</v>
      </c>
      <c r="E357" s="161" t="str">
        <f>VLOOKUP($A357,Estimate!$A:$H,4,FALSE)</f>
        <v xml:space="preserve">hr   </v>
      </c>
    </row>
    <row r="358" spans="1:5" x14ac:dyDescent="0.25">
      <c r="A358" s="161">
        <v>156.30000000000001</v>
      </c>
      <c r="B358" s="162" t="str">
        <f>VLOOKUP($A358,Estimate!$A:$H,3,FALSE)</f>
        <v>Bobcat</v>
      </c>
      <c r="C358" s="161" t="str">
        <f t="shared" si="5"/>
        <v>P</v>
      </c>
      <c r="D358" s="116">
        <v>3</v>
      </c>
      <c r="E358" s="161" t="str">
        <f>VLOOKUP($A358,Estimate!$A:$H,4,FALSE)</f>
        <v xml:space="preserve">hr   </v>
      </c>
    </row>
    <row r="359" spans="1:5" x14ac:dyDescent="0.25">
      <c r="A359" s="161">
        <v>156.4</v>
      </c>
      <c r="B359" s="162" t="str">
        <f>VLOOKUP($A359,Estimate!$A:$H,3,FALSE)</f>
        <v>Labour</v>
      </c>
      <c r="C359" s="161" t="str">
        <f t="shared" si="5"/>
        <v>P</v>
      </c>
      <c r="D359" s="116">
        <v>3</v>
      </c>
      <c r="E359" s="161" t="str">
        <f>VLOOKUP($A359,Estimate!$A:$H,4,FALSE)</f>
        <v xml:space="preserve">hr   </v>
      </c>
    </row>
    <row r="360" spans="1:5" x14ac:dyDescent="0.25">
      <c r="A360" s="161">
        <v>157</v>
      </c>
      <c r="B360" s="162" t="str">
        <f>VLOOKUP($A360,Estimate!$A:$H,3,FALSE)</f>
        <v>MCC Type A Gully Pit</v>
      </c>
      <c r="C360" s="161" t="str">
        <f t="shared" si="5"/>
        <v>Q</v>
      </c>
      <c r="D360" s="116">
        <v>4</v>
      </c>
      <c r="E360" s="161" t="str">
        <f>VLOOKUP($A360,Estimate!$A:$H,4,FALSE)</f>
        <v xml:space="preserve">each </v>
      </c>
    </row>
    <row r="361" spans="1:5" x14ac:dyDescent="0.25">
      <c r="A361" s="161">
        <v>158</v>
      </c>
      <c r="B361" s="162" t="str">
        <f>VLOOKUP($A361,Estimate!$A:$H,3,FALSE)</f>
        <v>(i)  Concrete Barrier Kerb &amp; Channel B1 complete</v>
      </c>
      <c r="C361" s="161" t="str">
        <f t="shared" si="5"/>
        <v>Q</v>
      </c>
      <c r="D361" s="116">
        <v>475</v>
      </c>
      <c r="E361" s="161" t="str">
        <f>VLOOKUP($A361,Estimate!$A:$H,4,FALSE)</f>
        <v xml:space="preserve">m    </v>
      </c>
    </row>
    <row r="362" spans="1:5" x14ac:dyDescent="0.25">
      <c r="A362" s="161">
        <v>159</v>
      </c>
      <c r="B362" s="162" t="str">
        <f>VLOOKUP($A362,Estimate!$A:$H,3,FALSE)</f>
        <v>Subsoil Drain Pipe - 100mm dia Slotted Corrugated Plastic Pipe complete (provisional quantity)</v>
      </c>
      <c r="C362" s="161" t="str">
        <f t="shared" si="5"/>
        <v>Q</v>
      </c>
      <c r="D362" s="116">
        <v>475</v>
      </c>
      <c r="E362" s="161" t="str">
        <f>VLOOKUP($A362,Estimate!$A:$H,4,FALSE)</f>
        <v xml:space="preserve">m    </v>
      </c>
    </row>
    <row r="363" spans="1:5" x14ac:dyDescent="0.25">
      <c r="A363" s="161">
        <v>159.1</v>
      </c>
      <c r="B363" s="162" t="str">
        <f>VLOOKUP($A363,Estimate!$A:$H,3,FALSE)</f>
        <v>Excavator - 25T</v>
      </c>
      <c r="C363" s="161" t="str">
        <f t="shared" si="5"/>
        <v>P</v>
      </c>
      <c r="D363" s="116">
        <v>11.11</v>
      </c>
      <c r="E363" s="161" t="str">
        <f>VLOOKUP($A363,Estimate!$A:$H,4,FALSE)</f>
        <v xml:space="preserve">hr   </v>
      </c>
    </row>
    <row r="364" spans="1:5" x14ac:dyDescent="0.25">
      <c r="A364" s="161">
        <v>160</v>
      </c>
      <c r="B364" s="162" t="str">
        <f>VLOOKUP($A364,Estimate!$A:$H,3,FALSE)</f>
        <v>Place only Type 2.3 (includes cart, place, compact &amp; trim)</v>
      </c>
      <c r="C364" s="161" t="str">
        <f t="shared" si="5"/>
        <v>Q</v>
      </c>
      <c r="D364" s="116">
        <v>304</v>
      </c>
      <c r="E364" s="161" t="str">
        <f>VLOOKUP($A364,Estimate!$A:$H,4,FALSE)</f>
        <v xml:space="preserve">m3   </v>
      </c>
    </row>
    <row r="365" spans="1:5" x14ac:dyDescent="0.25">
      <c r="A365" s="161">
        <v>160.1</v>
      </c>
      <c r="B365" s="162" t="str">
        <f>VLOOKUP($A365,Estimate!$A:$H,3,FALSE)</f>
        <v>QTY*2.4 Tonnes Gravel</v>
      </c>
      <c r="C365" s="161" t="str">
        <f t="shared" si="5"/>
        <v>P</v>
      </c>
      <c r="D365" s="116">
        <v>2.4</v>
      </c>
      <c r="E365" s="161" t="s">
        <v>2403</v>
      </c>
    </row>
    <row r="366" spans="1:5" x14ac:dyDescent="0.25">
      <c r="A366" s="161">
        <v>160.19999999999999</v>
      </c>
      <c r="B366" s="162" t="str">
        <f>VLOOKUP($A366,Estimate!$A:$H,3,FALSE)</f>
        <v>Truck &amp; Dog</v>
      </c>
      <c r="C366" s="161" t="str">
        <f t="shared" si="5"/>
        <v>P</v>
      </c>
      <c r="D366" s="116">
        <v>3</v>
      </c>
      <c r="E366" s="161" t="str">
        <f>VLOOKUP($A366,Estimate!$A:$H,4,FALSE)</f>
        <v xml:space="preserve">hr   </v>
      </c>
    </row>
    <row r="367" spans="1:5" x14ac:dyDescent="0.25">
      <c r="A367" s="161">
        <v>160.30000000000001</v>
      </c>
      <c r="B367" s="162" t="str">
        <f>VLOOKUP($A367,Estimate!$A:$H,3,FALSE)</f>
        <v>Grader</v>
      </c>
      <c r="C367" s="161" t="str">
        <f t="shared" si="5"/>
        <v>P</v>
      </c>
      <c r="D367" s="116">
        <v>27.78</v>
      </c>
      <c r="E367" s="161" t="str">
        <f>VLOOKUP($A367,Estimate!$A:$H,4,FALSE)</f>
        <v xml:space="preserve">hr   </v>
      </c>
    </row>
    <row r="368" spans="1:5" x14ac:dyDescent="0.25">
      <c r="A368" s="161">
        <v>161</v>
      </c>
      <c r="B368" s="162" t="str">
        <f>VLOOKUP($A368,Estimate!$A:$H,3,FALSE)</f>
        <v>Place only Type 2.1 (includes cart, place, compact &amp; trim)</v>
      </c>
      <c r="C368" s="161" t="str">
        <f t="shared" si="5"/>
        <v>Q</v>
      </c>
      <c r="D368" s="116">
        <v>181</v>
      </c>
      <c r="E368" s="161" t="str">
        <f>VLOOKUP($A368,Estimate!$A:$H,4,FALSE)</f>
        <v xml:space="preserve">m3   </v>
      </c>
    </row>
    <row r="369" spans="1:5" x14ac:dyDescent="0.25">
      <c r="A369" s="161">
        <v>161.1</v>
      </c>
      <c r="B369" s="162" t="str">
        <f>VLOOKUP($A369,Estimate!$A:$H,3,FALSE)</f>
        <v>QTY*2.4 Tonnes Gravel</v>
      </c>
      <c r="C369" s="161" t="str">
        <f t="shared" si="5"/>
        <v>P</v>
      </c>
      <c r="D369" s="116">
        <v>2.4</v>
      </c>
      <c r="E369" s="161" t="s">
        <v>2403</v>
      </c>
    </row>
    <row r="370" spans="1:5" x14ac:dyDescent="0.25">
      <c r="A370" s="161">
        <v>161.19999999999999</v>
      </c>
      <c r="B370" s="162" t="str">
        <f>VLOOKUP($A370,Estimate!$A:$H,3,FALSE)</f>
        <v>Truck &amp; Dog</v>
      </c>
      <c r="C370" s="161" t="str">
        <f t="shared" si="5"/>
        <v>P</v>
      </c>
      <c r="D370" s="116">
        <v>3</v>
      </c>
      <c r="E370" s="161" t="str">
        <f>VLOOKUP($A370,Estimate!$A:$H,4,FALSE)</f>
        <v xml:space="preserve">hr   </v>
      </c>
    </row>
    <row r="371" spans="1:5" x14ac:dyDescent="0.25">
      <c r="A371" s="161">
        <v>161.30000000000001</v>
      </c>
      <c r="B371" s="162" t="str">
        <f>VLOOKUP($A371,Estimate!$A:$H,3,FALSE)</f>
        <v>Grader</v>
      </c>
      <c r="C371" s="161" t="str">
        <f t="shared" si="5"/>
        <v>P</v>
      </c>
      <c r="D371" s="116">
        <v>27.78</v>
      </c>
      <c r="E371" s="161" t="str">
        <f>VLOOKUP($A371,Estimate!$A:$H,4,FALSE)</f>
        <v xml:space="preserve">hr   </v>
      </c>
    </row>
    <row r="372" spans="1:5" x14ac:dyDescent="0.25">
      <c r="A372" s="161">
        <v>161.4</v>
      </c>
      <c r="B372" s="162" t="str">
        <f>VLOOKUP($A372,Estimate!$A:$H,3,FALSE)</f>
        <v>Grader</v>
      </c>
      <c r="C372" s="161" t="str">
        <f t="shared" si="5"/>
        <v>P</v>
      </c>
      <c r="D372" s="116">
        <v>150</v>
      </c>
      <c r="E372" s="161" t="str">
        <f>VLOOKUP($A372,Estimate!$A:$H,4,FALSE)</f>
        <v xml:space="preserve">hr   </v>
      </c>
    </row>
    <row r="373" spans="1:5" x14ac:dyDescent="0.25">
      <c r="A373" s="161">
        <v>162</v>
      </c>
      <c r="B373" s="162" t="str">
        <f>VLOOKUP($A373,Estimate!$A:$H,3,FALSE)</f>
        <v>Special Item - Geogrid layer</v>
      </c>
      <c r="C373" s="161" t="str">
        <f t="shared" si="5"/>
        <v>Q</v>
      </c>
      <c r="D373" s="116">
        <v>1595</v>
      </c>
      <c r="E373" s="161" t="str">
        <f>VLOOKUP($A373,Estimate!$A:$H,4,FALSE)</f>
        <v xml:space="preserve">m2   </v>
      </c>
    </row>
    <row r="374" spans="1:5" x14ac:dyDescent="0.25">
      <c r="A374" s="161">
        <v>162.1</v>
      </c>
      <c r="B374" s="162" t="str">
        <f>VLOOKUP($A374,Estimate!$A:$H,3,FALSE)</f>
        <v>Labour</v>
      </c>
      <c r="C374" s="161" t="str">
        <f t="shared" si="5"/>
        <v>P</v>
      </c>
      <c r="D374" s="116">
        <v>570</v>
      </c>
      <c r="E374" s="161" t="str">
        <f>VLOOKUP($A374,Estimate!$A:$H,4,FALSE)</f>
        <v xml:space="preserve">hr   </v>
      </c>
    </row>
    <row r="375" spans="1:5" x14ac:dyDescent="0.25">
      <c r="A375" s="161">
        <v>163</v>
      </c>
      <c r="B375" s="162" t="str">
        <f>VLOOKUP($A375,Estimate!$A:$H,3,FALSE)</f>
        <v>Special Item - Geotextile layer</v>
      </c>
      <c r="C375" s="161" t="str">
        <f t="shared" si="5"/>
        <v>Q</v>
      </c>
      <c r="D375" s="116">
        <v>1595</v>
      </c>
      <c r="E375" s="161" t="str">
        <f>VLOOKUP($A375,Estimate!$A:$H,4,FALSE)</f>
        <v xml:space="preserve">m2   </v>
      </c>
    </row>
    <row r="376" spans="1:5" x14ac:dyDescent="0.25">
      <c r="A376" s="161">
        <v>163.1</v>
      </c>
      <c r="B376" s="162" t="str">
        <f>VLOOKUP($A376,Estimate!$A:$H,3,FALSE)</f>
        <v>Labour</v>
      </c>
      <c r="C376" s="161" t="str">
        <f t="shared" si="5"/>
        <v>P</v>
      </c>
      <c r="D376" s="116">
        <v>570</v>
      </c>
      <c r="E376" s="161" t="str">
        <f>VLOOKUP($A376,Estimate!$A:$H,4,FALSE)</f>
        <v xml:space="preserve">hr   </v>
      </c>
    </row>
    <row r="377" spans="1:5" x14ac:dyDescent="0.25">
      <c r="A377" s="161">
        <v>164</v>
      </c>
      <c r="B377" s="162" t="str">
        <f>VLOOKUP($A377,Estimate!$A:$H,3,FALSE)</f>
        <v>(vii)  AMC5</v>
      </c>
      <c r="C377" s="161" t="str">
        <f t="shared" si="5"/>
        <v>Q</v>
      </c>
      <c r="D377" s="116">
        <v>1206</v>
      </c>
      <c r="E377" s="161" t="str">
        <f>VLOOKUP($A377,Estimate!$A:$H,4,FALSE)</f>
        <v xml:space="preserve">m2   </v>
      </c>
    </row>
    <row r="378" spans="1:5" x14ac:dyDescent="0.25">
      <c r="A378" s="161">
        <v>165</v>
      </c>
      <c r="B378" s="162" t="str">
        <f>VLOOKUP($A378,Estimate!$A:$H,3,FALSE)</f>
        <v>(i)  10mm Nominal Size</v>
      </c>
      <c r="C378" s="161" t="str">
        <f t="shared" si="5"/>
        <v>Q</v>
      </c>
      <c r="D378" s="116">
        <v>87</v>
      </c>
      <c r="E378" s="161" t="str">
        <f>VLOOKUP($A378,Estimate!$A:$H,4,FALSE)</f>
        <v>tonne</v>
      </c>
    </row>
    <row r="379" spans="1:5" x14ac:dyDescent="0.25">
      <c r="A379" s="161">
        <v>166</v>
      </c>
      <c r="B379" s="162" t="str">
        <f>VLOOKUP($A379,Estimate!$A:$H,3,FALSE)</f>
        <v>Pavement Marking Paint - Longitudinal Lines including car parking bays</v>
      </c>
      <c r="C379" s="161" t="str">
        <f t="shared" si="5"/>
        <v>Q</v>
      </c>
      <c r="D379" s="116">
        <v>475</v>
      </c>
      <c r="E379" s="161" t="str">
        <f>VLOOKUP($A379,Estimate!$A:$H,4,FALSE)</f>
        <v xml:space="preserve">m    </v>
      </c>
    </row>
    <row r="380" spans="1:5" x14ac:dyDescent="0.25">
      <c r="A380" s="161">
        <v>167</v>
      </c>
      <c r="B380" s="162" t="str">
        <f>VLOOKUP($A380,Estimate!$A:$H,3,FALSE)</f>
        <v>Remove and reinstate Existing Signs &amp; Support Structures</v>
      </c>
      <c r="C380" s="161" t="str">
        <f t="shared" si="5"/>
        <v>Q</v>
      </c>
      <c r="D380" s="116">
        <v>1</v>
      </c>
      <c r="E380" s="161" t="str">
        <f>VLOOKUP($A380,Estimate!$A:$H,4,FALSE)</f>
        <v xml:space="preserve">Item </v>
      </c>
    </row>
    <row r="381" spans="1:5" x14ac:dyDescent="0.25">
      <c r="A381" s="161">
        <v>168</v>
      </c>
      <c r="B381" s="162" t="str">
        <f>VLOOKUP($A381,Estimate!$A:$H,3,FALSE)</f>
        <v>(iv)  Residential Invert Crossing</v>
      </c>
      <c r="C381" s="161" t="str">
        <f t="shared" si="5"/>
        <v>Q</v>
      </c>
      <c r="D381" s="116">
        <v>21</v>
      </c>
      <c r="E381" s="161" t="str">
        <f>VLOOKUP($A381,Estimate!$A:$H,4,FALSE)</f>
        <v xml:space="preserve">each </v>
      </c>
    </row>
    <row r="382" spans="1:5" x14ac:dyDescent="0.25">
      <c r="A382" s="161">
        <v>168.1</v>
      </c>
      <c r="B382" s="162" t="str">
        <f>VLOOKUP($A382,Estimate!$A:$H,3,FALSE)</f>
        <v>Excavator - 25T</v>
      </c>
      <c r="C382" s="161" t="str">
        <f t="shared" si="5"/>
        <v>P</v>
      </c>
      <c r="D382" s="116">
        <v>21</v>
      </c>
      <c r="E382" s="161" t="str">
        <f>VLOOKUP($A382,Estimate!$A:$H,4,FALSE)</f>
        <v xml:space="preserve">hr   </v>
      </c>
    </row>
    <row r="383" spans="1:5" x14ac:dyDescent="0.25">
      <c r="A383" s="161">
        <v>169</v>
      </c>
      <c r="B383" s="162" t="str">
        <f>VLOOKUP($A383,Estimate!$A:$H,3,FALSE)</f>
        <v>(i)  Grass Seeding</v>
      </c>
      <c r="C383" s="161" t="str">
        <f t="shared" si="5"/>
        <v>Q</v>
      </c>
      <c r="D383" s="116">
        <v>500</v>
      </c>
      <c r="E383" s="161" t="str">
        <f>VLOOKUP($A383,Estimate!$A:$H,4,FALSE)</f>
        <v xml:space="preserve">m2   </v>
      </c>
    </row>
    <row r="384" spans="1:5" x14ac:dyDescent="0.25">
      <c r="A384" s="161">
        <v>170</v>
      </c>
      <c r="B384" s="162" t="str">
        <f>VLOOKUP($A384,Estimate!$A:$H,3,FALSE)</f>
        <v>(ii)  Turfing</v>
      </c>
      <c r="C384" s="161" t="str">
        <f t="shared" si="5"/>
        <v>Q</v>
      </c>
      <c r="D384" s="116">
        <v>250</v>
      </c>
      <c r="E384" s="161" t="str">
        <f>VLOOKUP($A384,Estimate!$A:$H,4,FALSE)</f>
        <v xml:space="preserve">m2   </v>
      </c>
    </row>
    <row r="385" spans="1:5" x14ac:dyDescent="0.25">
      <c r="A385" s="161">
        <v>171</v>
      </c>
      <c r="B385" s="162" t="str">
        <f>VLOOKUP($A385,Estimate!$A:$H,3,FALSE)</f>
        <v>(iii)  Individual Planting</v>
      </c>
      <c r="C385" s="161" t="str">
        <f t="shared" si="5"/>
        <v>Q</v>
      </c>
      <c r="D385" s="116">
        <v>4</v>
      </c>
      <c r="E385" s="161" t="str">
        <f>VLOOKUP($A385,Estimate!$A:$H,4,FALSE)</f>
        <v xml:space="preserve">each </v>
      </c>
    </row>
    <row r="386" spans="1:5" x14ac:dyDescent="0.25">
      <c r="A386" s="161">
        <v>172</v>
      </c>
      <c r="B386" s="162" t="str">
        <f>VLOOKUP($A386,Estimate!$A:$H,3,FALSE)</f>
        <v>Supply and place  Imported Topsoil</v>
      </c>
      <c r="C386" s="161" t="str">
        <f t="shared" si="5"/>
        <v>Q</v>
      </c>
      <c r="D386" s="116">
        <v>50</v>
      </c>
      <c r="E386" s="161" t="str">
        <f>VLOOKUP($A386,Estimate!$A:$H,4,FALSE)</f>
        <v xml:space="preserve">m3   </v>
      </c>
    </row>
    <row r="387" spans="1:5" x14ac:dyDescent="0.25">
      <c r="A387" s="161">
        <v>172.1</v>
      </c>
      <c r="B387" s="162" t="str">
        <f>VLOOKUP($A387,Estimate!$A:$H,3,FALSE)</f>
        <v>Bobcat</v>
      </c>
      <c r="C387" s="161" t="str">
        <f t="shared" si="5"/>
        <v>P</v>
      </c>
      <c r="D387" s="116">
        <v>10</v>
      </c>
      <c r="E387" s="161" t="str">
        <f>VLOOKUP($A387,Estimate!$A:$H,4,FALSE)</f>
        <v xml:space="preserve">hr   </v>
      </c>
    </row>
    <row r="388" spans="1:5" x14ac:dyDescent="0.25">
      <c r="A388" s="161">
        <v>173</v>
      </c>
      <c r="B388" s="162" t="str">
        <f>VLOOKUP($A388,Estimate!$A:$H,3,FALSE)</f>
        <v>Sawcut Bituminous pavement</v>
      </c>
      <c r="C388" s="161" t="str">
        <f t="shared" ref="C388:C451" si="6">IF(A388/ROUND(A388,0)=1,"Q","P")</f>
        <v>Q</v>
      </c>
      <c r="D388" s="116">
        <v>300</v>
      </c>
      <c r="E388" s="161" t="str">
        <f>VLOOKUP($A388,Estimate!$A:$H,4,FALSE)</f>
        <v xml:space="preserve">m    </v>
      </c>
    </row>
    <row r="389" spans="1:5" x14ac:dyDescent="0.25">
      <c r="A389" s="161">
        <v>174</v>
      </c>
      <c r="B389" s="162" t="str">
        <f>VLOOKUP($A389,Estimate!$A:$H,3,FALSE)</f>
        <v>Service connections</v>
      </c>
      <c r="C389" s="161" t="str">
        <f t="shared" si="6"/>
        <v>Q</v>
      </c>
      <c r="D389" s="116">
        <v>1</v>
      </c>
      <c r="E389" s="161" t="str">
        <f>VLOOKUP($A389,Estimate!$A:$H,4,FALSE)</f>
        <v xml:space="preserve">Lump </v>
      </c>
    </row>
    <row r="390" spans="1:5" x14ac:dyDescent="0.25">
      <c r="A390" s="161">
        <v>175</v>
      </c>
      <c r="B390" s="162" t="str">
        <f>VLOOKUP($A390,Estimate!$A:$H,3,FALSE)</f>
        <v>Special Item - As Constructed Survey and Plans</v>
      </c>
      <c r="C390" s="161" t="str">
        <f t="shared" si="6"/>
        <v>Q</v>
      </c>
      <c r="D390" s="116">
        <v>1</v>
      </c>
      <c r="E390" s="161" t="str">
        <f>VLOOKUP($A390,Estimate!$A:$H,4,FALSE)</f>
        <v xml:space="preserve">Lump </v>
      </c>
    </row>
    <row r="391" spans="1:5" x14ac:dyDescent="0.25">
      <c r="A391" s="161">
        <v>176</v>
      </c>
      <c r="B391" s="162" t="str">
        <f>VLOOKUP($A391,Estimate!$A:$H,3,FALSE)</f>
        <v>Quality Verification &amp; Control</v>
      </c>
      <c r="C391" s="161" t="str">
        <f t="shared" si="6"/>
        <v>Q</v>
      </c>
      <c r="D391" s="116">
        <v>1</v>
      </c>
      <c r="E391" s="161" t="str">
        <f>VLOOKUP($A391,Estimate!$A:$H,4,FALSE)</f>
        <v xml:space="preserve">Lump </v>
      </c>
    </row>
    <row r="392" spans="1:5" x14ac:dyDescent="0.25">
      <c r="A392" s="161">
        <v>176.1</v>
      </c>
      <c r="B392" s="162" t="str">
        <f>VLOOKUP($A392,Estimate!$A:$H,3,FALSE)</f>
        <v>(12) Field Density Tests</v>
      </c>
      <c r="C392" s="161" t="str">
        <f t="shared" si="6"/>
        <v>P</v>
      </c>
      <c r="D392" s="116">
        <v>12</v>
      </c>
      <c r="E392" s="161" t="s">
        <v>29</v>
      </c>
    </row>
    <row r="393" spans="1:5" x14ac:dyDescent="0.25">
      <c r="A393" s="161">
        <v>176.2</v>
      </c>
      <c r="B393" s="162" t="str">
        <f>VLOOKUP($A393,Estimate!$A:$H,3,FALSE)</f>
        <v>(6) Concrete Cylinder Sets</v>
      </c>
      <c r="C393" s="161" t="str">
        <f t="shared" si="6"/>
        <v>P</v>
      </c>
      <c r="D393" s="116">
        <v>6</v>
      </c>
      <c r="E393" s="161" t="s">
        <v>29</v>
      </c>
    </row>
    <row r="394" spans="1:5" x14ac:dyDescent="0.25">
      <c r="A394" s="161">
        <v>176.3</v>
      </c>
      <c r="B394" s="162" t="str">
        <f>VLOOKUP($A394,Estimate!$A:$H,3,FALSE)</f>
        <v>Survey</v>
      </c>
      <c r="C394" s="161" t="str">
        <f t="shared" si="6"/>
        <v>P</v>
      </c>
      <c r="D394" s="116">
        <v>4000</v>
      </c>
      <c r="E394" s="161" t="str">
        <f>VLOOKUP($A394,Estimate!$A:$H,4,FALSE)</f>
        <v xml:space="preserve">Item </v>
      </c>
    </row>
    <row r="395" spans="1:5" x14ac:dyDescent="0.25">
      <c r="A395" s="161">
        <v>177</v>
      </c>
      <c r="B395" s="162" t="str">
        <f>VLOOKUP($A395,Estimate!$A:$H,3,FALSE)</f>
        <v>Control of Traffic</v>
      </c>
      <c r="C395" s="161" t="str">
        <f t="shared" si="6"/>
        <v>Q</v>
      </c>
      <c r="D395" s="116">
        <v>1</v>
      </c>
      <c r="E395" s="161" t="str">
        <f>VLOOKUP($A395,Estimate!$A:$H,4,FALSE)</f>
        <v xml:space="preserve">Lump </v>
      </c>
    </row>
    <row r="396" spans="1:5" x14ac:dyDescent="0.25">
      <c r="A396" s="161">
        <v>177.1</v>
      </c>
      <c r="B396" s="162" t="str">
        <f>VLOOKUP($A396,Estimate!$A:$H,3,FALSE)</f>
        <v>Traffic Control Crew</v>
      </c>
      <c r="C396" s="161" t="str">
        <f t="shared" si="6"/>
        <v>P</v>
      </c>
      <c r="D396" s="116">
        <v>6</v>
      </c>
      <c r="E396" s="161" t="str">
        <f>VLOOKUP($A396,Estimate!$A:$H,4,FALSE)</f>
        <v xml:space="preserve">hr   </v>
      </c>
    </row>
    <row r="397" spans="1:5" x14ac:dyDescent="0.25">
      <c r="A397" s="161">
        <v>178</v>
      </c>
      <c r="B397" s="162" t="str">
        <f>VLOOKUP($A397,Estimate!$A:$H,3,FALSE)</f>
        <v>Temporary Erosion &amp; Sedimentation Control (includes supply and installation of all components)</v>
      </c>
      <c r="C397" s="161" t="str">
        <f t="shared" si="6"/>
        <v>Q</v>
      </c>
      <c r="D397" s="116">
        <v>1</v>
      </c>
      <c r="E397" s="161" t="str">
        <f>VLOOKUP($A397,Estimate!$A:$H,4,FALSE)</f>
        <v xml:space="preserve">Lump </v>
      </c>
    </row>
    <row r="398" spans="1:5" x14ac:dyDescent="0.25">
      <c r="A398" s="161">
        <v>179</v>
      </c>
      <c r="B398" s="162" t="str">
        <f>VLOOKUP($A398,Estimate!$A:$H,3,FALSE)</f>
        <v>Special Item - Demolition of Structure (concrete slabs, culverts, pipes etc)</v>
      </c>
      <c r="C398" s="161" t="str">
        <f t="shared" si="6"/>
        <v>Q</v>
      </c>
      <c r="D398" s="116">
        <v>1</v>
      </c>
      <c r="E398" s="161" t="str">
        <f>VLOOKUP($A398,Estimate!$A:$H,4,FALSE)</f>
        <v xml:space="preserve">Lump </v>
      </c>
    </row>
    <row r="399" spans="1:5" x14ac:dyDescent="0.25">
      <c r="A399" s="161">
        <v>179.1</v>
      </c>
      <c r="B399" s="162" t="str">
        <f>VLOOKUP($A399,Estimate!$A:$H,3,FALSE)</f>
        <v>Excavator - 25T</v>
      </c>
      <c r="C399" s="161" t="str">
        <f t="shared" si="6"/>
        <v>P</v>
      </c>
      <c r="D399" s="116">
        <v>0.06</v>
      </c>
      <c r="E399" s="161" t="str">
        <f>VLOOKUP($A399,Estimate!$A:$H,4,FALSE)</f>
        <v xml:space="preserve">hr   </v>
      </c>
    </row>
    <row r="400" spans="1:5" x14ac:dyDescent="0.25">
      <c r="A400" s="161">
        <v>179.2</v>
      </c>
      <c r="B400" s="162" t="str">
        <f>VLOOKUP($A400,Estimate!$A:$H,3,FALSE)</f>
        <v>Tipper</v>
      </c>
      <c r="C400" s="161" t="str">
        <f t="shared" si="6"/>
        <v>P</v>
      </c>
      <c r="D400" s="116">
        <v>3</v>
      </c>
      <c r="E400" s="161" t="str">
        <f>VLOOKUP($A400,Estimate!$A:$H,4,FALSE)</f>
        <v xml:space="preserve">hr   </v>
      </c>
    </row>
    <row r="401" spans="1:5" x14ac:dyDescent="0.25">
      <c r="A401" s="161">
        <v>180</v>
      </c>
      <c r="B401" s="162" t="str">
        <f>VLOOKUP($A401,Estimate!$A:$H,3,FALSE)</f>
        <v>Removal &amp; Stockpiling of  Topsoil for reuse (100mm thick nom.)</v>
      </c>
      <c r="C401" s="161" t="str">
        <f t="shared" si="6"/>
        <v>Q</v>
      </c>
      <c r="D401" s="116">
        <v>155</v>
      </c>
      <c r="E401" s="161" t="str">
        <f>VLOOKUP($A401,Estimate!$A:$H,4,FALSE)</f>
        <v xml:space="preserve">m3   </v>
      </c>
    </row>
    <row r="402" spans="1:5" x14ac:dyDescent="0.25">
      <c r="A402" s="161">
        <v>180.1</v>
      </c>
      <c r="B402" s="162" t="str">
        <f>VLOOKUP($A402,Estimate!$A:$H,3,FALSE)</f>
        <v>Excavator - 25T</v>
      </c>
      <c r="C402" s="161" t="str">
        <f t="shared" si="6"/>
        <v>P</v>
      </c>
      <c r="D402" s="116">
        <v>33.33</v>
      </c>
      <c r="E402" s="161" t="str">
        <f>VLOOKUP($A402,Estimate!$A:$H,4,FALSE)</f>
        <v xml:space="preserve">hr   </v>
      </c>
    </row>
    <row r="403" spans="1:5" x14ac:dyDescent="0.25">
      <c r="A403" s="161">
        <v>180.2</v>
      </c>
      <c r="B403" s="162" t="str">
        <f>VLOOKUP($A403,Estimate!$A:$H,3,FALSE)</f>
        <v>Tipper</v>
      </c>
      <c r="C403" s="161" t="str">
        <f t="shared" si="6"/>
        <v>P</v>
      </c>
      <c r="D403" s="116">
        <v>3</v>
      </c>
      <c r="E403" s="161" t="str">
        <f>VLOOKUP($A403,Estimate!$A:$H,4,FALSE)</f>
        <v xml:space="preserve">hr   </v>
      </c>
    </row>
    <row r="404" spans="1:5" x14ac:dyDescent="0.25">
      <c r="A404" s="161">
        <v>181</v>
      </c>
      <c r="B404" s="162" t="str">
        <f>VLOOKUP($A404,Estimate!$A:$H,3,FALSE)</f>
        <v>General Earthworks Cut</v>
      </c>
      <c r="C404" s="161" t="str">
        <f t="shared" si="6"/>
        <v>Q</v>
      </c>
      <c r="D404" s="116">
        <v>775</v>
      </c>
      <c r="E404" s="161" t="str">
        <f>VLOOKUP($A404,Estimate!$A:$H,4,FALSE)</f>
        <v xml:space="preserve">m3   </v>
      </c>
    </row>
    <row r="405" spans="1:5" x14ac:dyDescent="0.25">
      <c r="A405" s="161">
        <v>181.1</v>
      </c>
      <c r="B405" s="162" t="str">
        <f>VLOOKUP($A405,Estimate!$A:$H,3,FALSE)</f>
        <v>Excavator - 25T</v>
      </c>
      <c r="C405" s="161" t="str">
        <f t="shared" si="6"/>
        <v>P</v>
      </c>
      <c r="D405" s="116">
        <v>40</v>
      </c>
      <c r="E405" s="161" t="str">
        <f>VLOOKUP($A405,Estimate!$A:$H,4,FALSE)</f>
        <v xml:space="preserve">hr   </v>
      </c>
    </row>
    <row r="406" spans="1:5" x14ac:dyDescent="0.25">
      <c r="A406" s="161">
        <v>181.2</v>
      </c>
      <c r="B406" s="162" t="str">
        <f>VLOOKUP($A406,Estimate!$A:$H,3,FALSE)</f>
        <v>Truck &amp; Dog</v>
      </c>
      <c r="C406" s="161" t="str">
        <f t="shared" si="6"/>
        <v>P</v>
      </c>
      <c r="D406" s="116">
        <v>3</v>
      </c>
      <c r="E406" s="161" t="str">
        <f>VLOOKUP($A406,Estimate!$A:$H,4,FALSE)</f>
        <v xml:space="preserve">hr   </v>
      </c>
    </row>
    <row r="407" spans="1:5" x14ac:dyDescent="0.25">
      <c r="A407" s="161">
        <v>181.3</v>
      </c>
      <c r="B407" s="162" t="str">
        <f>VLOOKUP($A407,Estimate!$A:$H,3,FALSE)</f>
        <v>Grader</v>
      </c>
      <c r="C407" s="161" t="str">
        <f t="shared" si="6"/>
        <v>P</v>
      </c>
      <c r="D407" s="116">
        <v>250</v>
      </c>
      <c r="E407" s="161" t="str">
        <f>VLOOKUP($A407,Estimate!$A:$H,4,FALSE)</f>
        <v xml:space="preserve">hr   </v>
      </c>
    </row>
    <row r="408" spans="1:5" x14ac:dyDescent="0.25">
      <c r="A408" s="161">
        <v>182</v>
      </c>
      <c r="B408" s="162" t="str">
        <f>VLOOKUP($A408,Estimate!$A:$H,3,FALSE)</f>
        <v>General Earthworks Fill</v>
      </c>
      <c r="C408" s="161" t="str">
        <f t="shared" si="6"/>
        <v>Q</v>
      </c>
      <c r="D408" s="116">
        <v>27</v>
      </c>
      <c r="E408" s="161" t="str">
        <f>VLOOKUP($A408,Estimate!$A:$H,4,FALSE)</f>
        <v xml:space="preserve">m3   </v>
      </c>
    </row>
    <row r="409" spans="1:5" x14ac:dyDescent="0.25">
      <c r="A409" s="161">
        <v>182.1</v>
      </c>
      <c r="B409" s="162" t="str">
        <f>VLOOKUP($A409,Estimate!$A:$H,3,FALSE)</f>
        <v>Excavator - 25T</v>
      </c>
      <c r="C409" s="161" t="str">
        <f t="shared" si="6"/>
        <v>P</v>
      </c>
      <c r="D409" s="116">
        <v>20</v>
      </c>
      <c r="E409" s="161" t="str">
        <f>VLOOKUP($A409,Estimate!$A:$H,4,FALSE)</f>
        <v xml:space="preserve">hr   </v>
      </c>
    </row>
    <row r="410" spans="1:5" x14ac:dyDescent="0.25">
      <c r="A410" s="161">
        <v>183</v>
      </c>
      <c r="B410" s="162" t="str">
        <f>VLOOKUP($A410,Estimate!$A:$H,3,FALSE)</f>
        <v>Replace unsuitable material below sub grade with select material complete (PROVISIONAL)</v>
      </c>
      <c r="C410" s="161" t="str">
        <f t="shared" si="6"/>
        <v>Q</v>
      </c>
      <c r="D410" s="116">
        <v>20</v>
      </c>
      <c r="E410" s="161" t="str">
        <f>VLOOKUP($A410,Estimate!$A:$H,4,FALSE)</f>
        <v xml:space="preserve">m3   </v>
      </c>
    </row>
    <row r="411" spans="1:5" x14ac:dyDescent="0.25">
      <c r="A411" s="161">
        <v>183.1</v>
      </c>
      <c r="B411" s="162" t="str">
        <f>VLOOKUP($A411,Estimate!$A:$H,3,FALSE)</f>
        <v>Excavator - 25T</v>
      </c>
      <c r="C411" s="161" t="str">
        <f t="shared" si="6"/>
        <v>P</v>
      </c>
      <c r="D411" s="116">
        <v>15</v>
      </c>
      <c r="E411" s="161" t="str">
        <f>VLOOKUP($A411,Estimate!$A:$H,4,FALSE)</f>
        <v xml:space="preserve">hr   </v>
      </c>
    </row>
    <row r="412" spans="1:5" x14ac:dyDescent="0.25">
      <c r="A412" s="161">
        <v>183.2</v>
      </c>
      <c r="B412" s="162" t="str">
        <f>VLOOKUP($A412,Estimate!$A:$H,3,FALSE)</f>
        <v>Truck &amp; Dog</v>
      </c>
      <c r="C412" s="161" t="str">
        <f t="shared" si="6"/>
        <v>P</v>
      </c>
      <c r="D412" s="116">
        <v>2</v>
      </c>
      <c r="E412" s="161" t="str">
        <f>VLOOKUP($A412,Estimate!$A:$H,4,FALSE)</f>
        <v xml:space="preserve">hr   </v>
      </c>
    </row>
    <row r="413" spans="1:5" x14ac:dyDescent="0.25">
      <c r="A413" s="161">
        <v>183.3</v>
      </c>
      <c r="B413" s="162" t="str">
        <f>VLOOKUP($A413,Estimate!$A:$H,3,FALSE)</f>
        <v>Excavator - 25T</v>
      </c>
      <c r="C413" s="161" t="str">
        <f t="shared" si="6"/>
        <v>P</v>
      </c>
      <c r="D413" s="116">
        <v>15</v>
      </c>
      <c r="E413" s="161" t="str">
        <f>VLOOKUP($A413,Estimate!$A:$H,4,FALSE)</f>
        <v xml:space="preserve">hr   </v>
      </c>
    </row>
    <row r="414" spans="1:5" x14ac:dyDescent="0.25">
      <c r="A414" s="161">
        <v>184</v>
      </c>
      <c r="B414" s="162" t="str">
        <f>VLOOKUP($A414,Estimate!$A:$H,3,FALSE)</f>
        <v xml:space="preserve"> Removal / Demolition of Drainage Components complete</v>
      </c>
      <c r="C414" s="161" t="str">
        <f t="shared" si="6"/>
        <v>Q</v>
      </c>
      <c r="D414" s="116">
        <v>1</v>
      </c>
      <c r="E414" s="161" t="str">
        <f>VLOOKUP($A414,Estimate!$A:$H,4,FALSE)</f>
        <v xml:space="preserve">Lump </v>
      </c>
    </row>
    <row r="415" spans="1:5" x14ac:dyDescent="0.25">
      <c r="A415" s="161">
        <v>184.1</v>
      </c>
      <c r="B415" s="162" t="str">
        <f>VLOOKUP($A415,Estimate!$A:$H,3,FALSE)</f>
        <v>Excavator - 25T</v>
      </c>
      <c r="C415" s="161" t="str">
        <f t="shared" si="6"/>
        <v>P</v>
      </c>
      <c r="D415" s="116">
        <v>0.11</v>
      </c>
      <c r="E415" s="161" t="str">
        <f>VLOOKUP($A415,Estimate!$A:$H,4,FALSE)</f>
        <v xml:space="preserve">hr   </v>
      </c>
    </row>
    <row r="416" spans="1:5" x14ac:dyDescent="0.25">
      <c r="A416" s="161">
        <v>184.2</v>
      </c>
      <c r="B416" s="162" t="str">
        <f>VLOOKUP($A416,Estimate!$A:$H,3,FALSE)</f>
        <v>Tipper</v>
      </c>
      <c r="C416" s="161" t="str">
        <f t="shared" si="6"/>
        <v>P</v>
      </c>
      <c r="D416" s="116">
        <v>3</v>
      </c>
      <c r="E416" s="161" t="str">
        <f>VLOOKUP($A416,Estimate!$A:$H,4,FALSE)</f>
        <v xml:space="preserve">hr   </v>
      </c>
    </row>
    <row r="417" spans="1:5" x14ac:dyDescent="0.25">
      <c r="A417" s="161">
        <v>185</v>
      </c>
      <c r="B417" s="162" t="str">
        <f>VLOOKUP($A417,Estimate!$A:$H,3,FALSE)</f>
        <v>Connect property drainage pipes ( 7 No.)</v>
      </c>
      <c r="C417" s="161" t="str">
        <f t="shared" si="6"/>
        <v>Q</v>
      </c>
      <c r="D417" s="116">
        <v>1</v>
      </c>
      <c r="E417" s="161" t="str">
        <f>VLOOKUP($A417,Estimate!$A:$H,4,FALSE)</f>
        <v xml:space="preserve">Lump </v>
      </c>
    </row>
    <row r="418" spans="1:5" x14ac:dyDescent="0.25">
      <c r="A418" s="161">
        <v>186</v>
      </c>
      <c r="B418" s="162" t="str">
        <f>VLOOKUP($A418,Estimate!$A:$H,3,FALSE)</f>
        <v>In-Situ reinforced concrete Base Slab for culverts complete</v>
      </c>
      <c r="C418" s="161" t="str">
        <f t="shared" si="6"/>
        <v>Q</v>
      </c>
      <c r="D418" s="116">
        <v>2.6</v>
      </c>
      <c r="E418" s="161" t="str">
        <f>VLOOKUP($A418,Estimate!$A:$H,4,FALSE)</f>
        <v xml:space="preserve">m3   </v>
      </c>
    </row>
    <row r="419" spans="1:5" x14ac:dyDescent="0.25">
      <c r="A419" s="161">
        <v>187</v>
      </c>
      <c r="B419" s="162" t="str">
        <f>VLOOKUP($A419,Estimate!$A:$H,3,FALSE)</f>
        <v>750 x 300</v>
      </c>
      <c r="C419" s="161" t="str">
        <f t="shared" si="6"/>
        <v>Q</v>
      </c>
      <c r="D419" s="116">
        <v>13.2</v>
      </c>
      <c r="E419" s="161" t="str">
        <f>VLOOKUP($A419,Estimate!$A:$H,4,FALSE)</f>
        <v xml:space="preserve">m    </v>
      </c>
    </row>
    <row r="420" spans="1:5" x14ac:dyDescent="0.25">
      <c r="A420" s="161">
        <v>187.1</v>
      </c>
      <c r="B420" s="162" t="str">
        <f>VLOOKUP($A420,Estimate!$A:$H,3,FALSE)</f>
        <v>Excavator - 25T</v>
      </c>
      <c r="C420" s="161" t="str">
        <f t="shared" si="6"/>
        <v>P</v>
      </c>
      <c r="D420" s="116">
        <v>2</v>
      </c>
      <c r="E420" s="161" t="str">
        <f>VLOOKUP($A420,Estimate!$A:$H,4,FALSE)</f>
        <v xml:space="preserve">hr   </v>
      </c>
    </row>
    <row r="421" spans="1:5" x14ac:dyDescent="0.25">
      <c r="A421" s="161">
        <v>187.2</v>
      </c>
      <c r="B421" s="162" t="str">
        <f>VLOOKUP($A421,Estimate!$A:$H,3,FALSE)</f>
        <v>Labour</v>
      </c>
      <c r="C421" s="161" t="str">
        <f t="shared" si="6"/>
        <v>P</v>
      </c>
      <c r="D421" s="116">
        <v>3</v>
      </c>
      <c r="E421" s="161" t="str">
        <f>VLOOKUP($A421,Estimate!$A:$H,4,FALSE)</f>
        <v xml:space="preserve">hr   </v>
      </c>
    </row>
    <row r="422" spans="1:5" x14ac:dyDescent="0.25">
      <c r="A422" s="161">
        <v>187.3</v>
      </c>
      <c r="B422" s="162" t="str">
        <f>VLOOKUP($A422,Estimate!$A:$H,3,FALSE)</f>
        <v>Bobcat</v>
      </c>
      <c r="C422" s="161" t="str">
        <f t="shared" si="6"/>
        <v>P</v>
      </c>
      <c r="D422" s="116">
        <v>3</v>
      </c>
      <c r="E422" s="161" t="str">
        <f>VLOOKUP($A422,Estimate!$A:$H,4,FALSE)</f>
        <v xml:space="preserve">hr   </v>
      </c>
    </row>
    <row r="423" spans="1:5" x14ac:dyDescent="0.25">
      <c r="A423" s="161">
        <v>187.4</v>
      </c>
      <c r="B423" s="162" t="str">
        <f>VLOOKUP($A423,Estimate!$A:$H,3,FALSE)</f>
        <v>Labour</v>
      </c>
      <c r="C423" s="161" t="str">
        <f t="shared" si="6"/>
        <v>P</v>
      </c>
      <c r="D423" s="116">
        <v>3</v>
      </c>
      <c r="E423" s="161" t="str">
        <f>VLOOKUP($A423,Estimate!$A:$H,4,FALSE)</f>
        <v xml:space="preserve">hr   </v>
      </c>
    </row>
    <row r="424" spans="1:5" x14ac:dyDescent="0.25">
      <c r="A424" s="161">
        <v>188</v>
      </c>
      <c r="B424" s="162" t="str">
        <f>VLOOKUP($A424,Estimate!$A:$H,3,FALSE)</f>
        <v>MCC Type A Gully Pit (including chamber)</v>
      </c>
      <c r="C424" s="161" t="str">
        <f t="shared" si="6"/>
        <v>Q</v>
      </c>
      <c r="D424" s="116">
        <v>1</v>
      </c>
      <c r="E424" s="161" t="str">
        <f>VLOOKUP($A424,Estimate!$A:$H,4,FALSE)</f>
        <v xml:space="preserve">each </v>
      </c>
    </row>
    <row r="425" spans="1:5" x14ac:dyDescent="0.25">
      <c r="A425" s="161">
        <v>189</v>
      </c>
      <c r="B425" s="162" t="str">
        <f>VLOOKUP($A425,Estimate!$A:$H,3,FALSE)</f>
        <v>(i)  Concrete Barrier Kerb &amp; Channel B1 complete</v>
      </c>
      <c r="C425" s="161" t="str">
        <f t="shared" si="6"/>
        <v>Q</v>
      </c>
      <c r="D425" s="116">
        <v>313</v>
      </c>
      <c r="E425" s="161" t="str">
        <f>VLOOKUP($A425,Estimate!$A:$H,4,FALSE)</f>
        <v xml:space="preserve">m    </v>
      </c>
    </row>
    <row r="426" spans="1:5" x14ac:dyDescent="0.25">
      <c r="A426" s="161">
        <v>190</v>
      </c>
      <c r="B426" s="162" t="str">
        <f>VLOOKUP($A426,Estimate!$A:$H,3,FALSE)</f>
        <v>(iv)  Concrete Dish Drain (600 wide) complete</v>
      </c>
      <c r="C426" s="161" t="str">
        <f t="shared" si="6"/>
        <v>Q</v>
      </c>
      <c r="D426" s="116">
        <v>13</v>
      </c>
      <c r="E426" s="161" t="str">
        <f>VLOOKUP($A426,Estimate!$A:$H,4,FALSE)</f>
        <v xml:space="preserve">m    </v>
      </c>
    </row>
    <row r="427" spans="1:5" x14ac:dyDescent="0.25">
      <c r="A427" s="161">
        <v>191</v>
      </c>
      <c r="B427" s="162" t="str">
        <f>VLOOKUP($A427,Estimate!$A:$H,3,FALSE)</f>
        <v>Subsoil Drain Pipe - 100mm dia Slotted Corrugated Plastic Pipe complete</v>
      </c>
      <c r="C427" s="161" t="str">
        <f t="shared" si="6"/>
        <v>Q</v>
      </c>
      <c r="D427" s="116">
        <v>281</v>
      </c>
      <c r="E427" s="161" t="str">
        <f>VLOOKUP($A427,Estimate!$A:$H,4,FALSE)</f>
        <v xml:space="preserve">m    </v>
      </c>
    </row>
    <row r="428" spans="1:5" x14ac:dyDescent="0.25">
      <c r="A428" s="161">
        <v>191.1</v>
      </c>
      <c r="B428" s="162" t="str">
        <f>VLOOKUP($A428,Estimate!$A:$H,3,FALSE)</f>
        <v>Excavator - 25T</v>
      </c>
      <c r="C428" s="161" t="str">
        <f t="shared" si="6"/>
        <v>P</v>
      </c>
      <c r="D428" s="116">
        <v>11.11</v>
      </c>
      <c r="E428" s="161" t="str">
        <f>VLOOKUP($A428,Estimate!$A:$H,4,FALSE)</f>
        <v xml:space="preserve">hr   </v>
      </c>
    </row>
    <row r="429" spans="1:5" x14ac:dyDescent="0.25">
      <c r="A429" s="161">
        <v>192</v>
      </c>
      <c r="B429" s="162" t="str">
        <f>VLOOKUP($A429,Estimate!$A:$H,3,FALSE)</f>
        <v>Special Item -Subsoil Drain Pipe - 100mm dia Slotted Corrugated Plastic Pipe encased in no fines concrete complete as shown on drawings</v>
      </c>
      <c r="C429" s="161" t="str">
        <f t="shared" si="6"/>
        <v>Q</v>
      </c>
      <c r="D429" s="116">
        <v>242</v>
      </c>
      <c r="E429" s="161" t="str">
        <f>VLOOKUP($A429,Estimate!$A:$H,4,FALSE)</f>
        <v xml:space="preserve">m    </v>
      </c>
    </row>
    <row r="430" spans="1:5" x14ac:dyDescent="0.25">
      <c r="A430" s="161">
        <v>192.1</v>
      </c>
      <c r="B430" s="162" t="str">
        <f>VLOOKUP($A430,Estimate!$A:$H,3,FALSE)</f>
        <v>Excavator - 25T</v>
      </c>
      <c r="C430" s="161" t="str">
        <f t="shared" si="6"/>
        <v>P</v>
      </c>
      <c r="D430" s="116">
        <v>11.11</v>
      </c>
      <c r="E430" s="161" t="str">
        <f>VLOOKUP($A430,Estimate!$A:$H,4,FALSE)</f>
        <v xml:space="preserve">hr   </v>
      </c>
    </row>
    <row r="431" spans="1:5" x14ac:dyDescent="0.25">
      <c r="A431" s="161">
        <v>193</v>
      </c>
      <c r="B431" s="162" t="str">
        <f>VLOOKUP($A431,Estimate!$A:$H,3,FALSE)</f>
        <v>Cleanout Structures</v>
      </c>
      <c r="C431" s="161" t="str">
        <f t="shared" si="6"/>
        <v>Q</v>
      </c>
      <c r="D431" s="116">
        <v>13</v>
      </c>
      <c r="E431" s="161" t="str">
        <f>VLOOKUP($A431,Estimate!$A:$H,4,FALSE)</f>
        <v xml:space="preserve">each </v>
      </c>
    </row>
    <row r="432" spans="1:5" x14ac:dyDescent="0.25">
      <c r="A432" s="161">
        <v>194</v>
      </c>
      <c r="B432" s="162" t="str">
        <f>VLOOKUP($A432,Estimate!$A:$H,3,FALSE)</f>
        <v>Place only Type 2.3 (cement modified)</v>
      </c>
      <c r="C432" s="161" t="str">
        <f t="shared" si="6"/>
        <v>Q</v>
      </c>
      <c r="D432" s="116">
        <v>378</v>
      </c>
      <c r="E432" s="161" t="str">
        <f>VLOOKUP($A432,Estimate!$A:$H,4,FALSE)</f>
        <v xml:space="preserve">m3   </v>
      </c>
    </row>
    <row r="433" spans="1:5" x14ac:dyDescent="0.25">
      <c r="A433" s="161">
        <v>194.1</v>
      </c>
      <c r="B433" s="162" t="str">
        <f>VLOOKUP($A433,Estimate!$A:$H,3,FALSE)</f>
        <v>QTY*2.4 Tonnes Gravel</v>
      </c>
      <c r="C433" s="161" t="str">
        <f t="shared" si="6"/>
        <v>P</v>
      </c>
      <c r="D433" s="116">
        <v>2.4</v>
      </c>
      <c r="E433" s="161" t="s">
        <v>2403</v>
      </c>
    </row>
    <row r="434" spans="1:5" x14ac:dyDescent="0.25">
      <c r="A434" s="161">
        <v>194.2</v>
      </c>
      <c r="B434" s="162" t="str">
        <f>VLOOKUP($A434,Estimate!$A:$H,3,FALSE)</f>
        <v>Truck &amp; Dog</v>
      </c>
      <c r="C434" s="161" t="str">
        <f t="shared" si="6"/>
        <v>P</v>
      </c>
      <c r="D434" s="116">
        <v>3</v>
      </c>
      <c r="E434" s="161" t="str">
        <f>VLOOKUP($A434,Estimate!$A:$H,4,FALSE)</f>
        <v xml:space="preserve">hr   </v>
      </c>
    </row>
    <row r="435" spans="1:5" x14ac:dyDescent="0.25">
      <c r="A435" s="161">
        <v>194.3</v>
      </c>
      <c r="B435" s="162" t="str">
        <f>VLOOKUP($A435,Estimate!$A:$H,3,FALSE)</f>
        <v>Grader</v>
      </c>
      <c r="C435" s="161" t="str">
        <f t="shared" si="6"/>
        <v>P</v>
      </c>
      <c r="D435" s="116">
        <v>44.44</v>
      </c>
      <c r="E435" s="161" t="str">
        <f>VLOOKUP($A435,Estimate!$A:$H,4,FALSE)</f>
        <v xml:space="preserve">hr   </v>
      </c>
    </row>
    <row r="436" spans="1:5" x14ac:dyDescent="0.25">
      <c r="A436" s="161">
        <v>195</v>
      </c>
      <c r="B436" s="162" t="str">
        <f>VLOOKUP($A436,Estimate!$A:$H,3,FALSE)</f>
        <v>Place only Type 2.1 (cement modified)</v>
      </c>
      <c r="C436" s="161" t="str">
        <f t="shared" si="6"/>
        <v>Q</v>
      </c>
      <c r="D436" s="116">
        <v>127</v>
      </c>
      <c r="E436" s="161" t="str">
        <f>VLOOKUP($A436,Estimate!$A:$H,4,FALSE)</f>
        <v xml:space="preserve">m3   </v>
      </c>
    </row>
    <row r="437" spans="1:5" x14ac:dyDescent="0.25">
      <c r="A437" s="161">
        <v>195.1</v>
      </c>
      <c r="B437" s="162" t="str">
        <f>VLOOKUP($A437,Estimate!$A:$H,3,FALSE)</f>
        <v>QTY*2.4 Tonnes Gravel</v>
      </c>
      <c r="C437" s="161" t="str">
        <f t="shared" si="6"/>
        <v>P</v>
      </c>
      <c r="D437" s="116">
        <v>2.4</v>
      </c>
      <c r="E437" s="161" t="s">
        <v>2403</v>
      </c>
    </row>
    <row r="438" spans="1:5" x14ac:dyDescent="0.25">
      <c r="A438" s="161">
        <v>195.2</v>
      </c>
      <c r="B438" s="162" t="str">
        <f>VLOOKUP($A438,Estimate!$A:$H,3,FALSE)</f>
        <v>Grader</v>
      </c>
      <c r="C438" s="161" t="str">
        <f t="shared" si="6"/>
        <v>P</v>
      </c>
      <c r="D438" s="116">
        <v>44.44</v>
      </c>
      <c r="E438" s="161" t="str">
        <f>VLOOKUP($A438,Estimate!$A:$H,4,FALSE)</f>
        <v xml:space="preserve">hr   </v>
      </c>
    </row>
    <row r="439" spans="1:5" x14ac:dyDescent="0.25">
      <c r="A439" s="161">
        <v>195.3</v>
      </c>
      <c r="B439" s="162" t="str">
        <f>VLOOKUP($A439,Estimate!$A:$H,3,FALSE)</f>
        <v>Grader</v>
      </c>
      <c r="C439" s="161" t="str">
        <f t="shared" si="6"/>
        <v>P</v>
      </c>
      <c r="D439" s="116">
        <v>150</v>
      </c>
      <c r="E439" s="161" t="str">
        <f>VLOOKUP($A439,Estimate!$A:$H,4,FALSE)</f>
        <v xml:space="preserve">hr   </v>
      </c>
    </row>
    <row r="440" spans="1:5" x14ac:dyDescent="0.25">
      <c r="A440" s="161">
        <v>196</v>
      </c>
      <c r="B440" s="162" t="str">
        <f>VLOOKUP($A440,Estimate!$A:$H,3,FALSE)</f>
        <v>Special Item - Geogrid layer (PROVISIONAL)</v>
      </c>
      <c r="C440" s="161" t="str">
        <f t="shared" si="6"/>
        <v>Q</v>
      </c>
      <c r="D440" s="116">
        <v>1260</v>
      </c>
      <c r="E440" s="161" t="str">
        <f>VLOOKUP($A440,Estimate!$A:$H,4,FALSE)</f>
        <v xml:space="preserve">m2   </v>
      </c>
    </row>
    <row r="441" spans="1:5" x14ac:dyDescent="0.25">
      <c r="A441" s="161">
        <v>196.1</v>
      </c>
      <c r="B441" s="162" t="str">
        <f>VLOOKUP($A441,Estimate!$A:$H,3,FALSE)</f>
        <v>Labour</v>
      </c>
      <c r="C441" s="161" t="str">
        <f t="shared" si="6"/>
        <v>P</v>
      </c>
      <c r="D441" s="116">
        <v>570</v>
      </c>
      <c r="E441" s="161" t="str">
        <f>VLOOKUP($A441,Estimate!$A:$H,4,FALSE)</f>
        <v xml:space="preserve">hr   </v>
      </c>
    </row>
    <row r="442" spans="1:5" x14ac:dyDescent="0.25">
      <c r="A442" s="161">
        <v>197</v>
      </c>
      <c r="B442" s="162" t="str">
        <f>VLOOKUP($A442,Estimate!$A:$H,3,FALSE)</f>
        <v>Special Item -Geotextile layer (PROVISIONAL)</v>
      </c>
      <c r="C442" s="161" t="str">
        <f t="shared" si="6"/>
        <v>Q</v>
      </c>
      <c r="D442" s="116">
        <v>1260</v>
      </c>
      <c r="E442" s="161" t="str">
        <f>VLOOKUP($A442,Estimate!$A:$H,4,FALSE)</f>
        <v xml:space="preserve">m2   </v>
      </c>
    </row>
    <row r="443" spans="1:5" x14ac:dyDescent="0.25">
      <c r="A443" s="161">
        <v>197.1</v>
      </c>
      <c r="B443" s="162" t="str">
        <f>VLOOKUP($A443,Estimate!$A:$H,3,FALSE)</f>
        <v>Labour</v>
      </c>
      <c r="C443" s="161" t="str">
        <f t="shared" si="6"/>
        <v>P</v>
      </c>
      <c r="D443" s="116">
        <v>570</v>
      </c>
      <c r="E443" s="161" t="str">
        <f>VLOOKUP($A443,Estimate!$A:$H,4,FALSE)</f>
        <v xml:space="preserve">hr   </v>
      </c>
    </row>
    <row r="444" spans="1:5" x14ac:dyDescent="0.25">
      <c r="A444" s="161">
        <v>198</v>
      </c>
      <c r="B444" s="162" t="str">
        <f>VLOOKUP($A444,Estimate!$A:$H,3,FALSE)</f>
        <v>(vi)  AMC4</v>
      </c>
      <c r="C444" s="161" t="str">
        <f t="shared" si="6"/>
        <v>Q</v>
      </c>
      <c r="D444" s="116">
        <v>1057</v>
      </c>
      <c r="E444" s="161" t="str">
        <f>VLOOKUP($A444,Estimate!$A:$H,4,FALSE)</f>
        <v xml:space="preserve">m2   </v>
      </c>
    </row>
    <row r="445" spans="1:5" x14ac:dyDescent="0.25">
      <c r="A445" s="161">
        <v>199</v>
      </c>
      <c r="B445" s="162" t="str">
        <f>VLOOKUP($A445,Estimate!$A:$H,3,FALSE)</f>
        <v>(ii)  14mm Nominal Size</v>
      </c>
      <c r="C445" s="161" t="str">
        <f t="shared" si="6"/>
        <v>Q</v>
      </c>
      <c r="D445" s="116">
        <v>102</v>
      </c>
      <c r="E445" s="161" t="str">
        <f>VLOOKUP($A445,Estimate!$A:$H,4,FALSE)</f>
        <v>tonne</v>
      </c>
    </row>
    <row r="446" spans="1:5" x14ac:dyDescent="0.25">
      <c r="A446" s="161">
        <v>200</v>
      </c>
      <c r="B446" s="162" t="str">
        <f>VLOOKUP($A446,Estimate!$A:$H,3,FALSE)</f>
        <v>(iv)  Residential Invert Crossing (3.1m to 4.5m)</v>
      </c>
      <c r="C446" s="161" t="str">
        <f t="shared" si="6"/>
        <v>Q</v>
      </c>
      <c r="D446" s="116">
        <v>11</v>
      </c>
      <c r="E446" s="161" t="str">
        <f>VLOOKUP($A446,Estimate!$A:$H,4,FALSE)</f>
        <v xml:space="preserve">each </v>
      </c>
    </row>
    <row r="447" spans="1:5" x14ac:dyDescent="0.25">
      <c r="A447" s="161">
        <v>200.1</v>
      </c>
      <c r="B447" s="162" t="str">
        <f>VLOOKUP($A447,Estimate!$A:$H,3,FALSE)</f>
        <v>Excavator - 25T</v>
      </c>
      <c r="C447" s="161" t="str">
        <f t="shared" si="6"/>
        <v>P</v>
      </c>
      <c r="D447" s="116">
        <v>11</v>
      </c>
      <c r="E447" s="161" t="str">
        <f>VLOOKUP($A447,Estimate!$A:$H,4,FALSE)</f>
        <v xml:space="preserve">hr   </v>
      </c>
    </row>
    <row r="448" spans="1:5" x14ac:dyDescent="0.25">
      <c r="A448" s="161">
        <v>201</v>
      </c>
      <c r="B448" s="162" t="str">
        <f>VLOOKUP($A448,Estimate!$A:$H,3,FALSE)</f>
        <v>(viii) Hand Placed Concrete Paving (Footpath / Bikeway)</v>
      </c>
      <c r="C448" s="161" t="str">
        <f t="shared" si="6"/>
        <v>Q</v>
      </c>
      <c r="D448" s="116">
        <v>93</v>
      </c>
      <c r="E448" s="161" t="str">
        <f>VLOOKUP($A448,Estimate!$A:$H,4,FALSE)</f>
        <v xml:space="preserve">m2   </v>
      </c>
    </row>
    <row r="449" spans="1:5" x14ac:dyDescent="0.25">
      <c r="A449" s="161">
        <v>201.1</v>
      </c>
      <c r="B449" s="162" t="str">
        <f>VLOOKUP($A449,Estimate!$A:$H,3,FALSE)</f>
        <v>Excavator - 25T</v>
      </c>
      <c r="C449" s="161" t="str">
        <f t="shared" si="6"/>
        <v>P</v>
      </c>
      <c r="D449" s="116">
        <v>10</v>
      </c>
      <c r="E449" s="161" t="str">
        <f>VLOOKUP($A449,Estimate!$A:$H,4,FALSE)</f>
        <v xml:space="preserve">hr   </v>
      </c>
    </row>
    <row r="450" spans="1:5" x14ac:dyDescent="0.25">
      <c r="A450" s="161">
        <v>202</v>
      </c>
      <c r="B450" s="162" t="str">
        <f>VLOOKUP($A450,Estimate!$A:$H,3,FALSE)</f>
        <v>(i)  Grass Seeding</v>
      </c>
      <c r="C450" s="161" t="str">
        <f t="shared" si="6"/>
        <v>Q</v>
      </c>
      <c r="D450" s="116">
        <v>905</v>
      </c>
      <c r="E450" s="161" t="str">
        <f>VLOOKUP($A450,Estimate!$A:$H,4,FALSE)</f>
        <v xml:space="preserve">m2   </v>
      </c>
    </row>
    <row r="451" spans="1:5" x14ac:dyDescent="0.25">
      <c r="A451" s="161">
        <v>203</v>
      </c>
      <c r="B451" s="162" t="str">
        <f>VLOOKUP($A451,Estimate!$A:$H,3,FALSE)</f>
        <v>Supply and install mains and reticulation</v>
      </c>
      <c r="C451" s="161" t="str">
        <f t="shared" si="6"/>
        <v>Q</v>
      </c>
      <c r="D451" s="116">
        <v>1</v>
      </c>
      <c r="E451" s="161" t="str">
        <f>VLOOKUP($A451,Estimate!$A:$H,4,FALSE)</f>
        <v xml:space="preserve">Lump </v>
      </c>
    </row>
    <row r="452" spans="1:5" x14ac:dyDescent="0.25">
      <c r="A452" s="161">
        <v>204</v>
      </c>
      <c r="B452" s="162" t="str">
        <f>VLOOKUP($A452,Estimate!$A:$H,3,FALSE)</f>
        <v>Special Item - As Constructed Survey and Plans</v>
      </c>
      <c r="C452" s="161" t="str">
        <f t="shared" ref="C452:C515" si="7">IF(A452/ROUND(A452,0)=1,"Q","P")</f>
        <v>Q</v>
      </c>
      <c r="D452" s="116">
        <v>1</v>
      </c>
      <c r="E452" s="161" t="str">
        <f>VLOOKUP($A452,Estimate!$A:$H,4,FALSE)</f>
        <v xml:space="preserve">Lump </v>
      </c>
    </row>
    <row r="453" spans="1:5" x14ac:dyDescent="0.25">
      <c r="A453" s="161">
        <v>205</v>
      </c>
      <c r="B453" s="162" t="str">
        <f>VLOOKUP($A453,Estimate!$A:$H,3,FALSE)</f>
        <v>Quality Verification &amp; Control</v>
      </c>
      <c r="C453" s="161" t="str">
        <f t="shared" si="7"/>
        <v>Q</v>
      </c>
      <c r="D453" s="116">
        <v>1</v>
      </c>
      <c r="E453" s="161" t="str">
        <f>VLOOKUP($A453,Estimate!$A:$H,4,FALSE)</f>
        <v xml:space="preserve">Lump </v>
      </c>
    </row>
    <row r="454" spans="1:5" x14ac:dyDescent="0.25">
      <c r="A454" s="161">
        <v>205.1</v>
      </c>
      <c r="B454" s="162" t="str">
        <f>VLOOKUP($A454,Estimate!$A:$H,3,FALSE)</f>
        <v>(24) Field Density Tests</v>
      </c>
      <c r="C454" s="161" t="str">
        <f t="shared" si="7"/>
        <v>P</v>
      </c>
      <c r="D454" s="116">
        <v>24</v>
      </c>
      <c r="E454" s="161" t="s">
        <v>29</v>
      </c>
    </row>
    <row r="455" spans="1:5" x14ac:dyDescent="0.25">
      <c r="A455" s="161">
        <v>205.2</v>
      </c>
      <c r="B455" s="162" t="str">
        <f>VLOOKUP($A455,Estimate!$A:$H,3,FALSE)</f>
        <v>(6) Concrete Cylinder Sets</v>
      </c>
      <c r="C455" s="161" t="str">
        <f t="shared" si="7"/>
        <v>P</v>
      </c>
      <c r="D455" s="116">
        <v>6</v>
      </c>
      <c r="E455" s="161" t="s">
        <v>29</v>
      </c>
    </row>
    <row r="456" spans="1:5" x14ac:dyDescent="0.25">
      <c r="A456" s="161">
        <v>205.3</v>
      </c>
      <c r="B456" s="162" t="str">
        <f>VLOOKUP($A456,Estimate!$A:$H,3,FALSE)</f>
        <v>Survey</v>
      </c>
      <c r="C456" s="161" t="str">
        <f t="shared" si="7"/>
        <v>P</v>
      </c>
      <c r="D456" s="116">
        <v>3950</v>
      </c>
      <c r="E456" s="161" t="str">
        <f>VLOOKUP($A456,Estimate!$A:$H,4,FALSE)</f>
        <v xml:space="preserve">Item </v>
      </c>
    </row>
    <row r="457" spans="1:5" x14ac:dyDescent="0.25">
      <c r="A457" s="161">
        <v>206</v>
      </c>
      <c r="B457" s="162" t="str">
        <f>VLOOKUP($A457,Estimate!$A:$H,3,FALSE)</f>
        <v>Control of Traffic</v>
      </c>
      <c r="C457" s="161" t="str">
        <f t="shared" si="7"/>
        <v>Q</v>
      </c>
      <c r="D457" s="116">
        <v>1</v>
      </c>
      <c r="E457" s="161" t="str">
        <f>VLOOKUP($A457,Estimate!$A:$H,4,FALSE)</f>
        <v xml:space="preserve">Lump </v>
      </c>
    </row>
    <row r="458" spans="1:5" x14ac:dyDescent="0.25">
      <c r="A458" s="161">
        <v>206.1</v>
      </c>
      <c r="B458" s="162" t="str">
        <f>VLOOKUP($A458,Estimate!$A:$H,3,FALSE)</f>
        <v>Traffic Control Crew</v>
      </c>
      <c r="C458" s="161" t="str">
        <f t="shared" si="7"/>
        <v>P</v>
      </c>
      <c r="D458" s="116">
        <v>6</v>
      </c>
      <c r="E458" s="161" t="str">
        <f>VLOOKUP($A458,Estimate!$A:$H,4,FALSE)</f>
        <v xml:space="preserve">hr   </v>
      </c>
    </row>
    <row r="459" spans="1:5" x14ac:dyDescent="0.25">
      <c r="A459" s="161">
        <v>207</v>
      </c>
      <c r="B459" s="162" t="str">
        <f>VLOOKUP($A459,Estimate!$A:$H,3,FALSE)</f>
        <v>Temporary Erosion &amp; Sedimentation Control (includes supply and installation of all components)</v>
      </c>
      <c r="C459" s="161" t="str">
        <f t="shared" si="7"/>
        <v>Q</v>
      </c>
      <c r="D459" s="116">
        <v>1</v>
      </c>
      <c r="E459" s="161" t="str">
        <f>VLOOKUP($A459,Estimate!$A:$H,4,FALSE)</f>
        <v xml:space="preserve">Lump </v>
      </c>
    </row>
    <row r="460" spans="1:5" x14ac:dyDescent="0.25">
      <c r="A460" s="161">
        <v>208</v>
      </c>
      <c r="B460" s="162" t="str">
        <f>VLOOKUP($A460,Estimate!$A:$H,3,FALSE)</f>
        <v>Special Item - Demolition of Structure (concrete slabs, culverts, pipes etc)</v>
      </c>
      <c r="C460" s="161" t="str">
        <f t="shared" si="7"/>
        <v>Q</v>
      </c>
      <c r="D460" s="116">
        <v>1</v>
      </c>
      <c r="E460" s="161" t="str">
        <f>VLOOKUP($A460,Estimate!$A:$H,4,FALSE)</f>
        <v xml:space="preserve">Lump </v>
      </c>
    </row>
    <row r="461" spans="1:5" x14ac:dyDescent="0.25">
      <c r="A461" s="161">
        <v>208.1</v>
      </c>
      <c r="B461" s="162" t="str">
        <f>VLOOKUP($A461,Estimate!$A:$H,3,FALSE)</f>
        <v>Excavator - 25T</v>
      </c>
      <c r="C461" s="161" t="str">
        <f t="shared" si="7"/>
        <v>P</v>
      </c>
      <c r="D461" s="116">
        <v>0.06</v>
      </c>
      <c r="E461" s="161" t="str">
        <f>VLOOKUP($A461,Estimate!$A:$H,4,FALSE)</f>
        <v xml:space="preserve">hr   </v>
      </c>
    </row>
    <row r="462" spans="1:5" x14ac:dyDescent="0.25">
      <c r="A462" s="161">
        <v>209</v>
      </c>
      <c r="B462" s="162" t="str">
        <f>VLOOKUP($A462,Estimate!$A:$H,3,FALSE)</f>
        <v>General Earthworks Cut</v>
      </c>
      <c r="C462" s="161" t="str">
        <f t="shared" si="7"/>
        <v>Q</v>
      </c>
      <c r="D462" s="116">
        <v>1700</v>
      </c>
      <c r="E462" s="161" t="str">
        <f>VLOOKUP($A462,Estimate!$A:$H,4,FALSE)</f>
        <v xml:space="preserve">m3   </v>
      </c>
    </row>
    <row r="463" spans="1:5" x14ac:dyDescent="0.25">
      <c r="A463" s="161">
        <v>209.1</v>
      </c>
      <c r="B463" s="162" t="str">
        <f>VLOOKUP($A463,Estimate!$A:$H,3,FALSE)</f>
        <v>Excavator - 25T</v>
      </c>
      <c r="C463" s="161" t="str">
        <f t="shared" si="7"/>
        <v>P</v>
      </c>
      <c r="D463" s="116">
        <v>40</v>
      </c>
      <c r="E463" s="161" t="str">
        <f>VLOOKUP($A463,Estimate!$A:$H,4,FALSE)</f>
        <v xml:space="preserve">hr   </v>
      </c>
    </row>
    <row r="464" spans="1:5" x14ac:dyDescent="0.25">
      <c r="A464" s="161">
        <v>209.2</v>
      </c>
      <c r="B464" s="162" t="str">
        <f>VLOOKUP($A464,Estimate!$A:$H,3,FALSE)</f>
        <v>Truck &amp; Dog</v>
      </c>
      <c r="C464" s="161" t="str">
        <f t="shared" si="7"/>
        <v>P</v>
      </c>
      <c r="D464" s="116">
        <v>3</v>
      </c>
      <c r="E464" s="161" t="str">
        <f>VLOOKUP($A464,Estimate!$A:$H,4,FALSE)</f>
        <v xml:space="preserve">hr   </v>
      </c>
    </row>
    <row r="465" spans="1:5" x14ac:dyDescent="0.25">
      <c r="A465" s="161">
        <v>209.3</v>
      </c>
      <c r="B465" s="162" t="str">
        <f>VLOOKUP($A465,Estimate!$A:$H,3,FALSE)</f>
        <v>Grader</v>
      </c>
      <c r="C465" s="161" t="str">
        <f t="shared" si="7"/>
        <v>P</v>
      </c>
      <c r="D465" s="116">
        <v>250</v>
      </c>
      <c r="E465" s="161" t="str">
        <f>VLOOKUP($A465,Estimate!$A:$H,4,FALSE)</f>
        <v xml:space="preserve">hr   </v>
      </c>
    </row>
    <row r="466" spans="1:5" x14ac:dyDescent="0.25">
      <c r="A466" s="161">
        <v>210</v>
      </c>
      <c r="B466" s="162" t="str">
        <f>VLOOKUP($A466,Estimate!$A:$H,3,FALSE)</f>
        <v xml:space="preserve"> Removal / Demolition of Drainage Components complete</v>
      </c>
      <c r="C466" s="161" t="str">
        <f t="shared" si="7"/>
        <v>Q</v>
      </c>
      <c r="D466" s="116">
        <v>1</v>
      </c>
      <c r="E466" s="161" t="str">
        <f>VLOOKUP($A466,Estimate!$A:$H,4,FALSE)</f>
        <v xml:space="preserve">Lump </v>
      </c>
    </row>
    <row r="467" spans="1:5" x14ac:dyDescent="0.25">
      <c r="A467" s="161">
        <v>210.1</v>
      </c>
      <c r="B467" s="162" t="str">
        <f>VLOOKUP($A467,Estimate!$A:$H,3,FALSE)</f>
        <v>Excavator - 25T</v>
      </c>
      <c r="C467" s="161" t="str">
        <f t="shared" si="7"/>
        <v>P</v>
      </c>
      <c r="D467" s="116">
        <v>0.11</v>
      </c>
      <c r="E467" s="161" t="str">
        <f>VLOOKUP($A467,Estimate!$A:$H,4,FALSE)</f>
        <v xml:space="preserve">hr   </v>
      </c>
    </row>
    <row r="468" spans="1:5" x14ac:dyDescent="0.25">
      <c r="A468" s="161">
        <v>210.2</v>
      </c>
      <c r="B468" s="162" t="str">
        <f>VLOOKUP($A468,Estimate!$A:$H,3,FALSE)</f>
        <v>Tipper</v>
      </c>
      <c r="C468" s="161" t="str">
        <f t="shared" si="7"/>
        <v>P</v>
      </c>
      <c r="D468" s="116">
        <v>3</v>
      </c>
      <c r="E468" s="161" t="str">
        <f>VLOOKUP($A468,Estimate!$A:$H,4,FALSE)</f>
        <v xml:space="preserve">hr   </v>
      </c>
    </row>
    <row r="469" spans="1:5" x14ac:dyDescent="0.25">
      <c r="A469" s="161">
        <v>211</v>
      </c>
      <c r="B469" s="162" t="str">
        <f>VLOOKUP($A469,Estimate!$A:$H,3,FALSE)</f>
        <v>Alteration to Existing Stormwater Structures</v>
      </c>
      <c r="C469" s="161" t="str">
        <f t="shared" si="7"/>
        <v>Q</v>
      </c>
      <c r="D469" s="116">
        <v>1</v>
      </c>
      <c r="E469" s="161" t="str">
        <f>VLOOKUP($A469,Estimate!$A:$H,4,FALSE)</f>
        <v xml:space="preserve">Lump </v>
      </c>
    </row>
    <row r="470" spans="1:5" x14ac:dyDescent="0.25">
      <c r="A470" s="161">
        <v>212</v>
      </c>
      <c r="B470" s="162" t="str">
        <f>VLOOKUP($A470,Estimate!$A:$H,3,FALSE)</f>
        <v>Connect property drainage pipes</v>
      </c>
      <c r="C470" s="161" t="str">
        <f t="shared" si="7"/>
        <v>Q</v>
      </c>
      <c r="D470" s="116">
        <v>1</v>
      </c>
      <c r="E470" s="161" t="str">
        <f>VLOOKUP($A470,Estimate!$A:$H,4,FALSE)</f>
        <v xml:space="preserve">Lump </v>
      </c>
    </row>
    <row r="471" spans="1:5" x14ac:dyDescent="0.25">
      <c r="A471" s="161">
        <v>212.1</v>
      </c>
      <c r="B471" s="162" t="str">
        <f>VLOOKUP($A471,Estimate!$A:$H,3,FALSE)</f>
        <v>Plumber</v>
      </c>
      <c r="C471" s="161" t="str">
        <f t="shared" si="7"/>
        <v>P</v>
      </c>
      <c r="D471" s="116">
        <v>0.5</v>
      </c>
      <c r="E471" s="161" t="str">
        <f>VLOOKUP($A471,Estimate!$A:$H,4,FALSE)</f>
        <v xml:space="preserve">hr   </v>
      </c>
    </row>
    <row r="472" spans="1:5" x14ac:dyDescent="0.25">
      <c r="A472" s="161">
        <v>213</v>
      </c>
      <c r="B472" s="162" t="str">
        <f>VLOOKUP($A472,Estimate!$A:$H,3,FALSE)</f>
        <v>In-Situ reinforced concrete Base Slab for culverts complete</v>
      </c>
      <c r="C472" s="161" t="str">
        <f t="shared" si="7"/>
        <v>Q</v>
      </c>
      <c r="D472" s="116">
        <v>7</v>
      </c>
      <c r="E472" s="161" t="str">
        <f>VLOOKUP($A472,Estimate!$A:$H,4,FALSE)</f>
        <v xml:space="preserve">m3   </v>
      </c>
    </row>
    <row r="473" spans="1:5" x14ac:dyDescent="0.25">
      <c r="A473" s="161">
        <v>214</v>
      </c>
      <c r="B473" s="162" t="str">
        <f>VLOOKUP($A473,Estimate!$A:$H,3,FALSE)</f>
        <v>750 x 300</v>
      </c>
      <c r="C473" s="161" t="str">
        <f t="shared" si="7"/>
        <v>Q</v>
      </c>
      <c r="D473" s="116">
        <v>35</v>
      </c>
      <c r="E473" s="161" t="str">
        <f>VLOOKUP($A473,Estimate!$A:$H,4,FALSE)</f>
        <v xml:space="preserve">m    </v>
      </c>
    </row>
    <row r="474" spans="1:5" x14ac:dyDescent="0.25">
      <c r="A474" s="161">
        <v>214.1</v>
      </c>
      <c r="B474" s="162" t="str">
        <f>VLOOKUP($A474,Estimate!$A:$H,3,FALSE)</f>
        <v>Excavator - 25T</v>
      </c>
      <c r="C474" s="161" t="str">
        <f t="shared" si="7"/>
        <v>P</v>
      </c>
      <c r="D474" s="116">
        <v>2</v>
      </c>
      <c r="E474" s="161" t="str">
        <f>VLOOKUP($A474,Estimate!$A:$H,4,FALSE)</f>
        <v xml:space="preserve">hr   </v>
      </c>
    </row>
    <row r="475" spans="1:5" x14ac:dyDescent="0.25">
      <c r="A475" s="161">
        <v>214.2</v>
      </c>
      <c r="B475" s="162" t="str">
        <f>VLOOKUP($A475,Estimate!$A:$H,3,FALSE)</f>
        <v>Labour</v>
      </c>
      <c r="C475" s="161" t="str">
        <f t="shared" si="7"/>
        <v>P</v>
      </c>
      <c r="D475" s="116">
        <v>3</v>
      </c>
      <c r="E475" s="161" t="str">
        <f>VLOOKUP($A475,Estimate!$A:$H,4,FALSE)</f>
        <v xml:space="preserve">hr   </v>
      </c>
    </row>
    <row r="476" spans="1:5" x14ac:dyDescent="0.25">
      <c r="A476" s="161">
        <v>214.3</v>
      </c>
      <c r="B476" s="162" t="str">
        <f>VLOOKUP($A476,Estimate!$A:$H,3,FALSE)</f>
        <v>Bobcat</v>
      </c>
      <c r="C476" s="161" t="str">
        <f t="shared" si="7"/>
        <v>P</v>
      </c>
      <c r="D476" s="116">
        <v>3</v>
      </c>
      <c r="E476" s="161" t="str">
        <f>VLOOKUP($A476,Estimate!$A:$H,4,FALSE)</f>
        <v xml:space="preserve">hr   </v>
      </c>
    </row>
    <row r="477" spans="1:5" x14ac:dyDescent="0.25">
      <c r="A477" s="161">
        <v>214.4</v>
      </c>
      <c r="B477" s="162" t="str">
        <f>VLOOKUP($A477,Estimate!$A:$H,3,FALSE)</f>
        <v>Labour</v>
      </c>
      <c r="C477" s="161" t="str">
        <f t="shared" si="7"/>
        <v>P</v>
      </c>
      <c r="D477" s="116">
        <v>3</v>
      </c>
      <c r="E477" s="161" t="str">
        <f>VLOOKUP($A477,Estimate!$A:$H,4,FALSE)</f>
        <v xml:space="preserve">hr   </v>
      </c>
    </row>
    <row r="478" spans="1:5" x14ac:dyDescent="0.25">
      <c r="A478" s="161">
        <v>215</v>
      </c>
      <c r="B478" s="162" t="str">
        <f>VLOOKUP($A478,Estimate!$A:$H,3,FALSE)</f>
        <v>MCC Type A Gully Pit</v>
      </c>
      <c r="C478" s="161" t="str">
        <f t="shared" si="7"/>
        <v>Q</v>
      </c>
      <c r="D478" s="116">
        <v>1</v>
      </c>
      <c r="E478" s="161" t="str">
        <f>VLOOKUP($A478,Estimate!$A:$H,4,FALSE)</f>
        <v xml:space="preserve">each </v>
      </c>
    </row>
    <row r="479" spans="1:5" x14ac:dyDescent="0.25">
      <c r="A479" s="161">
        <v>216</v>
      </c>
      <c r="B479" s="162" t="str">
        <f>VLOOKUP($A479,Estimate!$A:$H,3,FALSE)</f>
        <v>(i)  Concrete Barrier Kerb &amp; Channel B1 complete</v>
      </c>
      <c r="C479" s="161" t="str">
        <f t="shared" si="7"/>
        <v>Q</v>
      </c>
      <c r="D479" s="116">
        <v>140</v>
      </c>
      <c r="E479" s="161" t="str">
        <f>VLOOKUP($A479,Estimate!$A:$H,4,FALSE)</f>
        <v xml:space="preserve">m    </v>
      </c>
    </row>
    <row r="480" spans="1:5" x14ac:dyDescent="0.25">
      <c r="A480" s="161">
        <v>217</v>
      </c>
      <c r="B480" s="162" t="str">
        <f>VLOOKUP($A480,Estimate!$A:$H,3,FALSE)</f>
        <v>Subsoil Drain Pipe - 100mm dia Slotted Corrugated Plastic Pipe complete (provisional quantity)</v>
      </c>
      <c r="C480" s="161" t="str">
        <f t="shared" si="7"/>
        <v>Q</v>
      </c>
      <c r="D480" s="116">
        <v>420</v>
      </c>
      <c r="E480" s="161" t="str">
        <f>VLOOKUP($A480,Estimate!$A:$H,4,FALSE)</f>
        <v xml:space="preserve">m    </v>
      </c>
    </row>
    <row r="481" spans="1:5" x14ac:dyDescent="0.25">
      <c r="A481" s="161">
        <v>217.1</v>
      </c>
      <c r="B481" s="162" t="str">
        <f>VLOOKUP($A481,Estimate!$A:$H,3,FALSE)</f>
        <v>Excavator - 25T</v>
      </c>
      <c r="C481" s="161" t="str">
        <f t="shared" si="7"/>
        <v>P</v>
      </c>
      <c r="D481" s="116">
        <v>11.11</v>
      </c>
      <c r="E481" s="161" t="str">
        <f>VLOOKUP($A481,Estimate!$A:$H,4,FALSE)</f>
        <v xml:space="preserve">hr   </v>
      </c>
    </row>
    <row r="482" spans="1:5" x14ac:dyDescent="0.25">
      <c r="A482" s="161">
        <v>218</v>
      </c>
      <c r="B482" s="162" t="str">
        <f>VLOOKUP($A482,Estimate!$A:$H,3,FALSE)</f>
        <v>Cleanout Structures</v>
      </c>
      <c r="C482" s="161" t="str">
        <f t="shared" si="7"/>
        <v>Q</v>
      </c>
      <c r="D482" s="116">
        <v>12</v>
      </c>
      <c r="E482" s="161" t="str">
        <f>VLOOKUP($A482,Estimate!$A:$H,4,FALSE)</f>
        <v xml:space="preserve">each </v>
      </c>
    </row>
    <row r="483" spans="1:5" x14ac:dyDescent="0.25">
      <c r="A483" s="161">
        <v>219</v>
      </c>
      <c r="B483" s="162" t="str">
        <f>VLOOKUP($A483,Estimate!$A:$H,3,FALSE)</f>
        <v>Place only Type 2.3</v>
      </c>
      <c r="C483" s="161" t="str">
        <f t="shared" si="7"/>
        <v>Q</v>
      </c>
      <c r="D483" s="116">
        <v>415</v>
      </c>
      <c r="E483" s="161" t="str">
        <f>VLOOKUP($A483,Estimate!$A:$H,4,FALSE)</f>
        <v xml:space="preserve">m3   </v>
      </c>
    </row>
    <row r="484" spans="1:5" x14ac:dyDescent="0.25">
      <c r="A484" s="161">
        <v>219.1</v>
      </c>
      <c r="B484" s="162" t="str">
        <f>VLOOKUP($A484,Estimate!$A:$H,3,FALSE)</f>
        <v>QTY*2.4 Tonnes Gravel</v>
      </c>
      <c r="C484" s="161" t="str">
        <f t="shared" si="7"/>
        <v>P</v>
      </c>
      <c r="D484" s="116">
        <v>2.4</v>
      </c>
      <c r="E484" s="161" t="s">
        <v>2403</v>
      </c>
    </row>
    <row r="485" spans="1:5" x14ac:dyDescent="0.25">
      <c r="A485" s="161">
        <v>219.2</v>
      </c>
      <c r="B485" s="162" t="str">
        <f>VLOOKUP($A485,Estimate!$A:$H,3,FALSE)</f>
        <v>Truck &amp; Dog</v>
      </c>
      <c r="C485" s="161" t="str">
        <f t="shared" si="7"/>
        <v>P</v>
      </c>
      <c r="D485" s="116">
        <v>3</v>
      </c>
      <c r="E485" s="161" t="str">
        <f>VLOOKUP($A485,Estimate!$A:$H,4,FALSE)</f>
        <v xml:space="preserve">hr   </v>
      </c>
    </row>
    <row r="486" spans="1:5" x14ac:dyDescent="0.25">
      <c r="A486" s="161">
        <v>219.3</v>
      </c>
      <c r="B486" s="162" t="str">
        <f>VLOOKUP($A486,Estimate!$A:$H,3,FALSE)</f>
        <v>Grader</v>
      </c>
      <c r="C486" s="161" t="str">
        <f t="shared" si="7"/>
        <v>P</v>
      </c>
      <c r="D486" s="116">
        <v>44.44</v>
      </c>
      <c r="E486" s="161" t="str">
        <f>VLOOKUP($A486,Estimate!$A:$H,4,FALSE)</f>
        <v xml:space="preserve">hr   </v>
      </c>
    </row>
    <row r="487" spans="1:5" x14ac:dyDescent="0.25">
      <c r="A487" s="161">
        <v>220</v>
      </c>
      <c r="B487" s="162" t="str">
        <f>VLOOKUP($A487,Estimate!$A:$H,3,FALSE)</f>
        <v>Place only Type 2.5 (cement modified)</v>
      </c>
      <c r="C487" s="161" t="str">
        <f t="shared" si="7"/>
        <v>Q</v>
      </c>
      <c r="D487" s="116">
        <v>555</v>
      </c>
      <c r="E487" s="161" t="str">
        <f>VLOOKUP($A487,Estimate!$A:$H,4,FALSE)</f>
        <v xml:space="preserve">m3   </v>
      </c>
    </row>
    <row r="488" spans="1:5" x14ac:dyDescent="0.25">
      <c r="A488" s="161">
        <v>220.1</v>
      </c>
      <c r="B488" s="162" t="str">
        <f>VLOOKUP($A488,Estimate!$A:$H,3,FALSE)</f>
        <v>QTY*2.4 Tonnes Gravel</v>
      </c>
      <c r="C488" s="161" t="str">
        <f t="shared" si="7"/>
        <v>P</v>
      </c>
      <c r="D488" s="116">
        <v>2.4</v>
      </c>
      <c r="E488" s="161" t="s">
        <v>2403</v>
      </c>
    </row>
    <row r="489" spans="1:5" x14ac:dyDescent="0.25">
      <c r="A489" s="161">
        <v>220.2</v>
      </c>
      <c r="B489" s="162" t="str">
        <f>VLOOKUP($A489,Estimate!$A:$H,3,FALSE)</f>
        <v>Truck &amp; Dog</v>
      </c>
      <c r="C489" s="161" t="str">
        <f t="shared" si="7"/>
        <v>P</v>
      </c>
      <c r="D489" s="116">
        <v>3</v>
      </c>
      <c r="E489" s="161" t="str">
        <f>VLOOKUP($A489,Estimate!$A:$H,4,FALSE)</f>
        <v xml:space="preserve">hr   </v>
      </c>
    </row>
    <row r="490" spans="1:5" x14ac:dyDescent="0.25">
      <c r="A490" s="161">
        <v>220.3</v>
      </c>
      <c r="B490" s="162" t="str">
        <f>VLOOKUP($A490,Estimate!$A:$H,3,FALSE)</f>
        <v>Grader</v>
      </c>
      <c r="C490" s="161" t="str">
        <f t="shared" si="7"/>
        <v>P</v>
      </c>
      <c r="D490" s="116">
        <v>44.44</v>
      </c>
      <c r="E490" s="161" t="str">
        <f>VLOOKUP($A490,Estimate!$A:$H,4,FALSE)</f>
        <v xml:space="preserve">hr   </v>
      </c>
    </row>
    <row r="491" spans="1:5" x14ac:dyDescent="0.25">
      <c r="A491" s="161">
        <v>221</v>
      </c>
      <c r="B491" s="162" t="str">
        <f>VLOOKUP($A491,Estimate!$A:$H,3,FALSE)</f>
        <v>Place only Type 2.1</v>
      </c>
      <c r="C491" s="161" t="str">
        <f t="shared" si="7"/>
        <v>Q</v>
      </c>
      <c r="D491" s="116">
        <v>405</v>
      </c>
      <c r="E491" s="161" t="str">
        <f>VLOOKUP($A491,Estimate!$A:$H,4,FALSE)</f>
        <v xml:space="preserve">m3   </v>
      </c>
    </row>
    <row r="492" spans="1:5" x14ac:dyDescent="0.25">
      <c r="A492" s="161">
        <v>221.1</v>
      </c>
      <c r="B492" s="162" t="str">
        <f>VLOOKUP($A492,Estimate!$A:$H,3,FALSE)</f>
        <v>2.4*density Tonnes Gravel</v>
      </c>
      <c r="C492" s="161" t="str">
        <f t="shared" si="7"/>
        <v>P</v>
      </c>
      <c r="D492" s="116">
        <v>2.4</v>
      </c>
      <c r="E492" s="161" t="s">
        <v>2403</v>
      </c>
    </row>
    <row r="493" spans="1:5" x14ac:dyDescent="0.25">
      <c r="A493" s="161">
        <v>221.2</v>
      </c>
      <c r="B493" s="162" t="str">
        <f>VLOOKUP($A493,Estimate!$A:$H,3,FALSE)</f>
        <v>Truck &amp; Dog</v>
      </c>
      <c r="C493" s="161" t="str">
        <f t="shared" si="7"/>
        <v>P</v>
      </c>
      <c r="D493" s="116">
        <v>3</v>
      </c>
      <c r="E493" s="161" t="str">
        <f>VLOOKUP($A493,Estimate!$A:$H,4,FALSE)</f>
        <v xml:space="preserve">hr   </v>
      </c>
    </row>
    <row r="494" spans="1:5" x14ac:dyDescent="0.25">
      <c r="A494" s="161">
        <v>221.3</v>
      </c>
      <c r="B494" s="162" t="str">
        <f>VLOOKUP($A494,Estimate!$A:$H,3,FALSE)</f>
        <v>Grader</v>
      </c>
      <c r="C494" s="161" t="str">
        <f t="shared" si="7"/>
        <v>P</v>
      </c>
      <c r="D494" s="116">
        <v>44.44</v>
      </c>
      <c r="E494" s="161" t="str">
        <f>VLOOKUP($A494,Estimate!$A:$H,4,FALSE)</f>
        <v xml:space="preserve">hr   </v>
      </c>
    </row>
    <row r="495" spans="1:5" x14ac:dyDescent="0.25">
      <c r="A495" s="161">
        <v>221.4</v>
      </c>
      <c r="B495" s="162" t="str">
        <f>VLOOKUP($A495,Estimate!$A:$H,3,FALSE)</f>
        <v>Grader</v>
      </c>
      <c r="C495" s="161" t="str">
        <f t="shared" si="7"/>
        <v>P</v>
      </c>
      <c r="D495" s="116">
        <v>150</v>
      </c>
      <c r="E495" s="161" t="str">
        <f>VLOOKUP($A495,Estimate!$A:$H,4,FALSE)</f>
        <v xml:space="preserve">hr   </v>
      </c>
    </row>
    <row r="496" spans="1:5" x14ac:dyDescent="0.25">
      <c r="A496" s="161">
        <v>222</v>
      </c>
      <c r="B496" s="162" t="str">
        <f>VLOOKUP($A496,Estimate!$A:$H,3,FALSE)</f>
        <v>Special Item - Geogrid layer</v>
      </c>
      <c r="C496" s="161" t="str">
        <f t="shared" si="7"/>
        <v>Q</v>
      </c>
      <c r="D496" s="116">
        <v>2765</v>
      </c>
      <c r="E496" s="161" t="str">
        <f>VLOOKUP($A496,Estimate!$A:$H,4,FALSE)</f>
        <v xml:space="preserve">m2   </v>
      </c>
    </row>
    <row r="497" spans="1:5" x14ac:dyDescent="0.25">
      <c r="A497" s="161">
        <v>222.1</v>
      </c>
      <c r="B497" s="162" t="str">
        <f>VLOOKUP($A497,Estimate!$A:$H,3,FALSE)</f>
        <v>Labour</v>
      </c>
      <c r="C497" s="161" t="str">
        <f t="shared" si="7"/>
        <v>P</v>
      </c>
      <c r="D497" s="116">
        <v>570</v>
      </c>
      <c r="E497" s="161" t="str">
        <f>VLOOKUP($A497,Estimate!$A:$H,4,FALSE)</f>
        <v xml:space="preserve">hr   </v>
      </c>
    </row>
    <row r="498" spans="1:5" x14ac:dyDescent="0.25">
      <c r="A498" s="161">
        <v>223</v>
      </c>
      <c r="B498" s="162" t="str">
        <f>VLOOKUP($A498,Estimate!$A:$H,3,FALSE)</f>
        <v>Special Item - Geotextile layer</v>
      </c>
      <c r="C498" s="161" t="str">
        <f t="shared" si="7"/>
        <v>Q</v>
      </c>
      <c r="D498" s="116">
        <v>2765</v>
      </c>
      <c r="E498" s="161" t="str">
        <f>VLOOKUP($A498,Estimate!$A:$H,4,FALSE)</f>
        <v xml:space="preserve">m2   </v>
      </c>
    </row>
    <row r="499" spans="1:5" x14ac:dyDescent="0.25">
      <c r="A499" s="161">
        <v>223.1</v>
      </c>
      <c r="B499" s="162" t="str">
        <f>VLOOKUP($A499,Estimate!$A:$H,3,FALSE)</f>
        <v>Labour</v>
      </c>
      <c r="C499" s="161" t="str">
        <f t="shared" si="7"/>
        <v>P</v>
      </c>
      <c r="D499" s="116">
        <v>570</v>
      </c>
      <c r="E499" s="161" t="str">
        <f>VLOOKUP($A499,Estimate!$A:$H,4,FALSE)</f>
        <v xml:space="preserve">hr   </v>
      </c>
    </row>
    <row r="500" spans="1:5" x14ac:dyDescent="0.25">
      <c r="A500" s="161">
        <v>224</v>
      </c>
      <c r="B500" s="162" t="str">
        <f>VLOOKUP($A500,Estimate!$A:$H,3,FALSE)</f>
        <v>(ii)  14mm Nominal Size</v>
      </c>
      <c r="C500" s="161" t="str">
        <f t="shared" si="7"/>
        <v>Q</v>
      </c>
      <c r="D500" s="116">
        <v>310</v>
      </c>
      <c r="E500" s="161" t="str">
        <f>VLOOKUP($A500,Estimate!$A:$H,4,FALSE)</f>
        <v>tonne</v>
      </c>
    </row>
    <row r="501" spans="1:5" x14ac:dyDescent="0.25">
      <c r="A501" s="161">
        <v>225</v>
      </c>
      <c r="B501" s="162" t="str">
        <f>VLOOKUP($A501,Estimate!$A:$H,3,FALSE)</f>
        <v>Pavement Marking Paint - Longitudinal Lines including car parking bays</v>
      </c>
      <c r="C501" s="161" t="str">
        <f t="shared" si="7"/>
        <v>Q</v>
      </c>
      <c r="D501" s="116">
        <v>405</v>
      </c>
      <c r="E501" s="161" t="str">
        <f>VLOOKUP($A501,Estimate!$A:$H,4,FALSE)</f>
        <v xml:space="preserve">m    </v>
      </c>
    </row>
    <row r="502" spans="1:5" x14ac:dyDescent="0.25">
      <c r="A502" s="161">
        <v>226</v>
      </c>
      <c r="B502" s="162" t="str">
        <f>VLOOKUP($A502,Estimate!$A:$H,3,FALSE)</f>
        <v>Pavement Marking Paint - Transverse Lines, Symbols, Legends, Arrows, Chevrons, Traffic Islands &amp; Kerbs</v>
      </c>
      <c r="C502" s="161" t="str">
        <f t="shared" si="7"/>
        <v>Q</v>
      </c>
      <c r="D502" s="116">
        <v>1</v>
      </c>
      <c r="E502" s="161" t="str">
        <f>VLOOKUP($A502,Estimate!$A:$H,4,FALSE)</f>
        <v xml:space="preserve">Item </v>
      </c>
    </row>
    <row r="503" spans="1:5" x14ac:dyDescent="0.25">
      <c r="A503" s="161">
        <v>227</v>
      </c>
      <c r="B503" s="162" t="str">
        <f>VLOOKUP($A503,Estimate!$A:$H,3,FALSE)</f>
        <v>Remove and reinstate Existing Signs &amp; Support Structures</v>
      </c>
      <c r="C503" s="161" t="str">
        <f t="shared" si="7"/>
        <v>Q</v>
      </c>
      <c r="D503" s="116">
        <v>1</v>
      </c>
      <c r="E503" s="161" t="str">
        <f>VLOOKUP($A503,Estimate!$A:$H,4,FALSE)</f>
        <v xml:space="preserve">Item </v>
      </c>
    </row>
    <row r="504" spans="1:5" x14ac:dyDescent="0.25">
      <c r="A504" s="161">
        <v>228</v>
      </c>
      <c r="B504" s="162" t="str">
        <f>VLOOKUP($A504,Estimate!$A:$H,3,FALSE)</f>
        <v>Supply &amp; Installation of all Signs (complete)</v>
      </c>
      <c r="C504" s="161" t="str">
        <f t="shared" si="7"/>
        <v>Q</v>
      </c>
      <c r="D504" s="116">
        <v>1</v>
      </c>
      <c r="E504" s="161" t="str">
        <f>VLOOKUP($A504,Estimate!$A:$H,4,FALSE)</f>
        <v xml:space="preserve">each </v>
      </c>
    </row>
    <row r="505" spans="1:5" x14ac:dyDescent="0.25">
      <c r="A505" s="161">
        <v>229</v>
      </c>
      <c r="B505" s="162" t="str">
        <f>VLOOKUP($A505,Estimate!$A:$H,3,FALSE)</f>
        <v>(ii)  Concrete Kerb Ramp (1 No)</v>
      </c>
      <c r="C505" s="161" t="str">
        <f t="shared" si="7"/>
        <v>Q</v>
      </c>
      <c r="D505" s="116">
        <v>1</v>
      </c>
      <c r="E505" s="161" t="str">
        <f>VLOOKUP($A505,Estimate!$A:$H,4,FALSE)</f>
        <v xml:space="preserve">each </v>
      </c>
    </row>
    <row r="506" spans="1:5" x14ac:dyDescent="0.25">
      <c r="A506" s="161">
        <v>230</v>
      </c>
      <c r="B506" s="162" t="str">
        <f>VLOOKUP($A506,Estimate!$A:$H,3,FALSE)</f>
        <v>(iv)  Residential Invert Crossing (10.5 m)</v>
      </c>
      <c r="C506" s="161" t="str">
        <f t="shared" si="7"/>
        <v>Q</v>
      </c>
      <c r="D506" s="116">
        <v>3</v>
      </c>
      <c r="E506" s="161" t="str">
        <f>VLOOKUP($A506,Estimate!$A:$H,4,FALSE)</f>
        <v xml:space="preserve">each </v>
      </c>
    </row>
    <row r="507" spans="1:5" x14ac:dyDescent="0.25">
      <c r="A507" s="161">
        <v>230.1</v>
      </c>
      <c r="B507" s="162" t="str">
        <f>VLOOKUP($A507,Estimate!$A:$H,3,FALSE)</f>
        <v>Excavator - 25T</v>
      </c>
      <c r="C507" s="161" t="str">
        <f t="shared" si="7"/>
        <v>P</v>
      </c>
      <c r="D507" s="116">
        <v>3</v>
      </c>
      <c r="E507" s="161" t="str">
        <f>VLOOKUP($A507,Estimate!$A:$H,4,FALSE)</f>
        <v xml:space="preserve">hr   </v>
      </c>
    </row>
    <row r="508" spans="1:5" x14ac:dyDescent="0.25">
      <c r="A508" s="161">
        <v>231</v>
      </c>
      <c r="B508" s="162" t="str">
        <f>VLOOKUP($A508,Estimate!$A:$H,3,FALSE)</f>
        <v>(viii) Hand Placed Concrete Paving (Footpath / Bikeway)</v>
      </c>
      <c r="C508" s="161" t="str">
        <f t="shared" si="7"/>
        <v>Q</v>
      </c>
      <c r="D508" s="116">
        <v>18</v>
      </c>
      <c r="E508" s="161" t="str">
        <f>VLOOKUP($A508,Estimate!$A:$H,4,FALSE)</f>
        <v xml:space="preserve">m2   </v>
      </c>
    </row>
    <row r="509" spans="1:5" x14ac:dyDescent="0.25">
      <c r="A509" s="161">
        <v>231.1</v>
      </c>
      <c r="B509" s="162" t="str">
        <f>VLOOKUP($A509,Estimate!$A:$H,3,FALSE)</f>
        <v>Excavator - 25T</v>
      </c>
      <c r="C509" s="161" t="str">
        <f t="shared" si="7"/>
        <v>P</v>
      </c>
      <c r="D509" s="116">
        <v>10</v>
      </c>
      <c r="E509" s="161" t="str">
        <f>VLOOKUP($A509,Estimate!$A:$H,4,FALSE)</f>
        <v xml:space="preserve">hr   </v>
      </c>
    </row>
    <row r="510" spans="1:5" x14ac:dyDescent="0.25">
      <c r="A510" s="161">
        <v>232</v>
      </c>
      <c r="B510" s="162" t="str">
        <f>VLOOKUP($A510,Estimate!$A:$H,3,FALSE)</f>
        <v>(ii)  Turfing</v>
      </c>
      <c r="C510" s="161" t="str">
        <f t="shared" si="7"/>
        <v>Q</v>
      </c>
      <c r="D510" s="116">
        <v>100</v>
      </c>
      <c r="E510" s="161" t="str">
        <f>VLOOKUP($A510,Estimate!$A:$H,4,FALSE)</f>
        <v xml:space="preserve">m2   </v>
      </c>
    </row>
    <row r="511" spans="1:5" x14ac:dyDescent="0.25">
      <c r="A511" s="161">
        <v>233</v>
      </c>
      <c r="B511" s="162" t="str">
        <f>VLOOKUP($A511,Estimate!$A:$H,3,FALSE)</f>
        <v>Supply and install mains and reticulation</v>
      </c>
      <c r="C511" s="161" t="str">
        <f t="shared" si="7"/>
        <v>Q</v>
      </c>
      <c r="D511" s="116">
        <v>1</v>
      </c>
      <c r="E511" s="161" t="str">
        <f>VLOOKUP($A511,Estimate!$A:$H,4,FALSE)</f>
        <v xml:space="preserve">Lump </v>
      </c>
    </row>
    <row r="512" spans="1:5" x14ac:dyDescent="0.25">
      <c r="A512" s="161">
        <v>234</v>
      </c>
      <c r="B512" s="162" t="str">
        <f>VLOOKUP($A512,Estimate!$A:$H,3,FALSE)</f>
        <v>Service connections</v>
      </c>
      <c r="C512" s="161" t="str">
        <f t="shared" si="7"/>
        <v>Q</v>
      </c>
      <c r="D512" s="116">
        <v>1</v>
      </c>
      <c r="E512" s="161" t="str">
        <f>VLOOKUP($A512,Estimate!$A:$H,4,FALSE)</f>
        <v xml:space="preserve">Lump </v>
      </c>
    </row>
    <row r="513" spans="1:5" x14ac:dyDescent="0.25">
      <c r="A513" s="161">
        <v>235</v>
      </c>
      <c r="B513" s="162" t="str">
        <f>VLOOKUP($A513,Estimate!$A:$H,3,FALSE)</f>
        <v>Special Item - As Constructed Survey and Plans</v>
      </c>
      <c r="C513" s="161" t="str">
        <f t="shared" si="7"/>
        <v>Q</v>
      </c>
      <c r="D513" s="116">
        <v>1</v>
      </c>
      <c r="E513" s="161" t="str">
        <f>VLOOKUP($A513,Estimate!$A:$H,4,FALSE)</f>
        <v xml:space="preserve">Lump </v>
      </c>
    </row>
    <row r="514" spans="1:5" x14ac:dyDescent="0.25">
      <c r="A514" s="161">
        <v>9001</v>
      </c>
      <c r="B514" s="162" t="str">
        <f>VLOOKUP($A514,Estimate!$A:$H,3,FALSE)</f>
        <v>Project Engineering</v>
      </c>
      <c r="C514" s="161" t="str">
        <f t="shared" si="7"/>
        <v>Q</v>
      </c>
      <c r="D514" s="116">
        <v>1</v>
      </c>
      <c r="E514" s="161" t="s">
        <v>22</v>
      </c>
    </row>
    <row r="515" spans="1:5" x14ac:dyDescent="0.25">
      <c r="A515" s="161">
        <v>9002</v>
      </c>
      <c r="B515" s="162" t="str">
        <f>VLOOKUP($A515,Estimate!$A:$H,3,FALSE)</f>
        <v>Project Supervision</v>
      </c>
      <c r="C515" s="161" t="str">
        <f t="shared" si="7"/>
        <v>Q</v>
      </c>
      <c r="D515" s="116">
        <v>1</v>
      </c>
      <c r="E515" s="161" t="s">
        <v>22</v>
      </c>
    </row>
    <row r="516" spans="1:5" x14ac:dyDescent="0.25">
      <c r="A516" s="161">
        <v>9003</v>
      </c>
      <c r="B516" s="162" t="str">
        <f>VLOOKUP($A516,Estimate!$A:$H,3,FALSE)</f>
        <v>Insurances &amp; Fees</v>
      </c>
      <c r="C516" s="161" t="str">
        <f t="shared" ref="C516:C518" si="8">IF(A516/ROUND(A516,0)=1,"Q","P")</f>
        <v>Q</v>
      </c>
      <c r="D516" s="116">
        <v>1</v>
      </c>
      <c r="E516" s="161" t="s">
        <v>33</v>
      </c>
    </row>
    <row r="517" spans="1:5" x14ac:dyDescent="0.25">
      <c r="A517" s="161">
        <v>9004</v>
      </c>
      <c r="B517" s="162" t="str">
        <f>VLOOKUP($A517,Estimate!$A:$H,3,FALSE)</f>
        <v>Site Vehicle</v>
      </c>
      <c r="C517" s="161" t="str">
        <f t="shared" si="8"/>
        <v>Q</v>
      </c>
      <c r="D517" s="116">
        <v>1</v>
      </c>
      <c r="E517" s="161" t="s">
        <v>29</v>
      </c>
    </row>
    <row r="518" spans="1:5" x14ac:dyDescent="0.25">
      <c r="A518" s="161">
        <v>9005</v>
      </c>
      <c r="B518" s="162" t="str">
        <f>VLOOKUP($A518,Estimate!$A:$H,3,FALSE)</f>
        <v>Site Facilities</v>
      </c>
      <c r="C518" s="161" t="str">
        <f t="shared" si="8"/>
        <v>Q</v>
      </c>
      <c r="D518" s="116">
        <v>1</v>
      </c>
      <c r="E518" s="161" t="s">
        <v>22</v>
      </c>
    </row>
    <row r="519" spans="1:5" x14ac:dyDescent="0.25">
      <c r="A519" s="161">
        <v>9005.1</v>
      </c>
      <c r="B519" s="162" t="str">
        <f>VLOOKUP($A519,Estimate!$A:$H,3,FALSE)</f>
        <v>Crib Facilities</v>
      </c>
      <c r="C519" s="161" t="str">
        <f t="shared" ref="C519" si="9">IF(A519/ROUND(A519,0)=1,"Q","P")</f>
        <v>P</v>
      </c>
      <c r="D519" s="116">
        <v>26</v>
      </c>
      <c r="E519" s="161" t="str">
        <f>VLOOKUP($A519,Estimate!$A:$H,4,FALSE)</f>
        <v xml:space="preserve">week </v>
      </c>
    </row>
    <row r="520" spans="1:5" x14ac:dyDescent="0.25">
      <c r="A520" s="162" t="s">
        <v>2598</v>
      </c>
      <c r="B520" s="162" t="str">
        <f>VLOOKUP(A520,Estimate!A:C,3,FALSE)</f>
        <v xml:space="preserve">CCC_PV01 - Remove and Replace New kerbiing and traffic Islands </v>
      </c>
      <c r="C520" s="161" t="s">
        <v>2401</v>
      </c>
      <c r="D520" s="167">
        <v>1</v>
      </c>
      <c r="E520" s="161" t="s">
        <v>2416</v>
      </c>
    </row>
    <row r="521" spans="1:5" x14ac:dyDescent="0.25">
      <c r="A521" s="162" t="s">
        <v>2599</v>
      </c>
      <c r="B521" s="162" t="str">
        <f>VLOOKUP(A521,Estimate!A:C,3,FALSE)</f>
        <v xml:space="preserve">CCC_PV01 - Cultrual Centre Carpark - Install Traffic Islands  </v>
      </c>
      <c r="C521" s="161" t="s">
        <v>2401</v>
      </c>
      <c r="D521" s="167">
        <v>40</v>
      </c>
      <c r="E521" s="161" t="s">
        <v>89</v>
      </c>
    </row>
    <row r="522" spans="1:5" x14ac:dyDescent="0.25">
      <c r="A522" s="162" t="s">
        <v>2600</v>
      </c>
      <c r="B522" s="162" t="str">
        <f>VLOOKUP(A522,Estimate!A:C,3,FALSE)</f>
        <v>S32 - Kerb Mix</v>
      </c>
      <c r="C522" s="161" t="s">
        <v>2748</v>
      </c>
      <c r="D522" s="167">
        <v>8.6</v>
      </c>
      <c r="E522" s="161" t="s">
        <v>86</v>
      </c>
    </row>
    <row r="523" spans="1:5" x14ac:dyDescent="0.25">
      <c r="A523" s="162" t="s">
        <v>2602</v>
      </c>
      <c r="B523" s="162" t="str">
        <f>VLOOKUP(A523,Estimate!A:C,3,FALSE)</f>
        <v>Sand</v>
      </c>
      <c r="C523" s="161" t="s">
        <v>2748</v>
      </c>
      <c r="D523" s="167">
        <v>75</v>
      </c>
      <c r="E523" s="161" t="s">
        <v>82</v>
      </c>
    </row>
    <row r="524" spans="1:5" x14ac:dyDescent="0.25">
      <c r="A524" s="162" t="s">
        <v>2603</v>
      </c>
      <c r="B524" s="162" t="str">
        <f>VLOOKUP(A524,Estimate!A:C,3,FALSE)</f>
        <v>Cement</v>
      </c>
      <c r="C524" s="161" t="s">
        <v>2748</v>
      </c>
      <c r="D524" s="167">
        <v>8</v>
      </c>
      <c r="E524" s="161" t="s">
        <v>82</v>
      </c>
    </row>
    <row r="525" spans="1:5" x14ac:dyDescent="0.25">
      <c r="A525" s="162" t="s">
        <v>2601</v>
      </c>
      <c r="B525" s="162" t="str">
        <f>VLOOKUP(A525,Estimate!A:C,3,FALSE)</f>
        <v xml:space="preserve">Cutrual Carpark Centre - Demolition of kerb invert and islands </v>
      </c>
      <c r="C525" s="161" t="s">
        <v>2401</v>
      </c>
      <c r="D525" s="167">
        <v>1</v>
      </c>
      <c r="E525" s="161">
        <v>0</v>
      </c>
    </row>
    <row r="526" spans="1:5" x14ac:dyDescent="0.25">
      <c r="A526" s="162" t="s">
        <v>2604</v>
      </c>
      <c r="B526" s="162" t="str">
        <f>VLOOKUP(A526,Estimate!A:C,3,FALSE)</f>
        <v xml:space="preserve">CCC_PV02 - Cultrual Centre Carpark - Install 600m dish Drain </v>
      </c>
      <c r="C526" s="161" t="s">
        <v>2401</v>
      </c>
      <c r="D526" s="167">
        <v>44</v>
      </c>
      <c r="E526" s="161" t="s">
        <v>89</v>
      </c>
    </row>
    <row r="527" spans="1:5" x14ac:dyDescent="0.25">
      <c r="A527" s="162" t="s">
        <v>2747</v>
      </c>
      <c r="B527" s="162" t="str">
        <f>VLOOKUP(A527,Estimate!A:C,3,FALSE)</f>
        <v>N32</v>
      </c>
      <c r="C527" s="161" t="s">
        <v>2748</v>
      </c>
      <c r="D527" s="167">
        <v>3</v>
      </c>
      <c r="E527" s="161" t="s">
        <v>86</v>
      </c>
    </row>
    <row r="528" spans="1:5" x14ac:dyDescent="0.25">
      <c r="A528" s="162" t="s">
        <v>2605</v>
      </c>
      <c r="B528" s="162" t="str">
        <f>VLOOKUP(A528,Estimate!A:C,3,FALSE)</f>
        <v>Sand</v>
      </c>
      <c r="C528" s="161" t="s">
        <v>2748</v>
      </c>
      <c r="D528" s="167">
        <v>75</v>
      </c>
      <c r="E528" s="161" t="s">
        <v>82</v>
      </c>
    </row>
    <row r="529" spans="1:5" x14ac:dyDescent="0.25">
      <c r="A529" s="162" t="s">
        <v>2606</v>
      </c>
      <c r="B529" s="162" t="str">
        <f>VLOOKUP(A529,Estimate!A:C,3,FALSE)</f>
        <v>Cement</v>
      </c>
      <c r="C529" s="161" t="s">
        <v>2748</v>
      </c>
      <c r="D529" s="167">
        <v>8</v>
      </c>
      <c r="E529" s="161" t="s">
        <v>82</v>
      </c>
    </row>
    <row r="530" spans="1:5" x14ac:dyDescent="0.25">
      <c r="A530" s="162" t="s">
        <v>2607</v>
      </c>
      <c r="B530" s="162" t="str">
        <f>VLOOKUP(A530,Estimate!A:C,3,FALSE)</f>
        <v>CCC_PV03   Cultrual Centre Carpark Insitu Stabilising Carpark  -  400m2</v>
      </c>
      <c r="C530" s="161" t="s">
        <v>2401</v>
      </c>
      <c r="D530" s="167">
        <v>400</v>
      </c>
      <c r="E530" s="161" t="s">
        <v>83</v>
      </c>
    </row>
    <row r="531" spans="1:5" x14ac:dyDescent="0.25">
      <c r="A531" s="162" t="s">
        <v>2611</v>
      </c>
      <c r="B531" s="162" t="str">
        <f>VLOOKUP(A531,Estimate!A:C,3,FALSE)</f>
        <v xml:space="preserve">Unsuitable Subgrade replacement Iron Stone Rock Mattress </v>
      </c>
      <c r="C531" s="161" t="s">
        <v>2401</v>
      </c>
      <c r="D531" s="167">
        <v>1</v>
      </c>
      <c r="E531" s="161" t="s">
        <v>2610</v>
      </c>
    </row>
    <row r="532" spans="1:5" x14ac:dyDescent="0.25">
      <c r="A532" s="162" t="s">
        <v>2612</v>
      </c>
      <c r="B532" s="162" t="str">
        <f>VLOOKUP(A532,Estimate!A:C,3,FALSE)</f>
        <v>Win, load and Import iron stone gravel</v>
      </c>
      <c r="C532" s="161" t="s">
        <v>2401</v>
      </c>
      <c r="D532" s="167">
        <v>539.9</v>
      </c>
      <c r="E532" s="161" t="s">
        <v>86</v>
      </c>
    </row>
    <row r="533" spans="1:5" x14ac:dyDescent="0.25">
      <c r="A533" s="162" t="s">
        <v>2613</v>
      </c>
      <c r="B533" s="162" t="str">
        <f>VLOOKUP(A533,Estimate!A:C,3,FALSE)</f>
        <v>Excavator - 25T</v>
      </c>
      <c r="C533" s="161" t="s">
        <v>2021</v>
      </c>
      <c r="D533" s="167">
        <v>40</v>
      </c>
      <c r="E533" s="161" t="s">
        <v>48</v>
      </c>
    </row>
    <row r="534" spans="1:5" x14ac:dyDescent="0.25">
      <c r="A534" s="162" t="s">
        <v>2614</v>
      </c>
      <c r="B534" s="162" t="str">
        <f>VLOOKUP(A534,Estimate!A:C,3,FALSE)</f>
        <v>Truck &amp; Dog</v>
      </c>
      <c r="C534" s="161" t="s">
        <v>2748</v>
      </c>
      <c r="D534" s="167">
        <v>4</v>
      </c>
      <c r="E534" s="161" t="s">
        <v>48</v>
      </c>
    </row>
    <row r="535" spans="1:5" x14ac:dyDescent="0.25">
      <c r="A535" s="162" t="s">
        <v>2615</v>
      </c>
      <c r="B535" s="162" t="str">
        <f>VLOOKUP(A535,Estimate!A:C,3,FALSE)</f>
        <v>Excavator - 25T</v>
      </c>
      <c r="C535" s="161" t="s">
        <v>2021</v>
      </c>
      <c r="D535" s="167">
        <v>15</v>
      </c>
      <c r="E535" s="161" t="s">
        <v>48</v>
      </c>
    </row>
    <row r="536" spans="1:5" x14ac:dyDescent="0.25">
      <c r="A536" s="162" t="s">
        <v>2616</v>
      </c>
      <c r="B536" s="162" t="str">
        <f>VLOOKUP(A536,Estimate!A:C,3,FALSE)</f>
        <v>Truck &amp; Dog</v>
      </c>
      <c r="C536" s="161" t="s">
        <v>2748</v>
      </c>
      <c r="D536" s="167">
        <v>2</v>
      </c>
      <c r="E536" s="161" t="s">
        <v>48</v>
      </c>
    </row>
    <row r="537" spans="1:5" x14ac:dyDescent="0.25">
      <c r="A537" s="162" t="s">
        <v>2617</v>
      </c>
      <c r="B537" s="162" t="str">
        <f>VLOOKUP(A537,Estimate!A:C,3,FALSE)</f>
        <v>Labour</v>
      </c>
      <c r="C537" s="161" t="s">
        <v>2021</v>
      </c>
      <c r="D537" s="167">
        <v>570</v>
      </c>
      <c r="E537" s="161" t="s">
        <v>48</v>
      </c>
    </row>
    <row r="538" spans="1:5" x14ac:dyDescent="0.25">
      <c r="A538" s="162" t="s">
        <v>2618</v>
      </c>
      <c r="B538" s="162" t="str">
        <f>VLOOKUP(A538,Estimate!A:C,3,FALSE)</f>
        <v>Grader</v>
      </c>
      <c r="C538" s="161" t="s">
        <v>2021</v>
      </c>
      <c r="D538" s="167">
        <v>40</v>
      </c>
      <c r="E538" s="161" t="s">
        <v>48</v>
      </c>
    </row>
    <row r="539" spans="1:5" x14ac:dyDescent="0.25">
      <c r="A539" s="162" t="s">
        <v>2680</v>
      </c>
      <c r="B539" s="162" t="str">
        <f>VLOOKUP(A539,Estimate!A:C,3,FALSE)</f>
        <v xml:space="preserve">Construct three residential property access Dobbins Lane </v>
      </c>
      <c r="C539" s="161" t="s">
        <v>2401</v>
      </c>
      <c r="D539" s="167">
        <v>3</v>
      </c>
      <c r="E539" s="161" t="s">
        <v>29</v>
      </c>
    </row>
    <row r="540" spans="1:5" x14ac:dyDescent="0.25">
      <c r="A540" s="162" t="s">
        <v>2681</v>
      </c>
      <c r="B540" s="162" t="str">
        <f>VLOOKUP(A540,Estimate!A:C,3,FALSE)</f>
        <v>Excavator - 25T</v>
      </c>
      <c r="C540" s="161" t="s">
        <v>2021</v>
      </c>
      <c r="D540" s="167">
        <v>3</v>
      </c>
      <c r="E540" s="161" t="s">
        <v>48</v>
      </c>
    </row>
    <row r="541" spans="1:5" x14ac:dyDescent="0.25">
      <c r="A541" s="162" t="s">
        <v>2682</v>
      </c>
      <c r="B541" s="162" t="str">
        <f>VLOOKUP(A541,Estimate!A:C,3,FALSE)</f>
        <v>Variation Direction to place an additional layer of Geogrid dobbins lane  Ch 190 to Ch 230  -  7.5m wide</v>
      </c>
      <c r="C541" s="161" t="s">
        <v>2401</v>
      </c>
      <c r="D541" s="167">
        <v>300</v>
      </c>
      <c r="E541" s="161" t="s">
        <v>83</v>
      </c>
    </row>
    <row r="542" spans="1:5" x14ac:dyDescent="0.25">
      <c r="A542" s="162" t="s">
        <v>2683</v>
      </c>
      <c r="B542" s="162" t="str">
        <f>VLOOKUP(A542,Estimate!A:C,3,FALSE)</f>
        <v>TX160 - Geogrid</v>
      </c>
      <c r="C542" s="161" t="s">
        <v>2748</v>
      </c>
      <c r="D542" s="167">
        <v>1.1000000000000001</v>
      </c>
      <c r="E542" s="161" t="s">
        <v>83</v>
      </c>
    </row>
    <row r="543" spans="1:5" x14ac:dyDescent="0.25">
      <c r="A543" s="162" t="s">
        <v>2684</v>
      </c>
      <c r="B543" s="162" t="str">
        <f>VLOOKUP(A543,Estimate!A:C,3,FALSE)</f>
        <v>Labour</v>
      </c>
      <c r="C543" s="161" t="s">
        <v>2021</v>
      </c>
      <c r="D543" s="167">
        <v>570</v>
      </c>
      <c r="E543" s="161" t="s">
        <v>48</v>
      </c>
    </row>
    <row r="544" spans="1:5" x14ac:dyDescent="0.25">
      <c r="A544" s="162" t="s">
        <v>2689</v>
      </c>
      <c r="B544" s="162" t="str">
        <f>VLOOKUP(A544,Estimate!A:C,3,FALSE)</f>
        <v xml:space="preserve">Remove &amp; Replace Subgrade -  Excavate unsutiable  material,  Blended  cement into gravel, import place and compact. </v>
      </c>
      <c r="C544" s="161" t="s">
        <v>2401</v>
      </c>
      <c r="D544" s="167">
        <v>1</v>
      </c>
      <c r="E544" s="161" t="s">
        <v>2416</v>
      </c>
    </row>
    <row r="545" spans="1:5" x14ac:dyDescent="0.25">
      <c r="A545" s="162" t="s">
        <v>2690</v>
      </c>
      <c r="B545" s="162" t="str">
        <f>VLOOKUP(A545,Estimate!A:C,3,FALSE)</f>
        <v xml:space="preserve">Excavate Unsuitable Material  below subgrade  </v>
      </c>
      <c r="C545" s="161" t="s">
        <v>2401</v>
      </c>
      <c r="D545" s="167">
        <v>500</v>
      </c>
      <c r="E545" s="161" t="s">
        <v>86</v>
      </c>
    </row>
    <row r="546" spans="1:5" x14ac:dyDescent="0.25">
      <c r="A546" s="162" t="s">
        <v>2691</v>
      </c>
      <c r="B546" s="162" t="str">
        <f>VLOOKUP(A546,Estimate!A:C,3,FALSE)</f>
        <v>Excavator - 25T</v>
      </c>
      <c r="C546" s="161" t="s">
        <v>2021</v>
      </c>
      <c r="D546" s="167">
        <v>30</v>
      </c>
      <c r="E546" s="161" t="s">
        <v>48</v>
      </c>
    </row>
    <row r="547" spans="1:5" x14ac:dyDescent="0.25">
      <c r="A547" s="162" t="s">
        <v>2692</v>
      </c>
      <c r="B547" s="162" t="str">
        <f>VLOOKUP(A547,Estimate!A:C,3,FALSE)</f>
        <v>Truck &amp; Dog</v>
      </c>
      <c r="C547" s="161" t="s">
        <v>2748</v>
      </c>
      <c r="D547" s="167">
        <v>2</v>
      </c>
      <c r="E547" s="161" t="s">
        <v>48</v>
      </c>
    </row>
    <row r="548" spans="1:5" x14ac:dyDescent="0.25">
      <c r="A548" s="162" t="s">
        <v>2693</v>
      </c>
      <c r="B548" s="162" t="str">
        <f>VLOOKUP(A548,Estimate!A:C,3,FALSE)</f>
        <v>Grader</v>
      </c>
      <c r="C548" s="161" t="s">
        <v>2021</v>
      </c>
      <c r="D548" s="167">
        <v>40</v>
      </c>
      <c r="E548" s="161" t="s">
        <v>48</v>
      </c>
    </row>
    <row r="549" spans="1:5" x14ac:dyDescent="0.25">
      <c r="A549" s="162" t="s">
        <v>2694</v>
      </c>
      <c r="B549" s="162" t="str">
        <f>VLOOKUP(A549,Estimate!A:C,3,FALSE)</f>
        <v>Cement</v>
      </c>
      <c r="C549" s="161" t="s">
        <v>2021</v>
      </c>
      <c r="D549" s="167">
        <v>1.2E-2</v>
      </c>
      <c r="E549" s="161" t="s">
        <v>33</v>
      </c>
    </row>
    <row r="550" spans="1:5" x14ac:dyDescent="0.25">
      <c r="A550" s="162" t="s">
        <v>2695</v>
      </c>
      <c r="B550" s="162" t="str">
        <f>VLOOKUP(A550,Estimate!A:C,3,FALSE)</f>
        <v>CAT297 Stabiliser</v>
      </c>
      <c r="C550" s="161" t="s">
        <v>2021</v>
      </c>
      <c r="D550" s="167">
        <v>55.555555555555557</v>
      </c>
      <c r="E550" s="161" t="s">
        <v>33</v>
      </c>
    </row>
    <row r="551" spans="1:5" x14ac:dyDescent="0.25">
      <c r="A551" s="162" t="s">
        <v>2696</v>
      </c>
      <c r="B551" s="162" t="str">
        <f>VLOOKUP(A551,Estimate!A:C,3,FALSE)</f>
        <v xml:space="preserve">Variation to water main Doherty street extra over the BOQ </v>
      </c>
      <c r="C551" s="161" t="s">
        <v>2401</v>
      </c>
      <c r="D551" s="167">
        <v>1</v>
      </c>
      <c r="E551" s="161" t="s">
        <v>2416</v>
      </c>
    </row>
    <row r="552" spans="1:5" x14ac:dyDescent="0.25">
      <c r="A552" s="162" t="s">
        <v>2698</v>
      </c>
      <c r="B552" s="162" t="str">
        <f>VLOOKUP(A552,Estimate!A:C,3,FALSE)</f>
        <v xml:space="preserve">Pavement Design </v>
      </c>
      <c r="C552" s="161" t="s">
        <v>2401</v>
      </c>
      <c r="D552" s="167">
        <v>1</v>
      </c>
      <c r="E552" s="161" t="s">
        <v>2416</v>
      </c>
    </row>
    <row r="553" spans="1:5" x14ac:dyDescent="0.25">
      <c r="A553" s="162" t="s">
        <v>2699</v>
      </c>
      <c r="B553" s="162" t="str">
        <f>VLOOKUP(A553,Estimate!A:C,3,FALSE)</f>
        <v xml:space="preserve">Excavation of Subgrade </v>
      </c>
      <c r="C553" s="161" t="s">
        <v>2401</v>
      </c>
      <c r="D553" s="167">
        <v>443.2</v>
      </c>
      <c r="E553" s="161" t="s">
        <v>86</v>
      </c>
    </row>
    <row r="554" spans="1:5" x14ac:dyDescent="0.25">
      <c r="A554" s="162" t="s">
        <v>2708</v>
      </c>
      <c r="B554" s="162" t="str">
        <f>VLOOKUP(A554,Estimate!A:C,3,FALSE)</f>
        <v>A34</v>
      </c>
      <c r="C554" s="161" t="s">
        <v>2748</v>
      </c>
      <c r="D554" s="167">
        <v>1.1000000000000001</v>
      </c>
      <c r="E554" s="161" t="s">
        <v>83</v>
      </c>
    </row>
    <row r="555" spans="1:5" x14ac:dyDescent="0.25">
      <c r="A555" s="162" t="s">
        <v>2709</v>
      </c>
      <c r="B555" s="162" t="str">
        <f>VLOOKUP(A555,Estimate!A:C,3,FALSE)</f>
        <v>Labour</v>
      </c>
      <c r="C555" s="161" t="s">
        <v>2021</v>
      </c>
      <c r="D555" s="167">
        <v>570</v>
      </c>
      <c r="E555" s="161" t="s">
        <v>48</v>
      </c>
    </row>
    <row r="556" spans="1:5" x14ac:dyDescent="0.25">
      <c r="A556" s="162" t="s">
        <v>2700</v>
      </c>
      <c r="B556" s="162" t="str">
        <f>VLOOKUP(A556,Estimate!A:C,3,FALSE)</f>
        <v>Excavator - 25T</v>
      </c>
      <c r="C556" s="161" t="s">
        <v>2021</v>
      </c>
      <c r="D556" s="167">
        <v>30</v>
      </c>
      <c r="E556" s="161" t="s">
        <v>48</v>
      </c>
    </row>
    <row r="557" spans="1:5" x14ac:dyDescent="0.25">
      <c r="A557" s="162" t="s">
        <v>2701</v>
      </c>
      <c r="B557" s="162" t="str">
        <f>VLOOKUP(A557,Estimate!A:C,3,FALSE)</f>
        <v>Truck &amp; Dog</v>
      </c>
      <c r="C557" s="161" t="s">
        <v>2748</v>
      </c>
      <c r="D557" s="167">
        <v>2</v>
      </c>
      <c r="E557" s="161" t="s">
        <v>48</v>
      </c>
    </row>
    <row r="558" spans="1:5" x14ac:dyDescent="0.25">
      <c r="A558" s="162" t="s">
        <v>2702</v>
      </c>
      <c r="B558" s="162" t="str">
        <f>VLOOKUP(A558,Estimate!A:C,3,FALSE)</f>
        <v xml:space="preserve">Win, load and import Iron stone </v>
      </c>
      <c r="C558" s="161" t="s">
        <v>2401</v>
      </c>
      <c r="D558" s="167">
        <v>378</v>
      </c>
      <c r="E558" s="161" t="s">
        <v>86</v>
      </c>
    </row>
    <row r="559" spans="1:5" x14ac:dyDescent="0.25">
      <c r="A559" s="162" t="s">
        <v>2703</v>
      </c>
      <c r="B559" s="162" t="str">
        <f>VLOOKUP(A559,Estimate!A:C,3,FALSE)</f>
        <v>Excavator - 25T</v>
      </c>
      <c r="C559" s="161" t="s">
        <v>2021</v>
      </c>
      <c r="D559" s="167">
        <v>40</v>
      </c>
      <c r="E559" s="161" t="s">
        <v>48</v>
      </c>
    </row>
    <row r="560" spans="1:5" x14ac:dyDescent="0.25">
      <c r="A560" s="162" t="s">
        <v>2704</v>
      </c>
      <c r="B560" s="162" t="str">
        <f>VLOOKUP(A560,Estimate!A:C,3,FALSE)</f>
        <v>Truck &amp; Dog</v>
      </c>
      <c r="C560" s="161" t="s">
        <v>2748</v>
      </c>
      <c r="D560" s="167">
        <v>4</v>
      </c>
      <c r="E560" s="161" t="s">
        <v>48</v>
      </c>
    </row>
    <row r="561" spans="1:5" x14ac:dyDescent="0.25">
      <c r="A561" s="162" t="s">
        <v>2705</v>
      </c>
      <c r="B561" s="162" t="str">
        <f>VLOOKUP(A561,Estimate!A:C,3,FALSE)</f>
        <v>Grader</v>
      </c>
      <c r="C561" s="161" t="s">
        <v>2021</v>
      </c>
      <c r="D561" s="167">
        <v>40</v>
      </c>
      <c r="E561" s="161" t="s">
        <v>48</v>
      </c>
    </row>
    <row r="562" spans="1:5" x14ac:dyDescent="0.25">
      <c r="A562" s="162" t="s">
        <v>2706</v>
      </c>
      <c r="B562" s="162" t="str">
        <f>VLOOKUP(A562,Estimate!A:C,3,FALSE)</f>
        <v>Cartage Rock - foxdale</v>
      </c>
      <c r="C562" s="161" t="s">
        <v>2401</v>
      </c>
      <c r="D562" s="167">
        <v>4</v>
      </c>
      <c r="E562" s="161" t="s">
        <v>48</v>
      </c>
    </row>
    <row r="563" spans="1:5" x14ac:dyDescent="0.25">
      <c r="A563" s="162" t="s">
        <v>2697</v>
      </c>
      <c r="B563" s="162" t="str">
        <f>VLOOKUP(A563,Estimate!A:C,3,FALSE)</f>
        <v>Replacement of AC sewer main ch 37</v>
      </c>
      <c r="C563" s="161" t="s">
        <v>2401</v>
      </c>
      <c r="D563" s="167">
        <v>1</v>
      </c>
      <c r="E563" s="161" t="s">
        <v>2416</v>
      </c>
    </row>
    <row r="564" spans="1:5" x14ac:dyDescent="0.25">
      <c r="A564" s="162" t="s">
        <v>2710</v>
      </c>
      <c r="B564" s="162" t="str">
        <f>VLOOKUP(A564,Estimate!A:C,3,FALSE)</f>
        <v xml:space="preserve">Construct Field Inlet Gully Pit Doherty Street </v>
      </c>
      <c r="C564" s="161" t="s">
        <v>2401</v>
      </c>
      <c r="D564" s="167">
        <v>1</v>
      </c>
      <c r="E564" s="161" t="s">
        <v>2416</v>
      </c>
    </row>
    <row r="565" spans="1:5" x14ac:dyDescent="0.25">
      <c r="A565" s="162" t="s">
        <v>2711</v>
      </c>
      <c r="B565" s="162" t="str">
        <f>VLOOKUP(A565,Estimate!A:C,3,FALSE)</f>
        <v xml:space="preserve">Kerb extension end of Doherty Street </v>
      </c>
      <c r="C565" s="161" t="s">
        <v>2401</v>
      </c>
      <c r="D565" s="167">
        <v>1</v>
      </c>
      <c r="E565" s="161" t="s">
        <v>2416</v>
      </c>
    </row>
    <row r="566" spans="1:5" x14ac:dyDescent="0.25">
      <c r="A566" s="162" t="s">
        <v>2712</v>
      </c>
      <c r="B566" s="162" t="str">
        <f>VLOOKUP(A566,Estimate!A:C,3,FALSE)</f>
        <v xml:space="preserve">Concrete Driveway  3 Doherty Street </v>
      </c>
      <c r="C566" s="161" t="s">
        <v>2401</v>
      </c>
      <c r="D566" s="167">
        <v>1</v>
      </c>
      <c r="E566" s="161" t="s">
        <v>2416</v>
      </c>
    </row>
    <row r="567" spans="1:5" x14ac:dyDescent="0.25">
      <c r="A567" s="162" t="s">
        <v>2713</v>
      </c>
      <c r="B567" s="162" t="str">
        <f>VLOOKUP(A567,Estimate!A:C,3,FALSE)</f>
        <v>Excavator - 25T</v>
      </c>
      <c r="C567" s="161" t="s">
        <v>2021</v>
      </c>
      <c r="D567" s="167">
        <v>3</v>
      </c>
      <c r="E567" s="161" t="s">
        <v>48</v>
      </c>
    </row>
    <row r="568" spans="1:5" x14ac:dyDescent="0.25">
      <c r="A568" s="162" t="s">
        <v>2714</v>
      </c>
      <c r="B568" s="162" t="str">
        <f>VLOOKUP(A568,Estimate!A:C,3,FALSE)</f>
        <v xml:space="preserve">Doherty Street  - Hydromulch 1000m2 </v>
      </c>
      <c r="C568" s="161" t="s">
        <v>2401</v>
      </c>
      <c r="D568" s="167">
        <v>1</v>
      </c>
      <c r="E568" s="161" t="s">
        <v>2593</v>
      </c>
    </row>
    <row r="569" spans="1:5" x14ac:dyDescent="0.25">
      <c r="A569" s="162" t="s">
        <v>2707</v>
      </c>
      <c r="B569" s="162" t="str">
        <f>VLOOKUP(A569,Estimate!A:C,3,FALSE)</f>
        <v xml:space="preserve">Supply and lay geofabric  </v>
      </c>
      <c r="C569" s="161" t="s">
        <v>2401</v>
      </c>
      <c r="D569" s="167">
        <v>203.4</v>
      </c>
      <c r="E569" s="161" t="s">
        <v>83</v>
      </c>
    </row>
    <row r="570" spans="1:5" x14ac:dyDescent="0.25">
      <c r="A570" s="162" t="s">
        <v>2561</v>
      </c>
      <c r="B570" s="162" t="str">
        <f>VLOOKUP(A570,Estimate!A:C,3,FALSE)</f>
        <v>Dodd St - Geogrid layer</v>
      </c>
      <c r="C570" s="161" t="s">
        <v>2401</v>
      </c>
      <c r="D570" s="167">
        <v>2797</v>
      </c>
      <c r="E570" s="161" t="s">
        <v>83</v>
      </c>
    </row>
    <row r="571" spans="1:5" x14ac:dyDescent="0.25">
      <c r="A571" s="162" t="s">
        <v>2562</v>
      </c>
      <c r="B571" s="162" t="str">
        <f>VLOOKUP(A571,Estimate!A:C,3,FALSE)</f>
        <v>TX160 - Geogrid</v>
      </c>
      <c r="C571" s="161" t="s">
        <v>2748</v>
      </c>
      <c r="D571" s="167">
        <v>1.1000000000000001</v>
      </c>
      <c r="E571" s="161" t="s">
        <v>83</v>
      </c>
    </row>
    <row r="572" spans="1:5" x14ac:dyDescent="0.25">
      <c r="A572" s="162" t="s">
        <v>2563</v>
      </c>
      <c r="B572" s="162" t="str">
        <f>VLOOKUP(A572,Estimate!A:C,3,FALSE)</f>
        <v>Labour</v>
      </c>
      <c r="C572" s="161" t="s">
        <v>2021</v>
      </c>
      <c r="D572" s="167">
        <v>570</v>
      </c>
      <c r="E572" s="161" t="s">
        <v>48</v>
      </c>
    </row>
    <row r="573" spans="1:5" x14ac:dyDescent="0.25">
      <c r="A573" s="162" t="s">
        <v>2564</v>
      </c>
      <c r="B573" s="162" t="str">
        <f>VLOOKUP(A573,Estimate!A:C,3,FALSE)</f>
        <v>Dodd Street-PV02 Supply and Install  Entry pits, RCBC and  Concrete Nib Wall and Nib</v>
      </c>
      <c r="C573" s="161" t="s">
        <v>2401</v>
      </c>
      <c r="D573" s="167">
        <v>1</v>
      </c>
      <c r="E573" s="161" t="s">
        <v>2416</v>
      </c>
    </row>
    <row r="574" spans="1:5" x14ac:dyDescent="0.25">
      <c r="A574" s="162" t="s">
        <v>2565</v>
      </c>
      <c r="B574" s="162" t="str">
        <f>VLOOKUP(A574,Estimate!A:C,3,FALSE)</f>
        <v>Excavator - 25T</v>
      </c>
      <c r="C574" s="161" t="s">
        <v>2021</v>
      </c>
      <c r="D574" s="167">
        <v>2</v>
      </c>
      <c r="E574" s="161" t="s">
        <v>48</v>
      </c>
    </row>
    <row r="575" spans="1:5" x14ac:dyDescent="0.25">
      <c r="A575" s="162" t="s">
        <v>2568</v>
      </c>
      <c r="B575" s="162" t="str">
        <f>VLOOKUP(A575,Estimate!A:C,3,FALSE)</f>
        <v>Labour</v>
      </c>
      <c r="C575" s="161" t="s">
        <v>2748</v>
      </c>
      <c r="D575" s="167">
        <v>3</v>
      </c>
      <c r="E575" s="161" t="s">
        <v>48</v>
      </c>
    </row>
    <row r="576" spans="1:5" x14ac:dyDescent="0.25">
      <c r="A576" s="162" t="s">
        <v>2567</v>
      </c>
      <c r="B576" s="162" t="str">
        <f>VLOOKUP(A576,Estimate!A:C,3,FALSE)</f>
        <v>Bobcat</v>
      </c>
      <c r="C576" s="161" t="s">
        <v>2021</v>
      </c>
      <c r="D576" s="167">
        <v>3</v>
      </c>
      <c r="E576" s="161" t="s">
        <v>48</v>
      </c>
    </row>
    <row r="577" spans="1:5" x14ac:dyDescent="0.25">
      <c r="A577" s="162" t="s">
        <v>2569</v>
      </c>
      <c r="B577" s="162" t="str">
        <f>VLOOKUP(A577,Estimate!A:C,3,FALSE)</f>
        <v>Labour</v>
      </c>
      <c r="C577" s="161" t="s">
        <v>2748</v>
      </c>
      <c r="D577" s="167">
        <v>3</v>
      </c>
      <c r="E577" s="161" t="s">
        <v>48</v>
      </c>
    </row>
    <row r="578" spans="1:5" x14ac:dyDescent="0.25">
      <c r="A578" s="162" t="s">
        <v>2566</v>
      </c>
      <c r="B578" s="162" t="str">
        <f>VLOOKUP(A578,Estimate!A:C,3,FALSE)</f>
        <v>Install concrete Nib Wall and Nib</v>
      </c>
      <c r="C578" s="161" t="s">
        <v>2401</v>
      </c>
      <c r="D578" s="167">
        <v>2</v>
      </c>
      <c r="E578" s="161" t="s">
        <v>86</v>
      </c>
    </row>
    <row r="579" spans="1:5" x14ac:dyDescent="0.25">
      <c r="A579" s="162" t="s">
        <v>2570</v>
      </c>
      <c r="B579" s="162" t="str">
        <f>VLOOKUP(A579,Estimate!A:C,3,FALSE)</f>
        <v xml:space="preserve">Supply and Install 2 MCC Type A Kerb entry pits </v>
      </c>
      <c r="C579" s="161" t="s">
        <v>2401</v>
      </c>
      <c r="D579" s="167">
        <v>2</v>
      </c>
      <c r="E579" s="161" t="s">
        <v>29</v>
      </c>
    </row>
    <row r="580" spans="1:5" x14ac:dyDescent="0.25">
      <c r="A580" s="162" t="s">
        <v>2571</v>
      </c>
      <c r="B580" s="162" t="str">
        <f>VLOOKUP(A580,Estimate!A:C,3,FALSE)</f>
        <v>Dodd Street water main replacement Install new 100mm Dia DICL Watermains 3 locations</v>
      </c>
      <c r="C580" s="161" t="s">
        <v>2401</v>
      </c>
      <c r="D580" s="167">
        <v>1</v>
      </c>
      <c r="E580" s="161" t="s">
        <v>2416</v>
      </c>
    </row>
    <row r="581" spans="1:5" x14ac:dyDescent="0.25">
      <c r="A581" s="162" t="s">
        <v>2572</v>
      </c>
      <c r="B581" s="162" t="str">
        <f>VLOOKUP(A581,Estimate!A:C,3,FALSE)</f>
        <v>Water Main Dodd St /Anzac Road at CH 315</v>
      </c>
      <c r="C581" s="161" t="s">
        <v>2401</v>
      </c>
      <c r="D581" s="167">
        <v>1</v>
      </c>
      <c r="E581" s="161" t="s">
        <v>2416</v>
      </c>
    </row>
    <row r="582" spans="1:5" x14ac:dyDescent="0.25">
      <c r="A582" s="162" t="s">
        <v>2573</v>
      </c>
      <c r="B582" s="162" t="str">
        <f>VLOOKUP(A582,Estimate!A:C,3,FALSE)</f>
        <v xml:space="preserve"> Replace AC Watermain Crossing at Dodd and Phaff Street</v>
      </c>
      <c r="C582" s="161" t="s">
        <v>2401</v>
      </c>
      <c r="D582" s="167">
        <v>1</v>
      </c>
      <c r="E582" s="161" t="s">
        <v>29</v>
      </c>
    </row>
    <row r="583" spans="1:5" x14ac:dyDescent="0.25">
      <c r="A583" s="162" t="s">
        <v>2579</v>
      </c>
      <c r="B583" s="162" t="str">
        <f>VLOOKUP(A583,Estimate!A:C,3,FALSE)</f>
        <v>Dodd Street_ PV04 - Extend Deep Lift AC at Culvert Crossing Anzac Drive</v>
      </c>
      <c r="C583" s="161" t="s">
        <v>2401</v>
      </c>
      <c r="D583" s="167">
        <v>3.29</v>
      </c>
      <c r="E583" s="161" t="s">
        <v>82</v>
      </c>
    </row>
    <row r="584" spans="1:5" x14ac:dyDescent="0.25">
      <c r="A584" s="162" t="s">
        <v>2580</v>
      </c>
      <c r="B584" s="162" t="str">
        <f>VLOOKUP(A584,Estimate!A:C,3,FALSE)</f>
        <v>Dodd Street_PV05  - New Bropit and RCBC arrangement</v>
      </c>
      <c r="C584" s="161" t="s">
        <v>2401</v>
      </c>
      <c r="D584" s="167">
        <v>1</v>
      </c>
      <c r="E584" s="161" t="s">
        <v>2416</v>
      </c>
    </row>
    <row r="585" spans="1:5" x14ac:dyDescent="0.25">
      <c r="A585" s="162" t="s">
        <v>2581</v>
      </c>
      <c r="B585" s="162" t="str">
        <f>VLOOKUP(A585,Estimate!A:C,3,FALSE)</f>
        <v xml:space="preserve"> Install new Type A  MCC side entry pit, 13m  of 450 RCP  break in to existing drainage line and  install a  flush point. </v>
      </c>
      <c r="C585" s="161" t="s">
        <v>2401</v>
      </c>
      <c r="D585" s="167">
        <v>1</v>
      </c>
      <c r="E585" s="161" t="s">
        <v>2416</v>
      </c>
    </row>
    <row r="586" spans="1:5" x14ac:dyDescent="0.25">
      <c r="A586" s="162" t="s">
        <v>2582</v>
      </c>
      <c r="B586" s="162" t="str">
        <f>VLOOKUP(A586,Estimate!A:C,3,FALSE)</f>
        <v>Excavator - 25T</v>
      </c>
      <c r="C586" s="161" t="s">
        <v>2021</v>
      </c>
      <c r="D586" s="167">
        <v>1.5</v>
      </c>
      <c r="E586" s="161" t="s">
        <v>48</v>
      </c>
    </row>
    <row r="587" spans="1:5" x14ac:dyDescent="0.25">
      <c r="A587" s="162" t="s">
        <v>2583</v>
      </c>
      <c r="B587" s="162" t="str">
        <f>VLOOKUP(A587,Estimate!A:C,3,FALSE)</f>
        <v>Labour</v>
      </c>
      <c r="C587" s="161" t="s">
        <v>2748</v>
      </c>
      <c r="D587" s="167">
        <v>3</v>
      </c>
      <c r="E587" s="161" t="s">
        <v>48</v>
      </c>
    </row>
    <row r="588" spans="1:5" x14ac:dyDescent="0.25">
      <c r="A588" s="162" t="s">
        <v>2584</v>
      </c>
      <c r="B588" s="162" t="str">
        <f>VLOOKUP(A588,Estimate!A:C,3,FALSE)</f>
        <v xml:space="preserve">Installation Pram Ramps Dodd street </v>
      </c>
      <c r="C588" s="161" t="s">
        <v>2401</v>
      </c>
      <c r="D588" s="167">
        <v>1</v>
      </c>
      <c r="E588" s="161" t="s">
        <v>2416</v>
      </c>
    </row>
    <row r="589" spans="1:5" x14ac:dyDescent="0.25">
      <c r="A589" s="162" t="s">
        <v>2586</v>
      </c>
      <c r="B589" s="162" t="str">
        <f>VLOOKUP(A589,Estimate!A:C,3,FALSE)</f>
        <v xml:space="preserve">Hand placed concrete paving </v>
      </c>
      <c r="C589" s="161" t="s">
        <v>2401</v>
      </c>
      <c r="D589" s="167">
        <v>6.72</v>
      </c>
      <c r="E589" s="161">
        <v>0</v>
      </c>
    </row>
    <row r="590" spans="1:5" x14ac:dyDescent="0.25">
      <c r="A590" s="162" t="s">
        <v>2587</v>
      </c>
      <c r="B590" s="162" t="str">
        <f>VLOOKUP(A590,Estimate!A:C,3,FALSE)</f>
        <v>Excavator - 25T</v>
      </c>
      <c r="C590" s="161" t="s">
        <v>2021</v>
      </c>
      <c r="D590" s="167">
        <v>10</v>
      </c>
      <c r="E590" s="161" t="s">
        <v>48</v>
      </c>
    </row>
    <row r="591" spans="1:5" x14ac:dyDescent="0.25">
      <c r="A591" s="162" t="s">
        <v>2588</v>
      </c>
      <c r="B591" s="162" t="str">
        <f>VLOOKUP(A591,Estimate!A:C,3,FALSE)</f>
        <v>Demolition of Existing Pram Ramp</v>
      </c>
      <c r="C591" s="161" t="s">
        <v>2401</v>
      </c>
      <c r="D591" s="167">
        <v>2</v>
      </c>
      <c r="E591" s="161">
        <v>0</v>
      </c>
    </row>
    <row r="592" spans="1:5" x14ac:dyDescent="0.25">
      <c r="A592" s="162" t="s">
        <v>2589</v>
      </c>
      <c r="B592" s="162" t="str">
        <f>VLOOKUP(A592,Estimate!A:C,3,FALSE)</f>
        <v>Reinstate footpath - 2.1m x 24.1m</v>
      </c>
      <c r="C592" s="161" t="s">
        <v>2401</v>
      </c>
      <c r="D592" s="167">
        <v>50.61</v>
      </c>
      <c r="E592" s="161" t="s">
        <v>2593</v>
      </c>
    </row>
    <row r="593" spans="1:5" x14ac:dyDescent="0.25">
      <c r="A593" s="162" t="s">
        <v>2590</v>
      </c>
      <c r="B593" s="162" t="str">
        <f>VLOOKUP(A593,Estimate!A:C,3,FALSE)</f>
        <v>Excavator - 25T</v>
      </c>
      <c r="C593" s="161" t="s">
        <v>2021</v>
      </c>
      <c r="D593" s="167">
        <v>10</v>
      </c>
      <c r="E593" s="161" t="s">
        <v>48</v>
      </c>
    </row>
    <row r="594" spans="1:5" x14ac:dyDescent="0.25">
      <c r="A594" s="162" t="s">
        <v>2591</v>
      </c>
      <c r="B594" s="162" t="str">
        <f>VLOOKUP(A594,Estimate!A:C,3,FALSE)</f>
        <v>Hand placed kerb - 17m</v>
      </c>
      <c r="C594" s="161" t="s">
        <v>2401</v>
      </c>
      <c r="D594" s="167">
        <v>17</v>
      </c>
      <c r="E594" s="161" t="s">
        <v>2594</v>
      </c>
    </row>
    <row r="595" spans="1:5" x14ac:dyDescent="0.25">
      <c r="A595" s="162" t="s">
        <v>2595</v>
      </c>
      <c r="B595" s="162" t="str">
        <f>VLOOKUP(A595,Estimate!A:C,3,FALSE)</f>
        <v>Excavator - 25T</v>
      </c>
      <c r="C595" s="161" t="s">
        <v>2021</v>
      </c>
      <c r="D595" s="167">
        <v>10</v>
      </c>
      <c r="E595" s="161" t="s">
        <v>48</v>
      </c>
    </row>
    <row r="596" spans="1:5" x14ac:dyDescent="0.25">
      <c r="A596" s="162" t="s">
        <v>2596</v>
      </c>
      <c r="B596" s="162" t="str">
        <f>VLOOKUP(A596,Estimate!A:C,3,FALSE)</f>
        <v>Dodd Street - Water main Protection Lurline Street  -  works completed formal vairation to be provided Refer to email 2 May sent</v>
      </c>
      <c r="C596" s="161" t="s">
        <v>2401</v>
      </c>
      <c r="D596" s="167">
        <v>11.6</v>
      </c>
      <c r="E596" s="161" t="s">
        <v>86</v>
      </c>
    </row>
    <row r="597" spans="1:5" x14ac:dyDescent="0.25">
      <c r="A597" s="162" t="s">
        <v>2597</v>
      </c>
      <c r="B597" s="162" t="str">
        <f>VLOOKUP(A597,Estimate!A:C,3,FALSE)</f>
        <v xml:space="preserve">Vairation to design levels  mismatch to road surface  -  44m Lurline Street to match levels to existing road surface. </v>
      </c>
      <c r="C597" s="161" t="s">
        <v>2401</v>
      </c>
      <c r="D597" s="167">
        <v>1</v>
      </c>
      <c r="E597" s="161" t="s">
        <v>48</v>
      </c>
    </row>
    <row r="598" spans="1:5" x14ac:dyDescent="0.25">
      <c r="A598" s="162" t="s">
        <v>2717</v>
      </c>
      <c r="B598" s="162" t="str">
        <f>VLOOKUP(A598,Estimate!A:C,3,FALSE)</f>
        <v>Remove and Replace Unsuitable Subgrade Faust Street</v>
      </c>
      <c r="C598" s="161" t="s">
        <v>2401</v>
      </c>
      <c r="D598" s="167">
        <v>1</v>
      </c>
      <c r="E598" s="161" t="s">
        <v>2416</v>
      </c>
    </row>
    <row r="599" spans="1:5" x14ac:dyDescent="0.25">
      <c r="A599" s="162" t="s">
        <v>2718</v>
      </c>
      <c r="B599" s="162" t="str">
        <f>VLOOKUP(A599,Estimate!A:C,3,FALSE)</f>
        <v xml:space="preserve">Excavation of Subgrade </v>
      </c>
      <c r="C599" s="161" t="s">
        <v>2401</v>
      </c>
      <c r="D599" s="167">
        <v>295.39999999999998</v>
      </c>
      <c r="E599" s="161" t="s">
        <v>86</v>
      </c>
    </row>
    <row r="600" spans="1:5" x14ac:dyDescent="0.25">
      <c r="A600" s="162" t="s">
        <v>2727</v>
      </c>
      <c r="B600" s="162" t="str">
        <f>VLOOKUP(A600,Estimate!A:C,3,FALSE)</f>
        <v>Labour</v>
      </c>
      <c r="C600" s="161" t="s">
        <v>2021</v>
      </c>
      <c r="D600" s="167">
        <v>570</v>
      </c>
      <c r="E600" s="161" t="s">
        <v>48</v>
      </c>
    </row>
    <row r="601" spans="1:5" x14ac:dyDescent="0.25">
      <c r="A601" s="162" t="s">
        <v>2728</v>
      </c>
      <c r="B601" s="162" t="str">
        <f>VLOOKUP(A601,Estimate!A:C,3,FALSE)</f>
        <v>Cartage Rock - Foxdale</v>
      </c>
      <c r="C601" s="161" t="s">
        <v>2401</v>
      </c>
      <c r="D601" s="167">
        <v>3</v>
      </c>
      <c r="E601" s="161" t="s">
        <v>48</v>
      </c>
    </row>
    <row r="602" spans="1:5" x14ac:dyDescent="0.25">
      <c r="A602" s="162" t="s">
        <v>2729</v>
      </c>
      <c r="B602" s="162" t="str">
        <f>VLOOKUP(A602,Estimate!A:C,3,FALSE)</f>
        <v xml:space="preserve">Replace Unsuitable with select material </v>
      </c>
      <c r="C602" s="161" t="s">
        <v>2401</v>
      </c>
      <c r="D602" s="167">
        <v>295.39999999999998</v>
      </c>
      <c r="E602" s="161" t="s">
        <v>86</v>
      </c>
    </row>
    <row r="603" spans="1:5" x14ac:dyDescent="0.25">
      <c r="A603" s="162" t="s">
        <v>2730</v>
      </c>
      <c r="B603" s="162" t="str">
        <f>VLOOKUP(A603,Estimate!A:C,3,FALSE)</f>
        <v>Grader</v>
      </c>
      <c r="C603" s="161" t="s">
        <v>2021</v>
      </c>
      <c r="D603" s="167">
        <v>40</v>
      </c>
      <c r="E603" s="161" t="s">
        <v>48</v>
      </c>
    </row>
    <row r="604" spans="1:5" x14ac:dyDescent="0.25">
      <c r="A604" s="162" t="s">
        <v>2719</v>
      </c>
      <c r="B604" s="162" t="str">
        <f>VLOOKUP(A604,Estimate!A:C,3,FALSE)</f>
        <v>Excavator - 25T</v>
      </c>
      <c r="C604" s="161" t="s">
        <v>2021</v>
      </c>
      <c r="D604" s="167">
        <v>30</v>
      </c>
      <c r="E604" s="161" t="s">
        <v>48</v>
      </c>
    </row>
    <row r="605" spans="1:5" x14ac:dyDescent="0.25">
      <c r="A605" s="162" t="s">
        <v>2720</v>
      </c>
      <c r="B605" s="162" t="str">
        <f>VLOOKUP(A605,Estimate!A:C,3,FALSE)</f>
        <v>Truck &amp; Dog</v>
      </c>
      <c r="C605" s="161" t="s">
        <v>2748</v>
      </c>
      <c r="D605" s="167">
        <v>2</v>
      </c>
      <c r="E605" s="161" t="s">
        <v>48</v>
      </c>
    </row>
    <row r="606" spans="1:5" x14ac:dyDescent="0.25">
      <c r="A606" s="162" t="s">
        <v>2721</v>
      </c>
      <c r="B606" s="162" t="str">
        <f>VLOOKUP(A606,Estimate!A:C,3,FALSE)</f>
        <v xml:space="preserve">Win,load and Import Iron Stone </v>
      </c>
      <c r="C606" s="161" t="s">
        <v>2401</v>
      </c>
      <c r="D606" s="167">
        <v>183.6</v>
      </c>
      <c r="E606" s="161" t="s">
        <v>86</v>
      </c>
    </row>
    <row r="607" spans="1:5" x14ac:dyDescent="0.25">
      <c r="A607" s="162" t="s">
        <v>2722</v>
      </c>
      <c r="B607" s="162" t="str">
        <f>VLOOKUP(A607,Estimate!A:C,3,FALSE)</f>
        <v>Excavator - 25T</v>
      </c>
      <c r="C607" s="161" t="s">
        <v>2021</v>
      </c>
      <c r="D607" s="167">
        <v>40</v>
      </c>
      <c r="E607" s="161" t="s">
        <v>48</v>
      </c>
    </row>
    <row r="608" spans="1:5" x14ac:dyDescent="0.25">
      <c r="A608" s="162" t="s">
        <v>2723</v>
      </c>
      <c r="B608" s="162" t="str">
        <f>VLOOKUP(A608,Estimate!A:C,3,FALSE)</f>
        <v>Truck &amp; Dog</v>
      </c>
      <c r="C608" s="161" t="s">
        <v>2748</v>
      </c>
      <c r="D608" s="167">
        <v>4</v>
      </c>
      <c r="E608" s="161" t="s">
        <v>48</v>
      </c>
    </row>
    <row r="609" spans="1:5" x14ac:dyDescent="0.25">
      <c r="A609" s="162" t="s">
        <v>2724</v>
      </c>
      <c r="B609" s="162" t="str">
        <f>VLOOKUP(A609,Estimate!A:C,3,FALSE)</f>
        <v>Supply Gabion Rock  - Foxdale</v>
      </c>
      <c r="C609" s="161" t="s">
        <v>2401</v>
      </c>
      <c r="D609" s="167">
        <v>43.52</v>
      </c>
      <c r="E609" s="161" t="s">
        <v>82</v>
      </c>
    </row>
    <row r="610" spans="1:5" x14ac:dyDescent="0.25">
      <c r="A610" s="162" t="s">
        <v>2725</v>
      </c>
      <c r="B610" s="162" t="str">
        <f>VLOOKUP(A610,Estimate!A:C,3,FALSE)</f>
        <v xml:space="preserve">Supply of geofabric - rockmattress </v>
      </c>
      <c r="C610" s="161" t="s">
        <v>2401</v>
      </c>
      <c r="D610" s="167">
        <v>125.8</v>
      </c>
      <c r="E610" s="161" t="s">
        <v>83</v>
      </c>
    </row>
    <row r="611" spans="1:5" x14ac:dyDescent="0.25">
      <c r="A611" s="162" t="s">
        <v>2726</v>
      </c>
      <c r="B611" s="162" t="str">
        <f>VLOOKUP(A611,Estimate!A:C,3,FALSE)</f>
        <v>A34</v>
      </c>
      <c r="C611" s="161" t="s">
        <v>2748</v>
      </c>
      <c r="D611" s="167">
        <v>1.1000000000000001</v>
      </c>
      <c r="E611" s="161" t="s">
        <v>83</v>
      </c>
    </row>
    <row r="612" spans="1:5" x14ac:dyDescent="0.25">
      <c r="A612" s="162" t="s">
        <v>2737</v>
      </c>
      <c r="B612" s="162" t="str">
        <f>VLOOKUP(A612,Estimate!A:C,3,FALSE)</f>
        <v xml:space="preserve">Excavation of unsuitable subgrade </v>
      </c>
      <c r="C612" s="161" t="s">
        <v>2401</v>
      </c>
      <c r="D612" s="167">
        <v>161</v>
      </c>
      <c r="E612" s="161" t="s">
        <v>2548</v>
      </c>
    </row>
    <row r="613" spans="1:5" x14ac:dyDescent="0.25">
      <c r="A613" s="162" t="s">
        <v>2738</v>
      </c>
      <c r="B613" s="162" t="str">
        <f>VLOOKUP(A613,Estimate!A:C,3,FALSE)</f>
        <v>Excavator - 25T</v>
      </c>
      <c r="C613" s="161" t="s">
        <v>2021</v>
      </c>
      <c r="D613" s="167">
        <v>30</v>
      </c>
      <c r="E613" s="161" t="s">
        <v>48</v>
      </c>
    </row>
    <row r="614" spans="1:5" x14ac:dyDescent="0.25">
      <c r="A614" s="162" t="s">
        <v>2739</v>
      </c>
      <c r="B614" s="162" t="str">
        <f>VLOOKUP(A614,Estimate!A:C,3,FALSE)</f>
        <v>Truck &amp; Dog</v>
      </c>
      <c r="C614" s="161" t="s">
        <v>2748</v>
      </c>
      <c r="D614" s="167">
        <v>2</v>
      </c>
      <c r="E614" s="161" t="s">
        <v>48</v>
      </c>
    </row>
    <row r="615" spans="1:5" x14ac:dyDescent="0.25">
      <c r="A615" s="162" t="s">
        <v>2740</v>
      </c>
      <c r="B615" s="162" t="str">
        <f>VLOOKUP(A615,Estimate!A:C,3,FALSE)</f>
        <v>Grader</v>
      </c>
      <c r="C615" s="161" t="s">
        <v>2021</v>
      </c>
      <c r="D615" s="167">
        <v>40</v>
      </c>
      <c r="E615" s="161" t="s">
        <v>48</v>
      </c>
    </row>
    <row r="616" spans="1:5" x14ac:dyDescent="0.25">
      <c r="A616" s="162" t="s">
        <v>2742</v>
      </c>
      <c r="B616" s="162" t="str">
        <f>VLOOKUP(A616,Estimate!A:C,3,FALSE)</f>
        <v>Additional Asphalt for Variation  Faust _PV01</v>
      </c>
      <c r="C616" s="161" t="s">
        <v>2401</v>
      </c>
      <c r="D616" s="167">
        <v>15.45</v>
      </c>
      <c r="E616" s="161" t="s">
        <v>82</v>
      </c>
    </row>
    <row r="617" spans="1:5" x14ac:dyDescent="0.25">
      <c r="A617" s="162" t="s">
        <v>2731</v>
      </c>
      <c r="B617" s="162" t="str">
        <f>VLOOKUP(A617,Estimate!A:C,3,FALSE)</f>
        <v xml:space="preserve">Additional Testing Requirements </v>
      </c>
      <c r="C617" s="161" t="s">
        <v>2401</v>
      </c>
      <c r="D617" s="167">
        <v>1</v>
      </c>
      <c r="E617" s="161" t="s">
        <v>2416</v>
      </c>
    </row>
    <row r="618" spans="1:5" x14ac:dyDescent="0.25">
      <c r="A618" s="162" t="s">
        <v>2733</v>
      </c>
      <c r="B618" s="162" t="str">
        <f>VLOOKUP(A618,Estimate!A:C,3,FALSE)</f>
        <v xml:space="preserve">Blend Iron stone with 1% cement to stockpile </v>
      </c>
      <c r="C618" s="161" t="s">
        <v>2401</v>
      </c>
      <c r="D618" s="167">
        <v>45</v>
      </c>
      <c r="E618" s="161" t="s">
        <v>2548</v>
      </c>
    </row>
    <row r="619" spans="1:5" x14ac:dyDescent="0.25">
      <c r="A619" s="162" t="s">
        <v>2734</v>
      </c>
      <c r="B619" s="162" t="str">
        <f>VLOOKUP(A619,Estimate!A:C,3,FALSE)</f>
        <v>Excavator - 25T</v>
      </c>
      <c r="C619" s="161" t="s">
        <v>2021</v>
      </c>
      <c r="D619" s="167">
        <v>40</v>
      </c>
      <c r="E619" s="161" t="s">
        <v>48</v>
      </c>
    </row>
    <row r="620" spans="1:5" x14ac:dyDescent="0.25">
      <c r="A620" s="162" t="s">
        <v>2735</v>
      </c>
      <c r="B620" s="162" t="str">
        <f>VLOOKUP(A620,Estimate!A:C,3,FALSE)</f>
        <v>Tipper</v>
      </c>
      <c r="C620" s="161" t="s">
        <v>2748</v>
      </c>
      <c r="D620" s="167">
        <v>4</v>
      </c>
      <c r="E620" s="161" t="s">
        <v>48</v>
      </c>
    </row>
    <row r="621" spans="1:5" x14ac:dyDescent="0.25">
      <c r="A621" s="162" t="s">
        <v>2744</v>
      </c>
      <c r="B621" s="162" t="str">
        <f>VLOOKUP(A621,Estimate!A:C,3,FALSE)</f>
        <v xml:space="preserve">Faust Street  - Service Crossing </v>
      </c>
      <c r="C621" s="161" t="s">
        <v>2401</v>
      </c>
      <c r="D621" s="167">
        <v>1</v>
      </c>
      <c r="E621" s="161" t="s">
        <v>2416</v>
      </c>
    </row>
    <row r="622" spans="1:5" x14ac:dyDescent="0.25">
      <c r="A622" s="162" t="s">
        <v>2741</v>
      </c>
      <c r="B622" s="162" t="str">
        <f>VLOOKUP(A622,Estimate!A:C,3,FALSE)</f>
        <v xml:space="preserve">Faust Street drw FSC 04 extra over the BOQ </v>
      </c>
      <c r="C622" s="161" t="s">
        <v>2401</v>
      </c>
      <c r="D622" s="167">
        <v>1</v>
      </c>
      <c r="E622" s="161" t="s">
        <v>2416</v>
      </c>
    </row>
    <row r="623" spans="1:5" x14ac:dyDescent="0.25">
      <c r="A623" s="162" t="s">
        <v>2549</v>
      </c>
      <c r="B623" s="162" t="str">
        <f>VLOOKUP(A623,Estimate!A:C,3,FALSE)</f>
        <v>Jupp Street Geotextile wrapping around no fines concrete</v>
      </c>
      <c r="C623" s="161" t="s">
        <v>2401</v>
      </c>
      <c r="D623" s="167">
        <v>242</v>
      </c>
      <c r="E623" s="161" t="s">
        <v>89</v>
      </c>
    </row>
    <row r="624" spans="1:5" x14ac:dyDescent="0.25">
      <c r="A624" s="162" t="s">
        <v>2550</v>
      </c>
      <c r="B624" s="162" t="str">
        <f>VLOOKUP(A624,Estimate!A:C,3,FALSE)</f>
        <v>Labour</v>
      </c>
      <c r="C624" s="161" t="s">
        <v>2021</v>
      </c>
      <c r="D624" s="167">
        <v>175</v>
      </c>
      <c r="E624" s="161" t="s">
        <v>48</v>
      </c>
    </row>
    <row r="625" spans="1:5" x14ac:dyDescent="0.25">
      <c r="A625" s="162" t="s">
        <v>2551</v>
      </c>
      <c r="B625" s="162" t="str">
        <f>VLOOKUP(A625,Estimate!A:C,3,FALSE)</f>
        <v>Jupp_PV02  -  Boundary Pits &amp; Pipes</v>
      </c>
      <c r="C625" s="161" t="s">
        <v>2401</v>
      </c>
      <c r="D625" s="167">
        <v>1</v>
      </c>
      <c r="E625" s="161" t="s">
        <v>29</v>
      </c>
    </row>
    <row r="626" spans="1:5" x14ac:dyDescent="0.25">
      <c r="A626" s="162" t="s">
        <v>2552</v>
      </c>
      <c r="B626" s="162" t="str">
        <f>VLOOKUP(A626,Estimate!A:C,3,FALSE)</f>
        <v>Jupp St - Haul &amp; Place Type 2.3 gravel</v>
      </c>
      <c r="C626" s="161" t="s">
        <v>2401</v>
      </c>
      <c r="D626" s="167">
        <v>40</v>
      </c>
      <c r="E626" s="161" t="s">
        <v>86</v>
      </c>
    </row>
    <row r="627" spans="1:5" x14ac:dyDescent="0.25">
      <c r="A627" s="162" t="s">
        <v>2553</v>
      </c>
      <c r="B627" s="162" t="str">
        <f>VLOOKUP(A627,Estimate!A:C,3,FALSE)</f>
        <v>QTY*2.4 Tonnes Gravel</v>
      </c>
      <c r="C627" s="161" t="s">
        <v>2748</v>
      </c>
      <c r="D627" s="167">
        <v>2.4</v>
      </c>
      <c r="E627" s="161">
        <v>0</v>
      </c>
    </row>
    <row r="628" spans="1:5" x14ac:dyDescent="0.25">
      <c r="A628" s="162" t="s">
        <v>2554</v>
      </c>
      <c r="B628" s="162" t="str">
        <f>VLOOKUP(A628,Estimate!A:C,3,FALSE)</f>
        <v>Grader</v>
      </c>
      <c r="C628" s="161" t="s">
        <v>2021</v>
      </c>
      <c r="D628" s="167">
        <v>44.44</v>
      </c>
      <c r="E628" s="161" t="s">
        <v>48</v>
      </c>
    </row>
    <row r="629" spans="1:5" x14ac:dyDescent="0.25">
      <c r="A629" s="162" t="s">
        <v>2556</v>
      </c>
      <c r="B629" s="162" t="str">
        <f>VLOOKUP(A629,Estimate!A:C,3,FALSE)</f>
        <v xml:space="preserve"> Jupp St_PV03 - Replace AC watermain crossing at Jupp and Anzac Rd</v>
      </c>
      <c r="C629" s="161" t="s">
        <v>2401</v>
      </c>
      <c r="D629" s="167">
        <v>1</v>
      </c>
      <c r="E629" s="161" t="s">
        <v>2416</v>
      </c>
    </row>
    <row r="630" spans="1:5" x14ac:dyDescent="0.25">
      <c r="A630" s="162" t="s">
        <v>2557</v>
      </c>
      <c r="B630" s="162" t="str">
        <f>VLOOKUP(A630,Estimate!A:C,3,FALSE)</f>
        <v xml:space="preserve">Jupp_PV04 - Extend Kerb &amp; Channel On Anzac Road </v>
      </c>
      <c r="C630" s="161" t="s">
        <v>2401</v>
      </c>
      <c r="D630" s="167">
        <v>1</v>
      </c>
      <c r="E630" s="161" t="s">
        <v>2416</v>
      </c>
    </row>
    <row r="631" spans="1:5" x14ac:dyDescent="0.25">
      <c r="A631" s="162" t="s">
        <v>2559</v>
      </c>
      <c r="B631" s="162" t="str">
        <f>VLOOKUP(A631,Estimate!A:C,3,FALSE)</f>
        <v>Jupp_PV05 - Extend Kerb &amp; Channel on Phaff Street</v>
      </c>
      <c r="C631" s="161" t="s">
        <v>2401</v>
      </c>
      <c r="D631" s="167">
        <v>1</v>
      </c>
      <c r="E631" s="161" t="s">
        <v>2416</v>
      </c>
    </row>
    <row r="632" spans="1:5" x14ac:dyDescent="0.25">
      <c r="A632" s="162" t="s">
        <v>2560</v>
      </c>
      <c r="B632" s="162" t="str">
        <f>VLOOKUP(A632,Estimate!A:C,3,FALSE)</f>
        <v>Plumber</v>
      </c>
      <c r="C632" s="161" t="s">
        <v>2021</v>
      </c>
      <c r="D632" s="167">
        <v>0.5</v>
      </c>
      <c r="E632" s="161" t="s">
        <v>48</v>
      </c>
    </row>
    <row r="633" spans="1:5" x14ac:dyDescent="0.25">
      <c r="A633" s="162" t="s">
        <v>2619</v>
      </c>
      <c r="B633" s="162" t="str">
        <f>VLOOKUP(A633,Estimate!A:C,3,FALSE)</f>
        <v>Sterry_PV01 Sterry Street - Chapman Street Works</v>
      </c>
      <c r="C633" s="161" t="s">
        <v>2401</v>
      </c>
      <c r="D633" s="167">
        <v>1</v>
      </c>
      <c r="E633" s="161" t="s">
        <v>2416</v>
      </c>
    </row>
    <row r="634" spans="1:5" x14ac:dyDescent="0.25">
      <c r="A634" s="162" t="s">
        <v>2622</v>
      </c>
      <c r="B634" s="162" t="str">
        <f>VLOOKUP(A634,Estimate!A:C,3,FALSE)</f>
        <v xml:space="preserve">Kerb and Channel B1 </v>
      </c>
      <c r="C634" s="161" t="s">
        <v>2401</v>
      </c>
      <c r="D634" s="167">
        <v>66.400000000000006</v>
      </c>
      <c r="E634" s="161" t="s">
        <v>89</v>
      </c>
    </row>
    <row r="635" spans="1:5" x14ac:dyDescent="0.25">
      <c r="A635" s="162" t="s">
        <v>2621</v>
      </c>
      <c r="B635" s="162" t="str">
        <f>VLOOKUP(A635,Estimate!A:C,3,FALSE)</f>
        <v xml:space="preserve">Concrete Trench  Works </v>
      </c>
      <c r="C635" s="161" t="s">
        <v>2401</v>
      </c>
      <c r="D635" s="167">
        <v>70</v>
      </c>
      <c r="E635" s="161" t="s">
        <v>86</v>
      </c>
    </row>
    <row r="636" spans="1:5" x14ac:dyDescent="0.25">
      <c r="A636" s="162" t="s">
        <v>2623</v>
      </c>
      <c r="B636" s="162" t="str">
        <f>VLOOKUP(A636,Estimate!A:C,3,FALSE)</f>
        <v>Asphalt Works to Chaptman Street</v>
      </c>
      <c r="C636" s="161" t="s">
        <v>2401</v>
      </c>
      <c r="D636" s="167">
        <v>81</v>
      </c>
      <c r="E636" s="161" t="s">
        <v>82</v>
      </c>
    </row>
    <row r="637" spans="1:5" x14ac:dyDescent="0.25">
      <c r="A637" s="162" t="s">
        <v>2624</v>
      </c>
      <c r="B637" s="162" t="str">
        <f>VLOOKUP(A637,Estimate!A:C,3,FALSE)</f>
        <v>Property Connection and  Kerb Adaptor  Chaptman  street</v>
      </c>
      <c r="C637" s="161" t="s">
        <v>2401</v>
      </c>
      <c r="D637" s="167">
        <v>2</v>
      </c>
      <c r="E637" s="161" t="s">
        <v>29</v>
      </c>
    </row>
    <row r="638" spans="1:5" x14ac:dyDescent="0.25">
      <c r="A638" s="162" t="s">
        <v>2625</v>
      </c>
      <c r="B638" s="162" t="str">
        <f>VLOOKUP(A638,Estimate!A:C,3,FALSE)</f>
        <v>Plumber</v>
      </c>
      <c r="C638" s="161" t="s">
        <v>2021</v>
      </c>
      <c r="D638" s="167">
        <v>0.5</v>
      </c>
      <c r="E638" s="161" t="s">
        <v>48</v>
      </c>
    </row>
    <row r="639" spans="1:5" x14ac:dyDescent="0.25">
      <c r="A639" s="162" t="s">
        <v>2626</v>
      </c>
      <c r="B639" s="162" t="str">
        <f>VLOOKUP(A639,Estimate!A:C,3,FALSE)</f>
        <v xml:space="preserve">Install driveways  chapman street </v>
      </c>
      <c r="C639" s="161" t="s">
        <v>2401</v>
      </c>
      <c r="D639" s="167">
        <v>2</v>
      </c>
      <c r="E639" s="161" t="s">
        <v>2416</v>
      </c>
    </row>
    <row r="640" spans="1:5" x14ac:dyDescent="0.25">
      <c r="A640" s="162" t="s">
        <v>2627</v>
      </c>
      <c r="B640" s="162" t="str">
        <f>VLOOKUP(A640,Estimate!A:C,3,FALSE)</f>
        <v>Excavator - 25T</v>
      </c>
      <c r="C640" s="161" t="s">
        <v>2021</v>
      </c>
      <c r="D640" s="167">
        <v>3</v>
      </c>
      <c r="E640" s="161" t="s">
        <v>48</v>
      </c>
    </row>
    <row r="641" spans="1:5" x14ac:dyDescent="0.25">
      <c r="A641" s="162" t="s">
        <v>2628</v>
      </c>
      <c r="B641" s="162" t="str">
        <f>VLOOKUP(A641,Estimate!A:C,3,FALSE)</f>
        <v xml:space="preserve">Line marking - Remark pavement marks  -  bus parking area </v>
      </c>
      <c r="C641" s="161" t="s">
        <v>2401</v>
      </c>
      <c r="D641" s="167">
        <v>80</v>
      </c>
      <c r="E641" s="161" t="s">
        <v>89</v>
      </c>
    </row>
    <row r="642" spans="1:5" x14ac:dyDescent="0.25">
      <c r="A642" s="162" t="s">
        <v>2629</v>
      </c>
      <c r="B642" s="162" t="str">
        <f>VLOOKUP(A642,Estimate!A:C,3,FALSE)</f>
        <v xml:space="preserve">Primer Seal </v>
      </c>
      <c r="C642" s="161" t="s">
        <v>2401</v>
      </c>
      <c r="D642" s="167">
        <v>130</v>
      </c>
      <c r="E642" s="161" t="s">
        <v>83</v>
      </c>
    </row>
    <row r="643" spans="1:5" x14ac:dyDescent="0.25">
      <c r="A643" s="162" t="s">
        <v>2632</v>
      </c>
      <c r="B643" s="162" t="str">
        <f>VLOOKUP(A643,Estimate!A:C,3,FALSE)</f>
        <v xml:space="preserve">Area1 and Area 2  Sterry Street  -  Rock mattress, 2  layers of Geogrid and, geofabric </v>
      </c>
      <c r="C643" s="161" t="s">
        <v>2401</v>
      </c>
      <c r="D643" s="167">
        <v>1</v>
      </c>
      <c r="E643" s="161" t="s">
        <v>2416</v>
      </c>
    </row>
    <row r="644" spans="1:5" x14ac:dyDescent="0.25">
      <c r="A644" s="162" t="s">
        <v>2633</v>
      </c>
      <c r="B644" s="162" t="str">
        <f>VLOOKUP(A644,Estimate!A:C,3,FALSE)</f>
        <v xml:space="preserve"> PV02  - Directed on the 27 April 2012  to excavate and remove one layer tensar grid. Ch 50 - Ch 60 LHS </v>
      </c>
      <c r="C644" s="161" t="s">
        <v>2401</v>
      </c>
      <c r="D644" s="167">
        <v>1</v>
      </c>
      <c r="E644" s="161" t="s">
        <v>2416</v>
      </c>
    </row>
    <row r="645" spans="1:5" x14ac:dyDescent="0.25">
      <c r="A645" s="162" t="s">
        <v>2642</v>
      </c>
      <c r="B645" s="162" t="str">
        <f>VLOOKUP(A645,Estimate!A:C,3,FALSE)</f>
        <v>Truck &amp; Dog</v>
      </c>
      <c r="C645" s="161" t="s">
        <v>2748</v>
      </c>
      <c r="D645" s="167">
        <v>2</v>
      </c>
      <c r="E645" s="161" t="s">
        <v>48</v>
      </c>
    </row>
    <row r="646" spans="1:5" x14ac:dyDescent="0.25">
      <c r="A646" s="162" t="s">
        <v>2643</v>
      </c>
      <c r="B646" s="162" t="str">
        <f>VLOOKUP(A646,Estimate!A:C,3,FALSE)</f>
        <v>Area 1 Replace unsuitable material with select material complete 400mm depth</v>
      </c>
      <c r="C646" s="161" t="s">
        <v>2401</v>
      </c>
      <c r="D646" s="167">
        <v>940</v>
      </c>
      <c r="E646" s="161" t="s">
        <v>86</v>
      </c>
    </row>
    <row r="647" spans="1:5" x14ac:dyDescent="0.25">
      <c r="A647" s="162" t="s">
        <v>2644</v>
      </c>
      <c r="B647" s="162" t="str">
        <f>VLOOKUP(A647,Estimate!A:C,3,FALSE)</f>
        <v>Grader</v>
      </c>
      <c r="C647" s="161" t="s">
        <v>2021</v>
      </c>
      <c r="D647" s="167">
        <v>40</v>
      </c>
      <c r="E647" s="161" t="s">
        <v>48</v>
      </c>
    </row>
    <row r="648" spans="1:5" x14ac:dyDescent="0.25">
      <c r="A648" s="162" t="s">
        <v>2645</v>
      </c>
      <c r="B648" s="162" t="str">
        <f>VLOOKUP(A648,Estimate!A:C,3,FALSE)</f>
        <v xml:space="preserve">Area 1 Supply and install 2 Layer Geogrid tensar TX160 Top layers only </v>
      </c>
      <c r="C648" s="161" t="s">
        <v>2401</v>
      </c>
      <c r="D648" s="167">
        <v>5372.6</v>
      </c>
      <c r="E648" s="161" t="s">
        <v>83</v>
      </c>
    </row>
    <row r="649" spans="1:5" x14ac:dyDescent="0.25">
      <c r="A649" s="162" t="s">
        <v>2646</v>
      </c>
      <c r="B649" s="162" t="str">
        <f>VLOOKUP(A649,Estimate!A:C,3,FALSE)</f>
        <v>TX160 - Geogrid</v>
      </c>
      <c r="C649" s="161" t="s">
        <v>2748</v>
      </c>
      <c r="D649" s="167">
        <v>1.1000000000000001</v>
      </c>
      <c r="E649" s="161" t="s">
        <v>83</v>
      </c>
    </row>
    <row r="650" spans="1:5" x14ac:dyDescent="0.25">
      <c r="A650" s="162" t="s">
        <v>2647</v>
      </c>
      <c r="B650" s="162" t="str">
        <f>VLOOKUP(A650,Estimate!A:C,3,FALSE)</f>
        <v>Labour</v>
      </c>
      <c r="C650" s="161" t="s">
        <v>2021</v>
      </c>
      <c r="D650" s="167">
        <v>570</v>
      </c>
      <c r="E650" s="161" t="s">
        <v>48</v>
      </c>
    </row>
    <row r="651" spans="1:5" x14ac:dyDescent="0.25">
      <c r="A651" s="162" t="s">
        <v>2648</v>
      </c>
      <c r="B651" s="162" t="str">
        <f>VLOOKUP(A651,Estimate!A:C,3,FALSE)</f>
        <v xml:space="preserve">Area 1 Supply and install Geofabric Top and side of mattress only </v>
      </c>
      <c r="C651" s="161" t="s">
        <v>2401</v>
      </c>
      <c r="D651" s="167">
        <v>3054</v>
      </c>
      <c r="E651" s="161" t="s">
        <v>83</v>
      </c>
    </row>
    <row r="652" spans="1:5" x14ac:dyDescent="0.25">
      <c r="A652" s="162" t="s">
        <v>2649</v>
      </c>
      <c r="B652" s="162" t="str">
        <f>VLOOKUP(A652,Estimate!A:C,3,FALSE)</f>
        <v>A34</v>
      </c>
      <c r="C652" s="161" t="s">
        <v>2748</v>
      </c>
      <c r="D652" s="167">
        <v>1.1000000000000001</v>
      </c>
      <c r="E652" s="161" t="s">
        <v>83</v>
      </c>
    </row>
    <row r="653" spans="1:5" x14ac:dyDescent="0.25">
      <c r="A653" s="162" t="s">
        <v>2650</v>
      </c>
      <c r="B653" s="162" t="str">
        <f>VLOOKUP(A653,Estimate!A:C,3,FALSE)</f>
        <v>Labour</v>
      </c>
      <c r="C653" s="161" t="s">
        <v>2021</v>
      </c>
      <c r="D653" s="167">
        <v>570</v>
      </c>
      <c r="E653" s="161" t="s">
        <v>48</v>
      </c>
    </row>
    <row r="654" spans="1:5" x14ac:dyDescent="0.25">
      <c r="A654" s="162" t="s">
        <v>2651</v>
      </c>
      <c r="B654" s="162" t="str">
        <f>VLOOKUP(A654,Estimate!A:C,3,FALSE)</f>
        <v>Area1 Supply Gabion Rock  BQC</v>
      </c>
      <c r="C654" s="161" t="s">
        <v>2401</v>
      </c>
      <c r="D654" s="167">
        <v>816.58</v>
      </c>
      <c r="E654" s="161" t="s">
        <v>82</v>
      </c>
    </row>
    <row r="655" spans="1:5" x14ac:dyDescent="0.25">
      <c r="A655" s="162" t="s">
        <v>2634</v>
      </c>
      <c r="B655" s="162" t="str">
        <f>VLOOKUP(A655,Estimate!A:C,3,FALSE)</f>
        <v>PV02 -Direction 4 May 2012  remove top two grids mix amd compact .</v>
      </c>
      <c r="C655" s="161" t="s">
        <v>2401</v>
      </c>
      <c r="D655" s="167">
        <v>1</v>
      </c>
      <c r="E655" s="161" t="s">
        <v>2416</v>
      </c>
    </row>
    <row r="656" spans="1:5" x14ac:dyDescent="0.25">
      <c r="A656" s="162" t="s">
        <v>2652</v>
      </c>
      <c r="B656" s="162" t="str">
        <f>VLOOKUP(A656,Estimate!A:C,3,FALSE)</f>
        <v>Area 1 Cartage Gabion Rock  BQC</v>
      </c>
      <c r="C656" s="161" t="s">
        <v>2401</v>
      </c>
      <c r="D656" s="167">
        <v>111</v>
      </c>
      <c r="E656" s="161" t="s">
        <v>48</v>
      </c>
    </row>
    <row r="657" spans="1:5" x14ac:dyDescent="0.25">
      <c r="A657" s="162" t="s">
        <v>2653</v>
      </c>
      <c r="B657" s="162" t="str">
        <f>VLOOKUP(A657,Estimate!A:C,3,FALSE)</f>
        <v xml:space="preserve">Area 1 Project Manager </v>
      </c>
      <c r="C657" s="161" t="s">
        <v>2401</v>
      </c>
      <c r="D657" s="167">
        <v>4</v>
      </c>
      <c r="E657" s="161" t="s">
        <v>48</v>
      </c>
    </row>
    <row r="658" spans="1:5" x14ac:dyDescent="0.25">
      <c r="A658" s="162" t="s">
        <v>2654</v>
      </c>
      <c r="B658" s="162" t="str">
        <f>VLOOKUP(A658,Estimate!A:C,3,FALSE)</f>
        <v xml:space="preserve">Area 1 Project Engineer </v>
      </c>
      <c r="C658" s="161" t="s">
        <v>2401</v>
      </c>
      <c r="D658" s="167">
        <v>8</v>
      </c>
      <c r="E658" s="161" t="s">
        <v>48</v>
      </c>
    </row>
    <row r="659" spans="1:5" x14ac:dyDescent="0.25">
      <c r="A659" s="162" t="s">
        <v>2655</v>
      </c>
      <c r="B659" s="162" t="str">
        <f>VLOOKUP(A659,Estimate!A:C,3,FALSE)</f>
        <v xml:space="preserve">Area 2  Excavate Unsuitable Material 200mm below subgrade  </v>
      </c>
      <c r="C659" s="161" t="s">
        <v>2401</v>
      </c>
      <c r="D659" s="167">
        <v>83</v>
      </c>
      <c r="E659" s="161" t="s">
        <v>86</v>
      </c>
    </row>
    <row r="660" spans="1:5" x14ac:dyDescent="0.25">
      <c r="A660" s="162" t="s">
        <v>2656</v>
      </c>
      <c r="B660" s="162" t="str">
        <f>VLOOKUP(A660,Estimate!A:C,3,FALSE)</f>
        <v>Excavator - 25T</v>
      </c>
      <c r="C660" s="161" t="s">
        <v>2021</v>
      </c>
      <c r="D660" s="167">
        <v>15</v>
      </c>
      <c r="E660" s="161" t="s">
        <v>48</v>
      </c>
    </row>
    <row r="661" spans="1:5" x14ac:dyDescent="0.25">
      <c r="A661" s="162" t="s">
        <v>2657</v>
      </c>
      <c r="B661" s="162" t="str">
        <f>VLOOKUP(A661,Estimate!A:C,3,FALSE)</f>
        <v>Truck &amp; Dog</v>
      </c>
      <c r="C661" s="161" t="s">
        <v>2748</v>
      </c>
      <c r="D661" s="167">
        <v>2</v>
      </c>
      <c r="E661" s="161" t="s">
        <v>48</v>
      </c>
    </row>
    <row r="662" spans="1:5" x14ac:dyDescent="0.25">
      <c r="A662" s="162" t="s">
        <v>2658</v>
      </c>
      <c r="B662" s="162" t="str">
        <f>VLOOKUP(A662,Estimate!A:C,3,FALSE)</f>
        <v xml:space="preserve">Area 2  Replace unsuitable material with select material complete 400mm depth </v>
      </c>
      <c r="C662" s="161" t="s">
        <v>2401</v>
      </c>
      <c r="D662" s="167">
        <v>116</v>
      </c>
      <c r="E662" s="161" t="s">
        <v>86</v>
      </c>
    </row>
    <row r="663" spans="1:5" x14ac:dyDescent="0.25">
      <c r="A663" s="162" t="s">
        <v>2659</v>
      </c>
      <c r="B663" s="162" t="str">
        <f>VLOOKUP(A663,Estimate!A:C,3,FALSE)</f>
        <v>Grader</v>
      </c>
      <c r="C663" s="161" t="s">
        <v>2021</v>
      </c>
      <c r="D663" s="167">
        <v>40</v>
      </c>
      <c r="E663" s="161" t="s">
        <v>48</v>
      </c>
    </row>
    <row r="664" spans="1:5" x14ac:dyDescent="0.25">
      <c r="A664" s="162" t="s">
        <v>2660</v>
      </c>
      <c r="B664" s="162" t="str">
        <f>VLOOKUP(A664,Estimate!A:C,3,FALSE)</f>
        <v>Area 2 Supply and install Geofabric Top and side of Mattress only</v>
      </c>
      <c r="C664" s="161" t="s">
        <v>2401</v>
      </c>
      <c r="D664" s="167">
        <v>455</v>
      </c>
      <c r="E664" s="161" t="s">
        <v>83</v>
      </c>
    </row>
    <row r="665" spans="1:5" x14ac:dyDescent="0.25">
      <c r="A665" s="162" t="s">
        <v>2661</v>
      </c>
      <c r="B665" s="162" t="str">
        <f>VLOOKUP(A665,Estimate!A:C,3,FALSE)</f>
        <v>A34</v>
      </c>
      <c r="C665" s="161" t="s">
        <v>2748</v>
      </c>
      <c r="D665" s="167">
        <v>1.1000000000000001</v>
      </c>
      <c r="E665" s="161" t="s">
        <v>83</v>
      </c>
    </row>
    <row r="666" spans="1:5" x14ac:dyDescent="0.25">
      <c r="A666" s="162" t="s">
        <v>2635</v>
      </c>
      <c r="B666" s="162" t="str">
        <f>VLOOKUP(A666,Estimate!A:C,3,FALSE)</f>
        <v xml:space="preserve">Supervisor </v>
      </c>
      <c r="C666" s="161" t="s">
        <v>2401</v>
      </c>
      <c r="D666" s="167">
        <v>14</v>
      </c>
      <c r="E666" s="161" t="s">
        <v>48</v>
      </c>
    </row>
    <row r="667" spans="1:5" x14ac:dyDescent="0.25">
      <c r="A667" s="162" t="s">
        <v>2662</v>
      </c>
      <c r="B667" s="162" t="str">
        <f>VLOOKUP(A667,Estimate!A:C,3,FALSE)</f>
        <v>Labour</v>
      </c>
      <c r="C667" s="161" t="s">
        <v>2021</v>
      </c>
      <c r="D667" s="167">
        <v>570</v>
      </c>
      <c r="E667" s="161" t="s">
        <v>48</v>
      </c>
    </row>
    <row r="668" spans="1:5" x14ac:dyDescent="0.25">
      <c r="A668" s="162" t="s">
        <v>2663</v>
      </c>
      <c r="B668" s="162" t="str">
        <f>VLOOKUP(A668,Estimate!A:C,3,FALSE)</f>
        <v>Area 2 Supply Gabion Rock Wall &amp; Sons</v>
      </c>
      <c r="C668" s="161" t="s">
        <v>2401</v>
      </c>
      <c r="D668" s="167">
        <v>267.45999999999998</v>
      </c>
      <c r="E668" s="161" t="s">
        <v>82</v>
      </c>
    </row>
    <row r="669" spans="1:5" x14ac:dyDescent="0.25">
      <c r="A669" s="162" t="s">
        <v>2664</v>
      </c>
      <c r="B669" s="162" t="str">
        <f>VLOOKUP(A669,Estimate!A:C,3,FALSE)</f>
        <v>Area 2 Cartage Rock Wall &amp;Sons</v>
      </c>
      <c r="C669" s="161" t="s">
        <v>2401</v>
      </c>
      <c r="D669" s="167">
        <v>35</v>
      </c>
      <c r="E669" s="161" t="s">
        <v>48</v>
      </c>
    </row>
    <row r="670" spans="1:5" x14ac:dyDescent="0.25">
      <c r="A670" s="162" t="s">
        <v>2665</v>
      </c>
      <c r="B670" s="162" t="str">
        <f>VLOOKUP(A670,Estimate!A:C,3,FALSE)</f>
        <v xml:space="preserve">Area 1 - Supply  Rock  Wall and Sons </v>
      </c>
      <c r="C670" s="161" t="s">
        <v>2401</v>
      </c>
      <c r="D670" s="167">
        <v>698.1</v>
      </c>
      <c r="E670" s="161" t="s">
        <v>82</v>
      </c>
    </row>
    <row r="671" spans="1:5" x14ac:dyDescent="0.25">
      <c r="A671" s="162" t="s">
        <v>2666</v>
      </c>
      <c r="B671" s="162" t="str">
        <f>VLOOKUP(A671,Estimate!A:C,3,FALSE)</f>
        <v xml:space="preserve">Area 1 Additional water service connections  (5) </v>
      </c>
      <c r="C671" s="161" t="s">
        <v>2401</v>
      </c>
      <c r="D671" s="167">
        <v>5</v>
      </c>
      <c r="E671" s="161" t="s">
        <v>2416</v>
      </c>
    </row>
    <row r="672" spans="1:5" x14ac:dyDescent="0.25">
      <c r="A672" s="162" t="s">
        <v>2667</v>
      </c>
      <c r="B672" s="162" t="str">
        <f>VLOOKUP(A672,Estimate!A:C,3,FALSE)</f>
        <v xml:space="preserve">Area 2 Project Manager </v>
      </c>
      <c r="C672" s="161" t="s">
        <v>2401</v>
      </c>
      <c r="D672" s="167">
        <v>2</v>
      </c>
      <c r="E672" s="161" t="s">
        <v>48</v>
      </c>
    </row>
    <row r="673" spans="1:5" x14ac:dyDescent="0.25">
      <c r="A673" s="162" t="s">
        <v>2668</v>
      </c>
      <c r="B673" s="162" t="str">
        <f>VLOOKUP(A673,Estimate!A:C,3,FALSE)</f>
        <v xml:space="preserve">Area 2 Project Engineer </v>
      </c>
      <c r="C673" s="161" t="s">
        <v>2401</v>
      </c>
      <c r="D673" s="167">
        <v>4</v>
      </c>
      <c r="E673" s="161" t="s">
        <v>48</v>
      </c>
    </row>
    <row r="674" spans="1:5" x14ac:dyDescent="0.25">
      <c r="A674" s="162" t="s">
        <v>2669</v>
      </c>
      <c r="B674" s="162" t="str">
        <f>VLOOKUP(A674,Estimate!A:C,3,FALSE)</f>
        <v xml:space="preserve">Area1 - Cartage Rock Wall &amp; Son </v>
      </c>
      <c r="C674" s="161" t="s">
        <v>2401</v>
      </c>
      <c r="D674" s="167">
        <v>52</v>
      </c>
      <c r="E674" s="161" t="s">
        <v>48</v>
      </c>
    </row>
    <row r="675" spans="1:5" x14ac:dyDescent="0.25">
      <c r="A675" s="162" t="s">
        <v>2636</v>
      </c>
      <c r="B675" s="162" t="str">
        <f>VLOOKUP(A675,Estimate!A:C,3,FALSE)</f>
        <v xml:space="preserve">Traffic Control - maintenance of signs 1 hr/ day @ 50/hr based on 23 days </v>
      </c>
      <c r="C675" s="161" t="s">
        <v>2401</v>
      </c>
      <c r="D675" s="167">
        <v>23</v>
      </c>
      <c r="E675" s="161" t="s">
        <v>48</v>
      </c>
    </row>
    <row r="676" spans="1:5" x14ac:dyDescent="0.25">
      <c r="A676" s="162" t="s">
        <v>2637</v>
      </c>
      <c r="B676" s="162" t="str">
        <f>VLOOKUP(A676,Estimate!A:C,3,FALSE)</f>
        <v xml:space="preserve">Area 1  Remove cement modify base - subgrade failure </v>
      </c>
      <c r="C676" s="161" t="s">
        <v>2401</v>
      </c>
      <c r="D676" s="167">
        <v>155</v>
      </c>
      <c r="E676" s="161" t="s">
        <v>86</v>
      </c>
    </row>
    <row r="677" spans="1:5" x14ac:dyDescent="0.25">
      <c r="A677" s="162" t="s">
        <v>2638</v>
      </c>
      <c r="B677" s="162" t="str">
        <f>VLOOKUP(A677,Estimate!A:C,3,FALSE)</f>
        <v>Excavator - 25T</v>
      </c>
      <c r="C677" s="161" t="s">
        <v>2021</v>
      </c>
      <c r="D677" s="167">
        <v>15</v>
      </c>
      <c r="E677" s="161" t="s">
        <v>48</v>
      </c>
    </row>
    <row r="678" spans="1:5" x14ac:dyDescent="0.25">
      <c r="A678" s="162" t="s">
        <v>2639</v>
      </c>
      <c r="B678" s="162" t="str">
        <f>VLOOKUP(A678,Estimate!A:C,3,FALSE)</f>
        <v>Truck &amp; Dog</v>
      </c>
      <c r="C678" s="161" t="s">
        <v>2748</v>
      </c>
      <c r="D678" s="167">
        <v>2</v>
      </c>
      <c r="E678" s="161" t="s">
        <v>48</v>
      </c>
    </row>
    <row r="679" spans="1:5" x14ac:dyDescent="0.25">
      <c r="A679" s="162" t="s">
        <v>2640</v>
      </c>
      <c r="B679" s="162" t="str">
        <f>VLOOKUP(A679,Estimate!A:C,3,FALSE)</f>
        <v xml:space="preserve">Area 1 Excavate unsuitable material 200mm below subgrade </v>
      </c>
      <c r="C679" s="161" t="s">
        <v>2401</v>
      </c>
      <c r="D679" s="167">
        <v>470</v>
      </c>
      <c r="E679" s="161" t="s">
        <v>86</v>
      </c>
    </row>
    <row r="680" spans="1:5" x14ac:dyDescent="0.25">
      <c r="A680" s="162" t="s">
        <v>2641</v>
      </c>
      <c r="B680" s="162" t="str">
        <f>VLOOKUP(A680,Estimate!A:C,3,FALSE)</f>
        <v>Excavator - 25T</v>
      </c>
      <c r="C680" s="161" t="s">
        <v>2021</v>
      </c>
      <c r="D680" s="167">
        <v>15</v>
      </c>
      <c r="E680" s="161" t="s">
        <v>48</v>
      </c>
    </row>
    <row r="681" spans="1:5" x14ac:dyDescent="0.25">
      <c r="A681" s="162" t="s">
        <v>2673</v>
      </c>
      <c r="B681" s="162" t="str">
        <f>VLOOKUP(A681,Estimate!A:C,3,FALSE)</f>
        <v xml:space="preserve">Vairation direction - Removal and Replacement of 150mm Sewer Main Sterry street </v>
      </c>
      <c r="C681" s="161" t="s">
        <v>2401</v>
      </c>
      <c r="D681" s="167">
        <v>1</v>
      </c>
      <c r="E681" s="161" t="s">
        <v>2416</v>
      </c>
    </row>
    <row r="682" spans="1:5" x14ac:dyDescent="0.25">
      <c r="A682" s="162" t="s">
        <v>2670</v>
      </c>
      <c r="B682" s="162" t="str">
        <f>VLOOKUP(A682,Estimate!A:C,3,FALSE)</f>
        <v xml:space="preserve">Cement stabilisation - Sterry Street  250mm depth </v>
      </c>
      <c r="C682" s="161" t="s">
        <v>2401</v>
      </c>
      <c r="D682" s="167">
        <v>2765</v>
      </c>
      <c r="E682" s="161" t="s">
        <v>83</v>
      </c>
    </row>
    <row r="683" spans="1:5" x14ac:dyDescent="0.25">
      <c r="A683" s="162" t="s">
        <v>2672</v>
      </c>
      <c r="B683" s="162" t="str">
        <f>VLOOKUP(A683,Estimate!A:C,3,FALSE)</f>
        <v>Cement</v>
      </c>
      <c r="C683" s="161" t="s">
        <v>2021</v>
      </c>
      <c r="D683" s="167">
        <v>1.2E-2</v>
      </c>
      <c r="E683" s="161" t="s">
        <v>33</v>
      </c>
    </row>
    <row r="684" spans="1:5" x14ac:dyDescent="0.25">
      <c r="A684" s="162" t="s">
        <v>2671</v>
      </c>
      <c r="B684" s="162" t="str">
        <f>VLOOKUP(A684,Estimate!A:C,3,FALSE)</f>
        <v>CAT297 Stabiliser</v>
      </c>
      <c r="C684" s="161" t="s">
        <v>2021</v>
      </c>
      <c r="D684" s="167">
        <v>55.555555555555557</v>
      </c>
      <c r="E684" s="161" t="s">
        <v>33</v>
      </c>
    </row>
    <row r="685" spans="1:5" x14ac:dyDescent="0.25">
      <c r="A685" s="162" t="s">
        <v>2674</v>
      </c>
      <c r="B685" s="162" t="str">
        <f>VLOOKUP(A685,Estimate!A:C,3,FALSE)</f>
        <v xml:space="preserve">7 mm Primer Seal Sterry Street </v>
      </c>
      <c r="C685" s="161" t="s">
        <v>2401</v>
      </c>
      <c r="D685" s="167">
        <v>2765</v>
      </c>
      <c r="E685" s="161" t="s">
        <v>83</v>
      </c>
    </row>
    <row r="686" spans="1:5" x14ac:dyDescent="0.25">
      <c r="A686" s="162" t="s">
        <v>2675</v>
      </c>
      <c r="B686" s="162" t="str">
        <f>VLOOKUP(A686,Estimate!A:C,3,FALSE)</f>
        <v xml:space="preserve">Additional Chapman Street works - Kerbing and Miscellaneous concrete works Chapman </v>
      </c>
      <c r="C686" s="161" t="s">
        <v>2401</v>
      </c>
      <c r="D686" s="167">
        <v>5</v>
      </c>
      <c r="E686" s="161" t="s">
        <v>86</v>
      </c>
    </row>
    <row r="687" spans="1:5" x14ac:dyDescent="0.25">
      <c r="A687" s="162" t="s">
        <v>2676</v>
      </c>
      <c r="B687" s="162" t="str">
        <f>VLOOKUP(A687,Estimate!A:C,3,FALSE)</f>
        <v>Construct standard driveway access - Proserpine Secondary School</v>
      </c>
      <c r="C687" s="161" t="s">
        <v>2401</v>
      </c>
      <c r="D687" s="167">
        <v>1</v>
      </c>
      <c r="E687" s="161" t="s">
        <v>29</v>
      </c>
    </row>
    <row r="688" spans="1:5" x14ac:dyDescent="0.25">
      <c r="A688" s="162" t="s">
        <v>2677</v>
      </c>
      <c r="B688" s="162" t="str">
        <f>VLOOKUP(A688,Estimate!A:C,3,FALSE)</f>
        <v>Excavator - 25T</v>
      </c>
      <c r="C688" s="161" t="s">
        <v>2021</v>
      </c>
      <c r="D688" s="167">
        <v>21</v>
      </c>
      <c r="E688" s="161" t="s">
        <v>48</v>
      </c>
    </row>
    <row r="689" spans="1:5" x14ac:dyDescent="0.25">
      <c r="A689" s="162" t="s">
        <v>2678</v>
      </c>
      <c r="B689" s="162" t="str">
        <f>VLOOKUP(A689,Estimate!A:C,3,FALSE)</f>
        <v xml:space="preserve">Various Concrete works and fencing and gate alterations - day labour rates + materials </v>
      </c>
      <c r="C689" s="161" t="s">
        <v>2401</v>
      </c>
      <c r="D689" s="167">
        <v>1</v>
      </c>
      <c r="E689" s="161" t="s">
        <v>2416</v>
      </c>
    </row>
    <row r="690" spans="1:5" x14ac:dyDescent="0.25">
      <c r="A690" s="162" t="s">
        <v>2746</v>
      </c>
      <c r="B690" s="162" t="str">
        <f>VLOOKUP(A690,Estimate!A:C,3,FALSE)</f>
        <v xml:space="preserve">Waste Disposal </v>
      </c>
      <c r="C690" s="161" t="s">
        <v>2401</v>
      </c>
      <c r="D690" s="167">
        <v>124.6</v>
      </c>
      <c r="E690" s="161" t="s">
        <v>2416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D6651-E9C5-4095-8077-B574E2D6874F}">
  <dimension ref="A1:O72"/>
  <sheetViews>
    <sheetView workbookViewId="0">
      <selection activeCell="P71" sqref="P71"/>
    </sheetView>
  </sheetViews>
  <sheetFormatPr defaultRowHeight="15" x14ac:dyDescent="0.25"/>
  <cols>
    <col min="2" max="3" width="10.140625" bestFit="1" customWidth="1"/>
    <col min="4" max="4" width="12.5703125" bestFit="1" customWidth="1"/>
    <col min="5" max="11" width="10.140625" bestFit="1" customWidth="1"/>
  </cols>
  <sheetData>
    <row r="1" spans="2:15" s="10" customFormat="1" ht="15.75" thickBot="1" x14ac:dyDescent="0.3">
      <c r="B1" s="246" t="s">
        <v>2023</v>
      </c>
      <c r="C1" s="246"/>
      <c r="D1" s="246"/>
      <c r="E1" s="246"/>
      <c r="F1" s="246"/>
      <c r="G1" s="246"/>
      <c r="H1" s="246"/>
      <c r="I1" s="246"/>
      <c r="J1" s="246"/>
      <c r="K1" s="246"/>
    </row>
    <row r="2" spans="2:15" s="10" customFormat="1" x14ac:dyDescent="0.25">
      <c r="B2" s="247">
        <v>40544</v>
      </c>
      <c r="C2" s="248"/>
      <c r="D2" s="249">
        <v>40909</v>
      </c>
      <c r="E2" s="249"/>
      <c r="F2" s="248">
        <v>41275</v>
      </c>
      <c r="G2" s="248"/>
      <c r="H2" s="249">
        <v>41640</v>
      </c>
      <c r="I2" s="249"/>
      <c r="J2" s="248">
        <v>42005</v>
      </c>
      <c r="K2" s="250"/>
    </row>
    <row r="3" spans="2:15" s="66" customFormat="1" x14ac:dyDescent="0.25">
      <c r="B3" s="62">
        <f>B5</f>
        <v>40551</v>
      </c>
      <c r="C3" s="63">
        <f>C5</f>
        <v>40552</v>
      </c>
      <c r="D3" s="64">
        <f t="shared" ref="D3:K3" si="0">D6</f>
        <v>40922</v>
      </c>
      <c r="E3" s="64">
        <f t="shared" si="0"/>
        <v>40923</v>
      </c>
      <c r="F3" s="63">
        <f t="shared" si="0"/>
        <v>41293</v>
      </c>
      <c r="G3" s="63">
        <f t="shared" si="0"/>
        <v>41294</v>
      </c>
      <c r="H3" s="64">
        <f t="shared" si="0"/>
        <v>41657</v>
      </c>
      <c r="I3" s="64">
        <f t="shared" si="0"/>
        <v>41658</v>
      </c>
      <c r="J3" s="63">
        <f t="shared" si="0"/>
        <v>42021</v>
      </c>
      <c r="K3" s="65">
        <f t="shared" si="0"/>
        <v>42022</v>
      </c>
    </row>
    <row r="4" spans="2:15" x14ac:dyDescent="0.25">
      <c r="B4" s="67">
        <v>40544</v>
      </c>
      <c r="C4" s="68">
        <f t="shared" ref="C4:C55" si="1">B4+1</f>
        <v>40545</v>
      </c>
      <c r="D4" s="69"/>
      <c r="E4" s="69">
        <v>40909</v>
      </c>
      <c r="F4" s="68">
        <v>41279</v>
      </c>
      <c r="G4" s="68">
        <f t="shared" ref="G4:G55" si="2">F4+1</f>
        <v>41280</v>
      </c>
      <c r="H4" s="69">
        <v>41643</v>
      </c>
      <c r="I4" s="69">
        <f t="shared" ref="I4:I55" si="3">H4+1</f>
        <v>41644</v>
      </c>
      <c r="J4" s="68">
        <v>42007</v>
      </c>
      <c r="K4" s="70">
        <f t="shared" ref="K4:K55" si="4">J4+1</f>
        <v>42008</v>
      </c>
      <c r="N4" s="36"/>
      <c r="O4" s="36"/>
    </row>
    <row r="5" spans="2:15" x14ac:dyDescent="0.25">
      <c r="B5" s="67">
        <f t="shared" ref="B5:B56" si="5">B4+7</f>
        <v>40551</v>
      </c>
      <c r="C5" s="68">
        <f t="shared" si="1"/>
        <v>40552</v>
      </c>
      <c r="D5" s="69">
        <f>E4+6</f>
        <v>40915</v>
      </c>
      <c r="E5" s="69">
        <f t="shared" ref="E5:E56" si="6">D5+1</f>
        <v>40916</v>
      </c>
      <c r="F5" s="68">
        <f t="shared" ref="F5:F55" si="7">F4+7</f>
        <v>41286</v>
      </c>
      <c r="G5" s="68">
        <f t="shared" si="2"/>
        <v>41287</v>
      </c>
      <c r="H5" s="69">
        <f t="shared" ref="H5:H55" si="8">H4+7</f>
        <v>41650</v>
      </c>
      <c r="I5" s="69">
        <f t="shared" si="3"/>
        <v>41651</v>
      </c>
      <c r="J5" s="68">
        <f t="shared" ref="J5:J55" si="9">J4+7</f>
        <v>42014</v>
      </c>
      <c r="K5" s="70">
        <f t="shared" si="4"/>
        <v>42015</v>
      </c>
    </row>
    <row r="6" spans="2:15" x14ac:dyDescent="0.25">
      <c r="B6" s="67">
        <f t="shared" si="5"/>
        <v>40558</v>
      </c>
      <c r="C6" s="68">
        <f t="shared" si="1"/>
        <v>40559</v>
      </c>
      <c r="D6" s="69">
        <f t="shared" ref="D6:D56" si="10">D5+7</f>
        <v>40922</v>
      </c>
      <c r="E6" s="69">
        <f t="shared" si="6"/>
        <v>40923</v>
      </c>
      <c r="F6" s="68">
        <f t="shared" si="7"/>
        <v>41293</v>
      </c>
      <c r="G6" s="68">
        <f t="shared" si="2"/>
        <v>41294</v>
      </c>
      <c r="H6" s="69">
        <f t="shared" si="8"/>
        <v>41657</v>
      </c>
      <c r="I6" s="69">
        <f t="shared" si="3"/>
        <v>41658</v>
      </c>
      <c r="J6" s="68">
        <f t="shared" si="9"/>
        <v>42021</v>
      </c>
      <c r="K6" s="70">
        <f t="shared" si="4"/>
        <v>42022</v>
      </c>
    </row>
    <row r="7" spans="2:15" x14ac:dyDescent="0.25">
      <c r="B7" s="67">
        <f t="shared" si="5"/>
        <v>40565</v>
      </c>
      <c r="C7" s="68">
        <f t="shared" si="1"/>
        <v>40566</v>
      </c>
      <c r="D7" s="69">
        <f t="shared" si="10"/>
        <v>40929</v>
      </c>
      <c r="E7" s="69">
        <f t="shared" si="6"/>
        <v>40930</v>
      </c>
      <c r="F7" s="68">
        <f t="shared" si="7"/>
        <v>41300</v>
      </c>
      <c r="G7" s="68">
        <f t="shared" si="2"/>
        <v>41301</v>
      </c>
      <c r="H7" s="69">
        <f t="shared" si="8"/>
        <v>41664</v>
      </c>
      <c r="I7" s="69">
        <f t="shared" si="3"/>
        <v>41665</v>
      </c>
      <c r="J7" s="68">
        <f t="shared" si="9"/>
        <v>42028</v>
      </c>
      <c r="K7" s="70">
        <f t="shared" si="4"/>
        <v>42029</v>
      </c>
    </row>
    <row r="8" spans="2:15" x14ac:dyDescent="0.25">
      <c r="B8" s="67">
        <f t="shared" si="5"/>
        <v>40572</v>
      </c>
      <c r="C8" s="68">
        <f t="shared" si="1"/>
        <v>40573</v>
      </c>
      <c r="D8" s="69">
        <f t="shared" si="10"/>
        <v>40936</v>
      </c>
      <c r="E8" s="69">
        <f t="shared" si="6"/>
        <v>40937</v>
      </c>
      <c r="F8" s="68">
        <f t="shared" si="7"/>
        <v>41307</v>
      </c>
      <c r="G8" s="68">
        <f t="shared" si="2"/>
        <v>41308</v>
      </c>
      <c r="H8" s="69">
        <f t="shared" si="8"/>
        <v>41671</v>
      </c>
      <c r="I8" s="69">
        <f t="shared" si="3"/>
        <v>41672</v>
      </c>
      <c r="J8" s="68">
        <f t="shared" si="9"/>
        <v>42035</v>
      </c>
      <c r="K8" s="70">
        <f t="shared" si="4"/>
        <v>42036</v>
      </c>
      <c r="M8" s="36"/>
    </row>
    <row r="9" spans="2:15" x14ac:dyDescent="0.25">
      <c r="B9" s="67">
        <f t="shared" si="5"/>
        <v>40579</v>
      </c>
      <c r="C9" s="68">
        <f t="shared" si="1"/>
        <v>40580</v>
      </c>
      <c r="D9" s="69">
        <f t="shared" si="10"/>
        <v>40943</v>
      </c>
      <c r="E9" s="69">
        <f t="shared" si="6"/>
        <v>40944</v>
      </c>
      <c r="F9" s="68">
        <f t="shared" si="7"/>
        <v>41314</v>
      </c>
      <c r="G9" s="68">
        <f t="shared" si="2"/>
        <v>41315</v>
      </c>
      <c r="H9" s="69">
        <f t="shared" si="8"/>
        <v>41678</v>
      </c>
      <c r="I9" s="69">
        <f t="shared" si="3"/>
        <v>41679</v>
      </c>
      <c r="J9" s="68">
        <f t="shared" si="9"/>
        <v>42042</v>
      </c>
      <c r="K9" s="70">
        <f t="shared" si="4"/>
        <v>42043</v>
      </c>
    </row>
    <row r="10" spans="2:15" x14ac:dyDescent="0.25">
      <c r="B10" s="67">
        <f t="shared" si="5"/>
        <v>40586</v>
      </c>
      <c r="C10" s="68">
        <f t="shared" si="1"/>
        <v>40587</v>
      </c>
      <c r="D10" s="69">
        <f t="shared" si="10"/>
        <v>40950</v>
      </c>
      <c r="E10" s="69">
        <f t="shared" si="6"/>
        <v>40951</v>
      </c>
      <c r="F10" s="68">
        <f t="shared" si="7"/>
        <v>41321</v>
      </c>
      <c r="G10" s="68">
        <f t="shared" si="2"/>
        <v>41322</v>
      </c>
      <c r="H10" s="69">
        <f t="shared" si="8"/>
        <v>41685</v>
      </c>
      <c r="I10" s="69">
        <f t="shared" si="3"/>
        <v>41686</v>
      </c>
      <c r="J10" s="68">
        <f t="shared" si="9"/>
        <v>42049</v>
      </c>
      <c r="K10" s="70">
        <f t="shared" si="4"/>
        <v>42050</v>
      </c>
    </row>
    <row r="11" spans="2:15" x14ac:dyDescent="0.25">
      <c r="B11" s="67">
        <f t="shared" si="5"/>
        <v>40593</v>
      </c>
      <c r="C11" s="68">
        <f t="shared" si="1"/>
        <v>40594</v>
      </c>
      <c r="D11" s="69">
        <f t="shared" si="10"/>
        <v>40957</v>
      </c>
      <c r="E11" s="69">
        <f t="shared" si="6"/>
        <v>40958</v>
      </c>
      <c r="F11" s="68">
        <f t="shared" si="7"/>
        <v>41328</v>
      </c>
      <c r="G11" s="68">
        <f t="shared" si="2"/>
        <v>41329</v>
      </c>
      <c r="H11" s="69">
        <f t="shared" si="8"/>
        <v>41692</v>
      </c>
      <c r="I11" s="69">
        <f t="shared" si="3"/>
        <v>41693</v>
      </c>
      <c r="J11" s="68">
        <f t="shared" si="9"/>
        <v>42056</v>
      </c>
      <c r="K11" s="70">
        <f t="shared" si="4"/>
        <v>42057</v>
      </c>
    </row>
    <row r="12" spans="2:15" x14ac:dyDescent="0.25">
      <c r="B12" s="67">
        <f t="shared" si="5"/>
        <v>40600</v>
      </c>
      <c r="C12" s="68">
        <f t="shared" si="1"/>
        <v>40601</v>
      </c>
      <c r="D12" s="69">
        <f t="shared" si="10"/>
        <v>40964</v>
      </c>
      <c r="E12" s="69">
        <f t="shared" si="6"/>
        <v>40965</v>
      </c>
      <c r="F12" s="68">
        <f t="shared" si="7"/>
        <v>41335</v>
      </c>
      <c r="G12" s="68">
        <f t="shared" si="2"/>
        <v>41336</v>
      </c>
      <c r="H12" s="69">
        <f t="shared" si="8"/>
        <v>41699</v>
      </c>
      <c r="I12" s="69">
        <f t="shared" si="3"/>
        <v>41700</v>
      </c>
      <c r="J12" s="68">
        <f t="shared" si="9"/>
        <v>42063</v>
      </c>
      <c r="K12" s="70">
        <f t="shared" si="4"/>
        <v>42064</v>
      </c>
    </row>
    <row r="13" spans="2:15" x14ac:dyDescent="0.25">
      <c r="B13" s="67">
        <f t="shared" si="5"/>
        <v>40607</v>
      </c>
      <c r="C13" s="68">
        <f t="shared" si="1"/>
        <v>40608</v>
      </c>
      <c r="D13" s="69">
        <f t="shared" si="10"/>
        <v>40971</v>
      </c>
      <c r="E13" s="69">
        <f t="shared" si="6"/>
        <v>40972</v>
      </c>
      <c r="F13" s="68">
        <f t="shared" si="7"/>
        <v>41342</v>
      </c>
      <c r="G13" s="68">
        <f t="shared" si="2"/>
        <v>41343</v>
      </c>
      <c r="H13" s="69">
        <f t="shared" si="8"/>
        <v>41706</v>
      </c>
      <c r="I13" s="69">
        <f t="shared" si="3"/>
        <v>41707</v>
      </c>
      <c r="J13" s="68">
        <f t="shared" si="9"/>
        <v>42070</v>
      </c>
      <c r="K13" s="70">
        <f t="shared" si="4"/>
        <v>42071</v>
      </c>
    </row>
    <row r="14" spans="2:15" x14ac:dyDescent="0.25">
      <c r="B14" s="67">
        <f t="shared" si="5"/>
        <v>40614</v>
      </c>
      <c r="C14" s="68">
        <f t="shared" si="1"/>
        <v>40615</v>
      </c>
      <c r="D14" s="69">
        <f t="shared" si="10"/>
        <v>40978</v>
      </c>
      <c r="E14" s="69">
        <f t="shared" si="6"/>
        <v>40979</v>
      </c>
      <c r="F14" s="68">
        <f t="shared" si="7"/>
        <v>41349</v>
      </c>
      <c r="G14" s="68">
        <f t="shared" si="2"/>
        <v>41350</v>
      </c>
      <c r="H14" s="69">
        <f t="shared" si="8"/>
        <v>41713</v>
      </c>
      <c r="I14" s="69">
        <f t="shared" si="3"/>
        <v>41714</v>
      </c>
      <c r="J14" s="68">
        <f t="shared" si="9"/>
        <v>42077</v>
      </c>
      <c r="K14" s="70">
        <f t="shared" si="4"/>
        <v>42078</v>
      </c>
    </row>
    <row r="15" spans="2:15" x14ac:dyDescent="0.25">
      <c r="B15" s="67">
        <f t="shared" si="5"/>
        <v>40621</v>
      </c>
      <c r="C15" s="68">
        <f t="shared" si="1"/>
        <v>40622</v>
      </c>
      <c r="D15" s="69">
        <f t="shared" si="10"/>
        <v>40985</v>
      </c>
      <c r="E15" s="69">
        <f t="shared" si="6"/>
        <v>40986</v>
      </c>
      <c r="F15" s="68">
        <f t="shared" si="7"/>
        <v>41356</v>
      </c>
      <c r="G15" s="68">
        <f t="shared" si="2"/>
        <v>41357</v>
      </c>
      <c r="H15" s="69">
        <f t="shared" si="8"/>
        <v>41720</v>
      </c>
      <c r="I15" s="69">
        <f t="shared" si="3"/>
        <v>41721</v>
      </c>
      <c r="J15" s="68">
        <f t="shared" si="9"/>
        <v>42084</v>
      </c>
      <c r="K15" s="70">
        <f t="shared" si="4"/>
        <v>42085</v>
      </c>
    </row>
    <row r="16" spans="2:15" x14ac:dyDescent="0.25">
      <c r="B16" s="67">
        <f t="shared" si="5"/>
        <v>40628</v>
      </c>
      <c r="C16" s="68">
        <f t="shared" si="1"/>
        <v>40629</v>
      </c>
      <c r="D16" s="69">
        <f t="shared" si="10"/>
        <v>40992</v>
      </c>
      <c r="E16" s="69">
        <f t="shared" si="6"/>
        <v>40993</v>
      </c>
      <c r="F16" s="68">
        <f t="shared" si="7"/>
        <v>41363</v>
      </c>
      <c r="G16" s="68">
        <f t="shared" si="2"/>
        <v>41364</v>
      </c>
      <c r="H16" s="69">
        <f t="shared" si="8"/>
        <v>41727</v>
      </c>
      <c r="I16" s="69">
        <f t="shared" si="3"/>
        <v>41728</v>
      </c>
      <c r="J16" s="68">
        <f t="shared" si="9"/>
        <v>42091</v>
      </c>
      <c r="K16" s="70">
        <f t="shared" si="4"/>
        <v>42092</v>
      </c>
    </row>
    <row r="17" spans="2:11" x14ac:dyDescent="0.25">
      <c r="B17" s="67">
        <f t="shared" si="5"/>
        <v>40635</v>
      </c>
      <c r="C17" s="68">
        <f t="shared" si="1"/>
        <v>40636</v>
      </c>
      <c r="D17" s="69">
        <f t="shared" si="10"/>
        <v>40999</v>
      </c>
      <c r="E17" s="69">
        <f t="shared" si="6"/>
        <v>41000</v>
      </c>
      <c r="F17" s="68">
        <f t="shared" si="7"/>
        <v>41370</v>
      </c>
      <c r="G17" s="68">
        <f t="shared" si="2"/>
        <v>41371</v>
      </c>
      <c r="H17" s="69">
        <f t="shared" si="8"/>
        <v>41734</v>
      </c>
      <c r="I17" s="69">
        <f t="shared" si="3"/>
        <v>41735</v>
      </c>
      <c r="J17" s="68">
        <f t="shared" si="9"/>
        <v>42098</v>
      </c>
      <c r="K17" s="70">
        <f t="shared" si="4"/>
        <v>42099</v>
      </c>
    </row>
    <row r="18" spans="2:11" x14ac:dyDescent="0.25">
      <c r="B18" s="67">
        <f t="shared" si="5"/>
        <v>40642</v>
      </c>
      <c r="C18" s="68">
        <f t="shared" si="1"/>
        <v>40643</v>
      </c>
      <c r="D18" s="69">
        <f t="shared" si="10"/>
        <v>41006</v>
      </c>
      <c r="E18" s="69">
        <f t="shared" si="6"/>
        <v>41007</v>
      </c>
      <c r="F18" s="68">
        <f t="shared" si="7"/>
        <v>41377</v>
      </c>
      <c r="G18" s="68">
        <f t="shared" si="2"/>
        <v>41378</v>
      </c>
      <c r="H18" s="69">
        <f t="shared" si="8"/>
        <v>41741</v>
      </c>
      <c r="I18" s="69">
        <f t="shared" si="3"/>
        <v>41742</v>
      </c>
      <c r="J18" s="68">
        <f t="shared" si="9"/>
        <v>42105</v>
      </c>
      <c r="K18" s="70">
        <f t="shared" si="4"/>
        <v>42106</v>
      </c>
    </row>
    <row r="19" spans="2:11" x14ac:dyDescent="0.25">
      <c r="B19" s="67">
        <f t="shared" si="5"/>
        <v>40649</v>
      </c>
      <c r="C19" s="68">
        <f t="shared" si="1"/>
        <v>40650</v>
      </c>
      <c r="D19" s="69">
        <f t="shared" si="10"/>
        <v>41013</v>
      </c>
      <c r="E19" s="69">
        <f t="shared" si="6"/>
        <v>41014</v>
      </c>
      <c r="F19" s="68">
        <f t="shared" si="7"/>
        <v>41384</v>
      </c>
      <c r="G19" s="68">
        <f t="shared" si="2"/>
        <v>41385</v>
      </c>
      <c r="H19" s="69">
        <f t="shared" si="8"/>
        <v>41748</v>
      </c>
      <c r="I19" s="69">
        <f t="shared" si="3"/>
        <v>41749</v>
      </c>
      <c r="J19" s="68">
        <f t="shared" si="9"/>
        <v>42112</v>
      </c>
      <c r="K19" s="70">
        <f t="shared" si="4"/>
        <v>42113</v>
      </c>
    </row>
    <row r="20" spans="2:11" x14ac:dyDescent="0.25">
      <c r="B20" s="67">
        <f t="shared" si="5"/>
        <v>40656</v>
      </c>
      <c r="C20" s="68">
        <f t="shared" si="1"/>
        <v>40657</v>
      </c>
      <c r="D20" s="69">
        <f t="shared" si="10"/>
        <v>41020</v>
      </c>
      <c r="E20" s="69">
        <f t="shared" si="6"/>
        <v>41021</v>
      </c>
      <c r="F20" s="68">
        <f t="shared" si="7"/>
        <v>41391</v>
      </c>
      <c r="G20" s="68">
        <f t="shared" si="2"/>
        <v>41392</v>
      </c>
      <c r="H20" s="69">
        <f t="shared" si="8"/>
        <v>41755</v>
      </c>
      <c r="I20" s="69">
        <f t="shared" si="3"/>
        <v>41756</v>
      </c>
      <c r="J20" s="68">
        <f t="shared" si="9"/>
        <v>42119</v>
      </c>
      <c r="K20" s="70">
        <f t="shared" si="4"/>
        <v>42120</v>
      </c>
    </row>
    <row r="21" spans="2:11" x14ac:dyDescent="0.25">
      <c r="B21" s="67">
        <f t="shared" si="5"/>
        <v>40663</v>
      </c>
      <c r="C21" s="68">
        <f t="shared" si="1"/>
        <v>40664</v>
      </c>
      <c r="D21" s="69">
        <f t="shared" si="10"/>
        <v>41027</v>
      </c>
      <c r="E21" s="69">
        <f t="shared" si="6"/>
        <v>41028</v>
      </c>
      <c r="F21" s="68">
        <f t="shared" si="7"/>
        <v>41398</v>
      </c>
      <c r="G21" s="68">
        <f t="shared" si="2"/>
        <v>41399</v>
      </c>
      <c r="H21" s="69">
        <f t="shared" si="8"/>
        <v>41762</v>
      </c>
      <c r="I21" s="69">
        <f t="shared" si="3"/>
        <v>41763</v>
      </c>
      <c r="J21" s="68">
        <f t="shared" si="9"/>
        <v>42126</v>
      </c>
      <c r="K21" s="70">
        <f t="shared" si="4"/>
        <v>42127</v>
      </c>
    </row>
    <row r="22" spans="2:11" x14ac:dyDescent="0.25">
      <c r="B22" s="67">
        <f t="shared" si="5"/>
        <v>40670</v>
      </c>
      <c r="C22" s="68">
        <f t="shared" si="1"/>
        <v>40671</v>
      </c>
      <c r="D22" s="69">
        <f t="shared" si="10"/>
        <v>41034</v>
      </c>
      <c r="E22" s="69">
        <f t="shared" si="6"/>
        <v>41035</v>
      </c>
      <c r="F22" s="68">
        <f t="shared" si="7"/>
        <v>41405</v>
      </c>
      <c r="G22" s="68">
        <f t="shared" si="2"/>
        <v>41406</v>
      </c>
      <c r="H22" s="69">
        <f t="shared" si="8"/>
        <v>41769</v>
      </c>
      <c r="I22" s="69">
        <f t="shared" si="3"/>
        <v>41770</v>
      </c>
      <c r="J22" s="68">
        <f t="shared" si="9"/>
        <v>42133</v>
      </c>
      <c r="K22" s="70">
        <f t="shared" si="4"/>
        <v>42134</v>
      </c>
    </row>
    <row r="23" spans="2:11" x14ac:dyDescent="0.25">
      <c r="B23" s="67">
        <f t="shared" si="5"/>
        <v>40677</v>
      </c>
      <c r="C23" s="68">
        <f t="shared" si="1"/>
        <v>40678</v>
      </c>
      <c r="D23" s="69">
        <f t="shared" si="10"/>
        <v>41041</v>
      </c>
      <c r="E23" s="69">
        <f t="shared" si="6"/>
        <v>41042</v>
      </c>
      <c r="F23" s="68">
        <f t="shared" si="7"/>
        <v>41412</v>
      </c>
      <c r="G23" s="68">
        <f t="shared" si="2"/>
        <v>41413</v>
      </c>
      <c r="H23" s="69">
        <f t="shared" si="8"/>
        <v>41776</v>
      </c>
      <c r="I23" s="69">
        <f t="shared" si="3"/>
        <v>41777</v>
      </c>
      <c r="J23" s="68">
        <f t="shared" si="9"/>
        <v>42140</v>
      </c>
      <c r="K23" s="70">
        <f t="shared" si="4"/>
        <v>42141</v>
      </c>
    </row>
    <row r="24" spans="2:11" x14ac:dyDescent="0.25">
      <c r="B24" s="67">
        <f t="shared" si="5"/>
        <v>40684</v>
      </c>
      <c r="C24" s="68">
        <f t="shared" si="1"/>
        <v>40685</v>
      </c>
      <c r="D24" s="69">
        <f t="shared" si="10"/>
        <v>41048</v>
      </c>
      <c r="E24" s="69">
        <f t="shared" si="6"/>
        <v>41049</v>
      </c>
      <c r="F24" s="68">
        <f t="shared" si="7"/>
        <v>41419</v>
      </c>
      <c r="G24" s="68">
        <f t="shared" si="2"/>
        <v>41420</v>
      </c>
      <c r="H24" s="69">
        <f t="shared" si="8"/>
        <v>41783</v>
      </c>
      <c r="I24" s="69">
        <f t="shared" si="3"/>
        <v>41784</v>
      </c>
      <c r="J24" s="68">
        <f t="shared" si="9"/>
        <v>42147</v>
      </c>
      <c r="K24" s="70">
        <f t="shared" si="4"/>
        <v>42148</v>
      </c>
    </row>
    <row r="25" spans="2:11" x14ac:dyDescent="0.25">
      <c r="B25" s="67">
        <f t="shared" si="5"/>
        <v>40691</v>
      </c>
      <c r="C25" s="68">
        <f t="shared" si="1"/>
        <v>40692</v>
      </c>
      <c r="D25" s="69">
        <f t="shared" si="10"/>
        <v>41055</v>
      </c>
      <c r="E25" s="69">
        <f t="shared" si="6"/>
        <v>41056</v>
      </c>
      <c r="F25" s="68">
        <f t="shared" si="7"/>
        <v>41426</v>
      </c>
      <c r="G25" s="68">
        <f t="shared" si="2"/>
        <v>41427</v>
      </c>
      <c r="H25" s="69">
        <f t="shared" si="8"/>
        <v>41790</v>
      </c>
      <c r="I25" s="69">
        <f t="shared" si="3"/>
        <v>41791</v>
      </c>
      <c r="J25" s="68">
        <f t="shared" si="9"/>
        <v>42154</v>
      </c>
      <c r="K25" s="70">
        <f t="shared" si="4"/>
        <v>42155</v>
      </c>
    </row>
    <row r="26" spans="2:11" x14ac:dyDescent="0.25">
      <c r="B26" s="67">
        <f t="shared" si="5"/>
        <v>40698</v>
      </c>
      <c r="C26" s="68">
        <f t="shared" si="1"/>
        <v>40699</v>
      </c>
      <c r="D26" s="69">
        <f t="shared" si="10"/>
        <v>41062</v>
      </c>
      <c r="E26" s="69">
        <f t="shared" si="6"/>
        <v>41063</v>
      </c>
      <c r="F26" s="68">
        <f t="shared" si="7"/>
        <v>41433</v>
      </c>
      <c r="G26" s="68">
        <f t="shared" si="2"/>
        <v>41434</v>
      </c>
      <c r="H26" s="69">
        <f t="shared" si="8"/>
        <v>41797</v>
      </c>
      <c r="I26" s="69">
        <f t="shared" si="3"/>
        <v>41798</v>
      </c>
      <c r="J26" s="68">
        <f t="shared" si="9"/>
        <v>42161</v>
      </c>
      <c r="K26" s="70">
        <f t="shared" si="4"/>
        <v>42162</v>
      </c>
    </row>
    <row r="27" spans="2:11" x14ac:dyDescent="0.25">
      <c r="B27" s="67">
        <f t="shared" si="5"/>
        <v>40705</v>
      </c>
      <c r="C27" s="68">
        <f t="shared" si="1"/>
        <v>40706</v>
      </c>
      <c r="D27" s="69">
        <f t="shared" si="10"/>
        <v>41069</v>
      </c>
      <c r="E27" s="69">
        <f t="shared" si="6"/>
        <v>41070</v>
      </c>
      <c r="F27" s="68">
        <f t="shared" si="7"/>
        <v>41440</v>
      </c>
      <c r="G27" s="68">
        <f t="shared" si="2"/>
        <v>41441</v>
      </c>
      <c r="H27" s="69">
        <f t="shared" si="8"/>
        <v>41804</v>
      </c>
      <c r="I27" s="69">
        <f t="shared" si="3"/>
        <v>41805</v>
      </c>
      <c r="J27" s="68">
        <f t="shared" si="9"/>
        <v>42168</v>
      </c>
      <c r="K27" s="70">
        <f t="shared" si="4"/>
        <v>42169</v>
      </c>
    </row>
    <row r="28" spans="2:11" x14ac:dyDescent="0.25">
      <c r="B28" s="67">
        <f t="shared" si="5"/>
        <v>40712</v>
      </c>
      <c r="C28" s="68">
        <f t="shared" si="1"/>
        <v>40713</v>
      </c>
      <c r="D28" s="69">
        <f t="shared" si="10"/>
        <v>41076</v>
      </c>
      <c r="E28" s="69">
        <f t="shared" si="6"/>
        <v>41077</v>
      </c>
      <c r="F28" s="68">
        <f t="shared" si="7"/>
        <v>41447</v>
      </c>
      <c r="G28" s="68">
        <f t="shared" si="2"/>
        <v>41448</v>
      </c>
      <c r="H28" s="69">
        <f t="shared" si="8"/>
        <v>41811</v>
      </c>
      <c r="I28" s="69">
        <f t="shared" si="3"/>
        <v>41812</v>
      </c>
      <c r="J28" s="68">
        <f t="shared" si="9"/>
        <v>42175</v>
      </c>
      <c r="K28" s="70">
        <f t="shared" si="4"/>
        <v>42176</v>
      </c>
    </row>
    <row r="29" spans="2:11" x14ac:dyDescent="0.25">
      <c r="B29" s="67">
        <f t="shared" si="5"/>
        <v>40719</v>
      </c>
      <c r="C29" s="68">
        <f t="shared" si="1"/>
        <v>40720</v>
      </c>
      <c r="D29" s="69">
        <f t="shared" si="10"/>
        <v>41083</v>
      </c>
      <c r="E29" s="69">
        <f t="shared" si="6"/>
        <v>41084</v>
      </c>
      <c r="F29" s="68">
        <f t="shared" si="7"/>
        <v>41454</v>
      </c>
      <c r="G29" s="68">
        <f t="shared" si="2"/>
        <v>41455</v>
      </c>
      <c r="H29" s="69">
        <f t="shared" si="8"/>
        <v>41818</v>
      </c>
      <c r="I29" s="69">
        <f t="shared" si="3"/>
        <v>41819</v>
      </c>
      <c r="J29" s="68">
        <f t="shared" si="9"/>
        <v>42182</v>
      </c>
      <c r="K29" s="70">
        <f t="shared" si="4"/>
        <v>42183</v>
      </c>
    </row>
    <row r="30" spans="2:11" x14ac:dyDescent="0.25">
      <c r="B30" s="67">
        <f t="shared" si="5"/>
        <v>40726</v>
      </c>
      <c r="C30" s="68">
        <f t="shared" si="1"/>
        <v>40727</v>
      </c>
      <c r="D30" s="69">
        <f t="shared" si="10"/>
        <v>41090</v>
      </c>
      <c r="E30" s="69">
        <f t="shared" si="6"/>
        <v>41091</v>
      </c>
      <c r="F30" s="68">
        <f t="shared" si="7"/>
        <v>41461</v>
      </c>
      <c r="G30" s="68">
        <f t="shared" si="2"/>
        <v>41462</v>
      </c>
      <c r="H30" s="69">
        <f t="shared" si="8"/>
        <v>41825</v>
      </c>
      <c r="I30" s="69">
        <f t="shared" si="3"/>
        <v>41826</v>
      </c>
      <c r="J30" s="68">
        <f t="shared" si="9"/>
        <v>42189</v>
      </c>
      <c r="K30" s="70">
        <f t="shared" si="4"/>
        <v>42190</v>
      </c>
    </row>
    <row r="31" spans="2:11" x14ac:dyDescent="0.25">
      <c r="B31" s="67">
        <f t="shared" si="5"/>
        <v>40733</v>
      </c>
      <c r="C31" s="68">
        <f t="shared" si="1"/>
        <v>40734</v>
      </c>
      <c r="D31" s="69">
        <f t="shared" si="10"/>
        <v>41097</v>
      </c>
      <c r="E31" s="69">
        <f t="shared" si="6"/>
        <v>41098</v>
      </c>
      <c r="F31" s="68">
        <f t="shared" si="7"/>
        <v>41468</v>
      </c>
      <c r="G31" s="68">
        <f t="shared" si="2"/>
        <v>41469</v>
      </c>
      <c r="H31" s="69">
        <f t="shared" si="8"/>
        <v>41832</v>
      </c>
      <c r="I31" s="69">
        <f t="shared" si="3"/>
        <v>41833</v>
      </c>
      <c r="J31" s="68">
        <f t="shared" si="9"/>
        <v>42196</v>
      </c>
      <c r="K31" s="70">
        <f t="shared" si="4"/>
        <v>42197</v>
      </c>
    </row>
    <row r="32" spans="2:11" x14ac:dyDescent="0.25">
      <c r="B32" s="67">
        <f t="shared" si="5"/>
        <v>40740</v>
      </c>
      <c r="C32" s="68">
        <f t="shared" si="1"/>
        <v>40741</v>
      </c>
      <c r="D32" s="69">
        <f t="shared" si="10"/>
        <v>41104</v>
      </c>
      <c r="E32" s="69">
        <f t="shared" si="6"/>
        <v>41105</v>
      </c>
      <c r="F32" s="68">
        <f t="shared" si="7"/>
        <v>41475</v>
      </c>
      <c r="G32" s="68">
        <f t="shared" si="2"/>
        <v>41476</v>
      </c>
      <c r="H32" s="69">
        <f t="shared" si="8"/>
        <v>41839</v>
      </c>
      <c r="I32" s="69">
        <f t="shared" si="3"/>
        <v>41840</v>
      </c>
      <c r="J32" s="68">
        <f t="shared" si="9"/>
        <v>42203</v>
      </c>
      <c r="K32" s="70">
        <f t="shared" si="4"/>
        <v>42204</v>
      </c>
    </row>
    <row r="33" spans="2:11" x14ac:dyDescent="0.25">
      <c r="B33" s="67">
        <f t="shared" si="5"/>
        <v>40747</v>
      </c>
      <c r="C33" s="68">
        <f t="shared" si="1"/>
        <v>40748</v>
      </c>
      <c r="D33" s="69">
        <f t="shared" si="10"/>
        <v>41111</v>
      </c>
      <c r="E33" s="69">
        <f t="shared" si="6"/>
        <v>41112</v>
      </c>
      <c r="F33" s="68">
        <f t="shared" si="7"/>
        <v>41482</v>
      </c>
      <c r="G33" s="68">
        <f t="shared" si="2"/>
        <v>41483</v>
      </c>
      <c r="H33" s="69">
        <f t="shared" si="8"/>
        <v>41846</v>
      </c>
      <c r="I33" s="69">
        <f t="shared" si="3"/>
        <v>41847</v>
      </c>
      <c r="J33" s="68">
        <f t="shared" si="9"/>
        <v>42210</v>
      </c>
      <c r="K33" s="70">
        <f t="shared" si="4"/>
        <v>42211</v>
      </c>
    </row>
    <row r="34" spans="2:11" x14ac:dyDescent="0.25">
      <c r="B34" s="67">
        <f t="shared" si="5"/>
        <v>40754</v>
      </c>
      <c r="C34" s="68">
        <f t="shared" si="1"/>
        <v>40755</v>
      </c>
      <c r="D34" s="69">
        <f t="shared" si="10"/>
        <v>41118</v>
      </c>
      <c r="E34" s="69">
        <f t="shared" si="6"/>
        <v>41119</v>
      </c>
      <c r="F34" s="68">
        <f t="shared" si="7"/>
        <v>41489</v>
      </c>
      <c r="G34" s="68">
        <f t="shared" si="2"/>
        <v>41490</v>
      </c>
      <c r="H34" s="69">
        <f t="shared" si="8"/>
        <v>41853</v>
      </c>
      <c r="I34" s="69">
        <f t="shared" si="3"/>
        <v>41854</v>
      </c>
      <c r="J34" s="68">
        <f t="shared" si="9"/>
        <v>42217</v>
      </c>
      <c r="K34" s="70">
        <f t="shared" si="4"/>
        <v>42218</v>
      </c>
    </row>
    <row r="35" spans="2:11" x14ac:dyDescent="0.25">
      <c r="B35" s="67">
        <f t="shared" si="5"/>
        <v>40761</v>
      </c>
      <c r="C35" s="68">
        <f t="shared" si="1"/>
        <v>40762</v>
      </c>
      <c r="D35" s="69">
        <f t="shared" si="10"/>
        <v>41125</v>
      </c>
      <c r="E35" s="69">
        <f t="shared" si="6"/>
        <v>41126</v>
      </c>
      <c r="F35" s="68">
        <f t="shared" si="7"/>
        <v>41496</v>
      </c>
      <c r="G35" s="68">
        <f t="shared" si="2"/>
        <v>41497</v>
      </c>
      <c r="H35" s="69">
        <f t="shared" si="8"/>
        <v>41860</v>
      </c>
      <c r="I35" s="69">
        <f t="shared" si="3"/>
        <v>41861</v>
      </c>
      <c r="J35" s="68">
        <f t="shared" si="9"/>
        <v>42224</v>
      </c>
      <c r="K35" s="70">
        <f t="shared" si="4"/>
        <v>42225</v>
      </c>
    </row>
    <row r="36" spans="2:11" x14ac:dyDescent="0.25">
      <c r="B36" s="67">
        <f t="shared" si="5"/>
        <v>40768</v>
      </c>
      <c r="C36" s="68">
        <f t="shared" si="1"/>
        <v>40769</v>
      </c>
      <c r="D36" s="69">
        <f t="shared" si="10"/>
        <v>41132</v>
      </c>
      <c r="E36" s="69">
        <f t="shared" si="6"/>
        <v>41133</v>
      </c>
      <c r="F36" s="68">
        <f t="shared" si="7"/>
        <v>41503</v>
      </c>
      <c r="G36" s="68">
        <f t="shared" si="2"/>
        <v>41504</v>
      </c>
      <c r="H36" s="69">
        <f t="shared" si="8"/>
        <v>41867</v>
      </c>
      <c r="I36" s="69">
        <f t="shared" si="3"/>
        <v>41868</v>
      </c>
      <c r="J36" s="68">
        <f t="shared" si="9"/>
        <v>42231</v>
      </c>
      <c r="K36" s="70">
        <f t="shared" si="4"/>
        <v>42232</v>
      </c>
    </row>
    <row r="37" spans="2:11" x14ac:dyDescent="0.25">
      <c r="B37" s="67">
        <f t="shared" si="5"/>
        <v>40775</v>
      </c>
      <c r="C37" s="68">
        <f t="shared" si="1"/>
        <v>40776</v>
      </c>
      <c r="D37" s="69">
        <f t="shared" si="10"/>
        <v>41139</v>
      </c>
      <c r="E37" s="69">
        <f t="shared" si="6"/>
        <v>41140</v>
      </c>
      <c r="F37" s="68">
        <f t="shared" si="7"/>
        <v>41510</v>
      </c>
      <c r="G37" s="68">
        <f t="shared" si="2"/>
        <v>41511</v>
      </c>
      <c r="H37" s="69">
        <f t="shared" si="8"/>
        <v>41874</v>
      </c>
      <c r="I37" s="69">
        <f t="shared" si="3"/>
        <v>41875</v>
      </c>
      <c r="J37" s="68">
        <f t="shared" si="9"/>
        <v>42238</v>
      </c>
      <c r="K37" s="70">
        <f t="shared" si="4"/>
        <v>42239</v>
      </c>
    </row>
    <row r="38" spans="2:11" x14ac:dyDescent="0.25">
      <c r="B38" s="67">
        <f t="shared" si="5"/>
        <v>40782</v>
      </c>
      <c r="C38" s="68">
        <f t="shared" si="1"/>
        <v>40783</v>
      </c>
      <c r="D38" s="69">
        <f t="shared" si="10"/>
        <v>41146</v>
      </c>
      <c r="E38" s="69">
        <f t="shared" si="6"/>
        <v>41147</v>
      </c>
      <c r="F38" s="68">
        <f t="shared" si="7"/>
        <v>41517</v>
      </c>
      <c r="G38" s="68">
        <f t="shared" si="2"/>
        <v>41518</v>
      </c>
      <c r="H38" s="69">
        <f t="shared" si="8"/>
        <v>41881</v>
      </c>
      <c r="I38" s="69">
        <f t="shared" si="3"/>
        <v>41882</v>
      </c>
      <c r="J38" s="68">
        <f t="shared" si="9"/>
        <v>42245</v>
      </c>
      <c r="K38" s="70">
        <f t="shared" si="4"/>
        <v>42246</v>
      </c>
    </row>
    <row r="39" spans="2:11" x14ac:dyDescent="0.25">
      <c r="B39" s="67">
        <f t="shared" si="5"/>
        <v>40789</v>
      </c>
      <c r="C39" s="68">
        <f t="shared" si="1"/>
        <v>40790</v>
      </c>
      <c r="D39" s="69">
        <f t="shared" si="10"/>
        <v>41153</v>
      </c>
      <c r="E39" s="69">
        <f t="shared" si="6"/>
        <v>41154</v>
      </c>
      <c r="F39" s="68">
        <f t="shared" si="7"/>
        <v>41524</v>
      </c>
      <c r="G39" s="68">
        <f t="shared" si="2"/>
        <v>41525</v>
      </c>
      <c r="H39" s="69">
        <f t="shared" si="8"/>
        <v>41888</v>
      </c>
      <c r="I39" s="69">
        <f t="shared" si="3"/>
        <v>41889</v>
      </c>
      <c r="J39" s="68">
        <f t="shared" si="9"/>
        <v>42252</v>
      </c>
      <c r="K39" s="70">
        <f t="shared" si="4"/>
        <v>42253</v>
      </c>
    </row>
    <row r="40" spans="2:11" x14ac:dyDescent="0.25">
      <c r="B40" s="67">
        <f t="shared" si="5"/>
        <v>40796</v>
      </c>
      <c r="C40" s="68">
        <f t="shared" si="1"/>
        <v>40797</v>
      </c>
      <c r="D40" s="69">
        <f t="shared" si="10"/>
        <v>41160</v>
      </c>
      <c r="E40" s="69">
        <f t="shared" si="6"/>
        <v>41161</v>
      </c>
      <c r="F40" s="68">
        <f t="shared" si="7"/>
        <v>41531</v>
      </c>
      <c r="G40" s="68">
        <f t="shared" si="2"/>
        <v>41532</v>
      </c>
      <c r="H40" s="69">
        <f t="shared" si="8"/>
        <v>41895</v>
      </c>
      <c r="I40" s="69">
        <f t="shared" si="3"/>
        <v>41896</v>
      </c>
      <c r="J40" s="68">
        <f t="shared" si="9"/>
        <v>42259</v>
      </c>
      <c r="K40" s="70">
        <f t="shared" si="4"/>
        <v>42260</v>
      </c>
    </row>
    <row r="41" spans="2:11" x14ac:dyDescent="0.25">
      <c r="B41" s="67">
        <f t="shared" si="5"/>
        <v>40803</v>
      </c>
      <c r="C41" s="68">
        <f t="shared" si="1"/>
        <v>40804</v>
      </c>
      <c r="D41" s="69">
        <f t="shared" si="10"/>
        <v>41167</v>
      </c>
      <c r="E41" s="69">
        <f t="shared" si="6"/>
        <v>41168</v>
      </c>
      <c r="F41" s="68">
        <f t="shared" si="7"/>
        <v>41538</v>
      </c>
      <c r="G41" s="68">
        <f t="shared" si="2"/>
        <v>41539</v>
      </c>
      <c r="H41" s="69">
        <f t="shared" si="8"/>
        <v>41902</v>
      </c>
      <c r="I41" s="69">
        <f t="shared" si="3"/>
        <v>41903</v>
      </c>
      <c r="J41" s="68">
        <f t="shared" si="9"/>
        <v>42266</v>
      </c>
      <c r="K41" s="70">
        <f t="shared" si="4"/>
        <v>42267</v>
      </c>
    </row>
    <row r="42" spans="2:11" x14ac:dyDescent="0.25">
      <c r="B42" s="67">
        <f t="shared" si="5"/>
        <v>40810</v>
      </c>
      <c r="C42" s="68">
        <f t="shared" si="1"/>
        <v>40811</v>
      </c>
      <c r="D42" s="69">
        <f t="shared" si="10"/>
        <v>41174</v>
      </c>
      <c r="E42" s="69">
        <f t="shared" si="6"/>
        <v>41175</v>
      </c>
      <c r="F42" s="68">
        <f t="shared" si="7"/>
        <v>41545</v>
      </c>
      <c r="G42" s="68">
        <f t="shared" si="2"/>
        <v>41546</v>
      </c>
      <c r="H42" s="69">
        <f t="shared" si="8"/>
        <v>41909</v>
      </c>
      <c r="I42" s="69">
        <f t="shared" si="3"/>
        <v>41910</v>
      </c>
      <c r="J42" s="68">
        <f t="shared" si="9"/>
        <v>42273</v>
      </c>
      <c r="K42" s="70">
        <f t="shared" si="4"/>
        <v>42274</v>
      </c>
    </row>
    <row r="43" spans="2:11" x14ac:dyDescent="0.25">
      <c r="B43" s="67">
        <f t="shared" si="5"/>
        <v>40817</v>
      </c>
      <c r="C43" s="68">
        <f t="shared" si="1"/>
        <v>40818</v>
      </c>
      <c r="D43" s="69">
        <f t="shared" si="10"/>
        <v>41181</v>
      </c>
      <c r="E43" s="69">
        <f t="shared" si="6"/>
        <v>41182</v>
      </c>
      <c r="F43" s="68">
        <f t="shared" si="7"/>
        <v>41552</v>
      </c>
      <c r="G43" s="68">
        <f t="shared" si="2"/>
        <v>41553</v>
      </c>
      <c r="H43" s="69">
        <f t="shared" si="8"/>
        <v>41916</v>
      </c>
      <c r="I43" s="69">
        <f t="shared" si="3"/>
        <v>41917</v>
      </c>
      <c r="J43" s="68">
        <f t="shared" si="9"/>
        <v>42280</v>
      </c>
      <c r="K43" s="70">
        <f t="shared" si="4"/>
        <v>42281</v>
      </c>
    </row>
    <row r="44" spans="2:11" x14ac:dyDescent="0.25">
      <c r="B44" s="67">
        <f t="shared" si="5"/>
        <v>40824</v>
      </c>
      <c r="C44" s="68">
        <f t="shared" si="1"/>
        <v>40825</v>
      </c>
      <c r="D44" s="69">
        <f t="shared" si="10"/>
        <v>41188</v>
      </c>
      <c r="E44" s="69">
        <f t="shared" si="6"/>
        <v>41189</v>
      </c>
      <c r="F44" s="68">
        <f t="shared" si="7"/>
        <v>41559</v>
      </c>
      <c r="G44" s="68">
        <f t="shared" si="2"/>
        <v>41560</v>
      </c>
      <c r="H44" s="69">
        <f t="shared" si="8"/>
        <v>41923</v>
      </c>
      <c r="I44" s="69">
        <f t="shared" si="3"/>
        <v>41924</v>
      </c>
      <c r="J44" s="68">
        <f t="shared" si="9"/>
        <v>42287</v>
      </c>
      <c r="K44" s="70">
        <f t="shared" si="4"/>
        <v>42288</v>
      </c>
    </row>
    <row r="45" spans="2:11" x14ac:dyDescent="0.25">
      <c r="B45" s="67">
        <f t="shared" si="5"/>
        <v>40831</v>
      </c>
      <c r="C45" s="68">
        <f t="shared" si="1"/>
        <v>40832</v>
      </c>
      <c r="D45" s="69">
        <f t="shared" si="10"/>
        <v>41195</v>
      </c>
      <c r="E45" s="69">
        <f t="shared" si="6"/>
        <v>41196</v>
      </c>
      <c r="F45" s="68">
        <f t="shared" si="7"/>
        <v>41566</v>
      </c>
      <c r="G45" s="68">
        <f t="shared" si="2"/>
        <v>41567</v>
      </c>
      <c r="H45" s="69">
        <f t="shared" si="8"/>
        <v>41930</v>
      </c>
      <c r="I45" s="69">
        <f t="shared" si="3"/>
        <v>41931</v>
      </c>
      <c r="J45" s="68">
        <f t="shared" si="9"/>
        <v>42294</v>
      </c>
      <c r="K45" s="70">
        <f t="shared" si="4"/>
        <v>42295</v>
      </c>
    </row>
    <row r="46" spans="2:11" x14ac:dyDescent="0.25">
      <c r="B46" s="67">
        <f t="shared" si="5"/>
        <v>40838</v>
      </c>
      <c r="C46" s="68">
        <f t="shared" si="1"/>
        <v>40839</v>
      </c>
      <c r="D46" s="69">
        <f t="shared" si="10"/>
        <v>41202</v>
      </c>
      <c r="E46" s="69">
        <f t="shared" si="6"/>
        <v>41203</v>
      </c>
      <c r="F46" s="68">
        <f t="shared" si="7"/>
        <v>41573</v>
      </c>
      <c r="G46" s="68">
        <f t="shared" si="2"/>
        <v>41574</v>
      </c>
      <c r="H46" s="69">
        <f t="shared" si="8"/>
        <v>41937</v>
      </c>
      <c r="I46" s="69">
        <f t="shared" si="3"/>
        <v>41938</v>
      </c>
      <c r="J46" s="68">
        <f t="shared" si="9"/>
        <v>42301</v>
      </c>
      <c r="K46" s="70">
        <f t="shared" si="4"/>
        <v>42302</v>
      </c>
    </row>
    <row r="47" spans="2:11" x14ac:dyDescent="0.25">
      <c r="B47" s="67">
        <f t="shared" si="5"/>
        <v>40845</v>
      </c>
      <c r="C47" s="68">
        <f t="shared" si="1"/>
        <v>40846</v>
      </c>
      <c r="D47" s="69">
        <f t="shared" si="10"/>
        <v>41209</v>
      </c>
      <c r="E47" s="69">
        <f t="shared" si="6"/>
        <v>41210</v>
      </c>
      <c r="F47" s="68">
        <f t="shared" si="7"/>
        <v>41580</v>
      </c>
      <c r="G47" s="68">
        <f t="shared" si="2"/>
        <v>41581</v>
      </c>
      <c r="H47" s="69">
        <f t="shared" si="8"/>
        <v>41944</v>
      </c>
      <c r="I47" s="69">
        <f t="shared" si="3"/>
        <v>41945</v>
      </c>
      <c r="J47" s="68">
        <f t="shared" si="9"/>
        <v>42308</v>
      </c>
      <c r="K47" s="70">
        <f t="shared" si="4"/>
        <v>42309</v>
      </c>
    </row>
    <row r="48" spans="2:11" x14ac:dyDescent="0.25">
      <c r="B48" s="67">
        <f t="shared" si="5"/>
        <v>40852</v>
      </c>
      <c r="C48" s="68">
        <f t="shared" si="1"/>
        <v>40853</v>
      </c>
      <c r="D48" s="69">
        <f t="shared" si="10"/>
        <v>41216</v>
      </c>
      <c r="E48" s="69">
        <f t="shared" si="6"/>
        <v>41217</v>
      </c>
      <c r="F48" s="68">
        <f t="shared" si="7"/>
        <v>41587</v>
      </c>
      <c r="G48" s="68">
        <f t="shared" si="2"/>
        <v>41588</v>
      </c>
      <c r="H48" s="69">
        <f t="shared" si="8"/>
        <v>41951</v>
      </c>
      <c r="I48" s="69">
        <f t="shared" si="3"/>
        <v>41952</v>
      </c>
      <c r="J48" s="68">
        <f t="shared" si="9"/>
        <v>42315</v>
      </c>
      <c r="K48" s="70">
        <f t="shared" si="4"/>
        <v>42316</v>
      </c>
    </row>
    <row r="49" spans="1:11" x14ac:dyDescent="0.25">
      <c r="B49" s="67">
        <f t="shared" si="5"/>
        <v>40859</v>
      </c>
      <c r="C49" s="68">
        <f t="shared" si="1"/>
        <v>40860</v>
      </c>
      <c r="D49" s="69">
        <f t="shared" si="10"/>
        <v>41223</v>
      </c>
      <c r="E49" s="69">
        <f t="shared" si="6"/>
        <v>41224</v>
      </c>
      <c r="F49" s="68">
        <f t="shared" si="7"/>
        <v>41594</v>
      </c>
      <c r="G49" s="68">
        <f t="shared" si="2"/>
        <v>41595</v>
      </c>
      <c r="H49" s="69">
        <f t="shared" si="8"/>
        <v>41958</v>
      </c>
      <c r="I49" s="69">
        <f t="shared" si="3"/>
        <v>41959</v>
      </c>
      <c r="J49" s="68">
        <f t="shared" si="9"/>
        <v>42322</v>
      </c>
      <c r="K49" s="70">
        <f t="shared" si="4"/>
        <v>42323</v>
      </c>
    </row>
    <row r="50" spans="1:11" x14ac:dyDescent="0.25">
      <c r="B50" s="67">
        <f t="shared" si="5"/>
        <v>40866</v>
      </c>
      <c r="C50" s="68">
        <f t="shared" si="1"/>
        <v>40867</v>
      </c>
      <c r="D50" s="69">
        <f t="shared" si="10"/>
        <v>41230</v>
      </c>
      <c r="E50" s="69">
        <f t="shared" si="6"/>
        <v>41231</v>
      </c>
      <c r="F50" s="68">
        <f t="shared" si="7"/>
        <v>41601</v>
      </c>
      <c r="G50" s="68">
        <f t="shared" si="2"/>
        <v>41602</v>
      </c>
      <c r="H50" s="69">
        <f t="shared" si="8"/>
        <v>41965</v>
      </c>
      <c r="I50" s="69">
        <f t="shared" si="3"/>
        <v>41966</v>
      </c>
      <c r="J50" s="68">
        <f t="shared" si="9"/>
        <v>42329</v>
      </c>
      <c r="K50" s="70">
        <f t="shared" si="4"/>
        <v>42330</v>
      </c>
    </row>
    <row r="51" spans="1:11" x14ac:dyDescent="0.25">
      <c r="B51" s="67">
        <f t="shared" si="5"/>
        <v>40873</v>
      </c>
      <c r="C51" s="68">
        <f t="shared" si="1"/>
        <v>40874</v>
      </c>
      <c r="D51" s="69">
        <f t="shared" si="10"/>
        <v>41237</v>
      </c>
      <c r="E51" s="69">
        <f t="shared" si="6"/>
        <v>41238</v>
      </c>
      <c r="F51" s="68">
        <f t="shared" si="7"/>
        <v>41608</v>
      </c>
      <c r="G51" s="68">
        <f t="shared" si="2"/>
        <v>41609</v>
      </c>
      <c r="H51" s="69">
        <f t="shared" si="8"/>
        <v>41972</v>
      </c>
      <c r="I51" s="69">
        <f t="shared" si="3"/>
        <v>41973</v>
      </c>
      <c r="J51" s="68">
        <f t="shared" si="9"/>
        <v>42336</v>
      </c>
      <c r="K51" s="70">
        <f t="shared" si="4"/>
        <v>42337</v>
      </c>
    </row>
    <row r="52" spans="1:11" x14ac:dyDescent="0.25">
      <c r="B52" s="67">
        <f t="shared" si="5"/>
        <v>40880</v>
      </c>
      <c r="C52" s="68">
        <f t="shared" si="1"/>
        <v>40881</v>
      </c>
      <c r="D52" s="69">
        <f t="shared" si="10"/>
        <v>41244</v>
      </c>
      <c r="E52" s="69">
        <f t="shared" si="6"/>
        <v>41245</v>
      </c>
      <c r="F52" s="68">
        <f t="shared" si="7"/>
        <v>41615</v>
      </c>
      <c r="G52" s="68">
        <f t="shared" si="2"/>
        <v>41616</v>
      </c>
      <c r="H52" s="69">
        <f t="shared" si="8"/>
        <v>41979</v>
      </c>
      <c r="I52" s="69">
        <f t="shared" si="3"/>
        <v>41980</v>
      </c>
      <c r="J52" s="68">
        <f t="shared" si="9"/>
        <v>42343</v>
      </c>
      <c r="K52" s="70">
        <f t="shared" si="4"/>
        <v>42344</v>
      </c>
    </row>
    <row r="53" spans="1:11" x14ac:dyDescent="0.25">
      <c r="B53" s="67">
        <f t="shared" si="5"/>
        <v>40887</v>
      </c>
      <c r="C53" s="68">
        <f t="shared" si="1"/>
        <v>40888</v>
      </c>
      <c r="D53" s="69">
        <f t="shared" si="10"/>
        <v>41251</v>
      </c>
      <c r="E53" s="69">
        <f t="shared" si="6"/>
        <v>41252</v>
      </c>
      <c r="F53" s="68">
        <f t="shared" si="7"/>
        <v>41622</v>
      </c>
      <c r="G53" s="68">
        <f t="shared" si="2"/>
        <v>41623</v>
      </c>
      <c r="H53" s="69">
        <f t="shared" si="8"/>
        <v>41986</v>
      </c>
      <c r="I53" s="69">
        <f t="shared" si="3"/>
        <v>41987</v>
      </c>
      <c r="J53" s="68">
        <f t="shared" si="9"/>
        <v>42350</v>
      </c>
      <c r="K53" s="70">
        <f t="shared" si="4"/>
        <v>42351</v>
      </c>
    </row>
    <row r="54" spans="1:11" x14ac:dyDescent="0.25">
      <c r="B54" s="67">
        <f t="shared" si="5"/>
        <v>40894</v>
      </c>
      <c r="C54" s="68">
        <f t="shared" si="1"/>
        <v>40895</v>
      </c>
      <c r="D54" s="69">
        <f t="shared" si="10"/>
        <v>41258</v>
      </c>
      <c r="E54" s="69">
        <f t="shared" si="6"/>
        <v>41259</v>
      </c>
      <c r="F54" s="68">
        <f t="shared" si="7"/>
        <v>41629</v>
      </c>
      <c r="G54" s="68">
        <f t="shared" si="2"/>
        <v>41630</v>
      </c>
      <c r="H54" s="69">
        <f t="shared" si="8"/>
        <v>41993</v>
      </c>
      <c r="I54" s="69">
        <f t="shared" si="3"/>
        <v>41994</v>
      </c>
      <c r="J54" s="68">
        <f t="shared" si="9"/>
        <v>42357</v>
      </c>
      <c r="K54" s="70">
        <f t="shared" si="4"/>
        <v>42358</v>
      </c>
    </row>
    <row r="55" spans="1:11" x14ac:dyDescent="0.25">
      <c r="B55" s="67">
        <f t="shared" si="5"/>
        <v>40901</v>
      </c>
      <c r="C55" s="68">
        <f t="shared" si="1"/>
        <v>40902</v>
      </c>
      <c r="D55" s="69">
        <f t="shared" si="10"/>
        <v>41265</v>
      </c>
      <c r="E55" s="69">
        <f t="shared" si="6"/>
        <v>41266</v>
      </c>
      <c r="F55" s="68">
        <f t="shared" si="7"/>
        <v>41636</v>
      </c>
      <c r="G55" s="68">
        <f t="shared" si="2"/>
        <v>41637</v>
      </c>
      <c r="H55" s="69">
        <f t="shared" si="8"/>
        <v>42000</v>
      </c>
      <c r="I55" s="69">
        <f t="shared" si="3"/>
        <v>42001</v>
      </c>
      <c r="J55" s="68">
        <f t="shared" si="9"/>
        <v>42364</v>
      </c>
      <c r="K55" s="70">
        <f t="shared" si="4"/>
        <v>42365</v>
      </c>
    </row>
    <row r="56" spans="1:11" ht="15.75" thickBot="1" x14ac:dyDescent="0.3">
      <c r="B56" s="71">
        <f t="shared" si="5"/>
        <v>40908</v>
      </c>
      <c r="C56" s="72"/>
      <c r="D56" s="73">
        <f t="shared" si="10"/>
        <v>41272</v>
      </c>
      <c r="E56" s="73">
        <f t="shared" si="6"/>
        <v>41273</v>
      </c>
      <c r="F56" s="72"/>
      <c r="G56" s="72"/>
      <c r="H56" s="73"/>
      <c r="I56" s="73"/>
      <c r="J56" s="72"/>
      <c r="K56" s="74"/>
    </row>
    <row r="57" spans="1:11" ht="15.75" thickTop="1" x14ac:dyDescent="0.25">
      <c r="A57" s="75" t="s">
        <v>2024</v>
      </c>
      <c r="B57" s="76">
        <v>40902</v>
      </c>
      <c r="C57" s="77">
        <v>40900</v>
      </c>
      <c r="D57" s="78">
        <v>41268</v>
      </c>
      <c r="E57" s="78">
        <v>40910</v>
      </c>
      <c r="F57" s="77">
        <v>41633</v>
      </c>
      <c r="G57" s="77">
        <v>41276</v>
      </c>
      <c r="H57" s="78">
        <v>41998</v>
      </c>
      <c r="I57" s="78">
        <v>41641</v>
      </c>
      <c r="J57" s="77">
        <v>42363</v>
      </c>
      <c r="K57" s="79">
        <v>42006</v>
      </c>
    </row>
    <row r="58" spans="1:11" x14ac:dyDescent="0.25">
      <c r="A58" s="75" t="s">
        <v>2025</v>
      </c>
      <c r="B58" s="67">
        <v>40904</v>
      </c>
      <c r="C58" s="68">
        <v>40901</v>
      </c>
      <c r="D58" s="69">
        <v>41269</v>
      </c>
      <c r="E58" s="69">
        <v>40911</v>
      </c>
      <c r="F58" s="68">
        <v>41634</v>
      </c>
      <c r="G58" s="68">
        <v>41277</v>
      </c>
      <c r="H58" s="69">
        <v>41999</v>
      </c>
      <c r="I58" s="69">
        <v>41642</v>
      </c>
      <c r="J58" s="68">
        <v>42364</v>
      </c>
      <c r="K58" s="70">
        <v>42009</v>
      </c>
    </row>
    <row r="59" spans="1:11" x14ac:dyDescent="0.25">
      <c r="A59" s="75" t="s">
        <v>2026</v>
      </c>
      <c r="B59" s="67">
        <v>40544</v>
      </c>
      <c r="C59" s="68">
        <v>40905</v>
      </c>
      <c r="D59" s="69">
        <v>40909</v>
      </c>
      <c r="E59" s="69">
        <v>40912</v>
      </c>
      <c r="F59" s="68">
        <v>41275</v>
      </c>
      <c r="G59" s="68">
        <v>41278</v>
      </c>
      <c r="H59" s="69">
        <v>41640</v>
      </c>
      <c r="I59" s="69">
        <v>41995</v>
      </c>
      <c r="J59" s="68">
        <v>42005</v>
      </c>
      <c r="K59" s="70">
        <v>42010</v>
      </c>
    </row>
    <row r="60" spans="1:11" x14ac:dyDescent="0.25">
      <c r="A60" s="75" t="s">
        <v>2027</v>
      </c>
      <c r="B60" s="67">
        <v>40569</v>
      </c>
      <c r="C60" s="68">
        <v>40906</v>
      </c>
      <c r="D60" s="69" t="s">
        <v>2027</v>
      </c>
      <c r="E60" s="69">
        <v>40913</v>
      </c>
      <c r="F60" s="68">
        <v>41302</v>
      </c>
      <c r="G60" s="68">
        <v>41631</v>
      </c>
      <c r="H60" s="69">
        <v>41666</v>
      </c>
      <c r="I60" s="69">
        <v>41996</v>
      </c>
      <c r="J60" s="68">
        <v>42030</v>
      </c>
      <c r="K60" s="70">
        <v>42011</v>
      </c>
    </row>
    <row r="61" spans="1:11" x14ac:dyDescent="0.25">
      <c r="A61" s="75" t="s">
        <v>2028</v>
      </c>
      <c r="B61" s="67">
        <v>40655</v>
      </c>
      <c r="C61" s="68">
        <v>40907</v>
      </c>
      <c r="D61" s="69">
        <v>41005</v>
      </c>
      <c r="E61" s="69">
        <v>40914</v>
      </c>
      <c r="F61" s="68">
        <v>41362</v>
      </c>
      <c r="G61" s="68">
        <v>41632</v>
      </c>
      <c r="H61" s="69">
        <v>41747</v>
      </c>
      <c r="I61" s="69">
        <v>41997</v>
      </c>
      <c r="J61" s="68">
        <v>42097</v>
      </c>
      <c r="K61" s="70">
        <v>42012</v>
      </c>
    </row>
    <row r="62" spans="1:11" x14ac:dyDescent="0.25">
      <c r="A62" s="75" t="s">
        <v>2029</v>
      </c>
      <c r="B62" s="67">
        <v>40658</v>
      </c>
      <c r="C62" s="68"/>
      <c r="D62" s="69">
        <v>41008</v>
      </c>
      <c r="E62" s="69">
        <v>41267</v>
      </c>
      <c r="F62" s="68">
        <v>41365</v>
      </c>
      <c r="G62" s="68">
        <v>41635</v>
      </c>
      <c r="H62" s="69">
        <v>41750</v>
      </c>
      <c r="I62" s="69">
        <v>42002</v>
      </c>
      <c r="J62" s="68">
        <v>42100</v>
      </c>
      <c r="K62" s="70">
        <v>42013</v>
      </c>
    </row>
    <row r="63" spans="1:11" x14ac:dyDescent="0.25">
      <c r="A63" s="75" t="s">
        <v>2030</v>
      </c>
      <c r="B63" s="67">
        <v>40659</v>
      </c>
      <c r="C63" s="68"/>
      <c r="D63" s="69">
        <v>41024</v>
      </c>
      <c r="E63" s="69">
        <v>41270</v>
      </c>
      <c r="F63" s="68">
        <v>41389</v>
      </c>
      <c r="G63" s="68">
        <v>41638</v>
      </c>
      <c r="H63" s="69">
        <v>41754</v>
      </c>
      <c r="I63" s="69">
        <v>42003</v>
      </c>
      <c r="J63" s="68">
        <v>42121</v>
      </c>
      <c r="K63" s="70">
        <v>42362</v>
      </c>
    </row>
    <row r="64" spans="1:11" x14ac:dyDescent="0.25">
      <c r="A64" s="75" t="s">
        <v>2031</v>
      </c>
      <c r="B64" s="67">
        <v>40665</v>
      </c>
      <c r="C64" s="68"/>
      <c r="D64" s="69">
        <v>41036</v>
      </c>
      <c r="E64" s="69">
        <v>41271</v>
      </c>
      <c r="F64" s="68">
        <v>41435</v>
      </c>
      <c r="G64" s="68">
        <v>41639</v>
      </c>
      <c r="H64" s="69">
        <v>41918</v>
      </c>
      <c r="I64" s="69">
        <v>42004</v>
      </c>
      <c r="J64" s="68">
        <v>42282</v>
      </c>
      <c r="K64" s="70">
        <v>42365</v>
      </c>
    </row>
    <row r="65" spans="1:11" x14ac:dyDescent="0.25">
      <c r="A65" s="75" t="s">
        <v>2032</v>
      </c>
      <c r="B65" s="67">
        <v>40707</v>
      </c>
      <c r="C65" s="68"/>
      <c r="D65" s="69">
        <v>41071</v>
      </c>
      <c r="E65" s="69">
        <v>41274</v>
      </c>
      <c r="F65" s="68">
        <v>41554</v>
      </c>
      <c r="G65" s="68"/>
      <c r="H65" s="69">
        <v>41799</v>
      </c>
      <c r="I65" s="69"/>
      <c r="J65" s="68">
        <v>42163</v>
      </c>
      <c r="K65" s="70">
        <v>42366</v>
      </c>
    </row>
    <row r="66" spans="1:11" x14ac:dyDescent="0.25">
      <c r="B66" s="67"/>
      <c r="C66" s="68"/>
      <c r="D66" s="69"/>
      <c r="E66" s="69"/>
      <c r="F66" s="68"/>
      <c r="G66" s="68"/>
      <c r="H66" s="80"/>
      <c r="I66" s="80"/>
      <c r="J66" s="68"/>
      <c r="K66" s="70">
        <v>42367</v>
      </c>
    </row>
    <row r="67" spans="1:11" x14ac:dyDescent="0.25">
      <c r="B67" s="67"/>
      <c r="C67" s="68"/>
      <c r="D67" s="69"/>
      <c r="E67" s="69"/>
      <c r="F67" s="68"/>
      <c r="G67" s="68"/>
      <c r="H67" s="80"/>
      <c r="I67" s="80"/>
      <c r="J67" s="68"/>
      <c r="K67" s="70">
        <v>42368</v>
      </c>
    </row>
    <row r="68" spans="1:11" x14ac:dyDescent="0.25">
      <c r="B68" s="67"/>
      <c r="C68" s="68"/>
      <c r="D68" s="69"/>
      <c r="E68" s="69"/>
      <c r="F68" s="68"/>
      <c r="G68" s="68"/>
      <c r="H68" s="80"/>
      <c r="I68" s="80"/>
      <c r="J68" s="68"/>
      <c r="K68" s="70">
        <v>42369</v>
      </c>
    </row>
    <row r="69" spans="1:11" ht="15.75" thickBot="1" x14ac:dyDescent="0.3">
      <c r="B69" s="81"/>
      <c r="C69" s="82" t="s">
        <v>2033</v>
      </c>
      <c r="D69" s="83"/>
      <c r="E69" s="82" t="s">
        <v>2033</v>
      </c>
      <c r="F69" s="84"/>
      <c r="G69" s="82" t="s">
        <v>2033</v>
      </c>
      <c r="H69" s="85"/>
      <c r="I69" s="82" t="s">
        <v>2033</v>
      </c>
      <c r="J69" s="84"/>
      <c r="K69" s="86" t="s">
        <v>2033</v>
      </c>
    </row>
    <row r="70" spans="1:11" ht="15.75" thickBot="1" x14ac:dyDescent="0.3">
      <c r="B70" s="87"/>
      <c r="C70" s="87"/>
      <c r="D70" s="87"/>
      <c r="E70" s="87"/>
      <c r="F70" s="30"/>
      <c r="G70" s="30"/>
      <c r="H70" s="30"/>
      <c r="I70" s="30"/>
      <c r="J70" s="30"/>
      <c r="K70" s="30"/>
    </row>
    <row r="71" spans="1:11" ht="19.5" thickBot="1" x14ac:dyDescent="0.35">
      <c r="A71" s="88" t="s">
        <v>2034</v>
      </c>
      <c r="B71" s="87"/>
      <c r="C71" s="89">
        <v>9</v>
      </c>
      <c r="D71" s="87"/>
      <c r="E71" s="87"/>
      <c r="F71" s="30"/>
      <c r="G71" s="30"/>
      <c r="H71" s="30"/>
      <c r="I71" s="30"/>
      <c r="J71" s="30"/>
      <c r="K71" s="30"/>
    </row>
    <row r="72" spans="1:11" x14ac:dyDescent="0.25">
      <c r="A72" s="90" t="s">
        <v>2035</v>
      </c>
      <c r="B72" s="91"/>
      <c r="C72" s="91">
        <v>40833</v>
      </c>
      <c r="D72" s="87"/>
      <c r="E72" s="87"/>
      <c r="F72" s="30"/>
      <c r="G72" s="30"/>
      <c r="H72" s="30"/>
      <c r="I72" s="30"/>
      <c r="J72" s="30"/>
      <c r="K72" s="30"/>
    </row>
  </sheetData>
  <mergeCells count="6">
    <mergeCell ref="B1:K1"/>
    <mergeCell ref="B2:C2"/>
    <mergeCell ref="D2:E2"/>
    <mergeCell ref="F2:G2"/>
    <mergeCell ref="H2:I2"/>
    <mergeCell ref="J2:K2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7FB12-8CEF-480B-AF6A-CA45ADA2FDC9}">
  <dimension ref="A1:T403"/>
  <sheetViews>
    <sheetView topLeftCell="A251" workbookViewId="0">
      <selection activeCell="B419" sqref="B419"/>
    </sheetView>
  </sheetViews>
  <sheetFormatPr defaultRowHeight="15" x14ac:dyDescent="0.25"/>
  <cols>
    <col min="1" max="1" width="9.140625" style="30"/>
    <col min="2" max="2" width="55.140625" style="16" bestFit="1" customWidth="1"/>
    <col min="3" max="3" width="10.42578125" style="30" bestFit="1" customWidth="1"/>
    <col min="4" max="4" width="36.140625" style="125" customWidth="1"/>
    <col min="5" max="5" width="18.28515625" style="125" customWidth="1"/>
    <col min="6" max="6" width="20.85546875" customWidth="1"/>
    <col min="7" max="7" width="10.7109375" bestFit="1" customWidth="1"/>
    <col min="8" max="9" width="11.28515625" bestFit="1" customWidth="1"/>
    <col min="10" max="10" width="10.5703125" bestFit="1" customWidth="1"/>
    <col min="11" max="11" width="9.85546875" bestFit="1" customWidth="1"/>
    <col min="12" max="12" width="10.140625" bestFit="1" customWidth="1"/>
    <col min="13" max="13" width="9.7109375" bestFit="1" customWidth="1"/>
    <col min="14" max="14" width="10.42578125" bestFit="1" customWidth="1"/>
    <col min="15" max="15" width="9.5703125" bestFit="1" customWidth="1"/>
    <col min="16" max="16" width="9" bestFit="1" customWidth="1"/>
    <col min="17" max="17" width="10" bestFit="1" customWidth="1"/>
    <col min="18" max="18" width="9.85546875" bestFit="1" customWidth="1"/>
    <col min="19" max="19" width="9.5703125" bestFit="1" customWidth="1"/>
    <col min="20" max="20" width="10.140625" bestFit="1" customWidth="1"/>
  </cols>
  <sheetData>
    <row r="1" spans="1:20" s="30" customFormat="1" x14ac:dyDescent="0.25">
      <c r="A1" s="228" t="s">
        <v>2397</v>
      </c>
      <c r="B1" s="228" t="s">
        <v>2404</v>
      </c>
      <c r="C1" s="228" t="s">
        <v>2405</v>
      </c>
      <c r="D1" s="228" t="s">
        <v>2982</v>
      </c>
      <c r="E1" s="228" t="s">
        <v>2983</v>
      </c>
      <c r="F1" s="229" t="s">
        <v>2984</v>
      </c>
      <c r="G1" s="232" t="str">
        <f>'Budget &amp; Revenue'!M1</f>
        <v>%C - Oct 11</v>
      </c>
      <c r="H1" s="232" t="str">
        <f>'Budget &amp; Revenue'!O1</f>
        <v>%C - Nov 11</v>
      </c>
      <c r="I1" s="232" t="str">
        <f>'Budget &amp; Revenue'!Q1</f>
        <v>%C - Dec-11</v>
      </c>
      <c r="J1" s="232" t="str">
        <f>'Budget &amp; Revenue'!S1</f>
        <v>%C - Jan 12</v>
      </c>
      <c r="K1" s="232" t="str">
        <f>'Budget &amp; Revenue'!U1</f>
        <v>%C Feb 12</v>
      </c>
      <c r="L1" s="232" t="str">
        <f>'Budget &amp; Revenue'!W1</f>
        <v>%C Mar 12</v>
      </c>
      <c r="M1" s="232" t="str">
        <f>'Budget &amp; Revenue'!Y1</f>
        <v>%C Apr 12</v>
      </c>
      <c r="N1" s="232" t="str">
        <f>'Budget &amp; Revenue'!AA1</f>
        <v>%C May 12</v>
      </c>
      <c r="O1" s="232" t="str">
        <f>'Budget &amp; Revenue'!AC1</f>
        <v>%C Jun 12</v>
      </c>
      <c r="P1" s="232" t="str">
        <f>'Budget &amp; Revenue'!AE1</f>
        <v>%C Jul 12</v>
      </c>
      <c r="Q1" s="232" t="str">
        <f>'Budget &amp; Revenue'!AG1</f>
        <v>%C Aug 12</v>
      </c>
      <c r="R1" s="232" t="str">
        <f>'Budget &amp; Revenue'!AI1</f>
        <v>%C Sep 12</v>
      </c>
      <c r="S1" s="232" t="str">
        <f>'Budget &amp; Revenue'!AK1</f>
        <v>%C Oct 12</v>
      </c>
      <c r="T1" s="232" t="str">
        <f>'Budget &amp; Revenue'!AM1</f>
        <v>%C Nov 12</v>
      </c>
    </row>
    <row r="2" spans="1:20" ht="30" x14ac:dyDescent="0.25">
      <c r="A2" s="80">
        <v>1</v>
      </c>
      <c r="B2" s="201" t="s">
        <v>2980</v>
      </c>
      <c r="C2" s="80">
        <v>1</v>
      </c>
      <c r="D2" s="233"/>
      <c r="E2" s="234" t="s">
        <v>2985</v>
      </c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</row>
    <row r="3" spans="1:20" ht="30" x14ac:dyDescent="0.25">
      <c r="A3" s="80">
        <v>2</v>
      </c>
      <c r="B3" s="201" t="s">
        <v>2981</v>
      </c>
      <c r="C3" s="80">
        <v>1</v>
      </c>
      <c r="D3" s="234" t="s">
        <v>3085</v>
      </c>
      <c r="E3" s="233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</row>
    <row r="4" spans="1:20" s="10" customFormat="1" x14ac:dyDescent="0.25">
      <c r="A4" s="92">
        <v>1000</v>
      </c>
      <c r="B4" s="212" t="str">
        <f>VLOOKUP(A4,Estimate!A:C,3,FALSE)</f>
        <v>ANZAC STREET</v>
      </c>
      <c r="C4" s="92">
        <f>VLOOKUP(A4,Estimate!A:L,12,FALSE)</f>
        <v>0</v>
      </c>
      <c r="D4" s="234">
        <v>2</v>
      </c>
      <c r="E4" s="234" t="s">
        <v>3086</v>
      </c>
      <c r="F4" s="235" t="str">
        <f>IFERROR(VLOOKUP(A4,'Budget &amp; Revenue'!A:E,5,FALSE)," ")</f>
        <v xml:space="preserve"> </v>
      </c>
      <c r="G4" s="211"/>
      <c r="H4" s="211"/>
      <c r="I4" s="211"/>
      <c r="J4" s="211"/>
      <c r="K4" s="211"/>
      <c r="L4" s="211"/>
      <c r="M4" s="211"/>
      <c r="N4" s="211"/>
      <c r="O4" s="211"/>
      <c r="P4" s="211"/>
      <c r="Q4" s="211"/>
      <c r="R4" s="211"/>
      <c r="S4" s="211"/>
      <c r="T4" s="211"/>
    </row>
    <row r="5" spans="1:20" x14ac:dyDescent="0.25">
      <c r="A5" s="80">
        <v>5</v>
      </c>
      <c r="B5" s="201" t="str">
        <f>VLOOKUP(A5,Estimate!A:C,3,FALSE)</f>
        <v>Quality System Documents &amp; Records (for entire Package A)</v>
      </c>
      <c r="C5" s="80">
        <f>VLOOKUP(A5,Estimate!A:L,12,FALSE)</f>
        <v>0</v>
      </c>
      <c r="D5" s="234">
        <v>4</v>
      </c>
      <c r="E5" s="234">
        <v>6</v>
      </c>
      <c r="F5" s="235">
        <f>IFERROR(VLOOKUP(A5,Estimate!A:Q,17,FALSE)," ")</f>
        <v>39000</v>
      </c>
      <c r="G5" s="204">
        <f>IFERROR(VLOOKUP($A5,'Budget &amp; Revenue'!$A:$AM,13,FALSE)," ")</f>
        <v>0.04</v>
      </c>
      <c r="H5" s="204">
        <f>IFERROR(VLOOKUP($A5,'Budget &amp; Revenue'!$A:$AM,15,FALSE)," ")</f>
        <v>0.08</v>
      </c>
      <c r="I5" s="204">
        <f>IFERROR(VLOOKUP($A5,'Budget &amp; Revenue'!$A:$AM,17,FALSE)," ")</f>
        <v>0.09</v>
      </c>
      <c r="J5" s="204">
        <f>IFERROR(VLOOKUP($A5,'Budget &amp; Revenue'!$A:$AM,19,FALSE)," ")</f>
        <v>0.14000000000000001</v>
      </c>
      <c r="K5" s="204">
        <f>IFERROR(VLOOKUP($A5,'Budget &amp; Revenue'!$A:$AM,21,FALSE)," ")</f>
        <v>0.5</v>
      </c>
      <c r="L5" s="204">
        <f>IFERROR(VLOOKUP($A5,'Budget &amp; Revenue'!$A:$AM,23,FALSE)," ")</f>
        <v>0.55000000000000004</v>
      </c>
      <c r="M5" s="204">
        <f>IFERROR(VLOOKUP($A5,'Budget &amp; Revenue'!$A:$AM,25,FALSE)," ")</f>
        <v>0.6</v>
      </c>
      <c r="N5" s="204">
        <f>IFERROR(VLOOKUP($A5,'Budget &amp; Revenue'!$A:$AM,27,FALSE)," ")</f>
        <v>0.65</v>
      </c>
      <c r="O5" s="204">
        <f>IFERROR(VLOOKUP($A5,'Budget &amp; Revenue'!$A:$AM,29,FALSE)," ")</f>
        <v>0.8</v>
      </c>
      <c r="P5" s="204">
        <f>IFERROR(VLOOKUP($A5,'Budget &amp; Revenue'!$A:$AM,31,FALSE)," ")</f>
        <v>0.9</v>
      </c>
      <c r="Q5" s="204">
        <f>IFERROR(VLOOKUP($A5,'Budget &amp; Revenue'!$A:$AM,33,FALSE)," ")</f>
        <v>1</v>
      </c>
      <c r="R5" s="204">
        <f>IFERROR(VLOOKUP($A5,'Budget &amp; Revenue'!$A:$AM,35,FALSE)," ")</f>
        <v>1</v>
      </c>
      <c r="S5" s="204">
        <f>IFERROR(VLOOKUP($A5,'Budget &amp; Revenue'!$A:$AM,37,FALSE)," ")</f>
        <v>1</v>
      </c>
      <c r="T5" s="204">
        <f>IFERROR(VLOOKUP($A5,'Budget &amp; Revenue'!$A:$AM,39,FALSE)," ")</f>
        <v>1</v>
      </c>
    </row>
    <row r="6" spans="1:20" x14ac:dyDescent="0.25">
      <c r="A6" s="80">
        <v>6</v>
      </c>
      <c r="B6" s="201" t="str">
        <f>VLOOKUP(A6,Estimate!A:C,3,FALSE)</f>
        <v>Quality Verification &amp; Control</v>
      </c>
      <c r="C6" s="80">
        <f>VLOOKUP(A6,Estimate!A:L,12,FALSE)</f>
        <v>0</v>
      </c>
      <c r="D6" s="234">
        <v>5</v>
      </c>
      <c r="E6" s="234">
        <v>7</v>
      </c>
      <c r="F6" s="235">
        <f>IFERROR(VLOOKUP(A6,Estimate!A:Q,17,FALSE)," ")</f>
        <v>6460</v>
      </c>
      <c r="G6" s="204">
        <f>IFERROR(VLOOKUP($A6,'Budget &amp; Revenue'!$A:$AM,13,FALSE)," ")</f>
        <v>0.5</v>
      </c>
      <c r="H6" s="204">
        <f>IFERROR(VLOOKUP($A6,'Budget &amp; Revenue'!$A:$AM,15,FALSE)," ")</f>
        <v>0.5</v>
      </c>
      <c r="I6" s="204">
        <f>IFERROR(VLOOKUP($A6,'Budget &amp; Revenue'!$A:$AM,17,FALSE)," ")</f>
        <v>0.5</v>
      </c>
      <c r="J6" s="204">
        <f>IFERROR(VLOOKUP($A6,'Budget &amp; Revenue'!$A:$AM,19,FALSE)," ")</f>
        <v>0.5</v>
      </c>
      <c r="K6" s="204">
        <f>IFERROR(VLOOKUP($A6,'Budget &amp; Revenue'!$A:$AM,21,FALSE)," ")</f>
        <v>0.5</v>
      </c>
      <c r="L6" s="204">
        <f>IFERROR(VLOOKUP($A6,'Budget &amp; Revenue'!$A:$AM,23,FALSE)," ")</f>
        <v>0.5</v>
      </c>
      <c r="M6" s="204">
        <f>IFERROR(VLOOKUP($A6,'Budget &amp; Revenue'!$A:$AM,25,FALSE)," ")</f>
        <v>0.5</v>
      </c>
      <c r="N6" s="204">
        <f>IFERROR(VLOOKUP($A6,'Budget &amp; Revenue'!$A:$AM,27,FALSE)," ")</f>
        <v>1</v>
      </c>
      <c r="O6" s="204">
        <f>IFERROR(VLOOKUP($A6,'Budget &amp; Revenue'!$A:$AM,29,FALSE)," ")</f>
        <v>1</v>
      </c>
      <c r="P6" s="204">
        <f>IFERROR(VLOOKUP($A6,'Budget &amp; Revenue'!$A:$AM,31,FALSE)," ")</f>
        <v>1</v>
      </c>
      <c r="Q6" s="204">
        <f>IFERROR(VLOOKUP($A6,'Budget &amp; Revenue'!$A:$AM,33,FALSE)," ")</f>
        <v>1</v>
      </c>
      <c r="R6" s="204">
        <f>IFERROR(VLOOKUP($A6,'Budget &amp; Revenue'!$A:$AM,35,FALSE)," ")</f>
        <v>1</v>
      </c>
      <c r="S6" s="204">
        <f>IFERROR(VLOOKUP($A6,'Budget &amp; Revenue'!$A:$AM,37,FALSE)," ")</f>
        <v>1</v>
      </c>
      <c r="T6" s="204">
        <f>IFERROR(VLOOKUP($A6,'Budget &amp; Revenue'!$A:$AM,39,FALSE)," ")</f>
        <v>1</v>
      </c>
    </row>
    <row r="7" spans="1:20" x14ac:dyDescent="0.25">
      <c r="A7" s="80">
        <v>7</v>
      </c>
      <c r="B7" s="201" t="str">
        <f>VLOOKUP(A7,Estimate!A:C,3,FALSE)</f>
        <v>Site Establishment &amp; Disestablishment</v>
      </c>
      <c r="C7" s="80">
        <f>VLOOKUP(A7,Estimate!A:L,12,FALSE)</f>
        <v>6</v>
      </c>
      <c r="D7" s="234">
        <v>6</v>
      </c>
      <c r="E7" s="234" t="s">
        <v>2986</v>
      </c>
      <c r="F7" s="235">
        <f>IFERROR(VLOOKUP(A7,Estimate!A:Q,17,FALSE)," ")</f>
        <v>22050</v>
      </c>
      <c r="G7" s="204">
        <f>IFERROR(VLOOKUP($A7,'Budget &amp; Revenue'!$A:$AM,13,FALSE)," ")</f>
        <v>1</v>
      </c>
      <c r="H7" s="204">
        <f>IFERROR(VLOOKUP($A7,'Budget &amp; Revenue'!$A:$AM,15,FALSE)," ")</f>
        <v>1</v>
      </c>
      <c r="I7" s="204">
        <f>IFERROR(VLOOKUP($A7,'Budget &amp; Revenue'!$A:$AM,17,FALSE)," ")</f>
        <v>1</v>
      </c>
      <c r="J7" s="204">
        <f>IFERROR(VLOOKUP($A7,'Budget &amp; Revenue'!$A:$AM,19,FALSE)," ")</f>
        <v>1</v>
      </c>
      <c r="K7" s="204">
        <f>IFERROR(VLOOKUP($A7,'Budget &amp; Revenue'!$A:$AM,21,FALSE)," ")</f>
        <v>1</v>
      </c>
      <c r="L7" s="204">
        <f>IFERROR(VLOOKUP($A7,'Budget &amp; Revenue'!$A:$AM,23,FALSE)," ")</f>
        <v>1</v>
      </c>
      <c r="M7" s="204">
        <f>IFERROR(VLOOKUP($A7,'Budget &amp; Revenue'!$A:$AM,25,FALSE)," ")</f>
        <v>1</v>
      </c>
      <c r="N7" s="204">
        <f>IFERROR(VLOOKUP($A7,'Budget &amp; Revenue'!$A:$AM,27,FALSE)," ")</f>
        <v>1</v>
      </c>
      <c r="O7" s="204">
        <f>IFERROR(VLOOKUP($A7,'Budget &amp; Revenue'!$A:$AM,29,FALSE)," ")</f>
        <v>1</v>
      </c>
      <c r="P7" s="204">
        <f>IFERROR(VLOOKUP($A7,'Budget &amp; Revenue'!$A:$AM,31,FALSE)," ")</f>
        <v>1</v>
      </c>
      <c r="Q7" s="204">
        <f>IFERROR(VLOOKUP($A7,'Budget &amp; Revenue'!$A:$AM,33,FALSE)," ")</f>
        <v>1</v>
      </c>
      <c r="R7" s="204">
        <f>IFERROR(VLOOKUP($A7,'Budget &amp; Revenue'!$A:$AM,35,FALSE)," ")</f>
        <v>1</v>
      </c>
      <c r="S7" s="204">
        <f>IFERROR(VLOOKUP($A7,'Budget &amp; Revenue'!$A:$AM,37,FALSE)," ")</f>
        <v>1</v>
      </c>
      <c r="T7" s="204">
        <f>IFERROR(VLOOKUP($A7,'Budget &amp; Revenue'!$A:$AM,39,FALSE)," ")</f>
        <v>1</v>
      </c>
    </row>
    <row r="8" spans="1:20" x14ac:dyDescent="0.25">
      <c r="A8" s="80">
        <v>8</v>
      </c>
      <c r="B8" s="201" t="str">
        <f>VLOOKUP(A8,Estimate!A:C,3,FALSE)</f>
        <v>Control of Traffic</v>
      </c>
      <c r="C8" s="80">
        <f>VLOOKUP(A8,Estimate!A:L,12,FALSE)</f>
        <v>10</v>
      </c>
      <c r="D8" s="234">
        <v>7</v>
      </c>
      <c r="E8" s="234">
        <v>9</v>
      </c>
      <c r="F8" s="235">
        <f>IFERROR(VLOOKUP(A8,Estimate!A:Q,17,FALSE)," ")</f>
        <v>11646.24</v>
      </c>
      <c r="G8" s="204">
        <f>IFERROR(VLOOKUP($A8,'Budget &amp; Revenue'!$A:$AM,13,FALSE)," ")</f>
        <v>0.8</v>
      </c>
      <c r="H8" s="204">
        <f>IFERROR(VLOOKUP($A8,'Budget &amp; Revenue'!$A:$AM,15,FALSE)," ")</f>
        <v>0.8</v>
      </c>
      <c r="I8" s="204">
        <f>IFERROR(VLOOKUP($A8,'Budget &amp; Revenue'!$A:$AM,17,FALSE)," ")</f>
        <v>0.8</v>
      </c>
      <c r="J8" s="204">
        <f>IFERROR(VLOOKUP($A8,'Budget &amp; Revenue'!$A:$AM,19,FALSE)," ")</f>
        <v>0.8</v>
      </c>
      <c r="K8" s="204">
        <f>IFERROR(VLOOKUP($A8,'Budget &amp; Revenue'!$A:$AM,21,FALSE)," ")</f>
        <v>0.8</v>
      </c>
      <c r="L8" s="204">
        <f>IFERROR(VLOOKUP($A8,'Budget &amp; Revenue'!$A:$AM,23,FALSE)," ")</f>
        <v>0.8</v>
      </c>
      <c r="M8" s="204">
        <f>IFERROR(VLOOKUP($A8,'Budget &amp; Revenue'!$A:$AM,25,FALSE)," ")</f>
        <v>0.8</v>
      </c>
      <c r="N8" s="204">
        <f>IFERROR(VLOOKUP($A8,'Budget &amp; Revenue'!$A:$AM,27,FALSE)," ")</f>
        <v>1</v>
      </c>
      <c r="O8" s="204">
        <f>IFERROR(VLOOKUP($A8,'Budget &amp; Revenue'!$A:$AM,29,FALSE)," ")</f>
        <v>1</v>
      </c>
      <c r="P8" s="204">
        <f>IFERROR(VLOOKUP($A8,'Budget &amp; Revenue'!$A:$AM,31,FALSE)," ")</f>
        <v>1</v>
      </c>
      <c r="Q8" s="204">
        <f>IFERROR(VLOOKUP($A8,'Budget &amp; Revenue'!$A:$AM,33,FALSE)," ")</f>
        <v>1</v>
      </c>
      <c r="R8" s="204">
        <f>IFERROR(VLOOKUP($A8,'Budget &amp; Revenue'!$A:$AM,35,FALSE)," ")</f>
        <v>1</v>
      </c>
      <c r="S8" s="204">
        <f>IFERROR(VLOOKUP($A8,'Budget &amp; Revenue'!$A:$AM,37,FALSE)," ")</f>
        <v>1</v>
      </c>
      <c r="T8" s="204">
        <f>IFERROR(VLOOKUP($A8,'Budget &amp; Revenue'!$A:$AM,39,FALSE)," ")</f>
        <v>1</v>
      </c>
    </row>
    <row r="9" spans="1:20" x14ac:dyDescent="0.25">
      <c r="A9" s="80">
        <v>9</v>
      </c>
      <c r="B9" s="201" t="str">
        <f>VLOOKUP(A9,Estimate!A:C,3,FALSE)</f>
        <v>General Earthworks Cut</v>
      </c>
      <c r="C9" s="80">
        <f>VLOOKUP(A9,Estimate!A:L,12,FALSE)</f>
        <v>1</v>
      </c>
      <c r="D9" s="234">
        <v>8</v>
      </c>
      <c r="E9" s="234">
        <v>10</v>
      </c>
      <c r="F9" s="235">
        <f>IFERROR(VLOOKUP(A9,Estimate!A:Q,17,FALSE)," ")</f>
        <v>2268</v>
      </c>
      <c r="G9" s="204">
        <f>IFERROR(VLOOKUP($A9,'Budget &amp; Revenue'!$A:$AM,13,FALSE)," ")</f>
        <v>1</v>
      </c>
      <c r="H9" s="204">
        <f>IFERROR(VLOOKUP($A9,'Budget &amp; Revenue'!$A:$AM,15,FALSE)," ")</f>
        <v>1</v>
      </c>
      <c r="I9" s="204">
        <f>IFERROR(VLOOKUP($A9,'Budget &amp; Revenue'!$A:$AM,17,FALSE)," ")</f>
        <v>1</v>
      </c>
      <c r="J9" s="204">
        <f>IFERROR(VLOOKUP($A9,'Budget &amp; Revenue'!$A:$AM,19,FALSE)," ")</f>
        <v>1</v>
      </c>
      <c r="K9" s="204">
        <f>IFERROR(VLOOKUP($A9,'Budget &amp; Revenue'!$A:$AM,21,FALSE)," ")</f>
        <v>1</v>
      </c>
      <c r="L9" s="204">
        <f>IFERROR(VLOOKUP($A9,'Budget &amp; Revenue'!$A:$AM,23,FALSE)," ")</f>
        <v>1</v>
      </c>
      <c r="M9" s="204">
        <f>IFERROR(VLOOKUP($A9,'Budget &amp; Revenue'!$A:$AM,25,FALSE)," ")</f>
        <v>1</v>
      </c>
      <c r="N9" s="204">
        <f>IFERROR(VLOOKUP($A9,'Budget &amp; Revenue'!$A:$AM,27,FALSE)," ")</f>
        <v>1</v>
      </c>
      <c r="O9" s="204">
        <f>IFERROR(VLOOKUP($A9,'Budget &amp; Revenue'!$A:$AM,29,FALSE)," ")</f>
        <v>1</v>
      </c>
      <c r="P9" s="204">
        <f>IFERROR(VLOOKUP($A9,'Budget &amp; Revenue'!$A:$AM,31,FALSE)," ")</f>
        <v>1</v>
      </c>
      <c r="Q9" s="204">
        <f>IFERROR(VLOOKUP($A9,'Budget &amp; Revenue'!$A:$AM,33,FALSE)," ")</f>
        <v>1</v>
      </c>
      <c r="R9" s="204">
        <f>IFERROR(VLOOKUP($A9,'Budget &amp; Revenue'!$A:$AM,35,FALSE)," ")</f>
        <v>1</v>
      </c>
      <c r="S9" s="204">
        <f>IFERROR(VLOOKUP($A9,'Budget &amp; Revenue'!$A:$AM,37,FALSE)," ")</f>
        <v>1</v>
      </c>
      <c r="T9" s="204">
        <f>IFERROR(VLOOKUP($A9,'Budget &amp; Revenue'!$A:$AM,39,FALSE)," ")</f>
        <v>1</v>
      </c>
    </row>
    <row r="10" spans="1:20" ht="30" x14ac:dyDescent="0.25">
      <c r="A10" s="80">
        <v>10</v>
      </c>
      <c r="B10" s="201" t="str">
        <f>VLOOKUP(A10,Estimate!A:C,3,FALSE)</f>
        <v>Replace unsuitable material below sub grade with select material complete (Provisional)</v>
      </c>
      <c r="C10" s="80">
        <f>VLOOKUP(A10,Estimate!A:L,12,FALSE)</f>
        <v>1</v>
      </c>
      <c r="D10" s="234">
        <v>9</v>
      </c>
      <c r="E10" s="234">
        <v>15</v>
      </c>
      <c r="F10" s="235">
        <f>IFERROR(VLOOKUP(A10,Estimate!A:Q,17,FALSE)," ")</f>
        <v>655.33333333333337</v>
      </c>
      <c r="G10" s="204">
        <f>IFERROR(VLOOKUP($A10,'Budget &amp; Revenue'!$A:$AM,13,FALSE)," ")</f>
        <v>0</v>
      </c>
      <c r="H10" s="204">
        <f>IFERROR(VLOOKUP($A10,'Budget &amp; Revenue'!$A:$AM,15,FALSE)," ")</f>
        <v>0</v>
      </c>
      <c r="I10" s="204">
        <f>IFERROR(VLOOKUP($A10,'Budget &amp; Revenue'!$A:$AM,17,FALSE)," ")</f>
        <v>0</v>
      </c>
      <c r="J10" s="204">
        <f>IFERROR(VLOOKUP($A10,'Budget &amp; Revenue'!$A:$AM,19,FALSE)," ")</f>
        <v>0</v>
      </c>
      <c r="K10" s="204">
        <f>IFERROR(VLOOKUP($A10,'Budget &amp; Revenue'!$A:$AM,21,FALSE)," ")</f>
        <v>0</v>
      </c>
      <c r="L10" s="204">
        <f>IFERROR(VLOOKUP($A10,'Budget &amp; Revenue'!$A:$AM,23,FALSE)," ")</f>
        <v>0</v>
      </c>
      <c r="M10" s="204">
        <f>IFERROR(VLOOKUP($A10,'Budget &amp; Revenue'!$A:$AM,25,FALSE)," ")</f>
        <v>0</v>
      </c>
      <c r="N10" s="204">
        <f>IFERROR(VLOOKUP($A10,'Budget &amp; Revenue'!$A:$AM,27,FALSE)," ")</f>
        <v>0</v>
      </c>
      <c r="O10" s="204">
        <f>IFERROR(VLOOKUP($A10,'Budget &amp; Revenue'!$A:$AM,29,FALSE)," ")</f>
        <v>0</v>
      </c>
      <c r="P10" s="204">
        <f>IFERROR(VLOOKUP($A10,'Budget &amp; Revenue'!$A:$AM,31,FALSE)," ")</f>
        <v>0</v>
      </c>
      <c r="Q10" s="204">
        <f>IFERROR(VLOOKUP($A10,'Budget &amp; Revenue'!$A:$AM,33,FALSE)," ")</f>
        <v>0</v>
      </c>
      <c r="R10" s="204">
        <f>IFERROR(VLOOKUP($A10,'Budget &amp; Revenue'!$A:$AM,35,FALSE)," ")</f>
        <v>0</v>
      </c>
      <c r="S10" s="204">
        <f>IFERROR(VLOOKUP($A10,'Budget &amp; Revenue'!$A:$AM,37,FALSE)," ")</f>
        <v>0</v>
      </c>
      <c r="T10" s="204">
        <f>IFERROR(VLOOKUP($A10,'Budget &amp; Revenue'!$A:$AM,39,FALSE)," ")</f>
        <v>0</v>
      </c>
    </row>
    <row r="11" spans="1:20" x14ac:dyDescent="0.25">
      <c r="A11" s="80">
        <v>11</v>
      </c>
      <c r="B11" s="201" t="str">
        <f>VLOOKUP(A11,Estimate!A:C,3,FALSE)</f>
        <v>In-Situ reinforced concrete Base Slab for culverts complete</v>
      </c>
      <c r="C11" s="80">
        <f>VLOOKUP(A11,Estimate!A:L,12,FALSE)</f>
        <v>2</v>
      </c>
      <c r="D11" s="234" t="s">
        <v>3087</v>
      </c>
      <c r="E11" s="234">
        <v>12</v>
      </c>
      <c r="F11" s="235">
        <f>IFERROR(VLOOKUP(A11,Estimate!A:Q,17,FALSE)," ")</f>
        <v>2604.1777777777779</v>
      </c>
      <c r="G11" s="204">
        <f>IFERROR(VLOOKUP($A11,'Budget &amp; Revenue'!$A:$AM,13,FALSE)," ")</f>
        <v>1</v>
      </c>
      <c r="H11" s="204">
        <f>IFERROR(VLOOKUP($A11,'Budget &amp; Revenue'!$A:$AM,15,FALSE)," ")</f>
        <v>1</v>
      </c>
      <c r="I11" s="204">
        <f>IFERROR(VLOOKUP($A11,'Budget &amp; Revenue'!$A:$AM,17,FALSE)," ")</f>
        <v>1</v>
      </c>
      <c r="J11" s="204">
        <f>IFERROR(VLOOKUP($A11,'Budget &amp; Revenue'!$A:$AM,19,FALSE)," ")</f>
        <v>1</v>
      </c>
      <c r="K11" s="204">
        <f>IFERROR(VLOOKUP($A11,'Budget &amp; Revenue'!$A:$AM,21,FALSE)," ")</f>
        <v>1</v>
      </c>
      <c r="L11" s="204">
        <f>IFERROR(VLOOKUP($A11,'Budget &amp; Revenue'!$A:$AM,23,FALSE)," ")</f>
        <v>1</v>
      </c>
      <c r="M11" s="204">
        <f>IFERROR(VLOOKUP($A11,'Budget &amp; Revenue'!$A:$AM,25,FALSE)," ")</f>
        <v>1</v>
      </c>
      <c r="N11" s="204">
        <f>IFERROR(VLOOKUP($A11,'Budget &amp; Revenue'!$A:$AM,27,FALSE)," ")</f>
        <v>1</v>
      </c>
      <c r="O11" s="204">
        <f>IFERROR(VLOOKUP($A11,'Budget &amp; Revenue'!$A:$AM,29,FALSE)," ")</f>
        <v>1</v>
      </c>
      <c r="P11" s="204">
        <f>IFERROR(VLOOKUP($A11,'Budget &amp; Revenue'!$A:$AM,31,FALSE)," ")</f>
        <v>1</v>
      </c>
      <c r="Q11" s="204">
        <f>IFERROR(VLOOKUP($A11,'Budget &amp; Revenue'!$A:$AM,33,FALSE)," ")</f>
        <v>1</v>
      </c>
      <c r="R11" s="204">
        <f>IFERROR(VLOOKUP($A11,'Budget &amp; Revenue'!$A:$AM,35,FALSE)," ")</f>
        <v>1</v>
      </c>
      <c r="S11" s="204">
        <f>IFERROR(VLOOKUP($A11,'Budget &amp; Revenue'!$A:$AM,37,FALSE)," ")</f>
        <v>1</v>
      </c>
      <c r="T11" s="204">
        <f>IFERROR(VLOOKUP($A11,'Budget &amp; Revenue'!$A:$AM,39,FALSE)," ")</f>
        <v>1</v>
      </c>
    </row>
    <row r="12" spans="1:20" x14ac:dyDescent="0.25">
      <c r="A12" s="80">
        <v>12</v>
      </c>
      <c r="B12" s="201" t="str">
        <f>VLOOKUP(A12,Estimate!A:C,3,FALSE)</f>
        <v>1200 x 600</v>
      </c>
      <c r="C12" s="80">
        <f>VLOOKUP(A12,Estimate!A:L,12,FALSE)</f>
        <v>2</v>
      </c>
      <c r="D12" s="234">
        <v>11</v>
      </c>
      <c r="E12" s="234">
        <v>13</v>
      </c>
      <c r="F12" s="235">
        <f>IFERROR(VLOOKUP(A12,Estimate!A:Q,17,FALSE)," ")</f>
        <v>7902.5</v>
      </c>
      <c r="G12" s="204">
        <f>IFERROR(VLOOKUP($A12,'Budget &amp; Revenue'!$A:$AM,13,FALSE)," ")</f>
        <v>1</v>
      </c>
      <c r="H12" s="204">
        <f>IFERROR(VLOOKUP($A12,'Budget &amp; Revenue'!$A:$AM,15,FALSE)," ")</f>
        <v>1</v>
      </c>
      <c r="I12" s="204">
        <f>IFERROR(VLOOKUP($A12,'Budget &amp; Revenue'!$A:$AM,17,FALSE)," ")</f>
        <v>1</v>
      </c>
      <c r="J12" s="204">
        <f>IFERROR(VLOOKUP($A12,'Budget &amp; Revenue'!$A:$AM,19,FALSE)," ")</f>
        <v>1</v>
      </c>
      <c r="K12" s="204">
        <f>IFERROR(VLOOKUP($A12,'Budget &amp; Revenue'!$A:$AM,21,FALSE)," ")</f>
        <v>1</v>
      </c>
      <c r="L12" s="204">
        <f>IFERROR(VLOOKUP($A12,'Budget &amp; Revenue'!$A:$AM,23,FALSE)," ")</f>
        <v>1</v>
      </c>
      <c r="M12" s="204">
        <f>IFERROR(VLOOKUP($A12,'Budget &amp; Revenue'!$A:$AM,25,FALSE)," ")</f>
        <v>1</v>
      </c>
      <c r="N12" s="204">
        <f>IFERROR(VLOOKUP($A12,'Budget &amp; Revenue'!$A:$AM,27,FALSE)," ")</f>
        <v>1</v>
      </c>
      <c r="O12" s="204">
        <f>IFERROR(VLOOKUP($A12,'Budget &amp; Revenue'!$A:$AM,29,FALSE)," ")</f>
        <v>1</v>
      </c>
      <c r="P12" s="204">
        <f>IFERROR(VLOOKUP($A12,'Budget &amp; Revenue'!$A:$AM,31,FALSE)," ")</f>
        <v>1</v>
      </c>
      <c r="Q12" s="204">
        <f>IFERROR(VLOOKUP($A12,'Budget &amp; Revenue'!$A:$AM,33,FALSE)," ")</f>
        <v>1</v>
      </c>
      <c r="R12" s="204">
        <f>IFERROR(VLOOKUP($A12,'Budget &amp; Revenue'!$A:$AM,35,FALSE)," ")</f>
        <v>1</v>
      </c>
      <c r="S12" s="204">
        <f>IFERROR(VLOOKUP($A12,'Budget &amp; Revenue'!$A:$AM,37,FALSE)," ")</f>
        <v>1</v>
      </c>
      <c r="T12" s="204">
        <f>IFERROR(VLOOKUP($A12,'Budget &amp; Revenue'!$A:$AM,39,FALSE)," ")</f>
        <v>1</v>
      </c>
    </row>
    <row r="13" spans="1:20" ht="30" x14ac:dyDescent="0.25">
      <c r="A13" s="80">
        <v>13</v>
      </c>
      <c r="B13" s="201" t="str">
        <f>VLOOKUP(A13,Estimate!A:C,3,FALSE)</f>
        <v>Cast in situ Concrete Headwalls &amp; Wingwalls &amp; Aprons complete</v>
      </c>
      <c r="C13" s="80">
        <f>VLOOKUP(A13,Estimate!A:L,12,FALSE)</f>
        <v>2</v>
      </c>
      <c r="D13" s="234">
        <v>12</v>
      </c>
      <c r="E13" s="234">
        <v>22</v>
      </c>
      <c r="F13" s="235">
        <f>IFERROR(VLOOKUP(A13,Estimate!A:Q,17,FALSE)," ")</f>
        <v>2733.6</v>
      </c>
      <c r="G13" s="204">
        <f>IFERROR(VLOOKUP($A13,'Budget &amp; Revenue'!$A:$AM,13,FALSE)," ")</f>
        <v>1</v>
      </c>
      <c r="H13" s="204">
        <f>IFERROR(VLOOKUP($A13,'Budget &amp; Revenue'!$A:$AM,15,FALSE)," ")</f>
        <v>1</v>
      </c>
      <c r="I13" s="204">
        <f>IFERROR(VLOOKUP($A13,'Budget &amp; Revenue'!$A:$AM,17,FALSE)," ")</f>
        <v>1</v>
      </c>
      <c r="J13" s="204">
        <f>IFERROR(VLOOKUP($A13,'Budget &amp; Revenue'!$A:$AM,19,FALSE)," ")</f>
        <v>1</v>
      </c>
      <c r="K13" s="204">
        <f>IFERROR(VLOOKUP($A13,'Budget &amp; Revenue'!$A:$AM,21,FALSE)," ")</f>
        <v>1</v>
      </c>
      <c r="L13" s="204">
        <f>IFERROR(VLOOKUP($A13,'Budget &amp; Revenue'!$A:$AM,23,FALSE)," ")</f>
        <v>1</v>
      </c>
      <c r="M13" s="204">
        <f>IFERROR(VLOOKUP($A13,'Budget &amp; Revenue'!$A:$AM,25,FALSE)," ")</f>
        <v>1</v>
      </c>
      <c r="N13" s="204">
        <f>IFERROR(VLOOKUP($A13,'Budget &amp; Revenue'!$A:$AM,27,FALSE)," ")</f>
        <v>1</v>
      </c>
      <c r="O13" s="204">
        <f>IFERROR(VLOOKUP($A13,'Budget &amp; Revenue'!$A:$AM,29,FALSE)," ")</f>
        <v>1</v>
      </c>
      <c r="P13" s="204">
        <f>IFERROR(VLOOKUP($A13,'Budget &amp; Revenue'!$A:$AM,31,FALSE)," ")</f>
        <v>1</v>
      </c>
      <c r="Q13" s="204">
        <f>IFERROR(VLOOKUP($A13,'Budget &amp; Revenue'!$A:$AM,33,FALSE)," ")</f>
        <v>1</v>
      </c>
      <c r="R13" s="204">
        <f>IFERROR(VLOOKUP($A13,'Budget &amp; Revenue'!$A:$AM,35,FALSE)," ")</f>
        <v>1</v>
      </c>
      <c r="S13" s="204">
        <f>IFERROR(VLOOKUP($A13,'Budget &amp; Revenue'!$A:$AM,37,FALSE)," ")</f>
        <v>1</v>
      </c>
      <c r="T13" s="204">
        <f>IFERROR(VLOOKUP($A13,'Budget &amp; Revenue'!$A:$AM,39,FALSE)," ")</f>
        <v>1</v>
      </c>
    </row>
    <row r="14" spans="1:20" x14ac:dyDescent="0.25">
      <c r="A14" s="80">
        <v>14</v>
      </c>
      <c r="B14" s="201" t="str">
        <f>VLOOKUP(A14,Estimate!A:C,3,FALSE)</f>
        <v>Excavation - Inlet, Outlet &amp; Diversion Channels</v>
      </c>
      <c r="C14" s="80">
        <f>VLOOKUP(A14,Estimate!A:L,12,FALSE)</f>
        <v>1</v>
      </c>
      <c r="D14" s="234">
        <v>7</v>
      </c>
      <c r="E14" s="234">
        <v>11</v>
      </c>
      <c r="F14" s="235">
        <f>IFERROR(VLOOKUP(A14,Estimate!A:Q,17,FALSE)," ")</f>
        <v>2268</v>
      </c>
      <c r="G14" s="204">
        <f>IFERROR(VLOOKUP($A14,'Budget &amp; Revenue'!$A:$AM,13,FALSE)," ")</f>
        <v>0</v>
      </c>
      <c r="H14" s="204">
        <f>IFERROR(VLOOKUP($A14,'Budget &amp; Revenue'!$A:$AM,15,FALSE)," ")</f>
        <v>0.5</v>
      </c>
      <c r="I14" s="204">
        <f>IFERROR(VLOOKUP($A14,'Budget &amp; Revenue'!$A:$AM,17,FALSE)," ")</f>
        <v>0.5</v>
      </c>
      <c r="J14" s="204">
        <f>IFERROR(VLOOKUP($A14,'Budget &amp; Revenue'!$A:$AM,19,FALSE)," ")</f>
        <v>0.5</v>
      </c>
      <c r="K14" s="204">
        <f>IFERROR(VLOOKUP($A14,'Budget &amp; Revenue'!$A:$AM,21,FALSE)," ")</f>
        <v>0.5</v>
      </c>
      <c r="L14" s="204">
        <f>IFERROR(VLOOKUP($A14,'Budget &amp; Revenue'!$A:$AM,23,FALSE)," ")</f>
        <v>0.5</v>
      </c>
      <c r="M14" s="204">
        <f>IFERROR(VLOOKUP($A14,'Budget &amp; Revenue'!$A:$AM,25,FALSE)," ")</f>
        <v>0.5</v>
      </c>
      <c r="N14" s="204">
        <f>IFERROR(VLOOKUP($A14,'Budget &amp; Revenue'!$A:$AM,27,FALSE)," ")</f>
        <v>1</v>
      </c>
      <c r="O14" s="204">
        <f>IFERROR(VLOOKUP($A14,'Budget &amp; Revenue'!$A:$AM,29,FALSE)," ")</f>
        <v>1</v>
      </c>
      <c r="P14" s="204">
        <f>IFERROR(VLOOKUP($A14,'Budget &amp; Revenue'!$A:$AM,31,FALSE)," ")</f>
        <v>1</v>
      </c>
      <c r="Q14" s="204">
        <f>IFERROR(VLOOKUP($A14,'Budget &amp; Revenue'!$A:$AM,33,FALSE)," ")</f>
        <v>1</v>
      </c>
      <c r="R14" s="204">
        <f>IFERROR(VLOOKUP($A14,'Budget &amp; Revenue'!$A:$AM,35,FALSE)," ")</f>
        <v>1</v>
      </c>
      <c r="S14" s="204">
        <f>IFERROR(VLOOKUP($A14,'Budget &amp; Revenue'!$A:$AM,37,FALSE)," ")</f>
        <v>1</v>
      </c>
      <c r="T14" s="204">
        <f>IFERROR(VLOOKUP($A14,'Budget &amp; Revenue'!$A:$AM,39,FALSE)," ")</f>
        <v>1</v>
      </c>
    </row>
    <row r="15" spans="1:20" ht="30" x14ac:dyDescent="0.25">
      <c r="A15" s="80">
        <v>15</v>
      </c>
      <c r="B15" s="201" t="str">
        <f>VLOOKUP(A15,Estimate!A:C,3,FALSE)</f>
        <v>Full service, supply agent and mix complete (Provisional if ordered)</v>
      </c>
      <c r="C15" s="80">
        <f>VLOOKUP(A15,Estimate!A:L,12,FALSE)</f>
        <v>1</v>
      </c>
      <c r="D15" s="234">
        <v>10</v>
      </c>
      <c r="E15" s="234">
        <v>17</v>
      </c>
      <c r="F15" s="235">
        <f>IFERROR(VLOOKUP(A15,Estimate!A:Q,17,FALSE)," ")</f>
        <v>5918.8258337744837</v>
      </c>
      <c r="G15" s="204">
        <f>IFERROR(VLOOKUP($A15,'Budget &amp; Revenue'!$A:$AM,13,FALSE)," ")</f>
        <v>0</v>
      </c>
      <c r="H15" s="204">
        <f>IFERROR(VLOOKUP($A15,'Budget &amp; Revenue'!$A:$AM,15,FALSE)," ")</f>
        <v>0</v>
      </c>
      <c r="I15" s="204">
        <f>IFERROR(VLOOKUP($A15,'Budget &amp; Revenue'!$A:$AM,17,FALSE)," ")</f>
        <v>0</v>
      </c>
      <c r="J15" s="204">
        <f>IFERROR(VLOOKUP($A15,'Budget &amp; Revenue'!$A:$AM,19,FALSE)," ")</f>
        <v>0</v>
      </c>
      <c r="K15" s="204">
        <f>IFERROR(VLOOKUP($A15,'Budget &amp; Revenue'!$A:$AM,21,FALSE)," ")</f>
        <v>0</v>
      </c>
      <c r="L15" s="204">
        <f>IFERROR(VLOOKUP($A15,'Budget &amp; Revenue'!$A:$AM,23,FALSE)," ")</f>
        <v>0</v>
      </c>
      <c r="M15" s="204">
        <f>IFERROR(VLOOKUP($A15,'Budget &amp; Revenue'!$A:$AM,25,FALSE)," ")</f>
        <v>0</v>
      </c>
      <c r="N15" s="204">
        <f>IFERROR(VLOOKUP($A15,'Budget &amp; Revenue'!$A:$AM,27,FALSE)," ")</f>
        <v>0</v>
      </c>
      <c r="O15" s="204">
        <f>IFERROR(VLOOKUP($A15,'Budget &amp; Revenue'!$A:$AM,29,FALSE)," ")</f>
        <v>0</v>
      </c>
      <c r="P15" s="204">
        <f>IFERROR(VLOOKUP($A15,'Budget &amp; Revenue'!$A:$AM,31,FALSE)," ")</f>
        <v>0</v>
      </c>
      <c r="Q15" s="204">
        <f>IFERROR(VLOOKUP($A15,'Budget &amp; Revenue'!$A:$AM,33,FALSE)," ")</f>
        <v>0</v>
      </c>
      <c r="R15" s="204">
        <f>IFERROR(VLOOKUP($A15,'Budget &amp; Revenue'!$A:$AM,35,FALSE)," ")</f>
        <v>0</v>
      </c>
      <c r="S15" s="204">
        <f>IFERROR(VLOOKUP($A15,'Budget &amp; Revenue'!$A:$AM,37,FALSE)," ")</f>
        <v>0</v>
      </c>
      <c r="T15" s="204">
        <f>IFERROR(VLOOKUP($A15,'Budget &amp; Revenue'!$A:$AM,39,FALSE)," ")</f>
        <v>0</v>
      </c>
    </row>
    <row r="16" spans="1:20" x14ac:dyDescent="0.25">
      <c r="A16" s="80">
        <v>16</v>
      </c>
      <c r="B16" s="201" t="str">
        <f>VLOOKUP(A16,Estimate!A:C,3,FALSE)</f>
        <v>Place only Type 2.1 (cement modified)</v>
      </c>
      <c r="C16" s="80">
        <f>VLOOKUP(A16,Estimate!A:L,12,FALSE)</f>
        <v>1</v>
      </c>
      <c r="D16" s="234">
        <v>17</v>
      </c>
      <c r="E16" s="234" t="s">
        <v>3088</v>
      </c>
      <c r="F16" s="235">
        <f>IFERROR(VLOOKUP(A16,Estimate!A:Q,17,FALSE)," ")</f>
        <v>3798.8715790497968</v>
      </c>
      <c r="G16" s="204">
        <f>IFERROR(VLOOKUP($A16,'Budget &amp; Revenue'!$A:$AM,13,FALSE)," ")</f>
        <v>1</v>
      </c>
      <c r="H16" s="204">
        <f>IFERROR(VLOOKUP($A16,'Budget &amp; Revenue'!$A:$AM,15,FALSE)," ")</f>
        <v>1</v>
      </c>
      <c r="I16" s="204">
        <f>IFERROR(VLOOKUP($A16,'Budget &amp; Revenue'!$A:$AM,17,FALSE)," ")</f>
        <v>1</v>
      </c>
      <c r="J16" s="204">
        <f>IFERROR(VLOOKUP($A16,'Budget &amp; Revenue'!$A:$AM,19,FALSE)," ")</f>
        <v>1</v>
      </c>
      <c r="K16" s="204">
        <f>IFERROR(VLOOKUP($A16,'Budget &amp; Revenue'!$A:$AM,21,FALSE)," ")</f>
        <v>1</v>
      </c>
      <c r="L16" s="204">
        <f>IFERROR(VLOOKUP($A16,'Budget &amp; Revenue'!$A:$AM,23,FALSE)," ")</f>
        <v>1</v>
      </c>
      <c r="M16" s="204">
        <f>IFERROR(VLOOKUP($A16,'Budget &amp; Revenue'!$A:$AM,25,FALSE)," ")</f>
        <v>1</v>
      </c>
      <c r="N16" s="204">
        <f>IFERROR(VLOOKUP($A16,'Budget &amp; Revenue'!$A:$AM,27,FALSE)," ")</f>
        <v>1</v>
      </c>
      <c r="O16" s="204">
        <f>IFERROR(VLOOKUP($A16,'Budget &amp; Revenue'!$A:$AM,29,FALSE)," ")</f>
        <v>1</v>
      </c>
      <c r="P16" s="204">
        <f>IFERROR(VLOOKUP($A16,'Budget &amp; Revenue'!$A:$AM,31,FALSE)," ")</f>
        <v>1</v>
      </c>
      <c r="Q16" s="204">
        <f>IFERROR(VLOOKUP($A16,'Budget &amp; Revenue'!$A:$AM,33,FALSE)," ")</f>
        <v>1</v>
      </c>
      <c r="R16" s="204">
        <f>IFERROR(VLOOKUP($A16,'Budget &amp; Revenue'!$A:$AM,35,FALSE)," ")</f>
        <v>1</v>
      </c>
      <c r="S16" s="204">
        <f>IFERROR(VLOOKUP($A16,'Budget &amp; Revenue'!$A:$AM,37,FALSE)," ")</f>
        <v>1</v>
      </c>
      <c r="T16" s="204">
        <f>IFERROR(VLOOKUP($A16,'Budget &amp; Revenue'!$A:$AM,39,FALSE)," ")</f>
        <v>1</v>
      </c>
    </row>
    <row r="17" spans="1:20" x14ac:dyDescent="0.25">
      <c r="A17" s="80">
        <v>17</v>
      </c>
      <c r="B17" s="201" t="str">
        <f>VLOOKUP(A17,Estimate!A:C,3,FALSE)</f>
        <v>Place only Type 2.3 (cement modified)</v>
      </c>
      <c r="C17" s="80">
        <f>VLOOKUP(A17,Estimate!A:L,12,FALSE)</f>
        <v>1</v>
      </c>
      <c r="D17" s="234">
        <v>15</v>
      </c>
      <c r="E17" s="234" t="s">
        <v>3089</v>
      </c>
      <c r="F17" s="235">
        <f>IFERROR(VLOOKUP(A17,Estimate!A:Q,17,FALSE)," ")</f>
        <v>2836.8715790497968</v>
      </c>
      <c r="G17" s="204">
        <f>IFERROR(VLOOKUP($A17,'Budget &amp; Revenue'!$A:$AM,13,FALSE)," ")</f>
        <v>1</v>
      </c>
      <c r="H17" s="204">
        <f>IFERROR(VLOOKUP($A17,'Budget &amp; Revenue'!$A:$AM,15,FALSE)," ")</f>
        <v>1</v>
      </c>
      <c r="I17" s="204">
        <f>IFERROR(VLOOKUP($A17,'Budget &amp; Revenue'!$A:$AM,17,FALSE)," ")</f>
        <v>1</v>
      </c>
      <c r="J17" s="204">
        <f>IFERROR(VLOOKUP($A17,'Budget &amp; Revenue'!$A:$AM,19,FALSE)," ")</f>
        <v>1</v>
      </c>
      <c r="K17" s="204">
        <f>IFERROR(VLOOKUP($A17,'Budget &amp; Revenue'!$A:$AM,21,FALSE)," ")</f>
        <v>1</v>
      </c>
      <c r="L17" s="204">
        <f>IFERROR(VLOOKUP($A17,'Budget &amp; Revenue'!$A:$AM,23,FALSE)," ")</f>
        <v>1</v>
      </c>
      <c r="M17" s="204">
        <f>IFERROR(VLOOKUP($A17,'Budget &amp; Revenue'!$A:$AM,25,FALSE)," ")</f>
        <v>1</v>
      </c>
      <c r="N17" s="204">
        <f>IFERROR(VLOOKUP($A17,'Budget &amp; Revenue'!$A:$AM,27,FALSE)," ")</f>
        <v>1</v>
      </c>
      <c r="O17" s="204">
        <f>IFERROR(VLOOKUP($A17,'Budget &amp; Revenue'!$A:$AM,29,FALSE)," ")</f>
        <v>1</v>
      </c>
      <c r="P17" s="204">
        <f>IFERROR(VLOOKUP($A17,'Budget &amp; Revenue'!$A:$AM,31,FALSE)," ")</f>
        <v>1</v>
      </c>
      <c r="Q17" s="204">
        <f>IFERROR(VLOOKUP($A17,'Budget &amp; Revenue'!$A:$AM,33,FALSE)," ")</f>
        <v>1</v>
      </c>
      <c r="R17" s="204">
        <f>IFERROR(VLOOKUP($A17,'Budget &amp; Revenue'!$A:$AM,35,FALSE)," ")</f>
        <v>1</v>
      </c>
      <c r="S17" s="204">
        <f>IFERROR(VLOOKUP($A17,'Budget &amp; Revenue'!$A:$AM,37,FALSE)," ")</f>
        <v>1</v>
      </c>
      <c r="T17" s="204">
        <f>IFERROR(VLOOKUP($A17,'Budget &amp; Revenue'!$A:$AM,39,FALSE)," ")</f>
        <v>1</v>
      </c>
    </row>
    <row r="18" spans="1:20" x14ac:dyDescent="0.25">
      <c r="A18" s="80">
        <v>18</v>
      </c>
      <c r="B18" s="201" t="str">
        <f>VLOOKUP(A18,Estimate!A:C,3,FALSE)</f>
        <v>(vii)  AMC5</v>
      </c>
      <c r="C18" s="80">
        <f>VLOOKUP(A18,Estimate!A:L,12,FALSE)</f>
        <v>1</v>
      </c>
      <c r="D18" s="234" t="s">
        <v>2987</v>
      </c>
      <c r="E18" s="234" t="s">
        <v>2988</v>
      </c>
      <c r="F18" s="235">
        <f>IFERROR(VLOOKUP(A18,Estimate!A:Q,17,FALSE)," ")</f>
        <v>10878</v>
      </c>
      <c r="G18" s="204">
        <f>IFERROR(VLOOKUP($A18,'Budget &amp; Revenue'!$A:$AM,13,FALSE)," ")</f>
        <v>1</v>
      </c>
      <c r="H18" s="204">
        <f>IFERROR(VLOOKUP($A18,'Budget &amp; Revenue'!$A:$AM,15,FALSE)," ")</f>
        <v>1</v>
      </c>
      <c r="I18" s="204">
        <f>IFERROR(VLOOKUP($A18,'Budget &amp; Revenue'!$A:$AM,17,FALSE)," ")</f>
        <v>1</v>
      </c>
      <c r="J18" s="204">
        <f>IFERROR(VLOOKUP($A18,'Budget &amp; Revenue'!$A:$AM,19,FALSE)," ")</f>
        <v>1</v>
      </c>
      <c r="K18" s="204">
        <f>IFERROR(VLOOKUP($A18,'Budget &amp; Revenue'!$A:$AM,21,FALSE)," ")</f>
        <v>1</v>
      </c>
      <c r="L18" s="204">
        <f>IFERROR(VLOOKUP($A18,'Budget &amp; Revenue'!$A:$AM,23,FALSE)," ")</f>
        <v>1</v>
      </c>
      <c r="M18" s="204">
        <f>IFERROR(VLOOKUP($A18,'Budget &amp; Revenue'!$A:$AM,25,FALSE)," ")</f>
        <v>1</v>
      </c>
      <c r="N18" s="204">
        <f>IFERROR(VLOOKUP($A18,'Budget &amp; Revenue'!$A:$AM,27,FALSE)," ")</f>
        <v>1</v>
      </c>
      <c r="O18" s="204">
        <f>IFERROR(VLOOKUP($A18,'Budget &amp; Revenue'!$A:$AM,29,FALSE)," ")</f>
        <v>1</v>
      </c>
      <c r="P18" s="204">
        <f>IFERROR(VLOOKUP($A18,'Budget &amp; Revenue'!$A:$AM,31,FALSE)," ")</f>
        <v>1</v>
      </c>
      <c r="Q18" s="204">
        <f>IFERROR(VLOOKUP($A18,'Budget &amp; Revenue'!$A:$AM,33,FALSE)," ")</f>
        <v>1</v>
      </c>
      <c r="R18" s="204">
        <f>IFERROR(VLOOKUP($A18,'Budget &amp; Revenue'!$A:$AM,35,FALSE)," ")</f>
        <v>1</v>
      </c>
      <c r="S18" s="204">
        <f>IFERROR(VLOOKUP($A18,'Budget &amp; Revenue'!$A:$AM,37,FALSE)," ")</f>
        <v>1</v>
      </c>
      <c r="T18" s="204">
        <f>IFERROR(VLOOKUP($A18,'Budget &amp; Revenue'!$A:$AM,39,FALSE)," ")</f>
        <v>1</v>
      </c>
    </row>
    <row r="19" spans="1:20" ht="45" x14ac:dyDescent="0.25">
      <c r="A19" s="80">
        <v>19</v>
      </c>
      <c r="B19" s="201" t="str">
        <f>VLOOKUP(A19,Estimate!A:C,3,FALSE)</f>
        <v>Supply &amp; Spray Binder -  Bitumen (includes PMB's, Adhesion Agent where required and Preparation of Surface) supply &amp; spread aggregates complete</v>
      </c>
      <c r="C19" s="80">
        <f>VLOOKUP(A19,Estimate!A:L,12,FALSE)</f>
        <v>1</v>
      </c>
      <c r="D19" s="234" t="s">
        <v>2989</v>
      </c>
      <c r="E19" s="234">
        <v>22</v>
      </c>
      <c r="F19" s="235">
        <f>IFERROR(VLOOKUP(A19,Estimate!A:Q,17,FALSE)," ")</f>
        <v>10878</v>
      </c>
      <c r="G19" s="204">
        <f>IFERROR(VLOOKUP($A19,'Budget &amp; Revenue'!$A:$AM,13,FALSE)," ")</f>
        <v>0</v>
      </c>
      <c r="H19" s="204">
        <f>IFERROR(VLOOKUP($A19,'Budget &amp; Revenue'!$A:$AM,15,FALSE)," ")</f>
        <v>0</v>
      </c>
      <c r="I19" s="204">
        <f>IFERROR(VLOOKUP($A19,'Budget &amp; Revenue'!$A:$AM,17,FALSE)," ")</f>
        <v>0</v>
      </c>
      <c r="J19" s="204">
        <f>IFERROR(VLOOKUP($A19,'Budget &amp; Revenue'!$A:$AM,19,FALSE)," ")</f>
        <v>0</v>
      </c>
      <c r="K19" s="204">
        <f>IFERROR(VLOOKUP($A19,'Budget &amp; Revenue'!$A:$AM,21,FALSE)," ")</f>
        <v>0</v>
      </c>
      <c r="L19" s="204">
        <f>IFERROR(VLOOKUP($A19,'Budget &amp; Revenue'!$A:$AM,23,FALSE)," ")</f>
        <v>0</v>
      </c>
      <c r="M19" s="204">
        <f>IFERROR(VLOOKUP($A19,'Budget &amp; Revenue'!$A:$AM,25,FALSE)," ")</f>
        <v>0</v>
      </c>
      <c r="N19" s="204">
        <f>IFERROR(VLOOKUP($A19,'Budget &amp; Revenue'!$A:$AM,27,FALSE)," ")</f>
        <v>1</v>
      </c>
      <c r="O19" s="204">
        <f>IFERROR(VLOOKUP($A19,'Budget &amp; Revenue'!$A:$AM,29,FALSE)," ")</f>
        <v>1</v>
      </c>
      <c r="P19" s="204">
        <f>IFERROR(VLOOKUP($A19,'Budget &amp; Revenue'!$A:$AM,31,FALSE)," ")</f>
        <v>1</v>
      </c>
      <c r="Q19" s="204">
        <f>IFERROR(VLOOKUP($A19,'Budget &amp; Revenue'!$A:$AM,33,FALSE)," ")</f>
        <v>1</v>
      </c>
      <c r="R19" s="204">
        <f>IFERROR(VLOOKUP($A19,'Budget &amp; Revenue'!$A:$AM,35,FALSE)," ")</f>
        <v>1</v>
      </c>
      <c r="S19" s="204">
        <f>IFERROR(VLOOKUP($A19,'Budget &amp; Revenue'!$A:$AM,37,FALSE)," ")</f>
        <v>1</v>
      </c>
      <c r="T19" s="204">
        <f>IFERROR(VLOOKUP($A19,'Budget &amp; Revenue'!$A:$AM,39,FALSE)," ")</f>
        <v>1</v>
      </c>
    </row>
    <row r="20" spans="1:20" x14ac:dyDescent="0.25">
      <c r="A20" s="80">
        <v>20</v>
      </c>
      <c r="B20" s="201" t="str">
        <f>VLOOKUP(A20,Estimate!A:C,3,FALSE)</f>
        <v>Guide Posts complete supply and install</v>
      </c>
      <c r="C20" s="80">
        <f>VLOOKUP(A20,Estimate!A:L,12,FALSE)</f>
        <v>1</v>
      </c>
      <c r="D20" s="234">
        <v>16</v>
      </c>
      <c r="E20" s="234">
        <v>21</v>
      </c>
      <c r="F20" s="235">
        <f>IFERROR(VLOOKUP(A20,Estimate!A:Q,17,FALSE)," ")</f>
        <v>140</v>
      </c>
      <c r="G20" s="204">
        <f>IFERROR(VLOOKUP($A20,'Budget &amp; Revenue'!$A:$AM,13,FALSE)," ")</f>
        <v>0</v>
      </c>
      <c r="H20" s="204">
        <f>IFERROR(VLOOKUP($A20,'Budget &amp; Revenue'!$A:$AM,15,FALSE)," ")</f>
        <v>1</v>
      </c>
      <c r="I20" s="204">
        <f>IFERROR(VLOOKUP($A20,'Budget &amp; Revenue'!$A:$AM,17,FALSE)," ")</f>
        <v>1</v>
      </c>
      <c r="J20" s="204">
        <f>IFERROR(VLOOKUP($A20,'Budget &amp; Revenue'!$A:$AM,19,FALSE)," ")</f>
        <v>1</v>
      </c>
      <c r="K20" s="204">
        <f>IFERROR(VLOOKUP($A20,'Budget &amp; Revenue'!$A:$AM,21,FALSE)," ")</f>
        <v>1</v>
      </c>
      <c r="L20" s="204">
        <f>IFERROR(VLOOKUP($A20,'Budget &amp; Revenue'!$A:$AM,23,FALSE)," ")</f>
        <v>1</v>
      </c>
      <c r="M20" s="204">
        <f>IFERROR(VLOOKUP($A20,'Budget &amp; Revenue'!$A:$AM,25,FALSE)," ")</f>
        <v>1</v>
      </c>
      <c r="N20" s="204">
        <f>IFERROR(VLOOKUP($A20,'Budget &amp; Revenue'!$A:$AM,27,FALSE)," ")</f>
        <v>1</v>
      </c>
      <c r="O20" s="204">
        <f>IFERROR(VLOOKUP($A20,'Budget &amp; Revenue'!$A:$AM,29,FALSE)," ")</f>
        <v>1</v>
      </c>
      <c r="P20" s="204">
        <f>IFERROR(VLOOKUP($A20,'Budget &amp; Revenue'!$A:$AM,31,FALSE)," ")</f>
        <v>1</v>
      </c>
      <c r="Q20" s="204">
        <f>IFERROR(VLOOKUP($A20,'Budget &amp; Revenue'!$A:$AM,33,FALSE)," ")</f>
        <v>1</v>
      </c>
      <c r="R20" s="204">
        <f>IFERROR(VLOOKUP($A20,'Budget &amp; Revenue'!$A:$AM,35,FALSE)," ")</f>
        <v>1</v>
      </c>
      <c r="S20" s="204">
        <f>IFERROR(VLOOKUP($A20,'Budget &amp; Revenue'!$A:$AM,37,FALSE)," ")</f>
        <v>1</v>
      </c>
      <c r="T20" s="204">
        <f>IFERROR(VLOOKUP($A20,'Budget &amp; Revenue'!$A:$AM,39,FALSE)," ")</f>
        <v>1</v>
      </c>
    </row>
    <row r="21" spans="1:20" x14ac:dyDescent="0.25">
      <c r="A21" s="80">
        <v>21</v>
      </c>
      <c r="B21" s="201" t="str">
        <f>VLOOKUP(A21,Estimate!A:C,3,FALSE)</f>
        <v>(i)  Grass Seeding</v>
      </c>
      <c r="C21" s="80">
        <f>VLOOKUP(A21,Estimate!A:L,12,FALSE)</f>
        <v>0</v>
      </c>
      <c r="D21" s="234">
        <v>20</v>
      </c>
      <c r="E21" s="234">
        <v>22</v>
      </c>
      <c r="F21" s="235">
        <f>IFERROR(VLOOKUP(A21,Estimate!A:Q,17,FALSE)," ")</f>
        <v>269.50000000000006</v>
      </c>
      <c r="G21" s="204">
        <f>IFERROR(VLOOKUP($A21,'Budget &amp; Revenue'!$A:$AM,13,FALSE)," ")</f>
        <v>0</v>
      </c>
      <c r="H21" s="204">
        <f>IFERROR(VLOOKUP($A21,'Budget &amp; Revenue'!$A:$AM,15,FALSE)," ")</f>
        <v>0</v>
      </c>
      <c r="I21" s="204">
        <f>IFERROR(VLOOKUP($A21,'Budget &amp; Revenue'!$A:$AM,17,FALSE)," ")</f>
        <v>0</v>
      </c>
      <c r="J21" s="204">
        <f>IFERROR(VLOOKUP($A21,'Budget &amp; Revenue'!$A:$AM,19,FALSE)," ")</f>
        <v>0</v>
      </c>
      <c r="K21" s="204">
        <f>IFERROR(VLOOKUP($A21,'Budget &amp; Revenue'!$A:$AM,21,FALSE)," ")</f>
        <v>0</v>
      </c>
      <c r="L21" s="204">
        <f>IFERROR(VLOOKUP($A21,'Budget &amp; Revenue'!$A:$AM,23,FALSE)," ")</f>
        <v>0</v>
      </c>
      <c r="M21" s="204">
        <f>IFERROR(VLOOKUP($A21,'Budget &amp; Revenue'!$A:$AM,25,FALSE)," ")</f>
        <v>0</v>
      </c>
      <c r="N21" s="204">
        <f>IFERROR(VLOOKUP($A21,'Budget &amp; Revenue'!$A:$AM,27,FALSE)," ")</f>
        <v>0.11049723756906077</v>
      </c>
      <c r="O21" s="204">
        <f>IFERROR(VLOOKUP($A21,'Budget &amp; Revenue'!$A:$AM,29,FALSE)," ")</f>
        <v>0.11049723756906077</v>
      </c>
      <c r="P21" s="204">
        <f>IFERROR(VLOOKUP($A21,'Budget &amp; Revenue'!$A:$AM,31,FALSE)," ")</f>
        <v>0.11049723756906077</v>
      </c>
      <c r="Q21" s="204">
        <f>IFERROR(VLOOKUP($A21,'Budget &amp; Revenue'!$A:$AM,33,FALSE)," ")</f>
        <v>1</v>
      </c>
      <c r="R21" s="204">
        <f>IFERROR(VLOOKUP($A21,'Budget &amp; Revenue'!$A:$AM,35,FALSE)," ")</f>
        <v>1</v>
      </c>
      <c r="S21" s="204">
        <f>IFERROR(VLOOKUP($A21,'Budget &amp; Revenue'!$A:$AM,37,FALSE)," ")</f>
        <v>0.11049723756906077</v>
      </c>
      <c r="T21" s="204">
        <f>IFERROR(VLOOKUP($A21,'Budget &amp; Revenue'!$A:$AM,39,FALSE)," ")</f>
        <v>0.11049723756906077</v>
      </c>
    </row>
    <row r="22" spans="1:20" x14ac:dyDescent="0.25">
      <c r="A22" s="80">
        <v>22</v>
      </c>
      <c r="B22" s="201" t="str">
        <f>VLOOKUP(A22,Estimate!A:C,3,FALSE)</f>
        <v>Special Item - As Constructed Survey and Plans</v>
      </c>
      <c r="C22" s="80">
        <f>VLOOKUP(A22,Estimate!A:L,12,FALSE)</f>
        <v>1</v>
      </c>
      <c r="D22" s="234" t="s">
        <v>3090</v>
      </c>
      <c r="E22" s="234">
        <v>3</v>
      </c>
      <c r="F22" s="235">
        <f>IFERROR(VLOOKUP(A22,Estimate!A:Q,17,FALSE)," ")</f>
        <v>800</v>
      </c>
      <c r="G22" s="204">
        <f>IFERROR(VLOOKUP($A22,'Budget &amp; Revenue'!$A:$AM,13,FALSE)," ")</f>
        <v>0</v>
      </c>
      <c r="H22" s="204">
        <f>IFERROR(VLOOKUP($A22,'Budget &amp; Revenue'!$A:$AM,15,FALSE)," ")</f>
        <v>0</v>
      </c>
      <c r="I22" s="204">
        <f>IFERROR(VLOOKUP($A22,'Budget &amp; Revenue'!$A:$AM,17,FALSE)," ")</f>
        <v>0</v>
      </c>
      <c r="J22" s="204">
        <f>IFERROR(VLOOKUP($A22,'Budget &amp; Revenue'!$A:$AM,19,FALSE)," ")</f>
        <v>0</v>
      </c>
      <c r="K22" s="204">
        <f>IFERROR(VLOOKUP($A22,'Budget &amp; Revenue'!$A:$AM,21,FALSE)," ")</f>
        <v>0</v>
      </c>
      <c r="L22" s="204">
        <f>IFERROR(VLOOKUP($A22,'Budget &amp; Revenue'!$A:$AM,23,FALSE)," ")</f>
        <v>0</v>
      </c>
      <c r="M22" s="204">
        <f>IFERROR(VLOOKUP($A22,'Budget &amp; Revenue'!$A:$AM,25,FALSE)," ")</f>
        <v>0.8</v>
      </c>
      <c r="N22" s="204">
        <f>IFERROR(VLOOKUP($A22,'Budget &amp; Revenue'!$A:$AM,27,FALSE)," ")</f>
        <v>1</v>
      </c>
      <c r="O22" s="204">
        <f>IFERROR(VLOOKUP($A22,'Budget &amp; Revenue'!$A:$AM,29,FALSE)," ")</f>
        <v>1</v>
      </c>
      <c r="P22" s="204">
        <f>IFERROR(VLOOKUP($A22,'Budget &amp; Revenue'!$A:$AM,31,FALSE)," ")</f>
        <v>1</v>
      </c>
      <c r="Q22" s="204">
        <f>IFERROR(VLOOKUP($A22,'Budget &amp; Revenue'!$A:$AM,33,FALSE)," ")</f>
        <v>1</v>
      </c>
      <c r="R22" s="204">
        <f>IFERROR(VLOOKUP($A22,'Budget &amp; Revenue'!$A:$AM,35,FALSE)," ")</f>
        <v>1</v>
      </c>
      <c r="S22" s="204">
        <f>IFERROR(VLOOKUP($A22,'Budget &amp; Revenue'!$A:$AM,37,FALSE)," ")</f>
        <v>1</v>
      </c>
      <c r="T22" s="204">
        <f>IFERROR(VLOOKUP($A22,'Budget &amp; Revenue'!$A:$AM,39,FALSE)," ")</f>
        <v>1</v>
      </c>
    </row>
    <row r="23" spans="1:20" s="10" customFormat="1" x14ac:dyDescent="0.25">
      <c r="A23" s="92">
        <v>2000</v>
      </c>
      <c r="B23" s="212" t="str">
        <f>VLOOKUP(A23,Estimate!A:C,3,FALSE)</f>
        <v>DOBBINS LANE</v>
      </c>
      <c r="C23" s="92">
        <f>VLOOKUP(A23,Estimate!A:L,12,FALSE)</f>
        <v>0</v>
      </c>
      <c r="D23" s="234" t="s">
        <v>3081</v>
      </c>
      <c r="E23" s="234" t="s">
        <v>3091</v>
      </c>
      <c r="F23" s="235">
        <f>IFERROR(VLOOKUP(A23,Estimate!A:Q,17,FALSE)," ")</f>
        <v>0</v>
      </c>
      <c r="G23" s="204" t="str">
        <f>IFERROR(VLOOKUP($A23,'Budget &amp; Revenue'!$A:$AM,13,FALSE)," ")</f>
        <v xml:space="preserve"> </v>
      </c>
      <c r="H23" s="204" t="str">
        <f>IFERROR(VLOOKUP($A23,'Budget &amp; Revenue'!$A:$AM,15,FALSE)," ")</f>
        <v xml:space="preserve"> </v>
      </c>
      <c r="I23" s="204" t="str">
        <f>IFERROR(VLOOKUP($A23,'Budget &amp; Revenue'!$A:$AM,17,FALSE)," ")</f>
        <v xml:space="preserve"> </v>
      </c>
      <c r="J23" s="204" t="str">
        <f>IFERROR(VLOOKUP($A23,'Budget &amp; Revenue'!$A:$AM,19,FALSE)," ")</f>
        <v xml:space="preserve"> </v>
      </c>
      <c r="K23" s="204" t="str">
        <f>IFERROR(VLOOKUP($A23,'Budget &amp; Revenue'!$A:$AM,21,FALSE)," ")</f>
        <v xml:space="preserve"> </v>
      </c>
      <c r="L23" s="204" t="str">
        <f>IFERROR(VLOOKUP($A23,'Budget &amp; Revenue'!$A:$AM,23,FALSE)," ")</f>
        <v xml:space="preserve"> </v>
      </c>
      <c r="M23" s="204" t="str">
        <f>IFERROR(VLOOKUP($A23,'Budget &amp; Revenue'!$A:$AM,25,FALSE)," ")</f>
        <v xml:space="preserve"> </v>
      </c>
      <c r="N23" s="204" t="str">
        <f>IFERROR(VLOOKUP($A23,'Budget &amp; Revenue'!$A:$AM,27,FALSE)," ")</f>
        <v xml:space="preserve"> </v>
      </c>
      <c r="O23" s="204" t="str">
        <f>IFERROR(VLOOKUP($A23,'Budget &amp; Revenue'!$A:$AM,29,FALSE)," ")</f>
        <v xml:space="preserve"> </v>
      </c>
      <c r="P23" s="204" t="str">
        <f>IFERROR(VLOOKUP($A23,'Budget &amp; Revenue'!$A:$AM,31,FALSE)," ")</f>
        <v xml:space="preserve"> </v>
      </c>
      <c r="Q23" s="204" t="str">
        <f>IFERROR(VLOOKUP($A23,'Budget &amp; Revenue'!$A:$AM,33,FALSE)," ")</f>
        <v xml:space="preserve"> </v>
      </c>
      <c r="R23" s="204" t="str">
        <f>IFERROR(VLOOKUP($A23,'Budget &amp; Revenue'!$A:$AM,35,FALSE)," ")</f>
        <v xml:space="preserve"> </v>
      </c>
      <c r="S23" s="204" t="str">
        <f>IFERROR(VLOOKUP($A23,'Budget &amp; Revenue'!$A:$AM,37,FALSE)," ")</f>
        <v xml:space="preserve"> </v>
      </c>
      <c r="T23" s="204" t="str">
        <f>IFERROR(VLOOKUP($A23,'Budget &amp; Revenue'!$A:$AM,39,FALSE)," ")</f>
        <v xml:space="preserve"> </v>
      </c>
    </row>
    <row r="24" spans="1:20" x14ac:dyDescent="0.25">
      <c r="A24" s="80">
        <v>23</v>
      </c>
      <c r="B24" s="201" t="str">
        <f>VLOOKUP(A24,Estimate!A:C,3,FALSE)</f>
        <v>Quality Verification &amp; Control</v>
      </c>
      <c r="C24" s="80">
        <f>VLOOKUP(A24,Estimate!A:L,12,FALSE)</f>
        <v>0</v>
      </c>
      <c r="D24" s="234">
        <v>23</v>
      </c>
      <c r="E24" s="234">
        <v>25</v>
      </c>
      <c r="F24" s="235">
        <f>IFERROR(VLOOKUP(A24,Estimate!A:Q,17,FALSE)," ")</f>
        <v>11795</v>
      </c>
      <c r="G24" s="204">
        <f>IFERROR(VLOOKUP($A24,'Budget &amp; Revenue'!$A:$AM,13,FALSE)," ")</f>
        <v>0</v>
      </c>
      <c r="H24" s="204">
        <f>IFERROR(VLOOKUP($A24,'Budget &amp; Revenue'!$A:$AM,15,FALSE)," ")</f>
        <v>0</v>
      </c>
      <c r="I24" s="204">
        <f>IFERROR(VLOOKUP($A24,'Budget &amp; Revenue'!$A:$AM,17,FALSE)," ")</f>
        <v>0</v>
      </c>
      <c r="J24" s="204">
        <f>IFERROR(VLOOKUP($A24,'Budget &amp; Revenue'!$A:$AM,19,FALSE)," ")</f>
        <v>0</v>
      </c>
      <c r="K24" s="204">
        <f>IFERROR(VLOOKUP($A24,'Budget &amp; Revenue'!$A:$AM,21,FALSE)," ")</f>
        <v>0</v>
      </c>
      <c r="L24" s="204">
        <f>IFERROR(VLOOKUP($A24,'Budget &amp; Revenue'!$A:$AM,23,FALSE)," ")</f>
        <v>0</v>
      </c>
      <c r="M24" s="204">
        <f>IFERROR(VLOOKUP($A24,'Budget &amp; Revenue'!$A:$AM,25,FALSE)," ")</f>
        <v>0</v>
      </c>
      <c r="N24" s="204">
        <f>IFERROR(VLOOKUP($A24,'Budget &amp; Revenue'!$A:$AM,27,FALSE)," ")</f>
        <v>0.2</v>
      </c>
      <c r="O24" s="204">
        <f>IFERROR(VLOOKUP($A24,'Budget &amp; Revenue'!$A:$AM,29,FALSE)," ")</f>
        <v>0.5</v>
      </c>
      <c r="P24" s="204">
        <f>IFERROR(VLOOKUP($A24,'Budget &amp; Revenue'!$A:$AM,31,FALSE)," ")</f>
        <v>0.8</v>
      </c>
      <c r="Q24" s="204">
        <f>IFERROR(VLOOKUP($A24,'Budget &amp; Revenue'!$A:$AM,33,FALSE)," ")</f>
        <v>1</v>
      </c>
      <c r="R24" s="204">
        <f>IFERROR(VLOOKUP($A24,'Budget &amp; Revenue'!$A:$AM,35,FALSE)," ")</f>
        <v>1</v>
      </c>
      <c r="S24" s="204">
        <f>IFERROR(VLOOKUP($A24,'Budget &amp; Revenue'!$A:$AM,37,FALSE)," ")</f>
        <v>1</v>
      </c>
      <c r="T24" s="204">
        <f>IFERROR(VLOOKUP($A24,'Budget &amp; Revenue'!$A:$AM,39,FALSE)," ")</f>
        <v>1</v>
      </c>
    </row>
    <row r="25" spans="1:20" x14ac:dyDescent="0.25">
      <c r="A25" s="80">
        <v>25</v>
      </c>
      <c r="B25" s="201" t="str">
        <f>VLOOKUP(A25,Estimate!A:C,3,FALSE)</f>
        <v>Control of Traffic</v>
      </c>
      <c r="C25" s="80">
        <f>VLOOKUP(A25,Estimate!A:L,12,FALSE)</f>
        <v>30</v>
      </c>
      <c r="D25" s="234">
        <v>24</v>
      </c>
      <c r="E25" s="234" t="s">
        <v>2990</v>
      </c>
      <c r="F25" s="235">
        <f>IFERROR(VLOOKUP(A25,Estimate!A:Q,17,FALSE)," ")</f>
        <v>34938.720000000001</v>
      </c>
      <c r="G25" s="204">
        <f>IFERROR(VLOOKUP($A25,'Budget &amp; Revenue'!$A:$AM,13,FALSE)," ")</f>
        <v>0</v>
      </c>
      <c r="H25" s="204">
        <f>IFERROR(VLOOKUP($A25,'Budget &amp; Revenue'!$A:$AM,15,FALSE)," ")</f>
        <v>0</v>
      </c>
      <c r="I25" s="204">
        <f>IFERROR(VLOOKUP($A25,'Budget &amp; Revenue'!$A:$AM,17,FALSE)," ")</f>
        <v>0</v>
      </c>
      <c r="J25" s="204">
        <f>IFERROR(VLOOKUP($A25,'Budget &amp; Revenue'!$A:$AM,19,FALSE)," ")</f>
        <v>0</v>
      </c>
      <c r="K25" s="204">
        <f>IFERROR(VLOOKUP($A25,'Budget &amp; Revenue'!$A:$AM,21,FALSE)," ")</f>
        <v>0</v>
      </c>
      <c r="L25" s="204">
        <f>IFERROR(VLOOKUP($A25,'Budget &amp; Revenue'!$A:$AM,23,FALSE)," ")</f>
        <v>0</v>
      </c>
      <c r="M25" s="204">
        <f>IFERROR(VLOOKUP($A25,'Budget &amp; Revenue'!$A:$AM,25,FALSE)," ")</f>
        <v>0.2</v>
      </c>
      <c r="N25" s="204">
        <f>IFERROR(VLOOKUP($A25,'Budget &amp; Revenue'!$A:$AM,27,FALSE)," ")</f>
        <v>0.4</v>
      </c>
      <c r="O25" s="204">
        <f>IFERROR(VLOOKUP($A25,'Budget &amp; Revenue'!$A:$AM,29,FALSE)," ")</f>
        <v>0.6</v>
      </c>
      <c r="P25" s="204">
        <f>IFERROR(VLOOKUP($A25,'Budget &amp; Revenue'!$A:$AM,31,FALSE)," ")</f>
        <v>0.8</v>
      </c>
      <c r="Q25" s="204">
        <f>IFERROR(VLOOKUP($A25,'Budget &amp; Revenue'!$A:$AM,33,FALSE)," ")</f>
        <v>1</v>
      </c>
      <c r="R25" s="204">
        <f>IFERROR(VLOOKUP($A25,'Budget &amp; Revenue'!$A:$AM,35,FALSE)," ")</f>
        <v>1</v>
      </c>
      <c r="S25" s="204">
        <f>IFERROR(VLOOKUP($A25,'Budget &amp; Revenue'!$A:$AM,37,FALSE)," ")</f>
        <v>1</v>
      </c>
      <c r="T25" s="204">
        <f>IFERROR(VLOOKUP($A25,'Budget &amp; Revenue'!$A:$AM,39,FALSE)," ")</f>
        <v>1</v>
      </c>
    </row>
    <row r="26" spans="1:20" ht="30" x14ac:dyDescent="0.25">
      <c r="A26" s="80">
        <v>26</v>
      </c>
      <c r="B26" s="201" t="str">
        <f>VLOOKUP(A26,Estimate!A:C,3,FALSE)</f>
        <v>Temporary Erosion &amp; Sedimentation Control (includes supply and installation of all components)</v>
      </c>
      <c r="C26" s="80">
        <f>VLOOKUP(A26,Estimate!A:L,12,FALSE)</f>
        <v>6</v>
      </c>
      <c r="D26" s="234" t="s">
        <v>2991</v>
      </c>
      <c r="E26" s="234" t="s">
        <v>2992</v>
      </c>
      <c r="F26" s="235">
        <f>IFERROR(VLOOKUP(A26,Estimate!A:Q,17,FALSE)," ")</f>
        <v>11050</v>
      </c>
      <c r="G26" s="204">
        <f>IFERROR(VLOOKUP($A26,'Budget &amp; Revenue'!$A:$AM,13,FALSE)," ")</f>
        <v>0</v>
      </c>
      <c r="H26" s="204">
        <f>IFERROR(VLOOKUP($A26,'Budget &amp; Revenue'!$A:$AM,15,FALSE)," ")</f>
        <v>0</v>
      </c>
      <c r="I26" s="204">
        <f>IFERROR(VLOOKUP($A26,'Budget &amp; Revenue'!$A:$AM,17,FALSE)," ")</f>
        <v>0</v>
      </c>
      <c r="J26" s="204">
        <f>IFERROR(VLOOKUP($A26,'Budget &amp; Revenue'!$A:$AM,19,FALSE)," ")</f>
        <v>0</v>
      </c>
      <c r="K26" s="204">
        <f>IFERROR(VLOOKUP($A26,'Budget &amp; Revenue'!$A:$AM,21,FALSE)," ")</f>
        <v>0</v>
      </c>
      <c r="L26" s="204">
        <f>IFERROR(VLOOKUP($A26,'Budget &amp; Revenue'!$A:$AM,23,FALSE)," ")</f>
        <v>0</v>
      </c>
      <c r="M26" s="204">
        <f>IFERROR(VLOOKUP($A26,'Budget &amp; Revenue'!$A:$AM,25,FALSE)," ")</f>
        <v>0.2</v>
      </c>
      <c r="N26" s="204">
        <f>IFERROR(VLOOKUP($A26,'Budget &amp; Revenue'!$A:$AM,27,FALSE)," ")</f>
        <v>0.4</v>
      </c>
      <c r="O26" s="204">
        <f>IFERROR(VLOOKUP($A26,'Budget &amp; Revenue'!$A:$AM,29,FALSE)," ")</f>
        <v>0.6</v>
      </c>
      <c r="P26" s="204">
        <f>IFERROR(VLOOKUP($A26,'Budget &amp; Revenue'!$A:$AM,31,FALSE)," ")</f>
        <v>0.8</v>
      </c>
      <c r="Q26" s="204">
        <f>IFERROR(VLOOKUP($A26,'Budget &amp; Revenue'!$A:$AM,33,FALSE)," ")</f>
        <v>1</v>
      </c>
      <c r="R26" s="204">
        <f>IFERROR(VLOOKUP($A26,'Budget &amp; Revenue'!$A:$AM,35,FALSE)," ")</f>
        <v>1</v>
      </c>
      <c r="S26" s="204">
        <f>IFERROR(VLOOKUP($A26,'Budget &amp; Revenue'!$A:$AM,37,FALSE)," ")</f>
        <v>1</v>
      </c>
      <c r="T26" s="204">
        <f>IFERROR(VLOOKUP($A26,'Budget &amp; Revenue'!$A:$AM,39,FALSE)," ")</f>
        <v>1</v>
      </c>
    </row>
    <row r="27" spans="1:20" x14ac:dyDescent="0.25">
      <c r="A27" s="80">
        <v>27</v>
      </c>
      <c r="B27" s="201" t="str">
        <f>VLOOKUP(A27,Estimate!A:C,3,FALSE)</f>
        <v>General Earthworks Cut</v>
      </c>
      <c r="C27" s="80">
        <f>VLOOKUP(A27,Estimate!A:L,12,FALSE)</f>
        <v>4</v>
      </c>
      <c r="D27" s="234">
        <v>26</v>
      </c>
      <c r="E27" s="234" t="s">
        <v>2993</v>
      </c>
      <c r="F27" s="235">
        <f>IFERROR(VLOOKUP(A27,Estimate!A:Q,17,FALSE)," ")</f>
        <v>20828.529729729729</v>
      </c>
      <c r="G27" s="204">
        <f>IFERROR(VLOOKUP($A27,'Budget &amp; Revenue'!$A:$AM,13,FALSE)," ")</f>
        <v>0</v>
      </c>
      <c r="H27" s="204">
        <f>IFERROR(VLOOKUP($A27,'Budget &amp; Revenue'!$A:$AM,15,FALSE)," ")</f>
        <v>0</v>
      </c>
      <c r="I27" s="204">
        <f>IFERROR(VLOOKUP($A27,'Budget &amp; Revenue'!$A:$AM,17,FALSE)," ")</f>
        <v>0</v>
      </c>
      <c r="J27" s="204">
        <f>IFERROR(VLOOKUP($A27,'Budget &amp; Revenue'!$A:$AM,19,FALSE)," ")</f>
        <v>0</v>
      </c>
      <c r="K27" s="204">
        <f>IFERROR(VLOOKUP($A27,'Budget &amp; Revenue'!$A:$AM,21,FALSE)," ")</f>
        <v>0</v>
      </c>
      <c r="L27" s="204">
        <f>IFERROR(VLOOKUP($A27,'Budget &amp; Revenue'!$A:$AM,23,FALSE)," ")</f>
        <v>0</v>
      </c>
      <c r="M27" s="204">
        <f>IFERROR(VLOOKUP($A27,'Budget &amp; Revenue'!$A:$AM,25,FALSE)," ")</f>
        <v>0</v>
      </c>
      <c r="N27" s="204">
        <f>IFERROR(VLOOKUP($A27,'Budget &amp; Revenue'!$A:$AM,27,FALSE)," ")</f>
        <v>0.20040080160320642</v>
      </c>
      <c r="O27" s="204">
        <f>IFERROR(VLOOKUP($A27,'Budget &amp; Revenue'!$A:$AM,29,FALSE)," ")</f>
        <v>1</v>
      </c>
      <c r="P27" s="204">
        <f>IFERROR(VLOOKUP($A27,'Budget &amp; Revenue'!$A:$AM,31,FALSE)," ")</f>
        <v>1</v>
      </c>
      <c r="Q27" s="204">
        <f>IFERROR(VLOOKUP($A27,'Budget &amp; Revenue'!$A:$AM,33,FALSE)," ")</f>
        <v>1</v>
      </c>
      <c r="R27" s="204">
        <f>IFERROR(VLOOKUP($A27,'Budget &amp; Revenue'!$A:$AM,35,FALSE)," ")</f>
        <v>1</v>
      </c>
      <c r="S27" s="204">
        <f>IFERROR(VLOOKUP($A27,'Budget &amp; Revenue'!$A:$AM,37,FALSE)," ")</f>
        <v>1</v>
      </c>
      <c r="T27" s="204">
        <f>IFERROR(VLOOKUP($A27,'Budget &amp; Revenue'!$A:$AM,39,FALSE)," ")</f>
        <v>1</v>
      </c>
    </row>
    <row r="28" spans="1:20" ht="30" x14ac:dyDescent="0.25">
      <c r="A28" s="80">
        <v>28</v>
      </c>
      <c r="B28" s="201" t="str">
        <f>VLOOKUP(A28,Estimate!A:C,3,FALSE)</f>
        <v>Replace unsuitable material below sub grade with select material complete (PROVISIONAL)</v>
      </c>
      <c r="C28" s="80">
        <f>VLOOKUP(A28,Estimate!A:L,12,FALSE)</f>
        <v>1</v>
      </c>
      <c r="D28" s="234">
        <v>27</v>
      </c>
      <c r="E28" s="234" t="s">
        <v>2994</v>
      </c>
      <c r="F28" s="235">
        <f>IFERROR(VLOOKUP(A28,Estimate!A:Q,17,FALSE)," ")</f>
        <v>655.33333333333337</v>
      </c>
      <c r="G28" s="204">
        <f>IFERROR(VLOOKUP($A28,'Budget &amp; Revenue'!$A:$AM,13,FALSE)," ")</f>
        <v>0</v>
      </c>
      <c r="H28" s="204">
        <f>IFERROR(VLOOKUP($A28,'Budget &amp; Revenue'!$A:$AM,15,FALSE)," ")</f>
        <v>0</v>
      </c>
      <c r="I28" s="204">
        <f>IFERROR(VLOOKUP($A28,'Budget &amp; Revenue'!$A:$AM,17,FALSE)," ")</f>
        <v>0</v>
      </c>
      <c r="J28" s="204">
        <f>IFERROR(VLOOKUP($A28,'Budget &amp; Revenue'!$A:$AM,19,FALSE)," ")</f>
        <v>0</v>
      </c>
      <c r="K28" s="204">
        <f>IFERROR(VLOOKUP($A28,'Budget &amp; Revenue'!$A:$AM,21,FALSE)," ")</f>
        <v>0</v>
      </c>
      <c r="L28" s="204">
        <f>IFERROR(VLOOKUP($A28,'Budget &amp; Revenue'!$A:$AM,23,FALSE)," ")</f>
        <v>0</v>
      </c>
      <c r="M28" s="204">
        <f>IFERROR(VLOOKUP($A28,'Budget &amp; Revenue'!$A:$AM,25,FALSE)," ")</f>
        <v>0</v>
      </c>
      <c r="N28" s="204">
        <f>IFERROR(VLOOKUP($A28,'Budget &amp; Revenue'!$A:$AM,27,FALSE)," ")</f>
        <v>0</v>
      </c>
      <c r="O28" s="204">
        <f>IFERROR(VLOOKUP($A28,'Budget &amp; Revenue'!$A:$AM,29,FALSE)," ")</f>
        <v>0</v>
      </c>
      <c r="P28" s="204">
        <f>IFERROR(VLOOKUP($A28,'Budget &amp; Revenue'!$A:$AM,31,FALSE)," ")</f>
        <v>1</v>
      </c>
      <c r="Q28" s="204">
        <f>IFERROR(VLOOKUP($A28,'Budget &amp; Revenue'!$A:$AM,33,FALSE)," ")</f>
        <v>1</v>
      </c>
      <c r="R28" s="204">
        <f>IFERROR(VLOOKUP($A28,'Budget &amp; Revenue'!$A:$AM,35,FALSE)," ")</f>
        <v>1</v>
      </c>
      <c r="S28" s="204">
        <f>IFERROR(VLOOKUP($A28,'Budget &amp; Revenue'!$A:$AM,37,FALSE)," ")</f>
        <v>0</v>
      </c>
      <c r="T28" s="204">
        <f>IFERROR(VLOOKUP($A28,'Budget &amp; Revenue'!$A:$AM,39,FALSE)," ")</f>
        <v>0</v>
      </c>
    </row>
    <row r="29" spans="1:20" x14ac:dyDescent="0.25">
      <c r="A29" s="80">
        <v>29</v>
      </c>
      <c r="B29" s="201" t="str">
        <f>VLOOKUP(A29,Estimate!A:C,3,FALSE)</f>
        <v xml:space="preserve"> Removal / Demolition of Drainage Components complete</v>
      </c>
      <c r="C29" s="80">
        <f>VLOOKUP(A29,Estimate!A:L,12,FALSE)</f>
        <v>2</v>
      </c>
      <c r="D29" s="234">
        <v>26</v>
      </c>
      <c r="E29" s="234">
        <v>30</v>
      </c>
      <c r="F29" s="235">
        <f>IFERROR(VLOOKUP(A29,Estimate!A:Q,17,FALSE)," ")</f>
        <v>10066.666666666666</v>
      </c>
      <c r="G29" s="204">
        <f>IFERROR(VLOOKUP($A29,'Budget &amp; Revenue'!$A:$AM,13,FALSE)," ")</f>
        <v>0</v>
      </c>
      <c r="H29" s="204">
        <f>IFERROR(VLOOKUP($A29,'Budget &amp; Revenue'!$A:$AM,15,FALSE)," ")</f>
        <v>0</v>
      </c>
      <c r="I29" s="204">
        <f>IFERROR(VLOOKUP($A29,'Budget &amp; Revenue'!$A:$AM,17,FALSE)," ")</f>
        <v>0</v>
      </c>
      <c r="J29" s="204">
        <f>IFERROR(VLOOKUP($A29,'Budget &amp; Revenue'!$A:$AM,19,FALSE)," ")</f>
        <v>0</v>
      </c>
      <c r="K29" s="204">
        <f>IFERROR(VLOOKUP($A29,'Budget &amp; Revenue'!$A:$AM,21,FALSE)," ")</f>
        <v>0</v>
      </c>
      <c r="L29" s="204">
        <f>IFERROR(VLOOKUP($A29,'Budget &amp; Revenue'!$A:$AM,23,FALSE)," ")</f>
        <v>0</v>
      </c>
      <c r="M29" s="204">
        <f>IFERROR(VLOOKUP($A29,'Budget &amp; Revenue'!$A:$AM,25,FALSE)," ")</f>
        <v>0</v>
      </c>
      <c r="N29" s="204">
        <f>IFERROR(VLOOKUP($A29,'Budget &amp; Revenue'!$A:$AM,27,FALSE)," ")</f>
        <v>0.2</v>
      </c>
      <c r="O29" s="204">
        <f>IFERROR(VLOOKUP($A29,'Budget &amp; Revenue'!$A:$AM,29,FALSE)," ")</f>
        <v>0.9</v>
      </c>
      <c r="P29" s="204">
        <f>IFERROR(VLOOKUP($A29,'Budget &amp; Revenue'!$A:$AM,31,FALSE)," ")</f>
        <v>1</v>
      </c>
      <c r="Q29" s="204">
        <f>IFERROR(VLOOKUP($A29,'Budget &amp; Revenue'!$A:$AM,33,FALSE)," ")</f>
        <v>1</v>
      </c>
      <c r="R29" s="204">
        <f>IFERROR(VLOOKUP($A29,'Budget &amp; Revenue'!$A:$AM,35,FALSE)," ")</f>
        <v>1</v>
      </c>
      <c r="S29" s="204">
        <f>IFERROR(VLOOKUP($A29,'Budget &amp; Revenue'!$A:$AM,37,FALSE)," ")</f>
        <v>1</v>
      </c>
      <c r="T29" s="204">
        <f>IFERROR(VLOOKUP($A29,'Budget &amp; Revenue'!$A:$AM,39,FALSE)," ")</f>
        <v>1</v>
      </c>
    </row>
    <row r="30" spans="1:20" ht="30" x14ac:dyDescent="0.25">
      <c r="A30" s="80">
        <v>30</v>
      </c>
      <c r="B30" s="201" t="str">
        <f>VLOOKUP(A30,Estimate!A:C,3,FALSE)</f>
        <v>Alteration to Existing Stormwater Structures (New 225 Upvc at Ch 140</v>
      </c>
      <c r="C30" s="80">
        <f>VLOOKUP(A30,Estimate!A:L,12,FALSE)</f>
        <v>1</v>
      </c>
      <c r="D30" s="234">
        <v>29</v>
      </c>
      <c r="E30" s="234">
        <v>31</v>
      </c>
      <c r="F30" s="235">
        <f>IFERROR(VLOOKUP(A30,Estimate!A:Q,17,FALSE)," ")</f>
        <v>1200</v>
      </c>
      <c r="G30" s="204">
        <f>IFERROR(VLOOKUP($A30,'Budget &amp; Revenue'!$A:$AM,13,FALSE)," ")</f>
        <v>0</v>
      </c>
      <c r="H30" s="204">
        <f>IFERROR(VLOOKUP($A30,'Budget &amp; Revenue'!$A:$AM,15,FALSE)," ")</f>
        <v>0</v>
      </c>
      <c r="I30" s="204">
        <f>IFERROR(VLOOKUP($A30,'Budget &amp; Revenue'!$A:$AM,17,FALSE)," ")</f>
        <v>0</v>
      </c>
      <c r="J30" s="204">
        <f>IFERROR(VLOOKUP($A30,'Budget &amp; Revenue'!$A:$AM,19,FALSE)," ")</f>
        <v>0</v>
      </c>
      <c r="K30" s="204">
        <f>IFERROR(VLOOKUP($A30,'Budget &amp; Revenue'!$A:$AM,21,FALSE)," ")</f>
        <v>0</v>
      </c>
      <c r="L30" s="204">
        <f>IFERROR(VLOOKUP($A30,'Budget &amp; Revenue'!$A:$AM,23,FALSE)," ")</f>
        <v>0</v>
      </c>
      <c r="M30" s="204">
        <f>IFERROR(VLOOKUP($A30,'Budget &amp; Revenue'!$A:$AM,25,FALSE)," ")</f>
        <v>0</v>
      </c>
      <c r="N30" s="204">
        <f>IFERROR(VLOOKUP($A30,'Budget &amp; Revenue'!$A:$AM,27,FALSE)," ")</f>
        <v>0</v>
      </c>
      <c r="O30" s="204">
        <f>IFERROR(VLOOKUP($A30,'Budget &amp; Revenue'!$A:$AM,29,FALSE)," ")</f>
        <v>0</v>
      </c>
      <c r="P30" s="204">
        <f>IFERROR(VLOOKUP($A30,'Budget &amp; Revenue'!$A:$AM,31,FALSE)," ")</f>
        <v>1</v>
      </c>
      <c r="Q30" s="204">
        <f>IFERROR(VLOOKUP($A30,'Budget &amp; Revenue'!$A:$AM,33,FALSE)," ")</f>
        <v>1</v>
      </c>
      <c r="R30" s="204">
        <f>IFERROR(VLOOKUP($A30,'Budget &amp; Revenue'!$A:$AM,35,FALSE)," ")</f>
        <v>1</v>
      </c>
      <c r="S30" s="204">
        <f>IFERROR(VLOOKUP($A30,'Budget &amp; Revenue'!$A:$AM,37,FALSE)," ")</f>
        <v>1</v>
      </c>
      <c r="T30" s="204">
        <f>IFERROR(VLOOKUP($A30,'Budget &amp; Revenue'!$A:$AM,39,FALSE)," ")</f>
        <v>1</v>
      </c>
    </row>
    <row r="31" spans="1:20" x14ac:dyDescent="0.25">
      <c r="A31" s="80">
        <v>31</v>
      </c>
      <c r="B31" s="201" t="str">
        <f>VLOOKUP(A31,Estimate!A:C,3,FALSE)</f>
        <v>225mm dia uPVC</v>
      </c>
      <c r="C31" s="80">
        <f>VLOOKUP(A31,Estimate!A:L,12,FALSE)</f>
        <v>1</v>
      </c>
      <c r="D31" s="234">
        <v>30</v>
      </c>
      <c r="E31" s="234">
        <v>32</v>
      </c>
      <c r="F31" s="235">
        <f>IFERROR(VLOOKUP(A31,Estimate!A:Q,17,FALSE)," ")</f>
        <v>2313</v>
      </c>
      <c r="G31" s="204">
        <f>IFERROR(VLOOKUP($A31,'Budget &amp; Revenue'!$A:$AM,13,FALSE)," ")</f>
        <v>0</v>
      </c>
      <c r="H31" s="204">
        <f>IFERROR(VLOOKUP($A31,'Budget &amp; Revenue'!$A:$AM,15,FALSE)," ")</f>
        <v>0</v>
      </c>
      <c r="I31" s="204">
        <f>IFERROR(VLOOKUP($A31,'Budget &amp; Revenue'!$A:$AM,17,FALSE)," ")</f>
        <v>0</v>
      </c>
      <c r="J31" s="204">
        <f>IFERROR(VLOOKUP($A31,'Budget &amp; Revenue'!$A:$AM,19,FALSE)," ")</f>
        <v>0</v>
      </c>
      <c r="K31" s="204">
        <f>IFERROR(VLOOKUP($A31,'Budget &amp; Revenue'!$A:$AM,21,FALSE)," ")</f>
        <v>0</v>
      </c>
      <c r="L31" s="204">
        <f>IFERROR(VLOOKUP($A31,'Budget &amp; Revenue'!$A:$AM,23,FALSE)," ")</f>
        <v>0</v>
      </c>
      <c r="M31" s="204">
        <f>IFERROR(VLOOKUP($A31,'Budget &amp; Revenue'!$A:$AM,25,FALSE)," ")</f>
        <v>0</v>
      </c>
      <c r="N31" s="204">
        <f>IFERROR(VLOOKUP($A31,'Budget &amp; Revenue'!$A:$AM,27,FALSE)," ")</f>
        <v>0</v>
      </c>
      <c r="O31" s="204">
        <f>IFERROR(VLOOKUP($A31,'Budget &amp; Revenue'!$A:$AM,29,FALSE)," ")</f>
        <v>0</v>
      </c>
      <c r="P31" s="204">
        <f>IFERROR(VLOOKUP($A31,'Budget &amp; Revenue'!$A:$AM,31,FALSE)," ")</f>
        <v>1</v>
      </c>
      <c r="Q31" s="204">
        <f>IFERROR(VLOOKUP($A31,'Budget &amp; Revenue'!$A:$AM,33,FALSE)," ")</f>
        <v>1</v>
      </c>
      <c r="R31" s="204">
        <f>IFERROR(VLOOKUP($A31,'Budget &amp; Revenue'!$A:$AM,35,FALSE)," ")</f>
        <v>1</v>
      </c>
      <c r="S31" s="204">
        <f>IFERROR(VLOOKUP($A31,'Budget &amp; Revenue'!$A:$AM,37,FALSE)," ")</f>
        <v>1</v>
      </c>
      <c r="T31" s="204">
        <f>IFERROR(VLOOKUP($A31,'Budget &amp; Revenue'!$A:$AM,39,FALSE)," ")</f>
        <v>1</v>
      </c>
    </row>
    <row r="32" spans="1:20" x14ac:dyDescent="0.25">
      <c r="A32" s="80">
        <v>32</v>
      </c>
      <c r="B32" s="201" t="str">
        <f>VLOOKUP(A32,Estimate!A:C,3,FALSE)</f>
        <v>(x) Inter-allotment Drainage Pit</v>
      </c>
      <c r="C32" s="80">
        <f>VLOOKUP(A32,Estimate!A:L,12,FALSE)</f>
        <v>3</v>
      </c>
      <c r="D32" s="234">
        <v>31</v>
      </c>
      <c r="E32" s="233"/>
      <c r="F32" s="235">
        <f>IFERROR(VLOOKUP(A32,Estimate!A:Q,17,FALSE)," ")</f>
        <v>3750</v>
      </c>
      <c r="G32" s="204">
        <f>IFERROR(VLOOKUP($A32,'Budget &amp; Revenue'!$A:$AM,13,FALSE)," ")</f>
        <v>0</v>
      </c>
      <c r="H32" s="204">
        <f>IFERROR(VLOOKUP($A32,'Budget &amp; Revenue'!$A:$AM,15,FALSE)," ")</f>
        <v>0</v>
      </c>
      <c r="I32" s="204">
        <f>IFERROR(VLOOKUP($A32,'Budget &amp; Revenue'!$A:$AM,17,FALSE)," ")</f>
        <v>0</v>
      </c>
      <c r="J32" s="204">
        <f>IFERROR(VLOOKUP($A32,'Budget &amp; Revenue'!$A:$AM,19,FALSE)," ")</f>
        <v>0</v>
      </c>
      <c r="K32" s="204">
        <f>IFERROR(VLOOKUP($A32,'Budget &amp; Revenue'!$A:$AM,21,FALSE)," ")</f>
        <v>0</v>
      </c>
      <c r="L32" s="204">
        <f>IFERROR(VLOOKUP($A32,'Budget &amp; Revenue'!$A:$AM,23,FALSE)," ")</f>
        <v>0</v>
      </c>
      <c r="M32" s="204">
        <f>IFERROR(VLOOKUP($A32,'Budget &amp; Revenue'!$A:$AM,25,FALSE)," ")</f>
        <v>0</v>
      </c>
      <c r="N32" s="204">
        <f>IFERROR(VLOOKUP($A32,'Budget &amp; Revenue'!$A:$AM,27,FALSE)," ")</f>
        <v>0</v>
      </c>
      <c r="O32" s="204">
        <f>IFERROR(VLOOKUP($A32,'Budget &amp; Revenue'!$A:$AM,29,FALSE)," ")</f>
        <v>0</v>
      </c>
      <c r="P32" s="204">
        <f>IFERROR(VLOOKUP($A32,'Budget &amp; Revenue'!$A:$AM,31,FALSE)," ")</f>
        <v>0.5</v>
      </c>
      <c r="Q32" s="204">
        <f>IFERROR(VLOOKUP($A32,'Budget &amp; Revenue'!$A:$AM,33,FALSE)," ")</f>
        <v>1</v>
      </c>
      <c r="R32" s="204">
        <f>IFERROR(VLOOKUP($A32,'Budget &amp; Revenue'!$A:$AM,35,FALSE)," ")</f>
        <v>1</v>
      </c>
      <c r="S32" s="204">
        <f>IFERROR(VLOOKUP($A32,'Budget &amp; Revenue'!$A:$AM,37,FALSE)," ")</f>
        <v>1</v>
      </c>
      <c r="T32" s="204">
        <f>IFERROR(VLOOKUP($A32,'Budget &amp; Revenue'!$A:$AM,39,FALSE)," ")</f>
        <v>1</v>
      </c>
    </row>
    <row r="33" spans="1:20" x14ac:dyDescent="0.25">
      <c r="A33" s="80">
        <v>33</v>
      </c>
      <c r="B33" s="201" t="str">
        <f>VLOOKUP(A33,Estimate!A:C,3,FALSE)</f>
        <v>Concrete Lining of Open Drains</v>
      </c>
      <c r="C33" s="80">
        <f>VLOOKUP(A33,Estimate!A:L,12,FALSE)</f>
        <v>2</v>
      </c>
      <c r="D33" s="234">
        <v>27</v>
      </c>
      <c r="E33" s="233"/>
      <c r="F33" s="235">
        <f>IFERROR(VLOOKUP(A33,Estimate!A:Q,17,FALSE)," ")</f>
        <v>356.1444444444445</v>
      </c>
      <c r="G33" s="204">
        <f>IFERROR(VLOOKUP($A33,'Budget &amp; Revenue'!$A:$AM,13,FALSE)," ")</f>
        <v>0</v>
      </c>
      <c r="H33" s="204">
        <f>IFERROR(VLOOKUP($A33,'Budget &amp; Revenue'!$A:$AM,15,FALSE)," ")</f>
        <v>0</v>
      </c>
      <c r="I33" s="204">
        <f>IFERROR(VLOOKUP($A33,'Budget &amp; Revenue'!$A:$AM,17,FALSE)," ")</f>
        <v>0</v>
      </c>
      <c r="J33" s="204">
        <f>IFERROR(VLOOKUP($A33,'Budget &amp; Revenue'!$A:$AM,19,FALSE)," ")</f>
        <v>0</v>
      </c>
      <c r="K33" s="204">
        <f>IFERROR(VLOOKUP($A33,'Budget &amp; Revenue'!$A:$AM,21,FALSE)," ")</f>
        <v>0</v>
      </c>
      <c r="L33" s="204">
        <f>IFERROR(VLOOKUP($A33,'Budget &amp; Revenue'!$A:$AM,23,FALSE)," ")</f>
        <v>0</v>
      </c>
      <c r="M33" s="204">
        <f>IFERROR(VLOOKUP($A33,'Budget &amp; Revenue'!$A:$AM,25,FALSE)," ")</f>
        <v>0</v>
      </c>
      <c r="N33" s="204">
        <f>IFERROR(VLOOKUP($A33,'Budget &amp; Revenue'!$A:$AM,27,FALSE)," ")</f>
        <v>0</v>
      </c>
      <c r="O33" s="204">
        <f>IFERROR(VLOOKUP($A33,'Budget &amp; Revenue'!$A:$AM,29,FALSE)," ")</f>
        <v>0</v>
      </c>
      <c r="P33" s="204">
        <f>IFERROR(VLOOKUP($A33,'Budget &amp; Revenue'!$A:$AM,31,FALSE)," ")</f>
        <v>1</v>
      </c>
      <c r="Q33" s="204">
        <f>IFERROR(VLOOKUP($A33,'Budget &amp; Revenue'!$A:$AM,33,FALSE)," ")</f>
        <v>1</v>
      </c>
      <c r="R33" s="204">
        <f>IFERROR(VLOOKUP($A33,'Budget &amp; Revenue'!$A:$AM,35,FALSE)," ")</f>
        <v>1</v>
      </c>
      <c r="S33" s="204">
        <f>IFERROR(VLOOKUP($A33,'Budget &amp; Revenue'!$A:$AM,37,FALSE)," ")</f>
        <v>1</v>
      </c>
      <c r="T33" s="204">
        <f>IFERROR(VLOOKUP($A33,'Budget &amp; Revenue'!$A:$AM,39,FALSE)," ")</f>
        <v>1</v>
      </c>
    </row>
    <row r="34" spans="1:20" x14ac:dyDescent="0.25">
      <c r="A34" s="80">
        <v>34</v>
      </c>
      <c r="B34" s="201" t="str">
        <f>VLOOKUP(A34,Estimate!A:C,3,FALSE)</f>
        <v>(i)  Concrete Barrier Kerb &amp; Channel B1 complete</v>
      </c>
      <c r="C34" s="80">
        <f>VLOOKUP(A34,Estimate!A:L,12,FALSE)</f>
        <v>1</v>
      </c>
      <c r="D34" s="234">
        <v>36</v>
      </c>
      <c r="E34" s="234">
        <v>35</v>
      </c>
      <c r="F34" s="235">
        <f>IFERROR(VLOOKUP(A34,Estimate!A:Q,17,FALSE)," ")</f>
        <v>10526.278604651163</v>
      </c>
      <c r="G34" s="204">
        <f>IFERROR(VLOOKUP($A34,'Budget &amp; Revenue'!$A:$AM,13,FALSE)," ")</f>
        <v>0</v>
      </c>
      <c r="H34" s="204">
        <f>IFERROR(VLOOKUP($A34,'Budget &amp; Revenue'!$A:$AM,15,FALSE)," ")</f>
        <v>0</v>
      </c>
      <c r="I34" s="204">
        <f>IFERROR(VLOOKUP($A34,'Budget &amp; Revenue'!$A:$AM,17,FALSE)," ")</f>
        <v>0</v>
      </c>
      <c r="J34" s="204">
        <f>IFERROR(VLOOKUP($A34,'Budget &amp; Revenue'!$A:$AM,19,FALSE)," ")</f>
        <v>0</v>
      </c>
      <c r="K34" s="204">
        <f>IFERROR(VLOOKUP($A34,'Budget &amp; Revenue'!$A:$AM,21,FALSE)," ")</f>
        <v>0</v>
      </c>
      <c r="L34" s="204">
        <f>IFERROR(VLOOKUP($A34,'Budget &amp; Revenue'!$A:$AM,23,FALSE)," ")</f>
        <v>0</v>
      </c>
      <c r="M34" s="204">
        <f>IFERROR(VLOOKUP($A34,'Budget &amp; Revenue'!$A:$AM,25,FALSE)," ")</f>
        <v>0</v>
      </c>
      <c r="N34" s="204">
        <f>IFERROR(VLOOKUP($A34,'Budget &amp; Revenue'!$A:$AM,27,FALSE)," ")</f>
        <v>0</v>
      </c>
      <c r="O34" s="204">
        <f>IFERROR(VLOOKUP($A34,'Budget &amp; Revenue'!$A:$AM,29,FALSE)," ")</f>
        <v>0.89999999999999991</v>
      </c>
      <c r="P34" s="204">
        <f>IFERROR(VLOOKUP($A34,'Budget &amp; Revenue'!$A:$AM,31,FALSE)," ")</f>
        <v>1</v>
      </c>
      <c r="Q34" s="204">
        <f>IFERROR(VLOOKUP($A34,'Budget &amp; Revenue'!$A:$AM,33,FALSE)," ")</f>
        <v>1</v>
      </c>
      <c r="R34" s="204">
        <f>IFERROR(VLOOKUP($A34,'Budget &amp; Revenue'!$A:$AM,35,FALSE)," ")</f>
        <v>1</v>
      </c>
      <c r="S34" s="204">
        <f>IFERROR(VLOOKUP($A34,'Budget &amp; Revenue'!$A:$AM,37,FALSE)," ")</f>
        <v>1</v>
      </c>
      <c r="T34" s="204">
        <f>IFERROR(VLOOKUP($A34,'Budget &amp; Revenue'!$A:$AM,39,FALSE)," ")</f>
        <v>1</v>
      </c>
    </row>
    <row r="35" spans="1:20" x14ac:dyDescent="0.25">
      <c r="A35" s="80">
        <v>35</v>
      </c>
      <c r="B35" s="201" t="str">
        <f>VLOOKUP(A35,Estimate!A:C,3,FALSE)</f>
        <v>(iv)  Concrete Dish Drain (0.9m wide) complete</v>
      </c>
      <c r="C35" s="80">
        <f>VLOOKUP(A35,Estimate!A:L,12,FALSE)</f>
        <v>1</v>
      </c>
      <c r="D35" s="234">
        <v>34</v>
      </c>
      <c r="E35" s="234">
        <v>40</v>
      </c>
      <c r="F35" s="235">
        <f>IFERROR(VLOOKUP(A35,Estimate!A:Q,17,FALSE)," ")</f>
        <v>6633.57</v>
      </c>
      <c r="G35" s="204">
        <f>IFERROR(VLOOKUP($A35,'Budget &amp; Revenue'!$A:$AM,13,FALSE)," ")</f>
        <v>0</v>
      </c>
      <c r="H35" s="204">
        <f>IFERROR(VLOOKUP($A35,'Budget &amp; Revenue'!$A:$AM,15,FALSE)," ")</f>
        <v>0</v>
      </c>
      <c r="I35" s="204">
        <f>IFERROR(VLOOKUP($A35,'Budget &amp; Revenue'!$A:$AM,17,FALSE)," ")</f>
        <v>0</v>
      </c>
      <c r="J35" s="204">
        <f>IFERROR(VLOOKUP($A35,'Budget &amp; Revenue'!$A:$AM,19,FALSE)," ")</f>
        <v>0</v>
      </c>
      <c r="K35" s="204">
        <f>IFERROR(VLOOKUP($A35,'Budget &amp; Revenue'!$A:$AM,21,FALSE)," ")</f>
        <v>0</v>
      </c>
      <c r="L35" s="204">
        <f>IFERROR(VLOOKUP($A35,'Budget &amp; Revenue'!$A:$AM,23,FALSE)," ")</f>
        <v>0</v>
      </c>
      <c r="M35" s="204">
        <f>IFERROR(VLOOKUP($A35,'Budget &amp; Revenue'!$A:$AM,25,FALSE)," ")</f>
        <v>0</v>
      </c>
      <c r="N35" s="204">
        <f>IFERROR(VLOOKUP($A35,'Budget &amp; Revenue'!$A:$AM,27,FALSE)," ")</f>
        <v>0</v>
      </c>
      <c r="O35" s="204">
        <f>IFERROR(VLOOKUP($A35,'Budget &amp; Revenue'!$A:$AM,29,FALSE)," ")</f>
        <v>0</v>
      </c>
      <c r="P35" s="204">
        <f>IFERROR(VLOOKUP($A35,'Budget &amp; Revenue'!$A:$AM,31,FALSE)," ")</f>
        <v>0.58823529411764708</v>
      </c>
      <c r="Q35" s="204">
        <f>IFERROR(VLOOKUP($A35,'Budget &amp; Revenue'!$A:$AM,33,FALSE)," ")</f>
        <v>1</v>
      </c>
      <c r="R35" s="204">
        <f>IFERROR(VLOOKUP($A35,'Budget &amp; Revenue'!$A:$AM,35,FALSE)," ")</f>
        <v>1</v>
      </c>
      <c r="S35" s="204">
        <f>IFERROR(VLOOKUP($A35,'Budget &amp; Revenue'!$A:$AM,37,FALSE)," ")</f>
        <v>1</v>
      </c>
      <c r="T35" s="204">
        <f>IFERROR(VLOOKUP($A35,'Budget &amp; Revenue'!$A:$AM,39,FALSE)," ")</f>
        <v>1</v>
      </c>
    </row>
    <row r="36" spans="1:20" x14ac:dyDescent="0.25">
      <c r="A36" s="80">
        <v>36</v>
      </c>
      <c r="B36" s="201" t="str">
        <f>VLOOKUP(A36,Estimate!A:C,3,FALSE)</f>
        <v>(vi)  Concrete Kerb (Type B2) complete</v>
      </c>
      <c r="C36" s="80">
        <f>VLOOKUP(A36,Estimate!A:L,12,FALSE)</f>
        <v>1</v>
      </c>
      <c r="D36" s="234">
        <v>39</v>
      </c>
      <c r="E36" s="234">
        <v>34</v>
      </c>
      <c r="F36" s="235">
        <f>IFERROR(VLOOKUP(A36,Estimate!A:Q,17,FALSE)," ")</f>
        <v>2551.826</v>
      </c>
      <c r="G36" s="204">
        <f>IFERROR(VLOOKUP($A36,'Budget &amp; Revenue'!$A:$AM,13,FALSE)," ")</f>
        <v>0</v>
      </c>
      <c r="H36" s="204">
        <f>IFERROR(VLOOKUP($A36,'Budget &amp; Revenue'!$A:$AM,15,FALSE)," ")</f>
        <v>0</v>
      </c>
      <c r="I36" s="204">
        <f>IFERROR(VLOOKUP($A36,'Budget &amp; Revenue'!$A:$AM,17,FALSE)," ")</f>
        <v>0</v>
      </c>
      <c r="J36" s="204">
        <f>IFERROR(VLOOKUP($A36,'Budget &amp; Revenue'!$A:$AM,19,FALSE)," ")</f>
        <v>0</v>
      </c>
      <c r="K36" s="204">
        <f>IFERROR(VLOOKUP($A36,'Budget &amp; Revenue'!$A:$AM,21,FALSE)," ")</f>
        <v>0</v>
      </c>
      <c r="L36" s="204">
        <f>IFERROR(VLOOKUP($A36,'Budget &amp; Revenue'!$A:$AM,23,FALSE)," ")</f>
        <v>0</v>
      </c>
      <c r="M36" s="204">
        <f>IFERROR(VLOOKUP($A36,'Budget &amp; Revenue'!$A:$AM,25,FALSE)," ")</f>
        <v>0</v>
      </c>
      <c r="N36" s="204">
        <f>IFERROR(VLOOKUP($A36,'Budget &amp; Revenue'!$A:$AM,27,FALSE)," ")</f>
        <v>0</v>
      </c>
      <c r="O36" s="204">
        <f>IFERROR(VLOOKUP($A36,'Budget &amp; Revenue'!$A:$AM,29,FALSE)," ")</f>
        <v>1</v>
      </c>
      <c r="P36" s="204">
        <f>IFERROR(VLOOKUP($A36,'Budget &amp; Revenue'!$A:$AM,31,FALSE)," ")</f>
        <v>1</v>
      </c>
      <c r="Q36" s="204">
        <f>IFERROR(VLOOKUP($A36,'Budget &amp; Revenue'!$A:$AM,33,FALSE)," ")</f>
        <v>1</v>
      </c>
      <c r="R36" s="204">
        <f>IFERROR(VLOOKUP($A36,'Budget &amp; Revenue'!$A:$AM,35,FALSE)," ")</f>
        <v>1</v>
      </c>
      <c r="S36" s="204">
        <f>IFERROR(VLOOKUP($A36,'Budget &amp; Revenue'!$A:$AM,37,FALSE)," ")</f>
        <v>1</v>
      </c>
      <c r="T36" s="204">
        <f>IFERROR(VLOOKUP($A36,'Budget &amp; Revenue'!$A:$AM,39,FALSE)," ")</f>
        <v>1</v>
      </c>
    </row>
    <row r="37" spans="1:20" x14ac:dyDescent="0.25">
      <c r="A37" s="80">
        <v>37</v>
      </c>
      <c r="B37" s="201" t="str">
        <f>VLOOKUP(A37,Estimate!A:C,3,FALSE)</f>
        <v>(i)  100mm dia Slotted Corrugated Plastic Pipe</v>
      </c>
      <c r="C37" s="80">
        <f>VLOOKUP(A37,Estimate!A:L,12,FALSE)</f>
        <v>4</v>
      </c>
      <c r="D37" s="236">
        <v>28250</v>
      </c>
      <c r="E37" s="234" t="s">
        <v>2995</v>
      </c>
      <c r="F37" s="235">
        <f>IFERROR(VLOOKUP(A37,Estimate!A:Q,17,FALSE)," ")</f>
        <v>15356.991726372637</v>
      </c>
      <c r="G37" s="204">
        <f>IFERROR(VLOOKUP($A37,'Budget &amp; Revenue'!$A:$AM,13,FALSE)," ")</f>
        <v>0</v>
      </c>
      <c r="H37" s="204">
        <f>IFERROR(VLOOKUP($A37,'Budget &amp; Revenue'!$A:$AM,15,FALSE)," ")</f>
        <v>0</v>
      </c>
      <c r="I37" s="204">
        <f>IFERROR(VLOOKUP($A37,'Budget &amp; Revenue'!$A:$AM,17,FALSE)," ")</f>
        <v>0</v>
      </c>
      <c r="J37" s="204">
        <f>IFERROR(VLOOKUP($A37,'Budget &amp; Revenue'!$A:$AM,19,FALSE)," ")</f>
        <v>0</v>
      </c>
      <c r="K37" s="204">
        <f>IFERROR(VLOOKUP($A37,'Budget &amp; Revenue'!$A:$AM,21,FALSE)," ")</f>
        <v>0</v>
      </c>
      <c r="L37" s="204">
        <f>IFERROR(VLOOKUP($A37,'Budget &amp; Revenue'!$A:$AM,23,FALSE)," ")</f>
        <v>0</v>
      </c>
      <c r="M37" s="204">
        <f>IFERROR(VLOOKUP($A37,'Budget &amp; Revenue'!$A:$AM,25,FALSE)," ")</f>
        <v>0</v>
      </c>
      <c r="N37" s="204">
        <f>IFERROR(VLOOKUP($A37,'Budget &amp; Revenue'!$A:$AM,27,FALSE)," ")</f>
        <v>0.26881720430107525</v>
      </c>
      <c r="O37" s="204">
        <f>IFERROR(VLOOKUP($A37,'Budget &amp; Revenue'!$A:$AM,29,FALSE)," ")</f>
        <v>1</v>
      </c>
      <c r="P37" s="204">
        <f>IFERROR(VLOOKUP($A37,'Budget &amp; Revenue'!$A:$AM,31,FALSE)," ")</f>
        <v>1</v>
      </c>
      <c r="Q37" s="204">
        <f>IFERROR(VLOOKUP($A37,'Budget &amp; Revenue'!$A:$AM,33,FALSE)," ")</f>
        <v>1</v>
      </c>
      <c r="R37" s="204">
        <f>IFERROR(VLOOKUP($A37,'Budget &amp; Revenue'!$A:$AM,35,FALSE)," ")</f>
        <v>1</v>
      </c>
      <c r="S37" s="204">
        <f>IFERROR(VLOOKUP($A37,'Budget &amp; Revenue'!$A:$AM,37,FALSE)," ")</f>
        <v>1</v>
      </c>
      <c r="T37" s="204">
        <f>IFERROR(VLOOKUP($A37,'Budget &amp; Revenue'!$A:$AM,39,FALSE)," ")</f>
        <v>1</v>
      </c>
    </row>
    <row r="38" spans="1:20" x14ac:dyDescent="0.25">
      <c r="A38" s="80">
        <v>38</v>
      </c>
      <c r="B38" s="201" t="str">
        <f>VLOOKUP(A38,Estimate!A:C,3,FALSE)</f>
        <v>Cleanout Structures</v>
      </c>
      <c r="C38" s="80">
        <f>VLOOKUP(A38,Estimate!A:L,12,FALSE)</f>
        <v>4</v>
      </c>
      <c r="D38" s="234" t="s">
        <v>2996</v>
      </c>
      <c r="E38" s="233"/>
      <c r="F38" s="235">
        <f>IFERROR(VLOOKUP(A38,Estimate!A:Q,17,FALSE)," ")</f>
        <v>715</v>
      </c>
      <c r="G38" s="204">
        <f>IFERROR(VLOOKUP($A38,'Budget &amp; Revenue'!$A:$AM,13,FALSE)," ")</f>
        <v>0</v>
      </c>
      <c r="H38" s="204">
        <f>IFERROR(VLOOKUP($A38,'Budget &amp; Revenue'!$A:$AM,15,FALSE)," ")</f>
        <v>0</v>
      </c>
      <c r="I38" s="204">
        <f>IFERROR(VLOOKUP($A38,'Budget &amp; Revenue'!$A:$AM,17,FALSE)," ")</f>
        <v>0</v>
      </c>
      <c r="J38" s="204">
        <f>IFERROR(VLOOKUP($A38,'Budget &amp; Revenue'!$A:$AM,19,FALSE)," ")</f>
        <v>0</v>
      </c>
      <c r="K38" s="204">
        <f>IFERROR(VLOOKUP($A38,'Budget &amp; Revenue'!$A:$AM,21,FALSE)," ")</f>
        <v>0</v>
      </c>
      <c r="L38" s="204">
        <f>IFERROR(VLOOKUP($A38,'Budget &amp; Revenue'!$A:$AM,23,FALSE)," ")</f>
        <v>0</v>
      </c>
      <c r="M38" s="204">
        <f>IFERROR(VLOOKUP($A38,'Budget &amp; Revenue'!$A:$AM,25,FALSE)," ")</f>
        <v>0</v>
      </c>
      <c r="N38" s="204">
        <f>IFERROR(VLOOKUP($A38,'Budget &amp; Revenue'!$A:$AM,27,FALSE)," ")</f>
        <v>0</v>
      </c>
      <c r="O38" s="204">
        <f>IFERROR(VLOOKUP($A38,'Budget &amp; Revenue'!$A:$AM,29,FALSE)," ")</f>
        <v>0</v>
      </c>
      <c r="P38" s="204">
        <f>IFERROR(VLOOKUP($A38,'Budget &amp; Revenue'!$A:$AM,31,FALSE)," ")</f>
        <v>0.5</v>
      </c>
      <c r="Q38" s="204">
        <f>IFERROR(VLOOKUP($A38,'Budget &amp; Revenue'!$A:$AM,33,FALSE)," ")</f>
        <v>1</v>
      </c>
      <c r="R38" s="204">
        <f>IFERROR(VLOOKUP($A38,'Budget &amp; Revenue'!$A:$AM,35,FALSE)," ")</f>
        <v>1</v>
      </c>
      <c r="S38" s="204">
        <f>IFERROR(VLOOKUP($A38,'Budget &amp; Revenue'!$A:$AM,37,FALSE)," ")</f>
        <v>1</v>
      </c>
      <c r="T38" s="204">
        <f>IFERROR(VLOOKUP($A38,'Budget &amp; Revenue'!$A:$AM,39,FALSE)," ")</f>
        <v>1</v>
      </c>
    </row>
    <row r="39" spans="1:20" x14ac:dyDescent="0.25">
      <c r="A39" s="80">
        <v>39</v>
      </c>
      <c r="B39" s="201" t="str">
        <f>VLOOKUP(A39,Estimate!A:C,3,FALSE)</f>
        <v>Place only Type 2.3</v>
      </c>
      <c r="C39" s="80">
        <f>VLOOKUP(A39,Estimate!A:L,12,FALSE)</f>
        <v>2</v>
      </c>
      <c r="D39" s="234" t="s">
        <v>2997</v>
      </c>
      <c r="E39" s="234">
        <v>36</v>
      </c>
      <c r="F39" s="235">
        <f>IFERROR(VLOOKUP(A39,Estimate!A:Q,17,FALSE)," ")</f>
        <v>13363.04142846717</v>
      </c>
      <c r="G39" s="204">
        <f>IFERROR(VLOOKUP($A39,'Budget &amp; Revenue'!$A:$AM,13,FALSE)," ")</f>
        <v>0</v>
      </c>
      <c r="H39" s="204">
        <f>IFERROR(VLOOKUP($A39,'Budget &amp; Revenue'!$A:$AM,15,FALSE)," ")</f>
        <v>0</v>
      </c>
      <c r="I39" s="204">
        <f>IFERROR(VLOOKUP($A39,'Budget &amp; Revenue'!$A:$AM,17,FALSE)," ")</f>
        <v>0</v>
      </c>
      <c r="J39" s="204">
        <f>IFERROR(VLOOKUP($A39,'Budget &amp; Revenue'!$A:$AM,19,FALSE)," ")</f>
        <v>0</v>
      </c>
      <c r="K39" s="204">
        <f>IFERROR(VLOOKUP($A39,'Budget &amp; Revenue'!$A:$AM,21,FALSE)," ")</f>
        <v>0</v>
      </c>
      <c r="L39" s="204">
        <f>IFERROR(VLOOKUP($A39,'Budget &amp; Revenue'!$A:$AM,23,FALSE)," ")</f>
        <v>0</v>
      </c>
      <c r="M39" s="204">
        <f>IFERROR(VLOOKUP($A39,'Budget &amp; Revenue'!$A:$AM,25,FALSE)," ")</f>
        <v>0</v>
      </c>
      <c r="N39" s="204">
        <f>IFERROR(VLOOKUP($A39,'Budget &amp; Revenue'!$A:$AM,27,FALSE)," ")</f>
        <v>0.17372881355932204</v>
      </c>
      <c r="O39" s="204">
        <f>IFERROR(VLOOKUP($A39,'Budget &amp; Revenue'!$A:$AM,29,FALSE)," ")</f>
        <v>1</v>
      </c>
      <c r="P39" s="204">
        <f>IFERROR(VLOOKUP($A39,'Budget &amp; Revenue'!$A:$AM,31,FALSE)," ")</f>
        <v>1</v>
      </c>
      <c r="Q39" s="204">
        <f>IFERROR(VLOOKUP($A39,'Budget &amp; Revenue'!$A:$AM,33,FALSE)," ")</f>
        <v>1</v>
      </c>
      <c r="R39" s="204">
        <f>IFERROR(VLOOKUP($A39,'Budget &amp; Revenue'!$A:$AM,35,FALSE)," ")</f>
        <v>1</v>
      </c>
      <c r="S39" s="204">
        <f>IFERROR(VLOOKUP($A39,'Budget &amp; Revenue'!$A:$AM,37,FALSE)," ")</f>
        <v>1</v>
      </c>
      <c r="T39" s="204">
        <f>IFERROR(VLOOKUP($A39,'Budget &amp; Revenue'!$A:$AM,39,FALSE)," ")</f>
        <v>1</v>
      </c>
    </row>
    <row r="40" spans="1:20" x14ac:dyDescent="0.25">
      <c r="A40" s="80">
        <v>40</v>
      </c>
      <c r="B40" s="201" t="str">
        <f>VLOOKUP(A40,Estimate!A:C,3,FALSE)</f>
        <v>Place only Type 2.1</v>
      </c>
      <c r="C40" s="80">
        <f>VLOOKUP(A40,Estimate!A:L,12,FALSE)</f>
        <v>7</v>
      </c>
      <c r="D40" s="234">
        <v>35</v>
      </c>
      <c r="E40" s="234" t="s">
        <v>3092</v>
      </c>
      <c r="F40" s="235">
        <f>IFERROR(VLOOKUP(A40,Estimate!A:Q,17,FALSE)," ")</f>
        <v>33426.432461099124</v>
      </c>
      <c r="G40" s="204">
        <f>IFERROR(VLOOKUP($A40,'Budget &amp; Revenue'!$A:$AM,13,FALSE)," ")</f>
        <v>0</v>
      </c>
      <c r="H40" s="204">
        <f>IFERROR(VLOOKUP($A40,'Budget &amp; Revenue'!$A:$AM,15,FALSE)," ")</f>
        <v>0</v>
      </c>
      <c r="I40" s="204">
        <f>IFERROR(VLOOKUP($A40,'Budget &amp; Revenue'!$A:$AM,17,FALSE)," ")</f>
        <v>0</v>
      </c>
      <c r="J40" s="204">
        <f>IFERROR(VLOOKUP($A40,'Budget &amp; Revenue'!$A:$AM,19,FALSE)," ")</f>
        <v>0</v>
      </c>
      <c r="K40" s="204">
        <f>IFERROR(VLOOKUP($A40,'Budget &amp; Revenue'!$A:$AM,21,FALSE)," ")</f>
        <v>0</v>
      </c>
      <c r="L40" s="204">
        <f>IFERROR(VLOOKUP($A40,'Budget &amp; Revenue'!$A:$AM,23,FALSE)," ")</f>
        <v>0</v>
      </c>
      <c r="M40" s="204">
        <f>IFERROR(VLOOKUP($A40,'Budget &amp; Revenue'!$A:$AM,25,FALSE)," ")</f>
        <v>0</v>
      </c>
      <c r="N40" s="204">
        <f>IFERROR(VLOOKUP($A40,'Budget &amp; Revenue'!$A:$AM,27,FALSE)," ")</f>
        <v>0</v>
      </c>
      <c r="O40" s="204">
        <f>IFERROR(VLOOKUP($A40,'Budget &amp; Revenue'!$A:$AM,29,FALSE)," ")</f>
        <v>9.9999999999999992E-2</v>
      </c>
      <c r="P40" s="204">
        <f>IFERROR(VLOOKUP($A40,'Budget &amp; Revenue'!$A:$AM,31,FALSE)," ")</f>
        <v>0.74959016393442623</v>
      </c>
      <c r="Q40" s="204">
        <f>IFERROR(VLOOKUP($A40,'Budget &amp; Revenue'!$A:$AM,33,FALSE)," ")</f>
        <v>1</v>
      </c>
      <c r="R40" s="204">
        <f>IFERROR(VLOOKUP($A40,'Budget &amp; Revenue'!$A:$AM,35,FALSE)," ")</f>
        <v>1</v>
      </c>
      <c r="S40" s="204">
        <f>IFERROR(VLOOKUP($A40,'Budget &amp; Revenue'!$A:$AM,37,FALSE)," ")</f>
        <v>1</v>
      </c>
      <c r="T40" s="204">
        <f>IFERROR(VLOOKUP($A40,'Budget &amp; Revenue'!$A:$AM,39,FALSE)," ")</f>
        <v>1</v>
      </c>
    </row>
    <row r="41" spans="1:20" x14ac:dyDescent="0.25">
      <c r="A41" s="80">
        <v>41</v>
      </c>
      <c r="B41" s="201" t="str">
        <f>VLOOKUP(A41,Estimate!A:C,3,FALSE)</f>
        <v>Special Item - Geogrid layer</v>
      </c>
      <c r="C41" s="80">
        <f>VLOOKUP(A41,Estimate!A:L,12,FALSE)</f>
        <v>1</v>
      </c>
      <c r="D41" s="234" t="s">
        <v>2998</v>
      </c>
      <c r="E41" s="234" t="s">
        <v>2999</v>
      </c>
      <c r="F41" s="235">
        <f>IFERROR(VLOOKUP(A41,Estimate!A:Q,17,FALSE)," ")</f>
        <v>11638.886368421054</v>
      </c>
      <c r="G41" s="204">
        <f>IFERROR(VLOOKUP($A41,'Budget &amp; Revenue'!$A:$AM,13,FALSE)," ")</f>
        <v>0</v>
      </c>
      <c r="H41" s="204">
        <f>IFERROR(VLOOKUP($A41,'Budget &amp; Revenue'!$A:$AM,15,FALSE)," ")</f>
        <v>0</v>
      </c>
      <c r="I41" s="204">
        <f>IFERROR(VLOOKUP($A41,'Budget &amp; Revenue'!$A:$AM,17,FALSE)," ")</f>
        <v>0</v>
      </c>
      <c r="J41" s="204">
        <f>IFERROR(VLOOKUP($A41,'Budget &amp; Revenue'!$A:$AM,19,FALSE)," ")</f>
        <v>0</v>
      </c>
      <c r="K41" s="204">
        <f>IFERROR(VLOOKUP($A41,'Budget &amp; Revenue'!$A:$AM,21,FALSE)," ")</f>
        <v>0</v>
      </c>
      <c r="L41" s="204">
        <f>IFERROR(VLOOKUP($A41,'Budget &amp; Revenue'!$A:$AM,23,FALSE)," ")</f>
        <v>0</v>
      </c>
      <c r="M41" s="204">
        <f>IFERROR(VLOOKUP($A41,'Budget &amp; Revenue'!$A:$AM,25,FALSE)," ")</f>
        <v>0</v>
      </c>
      <c r="N41" s="204">
        <f>IFERROR(VLOOKUP($A41,'Budget &amp; Revenue'!$A:$AM,27,FALSE)," ")</f>
        <v>9.9846390168970817E-2</v>
      </c>
      <c r="O41" s="204">
        <f>IFERROR(VLOOKUP($A41,'Budget &amp; Revenue'!$A:$AM,29,FALSE)," ")</f>
        <v>1</v>
      </c>
      <c r="P41" s="204">
        <f>IFERROR(VLOOKUP($A41,'Budget &amp; Revenue'!$A:$AM,31,FALSE)," ")</f>
        <v>1</v>
      </c>
      <c r="Q41" s="204">
        <f>IFERROR(VLOOKUP($A41,'Budget &amp; Revenue'!$A:$AM,33,FALSE)," ")</f>
        <v>1</v>
      </c>
      <c r="R41" s="204">
        <f>IFERROR(VLOOKUP($A41,'Budget &amp; Revenue'!$A:$AM,35,FALSE)," ")</f>
        <v>1</v>
      </c>
      <c r="S41" s="204">
        <f>IFERROR(VLOOKUP($A41,'Budget &amp; Revenue'!$A:$AM,37,FALSE)," ")</f>
        <v>1</v>
      </c>
      <c r="T41" s="204">
        <f>IFERROR(VLOOKUP($A41,'Budget &amp; Revenue'!$A:$AM,39,FALSE)," ")</f>
        <v>1</v>
      </c>
    </row>
    <row r="42" spans="1:20" x14ac:dyDescent="0.25">
      <c r="A42" s="80">
        <v>42</v>
      </c>
      <c r="B42" s="201" t="str">
        <f>VLOOKUP(A42,Estimate!A:C,3,FALSE)</f>
        <v>Special Item - Geotextile layer</v>
      </c>
      <c r="C42" s="80">
        <f>VLOOKUP(A42,Estimate!A:L,12,FALSE)</f>
        <v>1</v>
      </c>
      <c r="D42" s="234" t="s">
        <v>3000</v>
      </c>
      <c r="E42" s="234">
        <v>39</v>
      </c>
      <c r="F42" s="235">
        <f>IFERROR(VLOOKUP(A42,Estimate!A:Q,17,FALSE)," ")</f>
        <v>3088.6523684210529</v>
      </c>
      <c r="G42" s="204">
        <f>IFERROR(VLOOKUP($A42,'Budget &amp; Revenue'!$A:$AM,13,FALSE)," ")</f>
        <v>0</v>
      </c>
      <c r="H42" s="204">
        <f>IFERROR(VLOOKUP($A42,'Budget &amp; Revenue'!$A:$AM,15,FALSE)," ")</f>
        <v>0</v>
      </c>
      <c r="I42" s="204">
        <f>IFERROR(VLOOKUP($A42,'Budget &amp; Revenue'!$A:$AM,17,FALSE)," ")</f>
        <v>0</v>
      </c>
      <c r="J42" s="204">
        <f>IFERROR(VLOOKUP($A42,'Budget &amp; Revenue'!$A:$AM,19,FALSE)," ")</f>
        <v>0</v>
      </c>
      <c r="K42" s="204">
        <f>IFERROR(VLOOKUP($A42,'Budget &amp; Revenue'!$A:$AM,21,FALSE)," ")</f>
        <v>0</v>
      </c>
      <c r="L42" s="204">
        <f>IFERROR(VLOOKUP($A42,'Budget &amp; Revenue'!$A:$AM,23,FALSE)," ")</f>
        <v>0</v>
      </c>
      <c r="M42" s="204">
        <f>IFERROR(VLOOKUP($A42,'Budget &amp; Revenue'!$A:$AM,25,FALSE)," ")</f>
        <v>0</v>
      </c>
      <c r="N42" s="204">
        <f>IFERROR(VLOOKUP($A42,'Budget &amp; Revenue'!$A:$AM,27,FALSE)," ")</f>
        <v>9.9846390168970817E-2</v>
      </c>
      <c r="O42" s="204">
        <f>IFERROR(VLOOKUP($A42,'Budget &amp; Revenue'!$A:$AM,29,FALSE)," ")</f>
        <v>1</v>
      </c>
      <c r="P42" s="204">
        <f>IFERROR(VLOOKUP($A42,'Budget &amp; Revenue'!$A:$AM,31,FALSE)," ")</f>
        <v>1</v>
      </c>
      <c r="Q42" s="204">
        <f>IFERROR(VLOOKUP($A42,'Budget &amp; Revenue'!$A:$AM,33,FALSE)," ")</f>
        <v>1</v>
      </c>
      <c r="R42" s="204">
        <f>IFERROR(VLOOKUP($A42,'Budget &amp; Revenue'!$A:$AM,35,FALSE)," ")</f>
        <v>1</v>
      </c>
      <c r="S42" s="204">
        <f>IFERROR(VLOOKUP($A42,'Budget &amp; Revenue'!$A:$AM,37,FALSE)," ")</f>
        <v>1</v>
      </c>
      <c r="T42" s="204">
        <f>IFERROR(VLOOKUP($A42,'Budget &amp; Revenue'!$A:$AM,39,FALSE)," ")</f>
        <v>1</v>
      </c>
    </row>
    <row r="43" spans="1:20" x14ac:dyDescent="0.25">
      <c r="A43" s="80">
        <v>43</v>
      </c>
      <c r="B43" s="201" t="str">
        <f>VLOOKUP(A43,Estimate!A:C,3,FALSE)</f>
        <v>(vii)  AMC5</v>
      </c>
      <c r="C43" s="80">
        <f>VLOOKUP(A43,Estimate!A:L,12,FALSE)</f>
        <v>1</v>
      </c>
      <c r="D43" s="234" t="s">
        <v>3001</v>
      </c>
      <c r="E43" s="234" t="s">
        <v>3002</v>
      </c>
      <c r="F43" s="235">
        <f>IFERROR(VLOOKUP(A43,Estimate!A:Q,17,FALSE)," ")</f>
        <v>15430.085999999999</v>
      </c>
      <c r="G43" s="204">
        <f>IFERROR(VLOOKUP($A43,'Budget &amp; Revenue'!$A:$AM,13,FALSE)," ")</f>
        <v>0</v>
      </c>
      <c r="H43" s="204">
        <f>IFERROR(VLOOKUP($A43,'Budget &amp; Revenue'!$A:$AM,15,FALSE)," ")</f>
        <v>0</v>
      </c>
      <c r="I43" s="204">
        <f>IFERROR(VLOOKUP($A43,'Budget &amp; Revenue'!$A:$AM,17,FALSE)," ")</f>
        <v>0</v>
      </c>
      <c r="J43" s="204">
        <f>IFERROR(VLOOKUP($A43,'Budget &amp; Revenue'!$A:$AM,19,FALSE)," ")</f>
        <v>0</v>
      </c>
      <c r="K43" s="204">
        <f>IFERROR(VLOOKUP($A43,'Budget &amp; Revenue'!$A:$AM,21,FALSE)," ")</f>
        <v>0</v>
      </c>
      <c r="L43" s="204">
        <f>IFERROR(VLOOKUP($A43,'Budget &amp; Revenue'!$A:$AM,23,FALSE)," ")</f>
        <v>0</v>
      </c>
      <c r="M43" s="204">
        <f>IFERROR(VLOOKUP($A43,'Budget &amp; Revenue'!$A:$AM,25,FALSE)," ")</f>
        <v>0</v>
      </c>
      <c r="N43" s="204">
        <f>IFERROR(VLOOKUP($A43,'Budget &amp; Revenue'!$A:$AM,27,FALSE)," ")</f>
        <v>0</v>
      </c>
      <c r="O43" s="204">
        <f>IFERROR(VLOOKUP($A43,'Budget &amp; Revenue'!$A:$AM,29,FALSE)," ")</f>
        <v>0</v>
      </c>
      <c r="P43" s="204">
        <f>IFERROR(VLOOKUP($A43,'Budget &amp; Revenue'!$A:$AM,31,FALSE)," ")</f>
        <v>0</v>
      </c>
      <c r="Q43" s="204">
        <f>IFERROR(VLOOKUP($A43,'Budget &amp; Revenue'!$A:$AM,33,FALSE)," ")</f>
        <v>1</v>
      </c>
      <c r="R43" s="204">
        <f>IFERROR(VLOOKUP($A43,'Budget &amp; Revenue'!$A:$AM,35,FALSE)," ")</f>
        <v>1</v>
      </c>
      <c r="S43" s="204">
        <f>IFERROR(VLOOKUP($A43,'Budget &amp; Revenue'!$A:$AM,37,FALSE)," ")</f>
        <v>1</v>
      </c>
      <c r="T43" s="204">
        <f>IFERROR(VLOOKUP($A43,'Budget &amp; Revenue'!$A:$AM,39,FALSE)," ")</f>
        <v>1</v>
      </c>
    </row>
    <row r="44" spans="1:20" x14ac:dyDescent="0.25">
      <c r="A44" s="80">
        <v>44</v>
      </c>
      <c r="B44" s="201" t="str">
        <f>VLOOKUP(A44,Estimate!A:C,3,FALSE)</f>
        <v>(ii)  14mm Nominal Size</v>
      </c>
      <c r="C44" s="80">
        <f>VLOOKUP(A44,Estimate!A:L,12,FALSE)</f>
        <v>1</v>
      </c>
      <c r="D44" s="234" t="s">
        <v>3093</v>
      </c>
      <c r="E44" s="234">
        <v>50</v>
      </c>
      <c r="F44" s="235">
        <f>IFERROR(VLOOKUP(A44,Estimate!A:Q,17,FALSE)," ")</f>
        <v>50317.05</v>
      </c>
      <c r="G44" s="204">
        <f>IFERROR(VLOOKUP($A44,'Budget &amp; Revenue'!$A:$AM,13,FALSE)," ")</f>
        <v>0</v>
      </c>
      <c r="H44" s="204">
        <f>IFERROR(VLOOKUP($A44,'Budget &amp; Revenue'!$A:$AM,15,FALSE)," ")</f>
        <v>0</v>
      </c>
      <c r="I44" s="204">
        <f>IFERROR(VLOOKUP($A44,'Budget &amp; Revenue'!$A:$AM,17,FALSE)," ")</f>
        <v>0</v>
      </c>
      <c r="J44" s="204">
        <f>IFERROR(VLOOKUP($A44,'Budget &amp; Revenue'!$A:$AM,19,FALSE)," ")</f>
        <v>0</v>
      </c>
      <c r="K44" s="204">
        <f>IFERROR(VLOOKUP($A44,'Budget &amp; Revenue'!$A:$AM,21,FALSE)," ")</f>
        <v>0</v>
      </c>
      <c r="L44" s="204">
        <f>IFERROR(VLOOKUP($A44,'Budget &amp; Revenue'!$A:$AM,23,FALSE)," ")</f>
        <v>0</v>
      </c>
      <c r="M44" s="204">
        <f>IFERROR(VLOOKUP($A44,'Budget &amp; Revenue'!$A:$AM,25,FALSE)," ")</f>
        <v>0</v>
      </c>
      <c r="N44" s="204">
        <f>IFERROR(VLOOKUP($A44,'Budget &amp; Revenue'!$A:$AM,27,FALSE)," ")</f>
        <v>0</v>
      </c>
      <c r="O44" s="204">
        <f>IFERROR(VLOOKUP($A44,'Budget &amp; Revenue'!$A:$AM,29,FALSE)," ")</f>
        <v>0</v>
      </c>
      <c r="P44" s="204">
        <f>IFERROR(VLOOKUP($A44,'Budget &amp; Revenue'!$A:$AM,31,FALSE)," ")</f>
        <v>0</v>
      </c>
      <c r="Q44" s="204">
        <f>IFERROR(VLOOKUP($A44,'Budget &amp; Revenue'!$A:$AM,33,FALSE)," ")</f>
        <v>1</v>
      </c>
      <c r="R44" s="204">
        <f>IFERROR(VLOOKUP($A44,'Budget &amp; Revenue'!$A:$AM,35,FALSE)," ")</f>
        <v>1</v>
      </c>
      <c r="S44" s="204">
        <f>IFERROR(VLOOKUP($A44,'Budget &amp; Revenue'!$A:$AM,37,FALSE)," ")</f>
        <v>1</v>
      </c>
      <c r="T44" s="204">
        <f>IFERROR(VLOOKUP($A44,'Budget &amp; Revenue'!$A:$AM,39,FALSE)," ")</f>
        <v>1</v>
      </c>
    </row>
    <row r="45" spans="1:20" x14ac:dyDescent="0.25">
      <c r="A45" s="80">
        <v>45</v>
      </c>
      <c r="B45" s="201" t="str">
        <f>VLOOKUP(A45,Estimate!A:C,3,FALSE)</f>
        <v>(i) 100mm thick concrete footpath</v>
      </c>
      <c r="C45" s="80">
        <f>VLOOKUP(A45,Estimate!A:L,12,FALSE)</f>
        <v>3</v>
      </c>
      <c r="D45" s="234">
        <v>43</v>
      </c>
      <c r="E45" s="234">
        <v>46</v>
      </c>
      <c r="F45" s="235">
        <f>IFERROR(VLOOKUP(A45,Estimate!A:Q,17,FALSE)," ")</f>
        <v>3775.1311111111108</v>
      </c>
      <c r="G45" s="204">
        <f>IFERROR(VLOOKUP($A45,'Budget &amp; Revenue'!$A:$AM,13,FALSE)," ")</f>
        <v>0</v>
      </c>
      <c r="H45" s="204">
        <f>IFERROR(VLOOKUP($A45,'Budget &amp; Revenue'!$A:$AM,15,FALSE)," ")</f>
        <v>0</v>
      </c>
      <c r="I45" s="204">
        <f>IFERROR(VLOOKUP($A45,'Budget &amp; Revenue'!$A:$AM,17,FALSE)," ")</f>
        <v>0</v>
      </c>
      <c r="J45" s="204">
        <f>IFERROR(VLOOKUP($A45,'Budget &amp; Revenue'!$A:$AM,19,FALSE)," ")</f>
        <v>0</v>
      </c>
      <c r="K45" s="204">
        <f>IFERROR(VLOOKUP($A45,'Budget &amp; Revenue'!$A:$AM,21,FALSE)," ")</f>
        <v>0</v>
      </c>
      <c r="L45" s="204">
        <f>IFERROR(VLOOKUP($A45,'Budget &amp; Revenue'!$A:$AM,23,FALSE)," ")</f>
        <v>0</v>
      </c>
      <c r="M45" s="204">
        <f>IFERROR(VLOOKUP($A45,'Budget &amp; Revenue'!$A:$AM,25,FALSE)," ")</f>
        <v>0</v>
      </c>
      <c r="N45" s="204">
        <f>IFERROR(VLOOKUP($A45,'Budget &amp; Revenue'!$A:$AM,27,FALSE)," ")</f>
        <v>0</v>
      </c>
      <c r="O45" s="204">
        <f>IFERROR(VLOOKUP($A45,'Budget &amp; Revenue'!$A:$AM,29,FALSE)," ")</f>
        <v>0</v>
      </c>
      <c r="P45" s="204">
        <f>IFERROR(VLOOKUP($A45,'Budget &amp; Revenue'!$A:$AM,31,FALSE)," ")</f>
        <v>1</v>
      </c>
      <c r="Q45" s="204">
        <f>IFERROR(VLOOKUP($A45,'Budget &amp; Revenue'!$A:$AM,33,FALSE)," ")</f>
        <v>1</v>
      </c>
      <c r="R45" s="204">
        <f>IFERROR(VLOOKUP($A45,'Budget &amp; Revenue'!$A:$AM,35,FALSE)," ")</f>
        <v>1</v>
      </c>
      <c r="S45" s="204">
        <f>IFERROR(VLOOKUP($A45,'Budget &amp; Revenue'!$A:$AM,37,FALSE)," ")</f>
        <v>1</v>
      </c>
      <c r="T45" s="204">
        <f>IFERROR(VLOOKUP($A45,'Budget &amp; Revenue'!$A:$AM,39,FALSE)," ")</f>
        <v>1</v>
      </c>
    </row>
    <row r="46" spans="1:20" x14ac:dyDescent="0.25">
      <c r="A46" s="80">
        <v>46</v>
      </c>
      <c r="B46" s="201" t="str">
        <f>VLOOKUP(A46,Estimate!A:C,3,FALSE)</f>
        <v>(ii)  Concrete Kerb Ramp</v>
      </c>
      <c r="C46" s="80">
        <f>VLOOKUP(A46,Estimate!A:L,12,FALSE)</f>
        <v>1</v>
      </c>
      <c r="D46" s="234">
        <v>45</v>
      </c>
      <c r="E46" s="234">
        <v>47</v>
      </c>
      <c r="F46" s="235">
        <f>IFERROR(VLOOKUP(A46,Estimate!A:Q,17,FALSE)," ")</f>
        <v>1570</v>
      </c>
      <c r="G46" s="204">
        <f>IFERROR(VLOOKUP($A46,'Budget &amp; Revenue'!$A:$AM,13,FALSE)," ")</f>
        <v>0</v>
      </c>
      <c r="H46" s="204">
        <f>IFERROR(VLOOKUP($A46,'Budget &amp; Revenue'!$A:$AM,15,FALSE)," ")</f>
        <v>0</v>
      </c>
      <c r="I46" s="204">
        <f>IFERROR(VLOOKUP($A46,'Budget &amp; Revenue'!$A:$AM,17,FALSE)," ")</f>
        <v>0</v>
      </c>
      <c r="J46" s="204">
        <f>IFERROR(VLOOKUP($A46,'Budget &amp; Revenue'!$A:$AM,19,FALSE)," ")</f>
        <v>0</v>
      </c>
      <c r="K46" s="204">
        <f>IFERROR(VLOOKUP($A46,'Budget &amp; Revenue'!$A:$AM,21,FALSE)," ")</f>
        <v>0</v>
      </c>
      <c r="L46" s="204">
        <f>IFERROR(VLOOKUP($A46,'Budget &amp; Revenue'!$A:$AM,23,FALSE)," ")</f>
        <v>0</v>
      </c>
      <c r="M46" s="204">
        <f>IFERROR(VLOOKUP($A46,'Budget &amp; Revenue'!$A:$AM,25,FALSE)," ")</f>
        <v>0</v>
      </c>
      <c r="N46" s="204">
        <f>IFERROR(VLOOKUP($A46,'Budget &amp; Revenue'!$A:$AM,27,FALSE)," ")</f>
        <v>0</v>
      </c>
      <c r="O46" s="204">
        <f>IFERROR(VLOOKUP($A46,'Budget &amp; Revenue'!$A:$AM,29,FALSE)," ")</f>
        <v>0</v>
      </c>
      <c r="P46" s="204">
        <f>IFERROR(VLOOKUP($A46,'Budget &amp; Revenue'!$A:$AM,31,FALSE)," ")</f>
        <v>1</v>
      </c>
      <c r="Q46" s="204">
        <f>IFERROR(VLOOKUP($A46,'Budget &amp; Revenue'!$A:$AM,33,FALSE)," ")</f>
        <v>1</v>
      </c>
      <c r="R46" s="204">
        <f>IFERROR(VLOOKUP($A46,'Budget &amp; Revenue'!$A:$AM,35,FALSE)," ")</f>
        <v>1</v>
      </c>
      <c r="S46" s="204">
        <f>IFERROR(VLOOKUP($A46,'Budget &amp; Revenue'!$A:$AM,37,FALSE)," ")</f>
        <v>1</v>
      </c>
      <c r="T46" s="204">
        <f>IFERROR(VLOOKUP($A46,'Budget &amp; Revenue'!$A:$AM,39,FALSE)," ")</f>
        <v>1</v>
      </c>
    </row>
    <row r="47" spans="1:20" x14ac:dyDescent="0.25">
      <c r="A47" s="80">
        <v>47</v>
      </c>
      <c r="B47" s="201" t="str">
        <f>VLOOKUP(A47,Estimate!A:C,3,FALSE)</f>
        <v>(v)   Industrial Invert Crossing</v>
      </c>
      <c r="C47" s="80">
        <f>VLOOKUP(A47,Estimate!A:L,12,FALSE)</f>
        <v>2</v>
      </c>
      <c r="D47" s="234">
        <v>46</v>
      </c>
      <c r="E47" s="236">
        <v>49248</v>
      </c>
      <c r="F47" s="235">
        <f>IFERROR(VLOOKUP(A47,Estimate!A:Q,17,FALSE)," ")</f>
        <v>1534.5700000000002</v>
      </c>
      <c r="G47" s="204">
        <f>IFERROR(VLOOKUP($A47,'Budget &amp; Revenue'!$A:$AM,13,FALSE)," ")</f>
        <v>0</v>
      </c>
      <c r="H47" s="204">
        <f>IFERROR(VLOOKUP($A47,'Budget &amp; Revenue'!$A:$AM,15,FALSE)," ")</f>
        <v>0</v>
      </c>
      <c r="I47" s="204">
        <f>IFERROR(VLOOKUP($A47,'Budget &amp; Revenue'!$A:$AM,17,FALSE)," ")</f>
        <v>0</v>
      </c>
      <c r="J47" s="204">
        <f>IFERROR(VLOOKUP($A47,'Budget &amp; Revenue'!$A:$AM,19,FALSE)," ")</f>
        <v>0</v>
      </c>
      <c r="K47" s="204">
        <f>IFERROR(VLOOKUP($A47,'Budget &amp; Revenue'!$A:$AM,21,FALSE)," ")</f>
        <v>0</v>
      </c>
      <c r="L47" s="204">
        <f>IFERROR(VLOOKUP($A47,'Budget &amp; Revenue'!$A:$AM,23,FALSE)," ")</f>
        <v>0</v>
      </c>
      <c r="M47" s="204">
        <f>IFERROR(VLOOKUP($A47,'Budget &amp; Revenue'!$A:$AM,25,FALSE)," ")</f>
        <v>0</v>
      </c>
      <c r="N47" s="204">
        <f>IFERROR(VLOOKUP($A47,'Budget &amp; Revenue'!$A:$AM,27,FALSE)," ")</f>
        <v>0</v>
      </c>
      <c r="O47" s="204">
        <f>IFERROR(VLOOKUP($A47,'Budget &amp; Revenue'!$A:$AM,29,FALSE)," ")</f>
        <v>0</v>
      </c>
      <c r="P47" s="204">
        <f>IFERROR(VLOOKUP($A47,'Budget &amp; Revenue'!$A:$AM,31,FALSE)," ")</f>
        <v>1</v>
      </c>
      <c r="Q47" s="204">
        <f>IFERROR(VLOOKUP($A47,'Budget &amp; Revenue'!$A:$AM,33,FALSE)," ")</f>
        <v>1</v>
      </c>
      <c r="R47" s="204">
        <f>IFERROR(VLOOKUP($A47,'Budget &amp; Revenue'!$A:$AM,35,FALSE)," ")</f>
        <v>1</v>
      </c>
      <c r="S47" s="204">
        <f>IFERROR(VLOOKUP($A47,'Budget &amp; Revenue'!$A:$AM,37,FALSE)," ")</f>
        <v>1</v>
      </c>
      <c r="T47" s="204">
        <f>IFERROR(VLOOKUP($A47,'Budget &amp; Revenue'!$A:$AM,39,FALSE)," ")</f>
        <v>1</v>
      </c>
    </row>
    <row r="48" spans="1:20" x14ac:dyDescent="0.25">
      <c r="A48" s="80">
        <v>48</v>
      </c>
      <c r="B48" s="201" t="str">
        <f>VLOOKUP(A48,Estimate!A:C,3,FALSE)</f>
        <v>(ii)  Turfing</v>
      </c>
      <c r="C48" s="80">
        <f>VLOOKUP(A48,Estimate!A:L,12,FALSE)</f>
        <v>1</v>
      </c>
      <c r="D48" s="234">
        <v>49</v>
      </c>
      <c r="E48" s="234">
        <v>50</v>
      </c>
      <c r="F48" s="235">
        <f>IFERROR(VLOOKUP(A48,Estimate!A:Q,17,FALSE)," ")</f>
        <v>1338.75</v>
      </c>
      <c r="G48" s="204">
        <f>IFERROR(VLOOKUP($A48,'Budget &amp; Revenue'!$A:$AM,13,FALSE)," ")</f>
        <v>0</v>
      </c>
      <c r="H48" s="204">
        <f>IFERROR(VLOOKUP($A48,'Budget &amp; Revenue'!$A:$AM,15,FALSE)," ")</f>
        <v>0</v>
      </c>
      <c r="I48" s="204">
        <f>IFERROR(VLOOKUP($A48,'Budget &amp; Revenue'!$A:$AM,17,FALSE)," ")</f>
        <v>0</v>
      </c>
      <c r="J48" s="204">
        <f>IFERROR(VLOOKUP($A48,'Budget &amp; Revenue'!$A:$AM,19,FALSE)," ")</f>
        <v>0</v>
      </c>
      <c r="K48" s="204">
        <f>IFERROR(VLOOKUP($A48,'Budget &amp; Revenue'!$A:$AM,21,FALSE)," ")</f>
        <v>0</v>
      </c>
      <c r="L48" s="204">
        <f>IFERROR(VLOOKUP($A48,'Budget &amp; Revenue'!$A:$AM,23,FALSE)," ")</f>
        <v>0</v>
      </c>
      <c r="M48" s="204">
        <f>IFERROR(VLOOKUP($A48,'Budget &amp; Revenue'!$A:$AM,25,FALSE)," ")</f>
        <v>0</v>
      </c>
      <c r="N48" s="204">
        <f>IFERROR(VLOOKUP($A48,'Budget &amp; Revenue'!$A:$AM,27,FALSE)," ")</f>
        <v>0</v>
      </c>
      <c r="O48" s="204">
        <f>IFERROR(VLOOKUP($A48,'Budget &amp; Revenue'!$A:$AM,29,FALSE)," ")</f>
        <v>0</v>
      </c>
      <c r="P48" s="204">
        <f>IFERROR(VLOOKUP($A48,'Budget &amp; Revenue'!$A:$AM,31,FALSE)," ")</f>
        <v>0</v>
      </c>
      <c r="Q48" s="204">
        <f>IFERROR(VLOOKUP($A48,'Budget &amp; Revenue'!$A:$AM,33,FALSE)," ")</f>
        <v>0</v>
      </c>
      <c r="R48" s="204">
        <f>IFERROR(VLOOKUP($A48,'Budget &amp; Revenue'!$A:$AM,35,FALSE)," ")</f>
        <v>1</v>
      </c>
      <c r="S48" s="204">
        <f>IFERROR(VLOOKUP($A48,'Budget &amp; Revenue'!$A:$AM,37,FALSE)," ")</f>
        <v>1</v>
      </c>
      <c r="T48" s="204">
        <f>IFERROR(VLOOKUP($A48,'Budget &amp; Revenue'!$A:$AM,39,FALSE)," ")</f>
        <v>1</v>
      </c>
    </row>
    <row r="49" spans="1:20" x14ac:dyDescent="0.25">
      <c r="A49" s="80">
        <v>49</v>
      </c>
      <c r="B49" s="201" t="str">
        <f>VLOOKUP(A49,Estimate!A:C,3,FALSE)</f>
        <v>Supply and place  Imported Topsoil</v>
      </c>
      <c r="C49" s="80">
        <f>VLOOKUP(A49,Estimate!A:L,12,FALSE)</f>
        <v>1</v>
      </c>
      <c r="D49" s="236">
        <v>47248</v>
      </c>
      <c r="E49" s="234">
        <v>48</v>
      </c>
      <c r="F49" s="235">
        <f>IFERROR(VLOOKUP(A49,Estimate!A:Q,17,FALSE)," ")</f>
        <v>972.5</v>
      </c>
      <c r="G49" s="204">
        <f>IFERROR(VLOOKUP($A49,'Budget &amp; Revenue'!$A:$AM,13,FALSE)," ")</f>
        <v>0</v>
      </c>
      <c r="H49" s="204">
        <f>IFERROR(VLOOKUP($A49,'Budget &amp; Revenue'!$A:$AM,15,FALSE)," ")</f>
        <v>0</v>
      </c>
      <c r="I49" s="204">
        <f>IFERROR(VLOOKUP($A49,'Budget &amp; Revenue'!$A:$AM,17,FALSE)," ")</f>
        <v>0</v>
      </c>
      <c r="J49" s="204">
        <f>IFERROR(VLOOKUP($A49,'Budget &amp; Revenue'!$A:$AM,19,FALSE)," ")</f>
        <v>0</v>
      </c>
      <c r="K49" s="204">
        <f>IFERROR(VLOOKUP($A49,'Budget &amp; Revenue'!$A:$AM,21,FALSE)," ")</f>
        <v>0</v>
      </c>
      <c r="L49" s="204">
        <f>IFERROR(VLOOKUP($A49,'Budget &amp; Revenue'!$A:$AM,23,FALSE)," ")</f>
        <v>0</v>
      </c>
      <c r="M49" s="204">
        <f>IFERROR(VLOOKUP($A49,'Budget &amp; Revenue'!$A:$AM,25,FALSE)," ")</f>
        <v>0</v>
      </c>
      <c r="N49" s="204">
        <f>IFERROR(VLOOKUP($A49,'Budget &amp; Revenue'!$A:$AM,27,FALSE)," ")</f>
        <v>0</v>
      </c>
      <c r="O49" s="204">
        <f>IFERROR(VLOOKUP($A49,'Budget &amp; Revenue'!$A:$AM,29,FALSE)," ")</f>
        <v>0</v>
      </c>
      <c r="P49" s="204">
        <f>IFERROR(VLOOKUP($A49,'Budget &amp; Revenue'!$A:$AM,31,FALSE)," ")</f>
        <v>0</v>
      </c>
      <c r="Q49" s="204">
        <f>IFERROR(VLOOKUP($A49,'Budget &amp; Revenue'!$A:$AM,33,FALSE)," ")</f>
        <v>0</v>
      </c>
      <c r="R49" s="204">
        <f>IFERROR(VLOOKUP($A49,'Budget &amp; Revenue'!$A:$AM,35,FALSE)," ")</f>
        <v>1</v>
      </c>
      <c r="S49" s="204">
        <f>IFERROR(VLOOKUP($A49,'Budget &amp; Revenue'!$A:$AM,37,FALSE)," ")</f>
        <v>1</v>
      </c>
      <c r="T49" s="204">
        <f>IFERROR(VLOOKUP($A49,'Budget &amp; Revenue'!$A:$AM,39,FALSE)," ")</f>
        <v>1</v>
      </c>
    </row>
    <row r="50" spans="1:20" x14ac:dyDescent="0.25">
      <c r="A50" s="80">
        <v>50</v>
      </c>
      <c r="B50" s="201" t="str">
        <f>VLOOKUP(A50,Estimate!A:C,3,FALSE)</f>
        <v>Special Item - As Constructed Survey and Plans</v>
      </c>
      <c r="C50" s="80">
        <f>VLOOKUP(A50,Estimate!A:L,12,FALSE)</f>
        <v>4</v>
      </c>
      <c r="D50" s="234" t="s">
        <v>3003</v>
      </c>
      <c r="E50" s="234">
        <v>3</v>
      </c>
      <c r="F50" s="235">
        <f>IFERROR(VLOOKUP(A50,Estimate!A:Q,17,FALSE)," ")</f>
        <v>4500</v>
      </c>
      <c r="G50" s="204">
        <f>IFERROR(VLOOKUP($A50,'Budget &amp; Revenue'!$A:$AM,13,FALSE)," ")</f>
        <v>0</v>
      </c>
      <c r="H50" s="204">
        <f>IFERROR(VLOOKUP($A50,'Budget &amp; Revenue'!$A:$AM,15,FALSE)," ")</f>
        <v>0</v>
      </c>
      <c r="I50" s="204">
        <f>IFERROR(VLOOKUP($A50,'Budget &amp; Revenue'!$A:$AM,17,FALSE)," ")</f>
        <v>0</v>
      </c>
      <c r="J50" s="204">
        <f>IFERROR(VLOOKUP($A50,'Budget &amp; Revenue'!$A:$AM,19,FALSE)," ")</f>
        <v>0</v>
      </c>
      <c r="K50" s="204">
        <f>IFERROR(VLOOKUP($A50,'Budget &amp; Revenue'!$A:$AM,21,FALSE)," ")</f>
        <v>0</v>
      </c>
      <c r="L50" s="204">
        <f>IFERROR(VLOOKUP($A50,'Budget &amp; Revenue'!$A:$AM,23,FALSE)," ")</f>
        <v>0</v>
      </c>
      <c r="M50" s="204">
        <f>IFERROR(VLOOKUP($A50,'Budget &amp; Revenue'!$A:$AM,25,FALSE)," ")</f>
        <v>0</v>
      </c>
      <c r="N50" s="204">
        <f>IFERROR(VLOOKUP($A50,'Budget &amp; Revenue'!$A:$AM,27,FALSE)," ")</f>
        <v>0</v>
      </c>
      <c r="O50" s="204">
        <f>IFERROR(VLOOKUP($A50,'Budget &amp; Revenue'!$A:$AM,29,FALSE)," ")</f>
        <v>0.4</v>
      </c>
      <c r="P50" s="204">
        <f>IFERROR(VLOOKUP($A50,'Budget &amp; Revenue'!$A:$AM,31,FALSE)," ")</f>
        <v>0.6</v>
      </c>
      <c r="Q50" s="204">
        <f>IFERROR(VLOOKUP($A50,'Budget &amp; Revenue'!$A:$AM,33,FALSE)," ")</f>
        <v>0.6</v>
      </c>
      <c r="R50" s="204">
        <f>IFERROR(VLOOKUP($A50,'Budget &amp; Revenue'!$A:$AM,35,FALSE)," ")</f>
        <v>1</v>
      </c>
      <c r="S50" s="204">
        <f>IFERROR(VLOOKUP($A50,'Budget &amp; Revenue'!$A:$AM,37,FALSE)," ")</f>
        <v>1</v>
      </c>
      <c r="T50" s="204">
        <f>IFERROR(VLOOKUP($A50,'Budget &amp; Revenue'!$A:$AM,39,FALSE)," ")</f>
        <v>1</v>
      </c>
    </row>
    <row r="51" spans="1:20" s="10" customFormat="1" x14ac:dyDescent="0.25">
      <c r="A51" s="92">
        <v>300</v>
      </c>
      <c r="B51" s="212" t="str">
        <f>VLOOKUP(A51,Estimate!A:C,3,FALSE)</f>
        <v>CULTURAL CENTRE CAR PARK</v>
      </c>
      <c r="C51" s="92">
        <f>VLOOKUP(A51,Estimate!A:L,12,FALSE)</f>
        <v>0</v>
      </c>
      <c r="D51" s="234" t="s">
        <v>3082</v>
      </c>
      <c r="E51" s="234" t="s">
        <v>3094</v>
      </c>
      <c r="F51" s="235">
        <f>IFERROR(VLOOKUP(A51,Estimate!A:Q,17,FALSE)," ")</f>
        <v>0</v>
      </c>
      <c r="G51" s="204" t="str">
        <f>IFERROR(VLOOKUP($A51,'Budget &amp; Revenue'!$A:$AM,13,FALSE)," ")</f>
        <v xml:space="preserve"> </v>
      </c>
      <c r="H51" s="204" t="str">
        <f>IFERROR(VLOOKUP($A51,'Budget &amp; Revenue'!$A:$AM,15,FALSE)," ")</f>
        <v xml:space="preserve"> </v>
      </c>
      <c r="I51" s="204" t="str">
        <f>IFERROR(VLOOKUP($A51,'Budget &amp; Revenue'!$A:$AM,17,FALSE)," ")</f>
        <v xml:space="preserve"> </v>
      </c>
      <c r="J51" s="204" t="str">
        <f>IFERROR(VLOOKUP($A51,'Budget &amp; Revenue'!$A:$AM,19,FALSE)," ")</f>
        <v xml:space="preserve"> </v>
      </c>
      <c r="K51" s="204" t="str">
        <f>IFERROR(VLOOKUP($A51,'Budget &amp; Revenue'!$A:$AM,21,FALSE)," ")</f>
        <v xml:space="preserve"> </v>
      </c>
      <c r="L51" s="204" t="str">
        <f>IFERROR(VLOOKUP($A51,'Budget &amp; Revenue'!$A:$AM,23,FALSE)," ")</f>
        <v xml:space="preserve"> </v>
      </c>
      <c r="M51" s="204" t="str">
        <f>IFERROR(VLOOKUP($A51,'Budget &amp; Revenue'!$A:$AM,25,FALSE)," ")</f>
        <v xml:space="preserve"> </v>
      </c>
      <c r="N51" s="204" t="str">
        <f>IFERROR(VLOOKUP($A51,'Budget &amp; Revenue'!$A:$AM,27,FALSE)," ")</f>
        <v xml:space="preserve"> </v>
      </c>
      <c r="O51" s="204" t="str">
        <f>IFERROR(VLOOKUP($A51,'Budget &amp; Revenue'!$A:$AM,29,FALSE)," ")</f>
        <v xml:space="preserve"> </v>
      </c>
      <c r="P51" s="204" t="str">
        <f>IFERROR(VLOOKUP($A51,'Budget &amp; Revenue'!$A:$AM,31,FALSE)," ")</f>
        <v xml:space="preserve"> </v>
      </c>
      <c r="Q51" s="204" t="str">
        <f>IFERROR(VLOOKUP($A51,'Budget &amp; Revenue'!$A:$AM,33,FALSE)," ")</f>
        <v xml:space="preserve"> </v>
      </c>
      <c r="R51" s="204" t="str">
        <f>IFERROR(VLOOKUP($A51,'Budget &amp; Revenue'!$A:$AM,35,FALSE)," ")</f>
        <v xml:space="preserve"> </v>
      </c>
      <c r="S51" s="204" t="str">
        <f>IFERROR(VLOOKUP($A51,'Budget &amp; Revenue'!$A:$AM,37,FALSE)," ")</f>
        <v xml:space="preserve"> </v>
      </c>
      <c r="T51" s="204" t="str">
        <f>IFERROR(VLOOKUP($A51,'Budget &amp; Revenue'!$A:$AM,39,FALSE)," ")</f>
        <v xml:space="preserve"> </v>
      </c>
    </row>
    <row r="52" spans="1:20" x14ac:dyDescent="0.25">
      <c r="A52" s="80">
        <v>51</v>
      </c>
      <c r="B52" s="201" t="str">
        <f>VLOOKUP(A52,Estimate!A:C,3,FALSE)</f>
        <v>Quality Verification &amp; Control</v>
      </c>
      <c r="C52" s="80">
        <f>VLOOKUP(A52,Estimate!A:L,12,FALSE)</f>
        <v>0</v>
      </c>
      <c r="D52" s="234">
        <v>51</v>
      </c>
      <c r="E52" s="234">
        <v>53</v>
      </c>
      <c r="F52" s="235">
        <f>IFERROR(VLOOKUP(A52,Estimate!A:Q,17,FALSE)," ")</f>
        <v>8360</v>
      </c>
      <c r="G52" s="204">
        <f>IFERROR(VLOOKUP($A52,'Budget &amp; Revenue'!$A:$AM,13,FALSE)," ")</f>
        <v>0</v>
      </c>
      <c r="H52" s="204">
        <f>IFERROR(VLOOKUP($A52,'Budget &amp; Revenue'!$A:$AM,15,FALSE)," ")</f>
        <v>0</v>
      </c>
      <c r="I52" s="204">
        <f>IFERROR(VLOOKUP($A52,'Budget &amp; Revenue'!$A:$AM,17,FALSE)," ")</f>
        <v>0</v>
      </c>
      <c r="J52" s="204">
        <f>IFERROR(VLOOKUP($A52,'Budget &amp; Revenue'!$A:$AM,19,FALSE)," ")</f>
        <v>0</v>
      </c>
      <c r="K52" s="204">
        <f>IFERROR(VLOOKUP($A52,'Budget &amp; Revenue'!$A:$AM,21,FALSE)," ")</f>
        <v>0</v>
      </c>
      <c r="L52" s="204">
        <f>IFERROR(VLOOKUP($A52,'Budget &amp; Revenue'!$A:$AM,23,FALSE)," ")</f>
        <v>0.1</v>
      </c>
      <c r="M52" s="204">
        <f>IFERROR(VLOOKUP($A52,'Budget &amp; Revenue'!$A:$AM,25,FALSE)," ")</f>
        <v>0.1</v>
      </c>
      <c r="N52" s="204">
        <f>IFERROR(VLOOKUP($A52,'Budget &amp; Revenue'!$A:$AM,27,FALSE)," ")</f>
        <v>0.5</v>
      </c>
      <c r="O52" s="204">
        <f>IFERROR(VLOOKUP($A52,'Budget &amp; Revenue'!$A:$AM,29,FALSE)," ")</f>
        <v>0.85</v>
      </c>
      <c r="P52" s="204">
        <f>IFERROR(VLOOKUP($A52,'Budget &amp; Revenue'!$A:$AM,31,FALSE)," ")</f>
        <v>0.95</v>
      </c>
      <c r="Q52" s="204">
        <f>IFERROR(VLOOKUP($A52,'Budget &amp; Revenue'!$A:$AM,33,FALSE)," ")</f>
        <v>1</v>
      </c>
      <c r="R52" s="204">
        <f>IFERROR(VLOOKUP($A52,'Budget &amp; Revenue'!$A:$AM,35,FALSE)," ")</f>
        <v>1</v>
      </c>
      <c r="S52" s="204">
        <f>IFERROR(VLOOKUP($A52,'Budget &amp; Revenue'!$A:$AM,37,FALSE)," ")</f>
        <v>1</v>
      </c>
      <c r="T52" s="204">
        <f>IFERROR(VLOOKUP($A52,'Budget &amp; Revenue'!$A:$AM,39,FALSE)," ")</f>
        <v>1</v>
      </c>
    </row>
    <row r="53" spans="1:20" x14ac:dyDescent="0.25">
      <c r="A53" s="80">
        <v>52</v>
      </c>
      <c r="B53" s="201" t="str">
        <f>VLOOKUP(A53,Estimate!A:C,3,FALSE)</f>
        <v>Control of Traffic</v>
      </c>
      <c r="C53" s="80">
        <f>VLOOKUP(A53,Estimate!A:L,12,FALSE)</f>
        <v>10</v>
      </c>
      <c r="D53" s="234">
        <v>52</v>
      </c>
      <c r="E53" s="234" t="s">
        <v>3004</v>
      </c>
      <c r="F53" s="235">
        <f>IFERROR(VLOOKUP(A53,Estimate!A:Q,17,FALSE)," ")</f>
        <v>11646.24</v>
      </c>
      <c r="G53" s="204">
        <f>IFERROR(VLOOKUP($A53,'Budget &amp; Revenue'!$A:$AM,13,FALSE)," ")</f>
        <v>0</v>
      </c>
      <c r="H53" s="204">
        <f>IFERROR(VLOOKUP($A53,'Budget &amp; Revenue'!$A:$AM,15,FALSE)," ")</f>
        <v>0</v>
      </c>
      <c r="I53" s="204">
        <f>IFERROR(VLOOKUP($A53,'Budget &amp; Revenue'!$A:$AM,17,FALSE)," ")</f>
        <v>0</v>
      </c>
      <c r="J53" s="204">
        <f>IFERROR(VLOOKUP($A53,'Budget &amp; Revenue'!$A:$AM,19,FALSE)," ")</f>
        <v>0</v>
      </c>
      <c r="K53" s="204">
        <f>IFERROR(VLOOKUP($A53,'Budget &amp; Revenue'!$A:$AM,21,FALSE)," ")</f>
        <v>0</v>
      </c>
      <c r="L53" s="204">
        <f>IFERROR(VLOOKUP($A53,'Budget &amp; Revenue'!$A:$AM,23,FALSE)," ")</f>
        <v>0.2</v>
      </c>
      <c r="M53" s="204">
        <f>IFERROR(VLOOKUP($A53,'Budget &amp; Revenue'!$A:$AM,25,FALSE)," ")</f>
        <v>0.2</v>
      </c>
      <c r="N53" s="204">
        <f>IFERROR(VLOOKUP($A53,'Budget &amp; Revenue'!$A:$AM,27,FALSE)," ")</f>
        <v>0.5</v>
      </c>
      <c r="O53" s="204">
        <f>IFERROR(VLOOKUP($A53,'Budget &amp; Revenue'!$A:$AM,29,FALSE)," ")</f>
        <v>0.85</v>
      </c>
      <c r="P53" s="204">
        <f>IFERROR(VLOOKUP($A53,'Budget &amp; Revenue'!$A:$AM,31,FALSE)," ")</f>
        <v>0.95</v>
      </c>
      <c r="Q53" s="204">
        <f>IFERROR(VLOOKUP($A53,'Budget &amp; Revenue'!$A:$AM,33,FALSE)," ")</f>
        <v>1</v>
      </c>
      <c r="R53" s="204">
        <f>IFERROR(VLOOKUP($A53,'Budget &amp; Revenue'!$A:$AM,35,FALSE)," ")</f>
        <v>1</v>
      </c>
      <c r="S53" s="204">
        <f>IFERROR(VLOOKUP($A53,'Budget &amp; Revenue'!$A:$AM,37,FALSE)," ")</f>
        <v>1</v>
      </c>
      <c r="T53" s="204">
        <f>IFERROR(VLOOKUP($A53,'Budget &amp; Revenue'!$A:$AM,39,FALSE)," ")</f>
        <v>1</v>
      </c>
    </row>
    <row r="54" spans="1:20" x14ac:dyDescent="0.25">
      <c r="A54" s="80">
        <v>53</v>
      </c>
      <c r="B54" s="201" t="str">
        <f>VLOOKUP(A54,Estimate!A:C,3,FALSE)</f>
        <v>General Earthworks Cut</v>
      </c>
      <c r="C54" s="80">
        <f>VLOOKUP(A54,Estimate!A:L,12,FALSE)</f>
        <v>4</v>
      </c>
      <c r="D54" s="234" t="s">
        <v>3005</v>
      </c>
      <c r="E54" s="234">
        <v>55</v>
      </c>
      <c r="F54" s="235">
        <f>IFERROR(VLOOKUP(A54,Estimate!A:Q,17,FALSE)," ")</f>
        <v>19053.614043583537</v>
      </c>
      <c r="G54" s="204">
        <f>IFERROR(VLOOKUP($A54,'Budget &amp; Revenue'!$A:$AM,13,FALSE)," ")</f>
        <v>0</v>
      </c>
      <c r="H54" s="204">
        <f>IFERROR(VLOOKUP($A54,'Budget &amp; Revenue'!$A:$AM,15,FALSE)," ")</f>
        <v>0</v>
      </c>
      <c r="I54" s="204">
        <f>IFERROR(VLOOKUP($A54,'Budget &amp; Revenue'!$A:$AM,17,FALSE)," ")</f>
        <v>0</v>
      </c>
      <c r="J54" s="204">
        <f>IFERROR(VLOOKUP($A54,'Budget &amp; Revenue'!$A:$AM,19,FALSE)," ")</f>
        <v>0</v>
      </c>
      <c r="K54" s="204">
        <f>IFERROR(VLOOKUP($A54,'Budget &amp; Revenue'!$A:$AM,21,FALSE)," ")</f>
        <v>0</v>
      </c>
      <c r="L54" s="204">
        <f>IFERROR(VLOOKUP($A54,'Budget &amp; Revenue'!$A:$AM,23,FALSE)," ")</f>
        <v>1</v>
      </c>
      <c r="M54" s="204">
        <f>IFERROR(VLOOKUP($A54,'Budget &amp; Revenue'!$A:$AM,25,FALSE)," ")</f>
        <v>1</v>
      </c>
      <c r="N54" s="204">
        <f>IFERROR(VLOOKUP($A54,'Budget &amp; Revenue'!$A:$AM,27,FALSE)," ")</f>
        <v>1</v>
      </c>
      <c r="O54" s="204">
        <f>IFERROR(VLOOKUP($A54,'Budget &amp; Revenue'!$A:$AM,29,FALSE)," ")</f>
        <v>1</v>
      </c>
      <c r="P54" s="204">
        <f>IFERROR(VLOOKUP($A54,'Budget &amp; Revenue'!$A:$AM,31,FALSE)," ")</f>
        <v>1</v>
      </c>
      <c r="Q54" s="204">
        <f>IFERROR(VLOOKUP($A54,'Budget &amp; Revenue'!$A:$AM,33,FALSE)," ")</f>
        <v>1</v>
      </c>
      <c r="R54" s="204">
        <f>IFERROR(VLOOKUP($A54,'Budget &amp; Revenue'!$A:$AM,35,FALSE)," ")</f>
        <v>1</v>
      </c>
      <c r="S54" s="204">
        <f>IFERROR(VLOOKUP($A54,'Budget &amp; Revenue'!$A:$AM,37,FALSE)," ")</f>
        <v>1</v>
      </c>
      <c r="T54" s="204">
        <f>IFERROR(VLOOKUP($A54,'Budget &amp; Revenue'!$A:$AM,39,FALSE)," ")</f>
        <v>1</v>
      </c>
    </row>
    <row r="55" spans="1:20" x14ac:dyDescent="0.25">
      <c r="A55" s="80">
        <v>54</v>
      </c>
      <c r="B55" s="201" t="str">
        <f>VLOOKUP(A55,Estimate!A:C,3,FALSE)</f>
        <v>General Earthworks Fill</v>
      </c>
      <c r="C55" s="80">
        <f>VLOOKUP(A55,Estimate!A:L,12,FALSE)</f>
        <v>1</v>
      </c>
      <c r="D55" s="234">
        <v>54</v>
      </c>
      <c r="E55" s="234">
        <v>56</v>
      </c>
      <c r="F55" s="235">
        <f>IFERROR(VLOOKUP(A55,Estimate!A:Q,17,FALSE)," ")</f>
        <v>112.2</v>
      </c>
      <c r="G55" s="204">
        <f>IFERROR(VLOOKUP($A55,'Budget &amp; Revenue'!$A:$AM,13,FALSE)," ")</f>
        <v>0</v>
      </c>
      <c r="H55" s="204">
        <f>IFERROR(VLOOKUP($A55,'Budget &amp; Revenue'!$A:$AM,15,FALSE)," ")</f>
        <v>0</v>
      </c>
      <c r="I55" s="204">
        <f>IFERROR(VLOOKUP($A55,'Budget &amp; Revenue'!$A:$AM,17,FALSE)," ")</f>
        <v>0</v>
      </c>
      <c r="J55" s="204">
        <f>IFERROR(VLOOKUP($A55,'Budget &amp; Revenue'!$A:$AM,19,FALSE)," ")</f>
        <v>0</v>
      </c>
      <c r="K55" s="204">
        <f>IFERROR(VLOOKUP($A55,'Budget &amp; Revenue'!$A:$AM,21,FALSE)," ")</f>
        <v>0</v>
      </c>
      <c r="L55" s="204">
        <f>IFERROR(VLOOKUP($A55,'Budget &amp; Revenue'!$A:$AM,23,FALSE)," ")</f>
        <v>1</v>
      </c>
      <c r="M55" s="204">
        <f>IFERROR(VLOOKUP($A55,'Budget &amp; Revenue'!$A:$AM,25,FALSE)," ")</f>
        <v>1</v>
      </c>
      <c r="N55" s="204">
        <f>IFERROR(VLOOKUP($A55,'Budget &amp; Revenue'!$A:$AM,27,FALSE)," ")</f>
        <v>1</v>
      </c>
      <c r="O55" s="204">
        <f>IFERROR(VLOOKUP($A55,'Budget &amp; Revenue'!$A:$AM,29,FALSE)," ")</f>
        <v>1</v>
      </c>
      <c r="P55" s="204">
        <f>IFERROR(VLOOKUP($A55,'Budget &amp; Revenue'!$A:$AM,31,FALSE)," ")</f>
        <v>1</v>
      </c>
      <c r="Q55" s="204">
        <f>IFERROR(VLOOKUP($A55,'Budget &amp; Revenue'!$A:$AM,33,FALSE)," ")</f>
        <v>1</v>
      </c>
      <c r="R55" s="204">
        <f>IFERROR(VLOOKUP($A55,'Budget &amp; Revenue'!$A:$AM,35,FALSE)," ")</f>
        <v>1</v>
      </c>
      <c r="S55" s="204">
        <f>IFERROR(VLOOKUP($A55,'Budget &amp; Revenue'!$A:$AM,37,FALSE)," ")</f>
        <v>1</v>
      </c>
      <c r="T55" s="204">
        <f>IFERROR(VLOOKUP($A55,'Budget &amp; Revenue'!$A:$AM,39,FALSE)," ")</f>
        <v>1</v>
      </c>
    </row>
    <row r="56" spans="1:20" ht="30" x14ac:dyDescent="0.25">
      <c r="A56" s="80">
        <v>55</v>
      </c>
      <c r="B56" s="201" t="str">
        <f>VLOOKUP(A56,Estimate!A:C,3,FALSE)</f>
        <v>Replace unsuitable material below sub grade with select material complete (PROVISIONAL)</v>
      </c>
      <c r="C56" s="80">
        <f>VLOOKUP(A56,Estimate!A:L,12,FALSE)</f>
        <v>1</v>
      </c>
      <c r="D56" s="234">
        <v>55</v>
      </c>
      <c r="E56" s="234" t="s">
        <v>3006</v>
      </c>
      <c r="F56" s="235">
        <f>IFERROR(VLOOKUP(A56,Estimate!A:Q,17,FALSE)," ")</f>
        <v>655.33333333333337</v>
      </c>
      <c r="G56" s="204">
        <f>IFERROR(VLOOKUP($A56,'Budget &amp; Revenue'!$A:$AM,13,FALSE)," ")</f>
        <v>0</v>
      </c>
      <c r="H56" s="204">
        <f>IFERROR(VLOOKUP($A56,'Budget &amp; Revenue'!$A:$AM,15,FALSE)," ")</f>
        <v>0</v>
      </c>
      <c r="I56" s="204">
        <f>IFERROR(VLOOKUP($A56,'Budget &amp; Revenue'!$A:$AM,17,FALSE)," ")</f>
        <v>0</v>
      </c>
      <c r="J56" s="204">
        <f>IFERROR(VLOOKUP($A56,'Budget &amp; Revenue'!$A:$AM,19,FALSE)," ")</f>
        <v>0</v>
      </c>
      <c r="K56" s="204">
        <f>IFERROR(VLOOKUP($A56,'Budget &amp; Revenue'!$A:$AM,21,FALSE)," ")</f>
        <v>0</v>
      </c>
      <c r="L56" s="204">
        <f>IFERROR(VLOOKUP($A56,'Budget &amp; Revenue'!$A:$AM,23,FALSE)," ")</f>
        <v>0</v>
      </c>
      <c r="M56" s="204">
        <f>IFERROR(VLOOKUP($A56,'Budget &amp; Revenue'!$A:$AM,25,FALSE)," ")</f>
        <v>0</v>
      </c>
      <c r="N56" s="204">
        <f>IFERROR(VLOOKUP($A56,'Budget &amp; Revenue'!$A:$AM,27,FALSE)," ")</f>
        <v>0</v>
      </c>
      <c r="O56" s="204">
        <f>IFERROR(VLOOKUP($A56,'Budget &amp; Revenue'!$A:$AM,29,FALSE)," ")</f>
        <v>1</v>
      </c>
      <c r="P56" s="204">
        <f>IFERROR(VLOOKUP($A56,'Budget &amp; Revenue'!$A:$AM,31,FALSE)," ")</f>
        <v>1</v>
      </c>
      <c r="Q56" s="204">
        <f>IFERROR(VLOOKUP($A56,'Budget &amp; Revenue'!$A:$AM,33,FALSE)," ")</f>
        <v>1</v>
      </c>
      <c r="R56" s="204">
        <f>IFERROR(VLOOKUP($A56,'Budget &amp; Revenue'!$A:$AM,35,FALSE)," ")</f>
        <v>1</v>
      </c>
      <c r="S56" s="204">
        <f>IFERROR(VLOOKUP($A56,'Budget &amp; Revenue'!$A:$AM,37,FALSE)," ")</f>
        <v>0</v>
      </c>
      <c r="T56" s="204">
        <f>IFERROR(VLOOKUP($A56,'Budget &amp; Revenue'!$A:$AM,39,FALSE)," ")</f>
        <v>0</v>
      </c>
    </row>
    <row r="57" spans="1:20" ht="30" x14ac:dyDescent="0.25">
      <c r="A57" s="80">
        <v>56</v>
      </c>
      <c r="B57" s="201" t="str">
        <f>VLOOKUP(A57,Estimate!A:C,3,FALSE)</f>
        <v>Alteration to Existing Stormwater Structures (Break new PVC pipt into existing line and andage)</v>
      </c>
      <c r="C57" s="80">
        <f>VLOOKUP(A57,Estimate!A:L,12,FALSE)</f>
        <v>1</v>
      </c>
      <c r="D57" s="234">
        <v>56</v>
      </c>
      <c r="E57" s="234">
        <v>58</v>
      </c>
      <c r="F57" s="235">
        <f>IFERROR(VLOOKUP(A57,Estimate!A:Q,17,FALSE)," ")</f>
        <v>1200</v>
      </c>
      <c r="G57" s="204">
        <f>IFERROR(VLOOKUP($A57,'Budget &amp; Revenue'!$A:$AM,13,FALSE)," ")</f>
        <v>0</v>
      </c>
      <c r="H57" s="204">
        <f>IFERROR(VLOOKUP($A57,'Budget &amp; Revenue'!$A:$AM,15,FALSE)," ")</f>
        <v>0</v>
      </c>
      <c r="I57" s="204">
        <f>IFERROR(VLOOKUP($A57,'Budget &amp; Revenue'!$A:$AM,17,FALSE)," ")</f>
        <v>0</v>
      </c>
      <c r="J57" s="204">
        <f>IFERROR(VLOOKUP($A57,'Budget &amp; Revenue'!$A:$AM,19,FALSE)," ")</f>
        <v>0</v>
      </c>
      <c r="K57" s="204">
        <f>IFERROR(VLOOKUP($A57,'Budget &amp; Revenue'!$A:$AM,21,FALSE)," ")</f>
        <v>0</v>
      </c>
      <c r="L57" s="204">
        <f>IFERROR(VLOOKUP($A57,'Budget &amp; Revenue'!$A:$AM,23,FALSE)," ")</f>
        <v>1</v>
      </c>
      <c r="M57" s="204">
        <f>IFERROR(VLOOKUP($A57,'Budget &amp; Revenue'!$A:$AM,25,FALSE)," ")</f>
        <v>1</v>
      </c>
      <c r="N57" s="204">
        <f>IFERROR(VLOOKUP($A57,'Budget &amp; Revenue'!$A:$AM,27,FALSE)," ")</f>
        <v>1</v>
      </c>
      <c r="O57" s="204">
        <f>IFERROR(VLOOKUP($A57,'Budget &amp; Revenue'!$A:$AM,29,FALSE)," ")</f>
        <v>1</v>
      </c>
      <c r="P57" s="204">
        <f>IFERROR(VLOOKUP($A57,'Budget &amp; Revenue'!$A:$AM,31,FALSE)," ")</f>
        <v>1</v>
      </c>
      <c r="Q57" s="204">
        <f>IFERROR(VLOOKUP($A57,'Budget &amp; Revenue'!$A:$AM,33,FALSE)," ")</f>
        <v>1</v>
      </c>
      <c r="R57" s="204">
        <f>IFERROR(VLOOKUP($A57,'Budget &amp; Revenue'!$A:$AM,35,FALSE)," ")</f>
        <v>1</v>
      </c>
      <c r="S57" s="204">
        <f>IFERROR(VLOOKUP($A57,'Budget &amp; Revenue'!$A:$AM,37,FALSE)," ")</f>
        <v>1</v>
      </c>
      <c r="T57" s="204">
        <f>IFERROR(VLOOKUP($A57,'Budget &amp; Revenue'!$A:$AM,39,FALSE)," ")</f>
        <v>1</v>
      </c>
    </row>
    <row r="58" spans="1:20" x14ac:dyDescent="0.25">
      <c r="A58" s="80">
        <v>57</v>
      </c>
      <c r="B58" s="201" t="str">
        <f>VLOOKUP(A58,Estimate!A:C,3,FALSE)</f>
        <v>UPVC pipes (150mm) supply, install, backfill complete</v>
      </c>
      <c r="C58" s="80">
        <f>VLOOKUP(A58,Estimate!A:L,12,FALSE)</f>
        <v>1</v>
      </c>
      <c r="D58" s="234">
        <v>57</v>
      </c>
      <c r="E58" s="234">
        <v>59</v>
      </c>
      <c r="F58" s="235">
        <f>IFERROR(VLOOKUP(A58,Estimate!A:Q,17,FALSE)," ")</f>
        <v>2628</v>
      </c>
      <c r="G58" s="204">
        <f>IFERROR(VLOOKUP($A58,'Budget &amp; Revenue'!$A:$AM,13,FALSE)," ")</f>
        <v>0</v>
      </c>
      <c r="H58" s="204">
        <f>IFERROR(VLOOKUP($A58,'Budget &amp; Revenue'!$A:$AM,15,FALSE)," ")</f>
        <v>0</v>
      </c>
      <c r="I58" s="204">
        <f>IFERROR(VLOOKUP($A58,'Budget &amp; Revenue'!$A:$AM,17,FALSE)," ")</f>
        <v>0</v>
      </c>
      <c r="J58" s="204">
        <f>IFERROR(VLOOKUP($A58,'Budget &amp; Revenue'!$A:$AM,19,FALSE)," ")</f>
        <v>0</v>
      </c>
      <c r="K58" s="204">
        <f>IFERROR(VLOOKUP($A58,'Budget &amp; Revenue'!$A:$AM,21,FALSE)," ")</f>
        <v>0</v>
      </c>
      <c r="L58" s="204">
        <f>IFERROR(VLOOKUP($A58,'Budget &amp; Revenue'!$A:$AM,23,FALSE)," ")</f>
        <v>1</v>
      </c>
      <c r="M58" s="204">
        <f>IFERROR(VLOOKUP($A58,'Budget &amp; Revenue'!$A:$AM,25,FALSE)," ")</f>
        <v>1</v>
      </c>
      <c r="N58" s="204">
        <f>IFERROR(VLOOKUP($A58,'Budget &amp; Revenue'!$A:$AM,27,FALSE)," ")</f>
        <v>1</v>
      </c>
      <c r="O58" s="204">
        <f>IFERROR(VLOOKUP($A58,'Budget &amp; Revenue'!$A:$AM,29,FALSE)," ")</f>
        <v>1</v>
      </c>
      <c r="P58" s="204">
        <f>IFERROR(VLOOKUP($A58,'Budget &amp; Revenue'!$A:$AM,31,FALSE)," ")</f>
        <v>1</v>
      </c>
      <c r="Q58" s="204">
        <f>IFERROR(VLOOKUP($A58,'Budget &amp; Revenue'!$A:$AM,33,FALSE)," ")</f>
        <v>1</v>
      </c>
      <c r="R58" s="204">
        <f>IFERROR(VLOOKUP($A58,'Budget &amp; Revenue'!$A:$AM,35,FALSE)," ")</f>
        <v>1</v>
      </c>
      <c r="S58" s="204">
        <f>IFERROR(VLOOKUP($A58,'Budget &amp; Revenue'!$A:$AM,37,FALSE)," ")</f>
        <v>1</v>
      </c>
      <c r="T58" s="204">
        <f>IFERROR(VLOOKUP($A58,'Budget &amp; Revenue'!$A:$AM,39,FALSE)," ")</f>
        <v>1</v>
      </c>
    </row>
    <row r="59" spans="1:20" x14ac:dyDescent="0.25">
      <c r="A59" s="80">
        <v>58</v>
      </c>
      <c r="B59" s="201" t="str">
        <f>VLOOKUP(A59,Estimate!A:C,3,FALSE)</f>
        <v>Connect property drainage pipes</v>
      </c>
      <c r="C59" s="80">
        <f>VLOOKUP(A59,Estimate!A:L,12,FALSE)</f>
        <v>3</v>
      </c>
      <c r="D59" s="234">
        <v>58</v>
      </c>
      <c r="E59" s="234">
        <v>60</v>
      </c>
      <c r="F59" s="235">
        <f>IFERROR(VLOOKUP(A59,Estimate!A:Q,17,FALSE)," ")</f>
        <v>3950</v>
      </c>
      <c r="G59" s="204">
        <f>IFERROR(VLOOKUP($A59,'Budget &amp; Revenue'!$A:$AM,13,FALSE)," ")</f>
        <v>0</v>
      </c>
      <c r="H59" s="204">
        <f>IFERROR(VLOOKUP($A59,'Budget &amp; Revenue'!$A:$AM,15,FALSE)," ")</f>
        <v>0</v>
      </c>
      <c r="I59" s="204">
        <f>IFERROR(VLOOKUP($A59,'Budget &amp; Revenue'!$A:$AM,17,FALSE)," ")</f>
        <v>0</v>
      </c>
      <c r="J59" s="204">
        <f>IFERROR(VLOOKUP($A59,'Budget &amp; Revenue'!$A:$AM,19,FALSE)," ")</f>
        <v>0</v>
      </c>
      <c r="K59" s="204">
        <f>IFERROR(VLOOKUP($A59,'Budget &amp; Revenue'!$A:$AM,21,FALSE)," ")</f>
        <v>0</v>
      </c>
      <c r="L59" s="204">
        <f>IFERROR(VLOOKUP($A59,'Budget &amp; Revenue'!$A:$AM,23,FALSE)," ")</f>
        <v>0</v>
      </c>
      <c r="M59" s="204">
        <f>IFERROR(VLOOKUP($A59,'Budget &amp; Revenue'!$A:$AM,25,FALSE)," ")</f>
        <v>0</v>
      </c>
      <c r="N59" s="204">
        <f>IFERROR(VLOOKUP($A59,'Budget &amp; Revenue'!$A:$AM,27,FALSE)," ")</f>
        <v>1</v>
      </c>
      <c r="O59" s="204">
        <f>IFERROR(VLOOKUP($A59,'Budget &amp; Revenue'!$A:$AM,29,FALSE)," ")</f>
        <v>1</v>
      </c>
      <c r="P59" s="204">
        <f>IFERROR(VLOOKUP($A59,'Budget &amp; Revenue'!$A:$AM,31,FALSE)," ")</f>
        <v>1</v>
      </c>
      <c r="Q59" s="204">
        <f>IFERROR(VLOOKUP($A59,'Budget &amp; Revenue'!$A:$AM,33,FALSE)," ")</f>
        <v>1</v>
      </c>
      <c r="R59" s="204">
        <f>IFERROR(VLOOKUP($A59,'Budget &amp; Revenue'!$A:$AM,35,FALSE)," ")</f>
        <v>1</v>
      </c>
      <c r="S59" s="204">
        <f>IFERROR(VLOOKUP($A59,'Budget &amp; Revenue'!$A:$AM,37,FALSE)," ")</f>
        <v>1</v>
      </c>
      <c r="T59" s="204">
        <f>IFERROR(VLOOKUP($A59,'Budget &amp; Revenue'!$A:$AM,39,FALSE)," ")</f>
        <v>1</v>
      </c>
    </row>
    <row r="60" spans="1:20" ht="30" x14ac:dyDescent="0.25">
      <c r="A60" s="80">
        <v>59</v>
      </c>
      <c r="B60" s="201" t="str">
        <f>VLOOKUP(A60,Estimate!A:C,3,FALSE)</f>
        <v>Construct Complete in place, downpipe extension and overflow grate</v>
      </c>
      <c r="C60" s="80">
        <f>VLOOKUP(A60,Estimate!A:L,12,FALSE)</f>
        <v>2</v>
      </c>
      <c r="D60" s="234">
        <v>59</v>
      </c>
      <c r="E60" s="234">
        <v>63</v>
      </c>
      <c r="F60" s="235">
        <f>IFERROR(VLOOKUP(A60,Estimate!A:Q,17,FALSE)," ")</f>
        <v>2400</v>
      </c>
      <c r="G60" s="204">
        <f>IFERROR(VLOOKUP($A60,'Budget &amp; Revenue'!$A:$AM,13,FALSE)," ")</f>
        <v>0</v>
      </c>
      <c r="H60" s="204">
        <f>IFERROR(VLOOKUP($A60,'Budget &amp; Revenue'!$A:$AM,15,FALSE)," ")</f>
        <v>0</v>
      </c>
      <c r="I60" s="204">
        <f>IFERROR(VLOOKUP($A60,'Budget &amp; Revenue'!$A:$AM,17,FALSE)," ")</f>
        <v>0</v>
      </c>
      <c r="J60" s="204">
        <f>IFERROR(VLOOKUP($A60,'Budget &amp; Revenue'!$A:$AM,19,FALSE)," ")</f>
        <v>0</v>
      </c>
      <c r="K60" s="204">
        <f>IFERROR(VLOOKUP($A60,'Budget &amp; Revenue'!$A:$AM,21,FALSE)," ")</f>
        <v>0</v>
      </c>
      <c r="L60" s="204">
        <f>IFERROR(VLOOKUP($A60,'Budget &amp; Revenue'!$A:$AM,23,FALSE)," ")</f>
        <v>1</v>
      </c>
      <c r="M60" s="204">
        <f>IFERROR(VLOOKUP($A60,'Budget &amp; Revenue'!$A:$AM,25,FALSE)," ")</f>
        <v>1</v>
      </c>
      <c r="N60" s="204">
        <f>IFERROR(VLOOKUP($A60,'Budget &amp; Revenue'!$A:$AM,27,FALSE)," ")</f>
        <v>1</v>
      </c>
      <c r="O60" s="204">
        <f>IFERROR(VLOOKUP($A60,'Budget &amp; Revenue'!$A:$AM,29,FALSE)," ")</f>
        <v>1</v>
      </c>
      <c r="P60" s="204">
        <f>IFERROR(VLOOKUP($A60,'Budget &amp; Revenue'!$A:$AM,31,FALSE)," ")</f>
        <v>1</v>
      </c>
      <c r="Q60" s="204">
        <f>IFERROR(VLOOKUP($A60,'Budget &amp; Revenue'!$A:$AM,33,FALSE)," ")</f>
        <v>1</v>
      </c>
      <c r="R60" s="204">
        <f>IFERROR(VLOOKUP($A60,'Budget &amp; Revenue'!$A:$AM,35,FALSE)," ")</f>
        <v>1</v>
      </c>
      <c r="S60" s="204">
        <f>IFERROR(VLOOKUP($A60,'Budget &amp; Revenue'!$A:$AM,37,FALSE)," ")</f>
        <v>1</v>
      </c>
      <c r="T60" s="204">
        <f>IFERROR(VLOOKUP($A60,'Budget &amp; Revenue'!$A:$AM,39,FALSE)," ")</f>
        <v>1</v>
      </c>
    </row>
    <row r="61" spans="1:20" x14ac:dyDescent="0.25">
      <c r="A61" s="80">
        <v>60</v>
      </c>
      <c r="B61" s="201" t="str">
        <f>VLOOKUP(A61,Estimate!A:C,3,FALSE)</f>
        <v>(i)  Concrete Barrier Kerb &amp; Channel B1 complete</v>
      </c>
      <c r="C61" s="80">
        <f>VLOOKUP(A61,Estimate!A:L,12,FALSE)</f>
        <v>1</v>
      </c>
      <c r="D61" s="236">
        <v>63246</v>
      </c>
      <c r="E61" s="234">
        <v>62</v>
      </c>
      <c r="F61" s="235">
        <f>IFERROR(VLOOKUP(A61,Estimate!A:Q,17,FALSE)," ")</f>
        <v>4253.0418604651168</v>
      </c>
      <c r="G61" s="204">
        <f>IFERROR(VLOOKUP($A61,'Budget &amp; Revenue'!$A:$AM,13,FALSE)," ")</f>
        <v>0</v>
      </c>
      <c r="H61" s="204">
        <f>IFERROR(VLOOKUP($A61,'Budget &amp; Revenue'!$A:$AM,15,FALSE)," ")</f>
        <v>0</v>
      </c>
      <c r="I61" s="204">
        <f>IFERROR(VLOOKUP($A61,'Budget &amp; Revenue'!$A:$AM,17,FALSE)," ")</f>
        <v>0</v>
      </c>
      <c r="J61" s="204">
        <f>IFERROR(VLOOKUP($A61,'Budget &amp; Revenue'!$A:$AM,19,FALSE)," ")</f>
        <v>0</v>
      </c>
      <c r="K61" s="204">
        <f>IFERROR(VLOOKUP($A61,'Budget &amp; Revenue'!$A:$AM,21,FALSE)," ")</f>
        <v>0</v>
      </c>
      <c r="L61" s="204">
        <f>IFERROR(VLOOKUP($A61,'Budget &amp; Revenue'!$A:$AM,23,FALSE)," ")</f>
        <v>0</v>
      </c>
      <c r="M61" s="204">
        <f>IFERROR(VLOOKUP($A61,'Budget &amp; Revenue'!$A:$AM,25,FALSE)," ")</f>
        <v>0</v>
      </c>
      <c r="N61" s="204">
        <f>IFERROR(VLOOKUP($A61,'Budget &amp; Revenue'!$A:$AM,27,FALSE)," ")</f>
        <v>0</v>
      </c>
      <c r="O61" s="204">
        <f>IFERROR(VLOOKUP($A61,'Budget &amp; Revenue'!$A:$AM,29,FALSE)," ")</f>
        <v>1</v>
      </c>
      <c r="P61" s="204">
        <f>IFERROR(VLOOKUP($A61,'Budget &amp; Revenue'!$A:$AM,31,FALSE)," ")</f>
        <v>1</v>
      </c>
      <c r="Q61" s="204">
        <f>IFERROR(VLOOKUP($A61,'Budget &amp; Revenue'!$A:$AM,33,FALSE)," ")</f>
        <v>1</v>
      </c>
      <c r="R61" s="204">
        <f>IFERROR(VLOOKUP($A61,'Budget &amp; Revenue'!$A:$AM,35,FALSE)," ")</f>
        <v>1</v>
      </c>
      <c r="S61" s="204">
        <f>IFERROR(VLOOKUP($A61,'Budget &amp; Revenue'!$A:$AM,37,FALSE)," ")</f>
        <v>1</v>
      </c>
      <c r="T61" s="204">
        <f>IFERROR(VLOOKUP($A61,'Budget &amp; Revenue'!$A:$AM,39,FALSE)," ")</f>
        <v>1</v>
      </c>
    </row>
    <row r="62" spans="1:20" x14ac:dyDescent="0.25">
      <c r="A62" s="80">
        <v>61</v>
      </c>
      <c r="B62" s="201" t="str">
        <f>VLOOKUP(A62,Estimate!A:C,3,FALSE)</f>
        <v>(iv)  Concrete Dish Drain (0.9m wide) complete</v>
      </c>
      <c r="C62" s="80">
        <f>VLOOKUP(A62,Estimate!A:L,12,FALSE)</f>
        <v>1</v>
      </c>
      <c r="D62" s="234">
        <v>61</v>
      </c>
      <c r="E62" s="234">
        <v>66</v>
      </c>
      <c r="F62" s="235">
        <f>IFERROR(VLOOKUP(A62,Estimate!A:Q,17,FALSE)," ")</f>
        <v>1560.8400000000001</v>
      </c>
      <c r="G62" s="204">
        <f>IFERROR(VLOOKUP($A62,'Budget &amp; Revenue'!$A:$AM,13,FALSE)," ")</f>
        <v>0</v>
      </c>
      <c r="H62" s="204">
        <f>IFERROR(VLOOKUP($A62,'Budget &amp; Revenue'!$A:$AM,15,FALSE)," ")</f>
        <v>0</v>
      </c>
      <c r="I62" s="204">
        <f>IFERROR(VLOOKUP($A62,'Budget &amp; Revenue'!$A:$AM,17,FALSE)," ")</f>
        <v>0</v>
      </c>
      <c r="J62" s="204">
        <f>IFERROR(VLOOKUP($A62,'Budget &amp; Revenue'!$A:$AM,19,FALSE)," ")</f>
        <v>0</v>
      </c>
      <c r="K62" s="204">
        <f>IFERROR(VLOOKUP($A62,'Budget &amp; Revenue'!$A:$AM,21,FALSE)," ")</f>
        <v>0</v>
      </c>
      <c r="L62" s="204">
        <f>IFERROR(VLOOKUP($A62,'Budget &amp; Revenue'!$A:$AM,23,FALSE)," ")</f>
        <v>0</v>
      </c>
      <c r="M62" s="204">
        <f>IFERROR(VLOOKUP($A62,'Budget &amp; Revenue'!$A:$AM,25,FALSE)," ")</f>
        <v>0</v>
      </c>
      <c r="N62" s="204">
        <f>IFERROR(VLOOKUP($A62,'Budget &amp; Revenue'!$A:$AM,27,FALSE)," ")</f>
        <v>1</v>
      </c>
      <c r="O62" s="204">
        <f>IFERROR(VLOOKUP($A62,'Budget &amp; Revenue'!$A:$AM,29,FALSE)," ")</f>
        <v>1</v>
      </c>
      <c r="P62" s="204">
        <f>IFERROR(VLOOKUP($A62,'Budget &amp; Revenue'!$A:$AM,31,FALSE)," ")</f>
        <v>1</v>
      </c>
      <c r="Q62" s="204">
        <f>IFERROR(VLOOKUP($A62,'Budget &amp; Revenue'!$A:$AM,33,FALSE)," ")</f>
        <v>1</v>
      </c>
      <c r="R62" s="204">
        <f>IFERROR(VLOOKUP($A62,'Budget &amp; Revenue'!$A:$AM,35,FALSE)," ")</f>
        <v>1</v>
      </c>
      <c r="S62" s="204">
        <f>IFERROR(VLOOKUP($A62,'Budget &amp; Revenue'!$A:$AM,37,FALSE)," ")</f>
        <v>1</v>
      </c>
      <c r="T62" s="204">
        <f>IFERROR(VLOOKUP($A62,'Budget &amp; Revenue'!$A:$AM,39,FALSE)," ")</f>
        <v>1</v>
      </c>
    </row>
    <row r="63" spans="1:20" x14ac:dyDescent="0.25">
      <c r="A63" s="80">
        <v>62</v>
      </c>
      <c r="B63" s="201" t="str">
        <f>VLOOKUP(A63,Estimate!A:C,3,FALSE)</f>
        <v>(vi)  Concrete Kerb (Type B2) complete</v>
      </c>
      <c r="C63" s="80">
        <f>VLOOKUP(A63,Estimate!A:L,12,FALSE)</f>
        <v>1</v>
      </c>
      <c r="D63" s="234" t="s">
        <v>3095</v>
      </c>
      <c r="E63" s="236">
        <v>61244</v>
      </c>
      <c r="F63" s="235">
        <f>IFERROR(VLOOKUP(A63,Estimate!A:Q,17,FALSE)," ")</f>
        <v>4306.2048837209304</v>
      </c>
      <c r="G63" s="204">
        <f>IFERROR(VLOOKUP($A63,'Budget &amp; Revenue'!$A:$AM,13,FALSE)," ")</f>
        <v>0</v>
      </c>
      <c r="H63" s="204">
        <f>IFERROR(VLOOKUP($A63,'Budget &amp; Revenue'!$A:$AM,15,FALSE)," ")</f>
        <v>0</v>
      </c>
      <c r="I63" s="204">
        <f>IFERROR(VLOOKUP($A63,'Budget &amp; Revenue'!$A:$AM,17,FALSE)," ")</f>
        <v>0</v>
      </c>
      <c r="J63" s="204">
        <f>IFERROR(VLOOKUP($A63,'Budget &amp; Revenue'!$A:$AM,19,FALSE)," ")</f>
        <v>0</v>
      </c>
      <c r="K63" s="204">
        <f>IFERROR(VLOOKUP($A63,'Budget &amp; Revenue'!$A:$AM,21,FALSE)," ")</f>
        <v>0</v>
      </c>
      <c r="L63" s="204">
        <f>IFERROR(VLOOKUP($A63,'Budget &amp; Revenue'!$A:$AM,23,FALSE)," ")</f>
        <v>0</v>
      </c>
      <c r="M63" s="204">
        <f>IFERROR(VLOOKUP($A63,'Budget &amp; Revenue'!$A:$AM,25,FALSE)," ")</f>
        <v>0</v>
      </c>
      <c r="N63" s="204">
        <f>IFERROR(VLOOKUP($A63,'Budget &amp; Revenue'!$A:$AM,27,FALSE)," ")</f>
        <v>0</v>
      </c>
      <c r="O63" s="204">
        <f>IFERROR(VLOOKUP($A63,'Budget &amp; Revenue'!$A:$AM,29,FALSE)," ")</f>
        <v>1</v>
      </c>
      <c r="P63" s="204">
        <f>IFERROR(VLOOKUP($A63,'Budget &amp; Revenue'!$A:$AM,31,FALSE)," ")</f>
        <v>1</v>
      </c>
      <c r="Q63" s="204">
        <f>IFERROR(VLOOKUP($A63,'Budget &amp; Revenue'!$A:$AM,33,FALSE)," ")</f>
        <v>1</v>
      </c>
      <c r="R63" s="204">
        <f>IFERROR(VLOOKUP($A63,'Budget &amp; Revenue'!$A:$AM,35,FALSE)," ")</f>
        <v>1</v>
      </c>
      <c r="S63" s="204">
        <f>IFERROR(VLOOKUP($A63,'Budget &amp; Revenue'!$A:$AM,37,FALSE)," ")</f>
        <v>1</v>
      </c>
      <c r="T63" s="204">
        <f>IFERROR(VLOOKUP($A63,'Budget &amp; Revenue'!$A:$AM,39,FALSE)," ")</f>
        <v>1</v>
      </c>
    </row>
    <row r="64" spans="1:20" x14ac:dyDescent="0.25">
      <c r="A64" s="80">
        <v>63</v>
      </c>
      <c r="B64" s="201" t="str">
        <f>VLOOKUP(A64,Estimate!A:C,3,FALSE)</f>
        <v>(i)  100mm dia Slotted Corrugated Plastic Pipe</v>
      </c>
      <c r="C64" s="80">
        <f>VLOOKUP(A64,Estimate!A:L,12,FALSE)</f>
        <v>4</v>
      </c>
      <c r="D64" s="234">
        <v>56</v>
      </c>
      <c r="E64" s="234" t="s">
        <v>3007</v>
      </c>
      <c r="F64" s="235">
        <f>IFERROR(VLOOKUP(A64,Estimate!A:Q,17,FALSE)," ")</f>
        <v>12880.057576957697</v>
      </c>
      <c r="G64" s="204">
        <f>IFERROR(VLOOKUP($A64,'Budget &amp; Revenue'!$A:$AM,13,FALSE)," ")</f>
        <v>0</v>
      </c>
      <c r="H64" s="204">
        <f>IFERROR(VLOOKUP($A64,'Budget &amp; Revenue'!$A:$AM,15,FALSE)," ")</f>
        <v>0</v>
      </c>
      <c r="I64" s="204">
        <f>IFERROR(VLOOKUP($A64,'Budget &amp; Revenue'!$A:$AM,17,FALSE)," ")</f>
        <v>0</v>
      </c>
      <c r="J64" s="204">
        <f>IFERROR(VLOOKUP($A64,'Budget &amp; Revenue'!$A:$AM,19,FALSE)," ")</f>
        <v>0</v>
      </c>
      <c r="K64" s="204">
        <f>IFERROR(VLOOKUP($A64,'Budget &amp; Revenue'!$A:$AM,21,FALSE)," ")</f>
        <v>0</v>
      </c>
      <c r="L64" s="204">
        <f>IFERROR(VLOOKUP($A64,'Budget &amp; Revenue'!$A:$AM,23,FALSE)," ")</f>
        <v>0.94871794871794868</v>
      </c>
      <c r="M64" s="204">
        <f>IFERROR(VLOOKUP($A64,'Budget &amp; Revenue'!$A:$AM,25,FALSE)," ")</f>
        <v>0.94871794871794868</v>
      </c>
      <c r="N64" s="204">
        <f>IFERROR(VLOOKUP($A64,'Budget &amp; Revenue'!$A:$AM,27,FALSE)," ")</f>
        <v>1</v>
      </c>
      <c r="O64" s="204">
        <f>IFERROR(VLOOKUP($A64,'Budget &amp; Revenue'!$A:$AM,29,FALSE)," ")</f>
        <v>1</v>
      </c>
      <c r="P64" s="204">
        <f>IFERROR(VLOOKUP($A64,'Budget &amp; Revenue'!$A:$AM,31,FALSE)," ")</f>
        <v>1</v>
      </c>
      <c r="Q64" s="204">
        <f>IFERROR(VLOOKUP($A64,'Budget &amp; Revenue'!$A:$AM,33,FALSE)," ")</f>
        <v>1</v>
      </c>
      <c r="R64" s="204">
        <f>IFERROR(VLOOKUP($A64,'Budget &amp; Revenue'!$A:$AM,35,FALSE)," ")</f>
        <v>1</v>
      </c>
      <c r="S64" s="204">
        <f>IFERROR(VLOOKUP($A64,'Budget &amp; Revenue'!$A:$AM,37,FALSE)," ")</f>
        <v>1</v>
      </c>
      <c r="T64" s="204">
        <f>IFERROR(VLOOKUP($A64,'Budget &amp; Revenue'!$A:$AM,39,FALSE)," ")</f>
        <v>1</v>
      </c>
    </row>
    <row r="65" spans="1:20" x14ac:dyDescent="0.25">
      <c r="A65" s="80">
        <v>64</v>
      </c>
      <c r="B65" s="201" t="str">
        <f>VLOOKUP(A65,Estimate!A:C,3,FALSE)</f>
        <v>Cleanout Structures</v>
      </c>
      <c r="C65" s="80">
        <f>VLOOKUP(A65,Estimate!A:L,12,FALSE)</f>
        <v>4</v>
      </c>
      <c r="D65" s="234" t="s">
        <v>3008</v>
      </c>
      <c r="E65" s="233"/>
      <c r="F65" s="235">
        <f>IFERROR(VLOOKUP(A65,Estimate!A:Q,17,FALSE)," ")</f>
        <v>715</v>
      </c>
      <c r="G65" s="204">
        <f>IFERROR(VLOOKUP($A65,'Budget &amp; Revenue'!$A:$AM,13,FALSE)," ")</f>
        <v>0</v>
      </c>
      <c r="H65" s="204">
        <f>IFERROR(VLOOKUP($A65,'Budget &amp; Revenue'!$A:$AM,15,FALSE)," ")</f>
        <v>0</v>
      </c>
      <c r="I65" s="204">
        <f>IFERROR(VLOOKUP($A65,'Budget &amp; Revenue'!$A:$AM,17,FALSE)," ")</f>
        <v>0</v>
      </c>
      <c r="J65" s="204">
        <f>IFERROR(VLOOKUP($A65,'Budget &amp; Revenue'!$A:$AM,19,FALSE)," ")</f>
        <v>0</v>
      </c>
      <c r="K65" s="204">
        <f>IFERROR(VLOOKUP($A65,'Budget &amp; Revenue'!$A:$AM,21,FALSE)," ")</f>
        <v>0</v>
      </c>
      <c r="L65" s="204">
        <f>IFERROR(VLOOKUP($A65,'Budget &amp; Revenue'!$A:$AM,23,FALSE)," ")</f>
        <v>0</v>
      </c>
      <c r="M65" s="204">
        <f>IFERROR(VLOOKUP($A65,'Budget &amp; Revenue'!$A:$AM,25,FALSE)," ")</f>
        <v>0</v>
      </c>
      <c r="N65" s="204">
        <f>IFERROR(VLOOKUP($A65,'Budget &amp; Revenue'!$A:$AM,27,FALSE)," ")</f>
        <v>0</v>
      </c>
      <c r="O65" s="204">
        <f>IFERROR(VLOOKUP($A65,'Budget &amp; Revenue'!$A:$AM,29,FALSE)," ")</f>
        <v>1</v>
      </c>
      <c r="P65" s="204">
        <f>IFERROR(VLOOKUP($A65,'Budget &amp; Revenue'!$A:$AM,31,FALSE)," ")</f>
        <v>1</v>
      </c>
      <c r="Q65" s="204">
        <f>IFERROR(VLOOKUP($A65,'Budget &amp; Revenue'!$A:$AM,33,FALSE)," ")</f>
        <v>1</v>
      </c>
      <c r="R65" s="204">
        <f>IFERROR(VLOOKUP($A65,'Budget &amp; Revenue'!$A:$AM,35,FALSE)," ")</f>
        <v>1</v>
      </c>
      <c r="S65" s="204">
        <f>IFERROR(VLOOKUP($A65,'Budget &amp; Revenue'!$A:$AM,37,FALSE)," ")</f>
        <v>1</v>
      </c>
      <c r="T65" s="204">
        <f>IFERROR(VLOOKUP($A65,'Budget &amp; Revenue'!$A:$AM,39,FALSE)," ")</f>
        <v>1</v>
      </c>
    </row>
    <row r="66" spans="1:20" x14ac:dyDescent="0.25">
      <c r="A66" s="80">
        <v>65</v>
      </c>
      <c r="B66" s="201" t="str">
        <f>VLOOKUP(A66,Estimate!A:C,3,FALSE)</f>
        <v>Place only Type 2.1</v>
      </c>
      <c r="C66" s="80">
        <f>VLOOKUP(A66,Estimate!A:L,12,FALSE)</f>
        <v>6</v>
      </c>
      <c r="D66" s="234" t="s">
        <v>3096</v>
      </c>
      <c r="E66" s="234" t="s">
        <v>3009</v>
      </c>
      <c r="F66" s="235">
        <f>IFERROR(VLOOKUP(A66,Estimate!A:Q,17,FALSE)," ")</f>
        <v>24537.313244765432</v>
      </c>
      <c r="G66" s="204">
        <f>IFERROR(VLOOKUP($A66,'Budget &amp; Revenue'!$A:$AM,13,FALSE)," ")</f>
        <v>0</v>
      </c>
      <c r="H66" s="204">
        <f>IFERROR(VLOOKUP($A66,'Budget &amp; Revenue'!$A:$AM,15,FALSE)," ")</f>
        <v>0</v>
      </c>
      <c r="I66" s="204">
        <f>IFERROR(VLOOKUP($A66,'Budget &amp; Revenue'!$A:$AM,17,FALSE)," ")</f>
        <v>0</v>
      </c>
      <c r="J66" s="204">
        <f>IFERROR(VLOOKUP($A66,'Budget &amp; Revenue'!$A:$AM,19,FALSE)," ")</f>
        <v>0</v>
      </c>
      <c r="K66" s="204">
        <f>IFERROR(VLOOKUP($A66,'Budget &amp; Revenue'!$A:$AM,21,FALSE)," ")</f>
        <v>0</v>
      </c>
      <c r="L66" s="204">
        <f>IFERROR(VLOOKUP($A66,'Budget &amp; Revenue'!$A:$AM,23,FALSE)," ")</f>
        <v>0</v>
      </c>
      <c r="M66" s="204">
        <f>IFERROR(VLOOKUP($A66,'Budget &amp; Revenue'!$A:$AM,25,FALSE)," ")</f>
        <v>0</v>
      </c>
      <c r="N66" s="204">
        <f>IFERROR(VLOOKUP($A66,'Budget &amp; Revenue'!$A:$AM,27,FALSE)," ")</f>
        <v>1</v>
      </c>
      <c r="O66" s="204">
        <f>IFERROR(VLOOKUP($A66,'Budget &amp; Revenue'!$A:$AM,29,FALSE)," ")</f>
        <v>1</v>
      </c>
      <c r="P66" s="204">
        <f>IFERROR(VLOOKUP($A66,'Budget &amp; Revenue'!$A:$AM,31,FALSE)," ")</f>
        <v>1</v>
      </c>
      <c r="Q66" s="204">
        <f>IFERROR(VLOOKUP($A66,'Budget &amp; Revenue'!$A:$AM,33,FALSE)," ")</f>
        <v>1</v>
      </c>
      <c r="R66" s="204">
        <f>IFERROR(VLOOKUP($A66,'Budget &amp; Revenue'!$A:$AM,35,FALSE)," ")</f>
        <v>1</v>
      </c>
      <c r="S66" s="204">
        <f>IFERROR(VLOOKUP($A66,'Budget &amp; Revenue'!$A:$AM,37,FALSE)," ")</f>
        <v>1</v>
      </c>
      <c r="T66" s="204">
        <f>IFERROR(VLOOKUP($A66,'Budget &amp; Revenue'!$A:$AM,39,FALSE)," ")</f>
        <v>1</v>
      </c>
    </row>
    <row r="67" spans="1:20" x14ac:dyDescent="0.25">
      <c r="A67" s="80">
        <v>66</v>
      </c>
      <c r="B67" s="201" t="str">
        <f>VLOOKUP(A67,Estimate!A:C,3,FALSE)</f>
        <v>Place only Type 2.3</v>
      </c>
      <c r="C67" s="80">
        <f>VLOOKUP(A67,Estimate!A:L,12,FALSE)</f>
        <v>2</v>
      </c>
      <c r="D67" s="234">
        <v>69</v>
      </c>
      <c r="E67" s="234" t="s">
        <v>3097</v>
      </c>
      <c r="F67" s="235">
        <f>IFERROR(VLOOKUP(A67,Estimate!A:Q,17,FALSE)," ")</f>
        <v>10588.511640353225</v>
      </c>
      <c r="G67" s="204">
        <f>IFERROR(VLOOKUP($A67,'Budget &amp; Revenue'!$A:$AM,13,FALSE)," ")</f>
        <v>0</v>
      </c>
      <c r="H67" s="204">
        <f>IFERROR(VLOOKUP($A67,'Budget &amp; Revenue'!$A:$AM,15,FALSE)," ")</f>
        <v>0</v>
      </c>
      <c r="I67" s="204">
        <f>IFERROR(VLOOKUP($A67,'Budget &amp; Revenue'!$A:$AM,17,FALSE)," ")</f>
        <v>0</v>
      </c>
      <c r="J67" s="204">
        <f>IFERROR(VLOOKUP($A67,'Budget &amp; Revenue'!$A:$AM,19,FALSE)," ")</f>
        <v>0</v>
      </c>
      <c r="K67" s="204">
        <f>IFERROR(VLOOKUP($A67,'Budget &amp; Revenue'!$A:$AM,21,FALSE)," ")</f>
        <v>0</v>
      </c>
      <c r="L67" s="204">
        <f>IFERROR(VLOOKUP($A67,'Budget &amp; Revenue'!$A:$AM,23,FALSE)," ")</f>
        <v>0</v>
      </c>
      <c r="M67" s="204">
        <f>IFERROR(VLOOKUP($A67,'Budget &amp; Revenue'!$A:$AM,25,FALSE)," ")</f>
        <v>0</v>
      </c>
      <c r="N67" s="204">
        <f>IFERROR(VLOOKUP($A67,'Budget &amp; Revenue'!$A:$AM,27,FALSE)," ")</f>
        <v>1</v>
      </c>
      <c r="O67" s="204">
        <f>IFERROR(VLOOKUP($A67,'Budget &amp; Revenue'!$A:$AM,29,FALSE)," ")</f>
        <v>1</v>
      </c>
      <c r="P67" s="204">
        <f>IFERROR(VLOOKUP($A67,'Budget &amp; Revenue'!$A:$AM,31,FALSE)," ")</f>
        <v>1</v>
      </c>
      <c r="Q67" s="204">
        <f>IFERROR(VLOOKUP($A67,'Budget &amp; Revenue'!$A:$AM,33,FALSE)," ")</f>
        <v>1</v>
      </c>
      <c r="R67" s="204">
        <f>IFERROR(VLOOKUP($A67,'Budget &amp; Revenue'!$A:$AM,35,FALSE)," ")</f>
        <v>1</v>
      </c>
      <c r="S67" s="204">
        <f>IFERROR(VLOOKUP($A67,'Budget &amp; Revenue'!$A:$AM,37,FALSE)," ")</f>
        <v>1</v>
      </c>
      <c r="T67" s="204">
        <f>IFERROR(VLOOKUP($A67,'Budget &amp; Revenue'!$A:$AM,39,FALSE)," ")</f>
        <v>1</v>
      </c>
    </row>
    <row r="68" spans="1:20" x14ac:dyDescent="0.25">
      <c r="A68" s="80">
        <v>67</v>
      </c>
      <c r="B68" s="201" t="str">
        <f>VLOOKUP(A68,Estimate!A:C,3,FALSE)</f>
        <v>Special Item - Geogrid layer</v>
      </c>
      <c r="C68" s="80">
        <f>VLOOKUP(A68,Estimate!A:L,12,FALSE)</f>
        <v>1</v>
      </c>
      <c r="D68" s="236">
        <v>64246</v>
      </c>
      <c r="E68" s="234" t="s">
        <v>3010</v>
      </c>
      <c r="F68" s="235">
        <f>IFERROR(VLOOKUP(A68,Estimate!A:Q,17,FALSE)," ")</f>
        <v>12532.810052631579</v>
      </c>
      <c r="G68" s="204">
        <f>IFERROR(VLOOKUP($A68,'Budget &amp; Revenue'!$A:$AM,13,FALSE)," ")</f>
        <v>0</v>
      </c>
      <c r="H68" s="204">
        <f>IFERROR(VLOOKUP($A68,'Budget &amp; Revenue'!$A:$AM,15,FALSE)," ")</f>
        <v>0</v>
      </c>
      <c r="I68" s="204">
        <f>IFERROR(VLOOKUP($A68,'Budget &amp; Revenue'!$A:$AM,17,FALSE)," ")</f>
        <v>0</v>
      </c>
      <c r="J68" s="204">
        <f>IFERROR(VLOOKUP($A68,'Budget &amp; Revenue'!$A:$AM,19,FALSE)," ")</f>
        <v>0</v>
      </c>
      <c r="K68" s="204">
        <f>IFERROR(VLOOKUP($A68,'Budget &amp; Revenue'!$A:$AM,21,FALSE)," ")</f>
        <v>0</v>
      </c>
      <c r="L68" s="204">
        <f>IFERROR(VLOOKUP($A68,'Budget &amp; Revenue'!$A:$AM,23,FALSE)," ")</f>
        <v>0.49976224441274369</v>
      </c>
      <c r="M68" s="204">
        <f>IFERROR(VLOOKUP($A68,'Budget &amp; Revenue'!$A:$AM,25,FALSE)," ")</f>
        <v>0.49976224441274369</v>
      </c>
      <c r="N68" s="204">
        <f>IFERROR(VLOOKUP($A68,'Budget &amp; Revenue'!$A:$AM,27,FALSE)," ")</f>
        <v>1</v>
      </c>
      <c r="O68" s="204">
        <f>IFERROR(VLOOKUP($A68,'Budget &amp; Revenue'!$A:$AM,29,FALSE)," ")</f>
        <v>1</v>
      </c>
      <c r="P68" s="204">
        <f>IFERROR(VLOOKUP($A68,'Budget &amp; Revenue'!$A:$AM,31,FALSE)," ")</f>
        <v>1</v>
      </c>
      <c r="Q68" s="204">
        <f>IFERROR(VLOOKUP($A68,'Budget &amp; Revenue'!$A:$AM,33,FALSE)," ")</f>
        <v>1</v>
      </c>
      <c r="R68" s="204">
        <f>IFERROR(VLOOKUP($A68,'Budget &amp; Revenue'!$A:$AM,35,FALSE)," ")</f>
        <v>1</v>
      </c>
      <c r="S68" s="204">
        <f>IFERROR(VLOOKUP($A68,'Budget &amp; Revenue'!$A:$AM,37,FALSE)," ")</f>
        <v>1</v>
      </c>
      <c r="T68" s="204">
        <f>IFERROR(VLOOKUP($A68,'Budget &amp; Revenue'!$A:$AM,39,FALSE)," ")</f>
        <v>1</v>
      </c>
    </row>
    <row r="69" spans="1:20" x14ac:dyDescent="0.25">
      <c r="A69" s="80">
        <v>68</v>
      </c>
      <c r="B69" s="201" t="str">
        <f>VLOOKUP(A69,Estimate!A:C,3,FALSE)</f>
        <v>Special Item - Geotextile layer</v>
      </c>
      <c r="C69" s="80">
        <f>VLOOKUP(A69,Estimate!A:L,12,FALSE)</f>
        <v>1</v>
      </c>
      <c r="D69" s="234" t="s">
        <v>3011</v>
      </c>
      <c r="E69" s="234">
        <v>67</v>
      </c>
      <c r="F69" s="235">
        <f>IFERROR(VLOOKUP(A69,Estimate!A:Q,17,FALSE)," ")</f>
        <v>3325.8760526315791</v>
      </c>
      <c r="G69" s="204">
        <f>IFERROR(VLOOKUP($A69,'Budget &amp; Revenue'!$A:$AM,13,FALSE)," ")</f>
        <v>0</v>
      </c>
      <c r="H69" s="204">
        <f>IFERROR(VLOOKUP($A69,'Budget &amp; Revenue'!$A:$AM,15,FALSE)," ")</f>
        <v>0</v>
      </c>
      <c r="I69" s="204">
        <f>IFERROR(VLOOKUP($A69,'Budget &amp; Revenue'!$A:$AM,17,FALSE)," ")</f>
        <v>0</v>
      </c>
      <c r="J69" s="204">
        <f>IFERROR(VLOOKUP($A69,'Budget &amp; Revenue'!$A:$AM,19,FALSE)," ")</f>
        <v>0</v>
      </c>
      <c r="K69" s="204">
        <f>IFERROR(VLOOKUP($A69,'Budget &amp; Revenue'!$A:$AM,21,FALSE)," ")</f>
        <v>0</v>
      </c>
      <c r="L69" s="204">
        <f>IFERROR(VLOOKUP($A69,'Budget &amp; Revenue'!$A:$AM,23,FALSE)," ")</f>
        <v>0.49976224441274369</v>
      </c>
      <c r="M69" s="204">
        <f>IFERROR(VLOOKUP($A69,'Budget &amp; Revenue'!$A:$AM,25,FALSE)," ")</f>
        <v>0.49976224441274369</v>
      </c>
      <c r="N69" s="204">
        <f>IFERROR(VLOOKUP($A69,'Budget &amp; Revenue'!$A:$AM,27,FALSE)," ")</f>
        <v>1</v>
      </c>
      <c r="O69" s="204">
        <f>IFERROR(VLOOKUP($A69,'Budget &amp; Revenue'!$A:$AM,29,FALSE)," ")</f>
        <v>1</v>
      </c>
      <c r="P69" s="204">
        <f>IFERROR(VLOOKUP($A69,'Budget &amp; Revenue'!$A:$AM,31,FALSE)," ")</f>
        <v>1</v>
      </c>
      <c r="Q69" s="204">
        <f>IFERROR(VLOOKUP($A69,'Budget &amp; Revenue'!$A:$AM,33,FALSE)," ")</f>
        <v>1</v>
      </c>
      <c r="R69" s="204">
        <f>IFERROR(VLOOKUP($A69,'Budget &amp; Revenue'!$A:$AM,35,FALSE)," ")</f>
        <v>1</v>
      </c>
      <c r="S69" s="204">
        <f>IFERROR(VLOOKUP($A69,'Budget &amp; Revenue'!$A:$AM,37,FALSE)," ")</f>
        <v>1</v>
      </c>
      <c r="T69" s="204">
        <f>IFERROR(VLOOKUP($A69,'Budget &amp; Revenue'!$A:$AM,39,FALSE)," ")</f>
        <v>1</v>
      </c>
    </row>
    <row r="70" spans="1:20" x14ac:dyDescent="0.25">
      <c r="A70" s="80">
        <v>69</v>
      </c>
      <c r="B70" s="201" t="str">
        <f>VLOOKUP(A70,Estimate!A:C,3,FALSE)</f>
        <v>(vii)  AMC5</v>
      </c>
      <c r="C70" s="80">
        <f>VLOOKUP(A70,Estimate!A:L,12,FALSE)</f>
        <v>1</v>
      </c>
      <c r="D70" s="234" t="s">
        <v>3012</v>
      </c>
      <c r="E70" s="234" t="s">
        <v>3013</v>
      </c>
      <c r="F70" s="235">
        <f>IFERROR(VLOOKUP(A70,Estimate!A:Q,17,FALSE)," ")</f>
        <v>16781.939999999999</v>
      </c>
      <c r="G70" s="204">
        <f>IFERROR(VLOOKUP($A70,'Budget &amp; Revenue'!$A:$AM,13,FALSE)," ")</f>
        <v>0</v>
      </c>
      <c r="H70" s="204">
        <f>IFERROR(VLOOKUP($A70,'Budget &amp; Revenue'!$A:$AM,15,FALSE)," ")</f>
        <v>0</v>
      </c>
      <c r="I70" s="204">
        <f>IFERROR(VLOOKUP($A70,'Budget &amp; Revenue'!$A:$AM,17,FALSE)," ")</f>
        <v>0</v>
      </c>
      <c r="J70" s="204">
        <f>IFERROR(VLOOKUP($A70,'Budget &amp; Revenue'!$A:$AM,19,FALSE)," ")</f>
        <v>0</v>
      </c>
      <c r="K70" s="204">
        <f>IFERROR(VLOOKUP($A70,'Budget &amp; Revenue'!$A:$AM,21,FALSE)," ")</f>
        <v>0</v>
      </c>
      <c r="L70" s="204">
        <f>IFERROR(VLOOKUP($A70,'Budget &amp; Revenue'!$A:$AM,23,FALSE)," ")</f>
        <v>0</v>
      </c>
      <c r="M70" s="204">
        <f>IFERROR(VLOOKUP($A70,'Budget &amp; Revenue'!$A:$AM,25,FALSE)," ")</f>
        <v>0</v>
      </c>
      <c r="N70" s="204">
        <f>IFERROR(VLOOKUP($A70,'Budget &amp; Revenue'!$A:$AM,27,FALSE)," ")</f>
        <v>0</v>
      </c>
      <c r="O70" s="204">
        <f>IFERROR(VLOOKUP($A70,'Budget &amp; Revenue'!$A:$AM,29,FALSE)," ")</f>
        <v>0</v>
      </c>
      <c r="P70" s="204">
        <f>IFERROR(VLOOKUP($A70,'Budget &amp; Revenue'!$A:$AM,31,FALSE)," ")</f>
        <v>1</v>
      </c>
      <c r="Q70" s="204">
        <f>IFERROR(VLOOKUP($A70,'Budget &amp; Revenue'!$A:$AM,33,FALSE)," ")</f>
        <v>1</v>
      </c>
      <c r="R70" s="204">
        <f>IFERROR(VLOOKUP($A70,'Budget &amp; Revenue'!$A:$AM,35,FALSE)," ")</f>
        <v>1</v>
      </c>
      <c r="S70" s="204">
        <f>IFERROR(VLOOKUP($A70,'Budget &amp; Revenue'!$A:$AM,37,FALSE)," ")</f>
        <v>1</v>
      </c>
      <c r="T70" s="204">
        <f>IFERROR(VLOOKUP($A70,'Budget &amp; Revenue'!$A:$AM,39,FALSE)," ")</f>
        <v>1</v>
      </c>
    </row>
    <row r="71" spans="1:20" x14ac:dyDescent="0.25">
      <c r="A71" s="80">
        <v>70</v>
      </c>
      <c r="B71" s="201" t="str">
        <f>VLOOKUP(A71,Estimate!A:C,3,FALSE)</f>
        <v>(ii)  14mm Nominal Size</v>
      </c>
      <c r="C71" s="80">
        <f>VLOOKUP(A71,Estimate!A:L,12,FALSE)</f>
        <v>1</v>
      </c>
      <c r="D71" s="234" t="s">
        <v>3014</v>
      </c>
      <c r="E71" s="234" t="s">
        <v>3015</v>
      </c>
      <c r="F71" s="235">
        <f>IFERROR(VLOOKUP(A71,Estimate!A:Q,17,FALSE)," ")</f>
        <v>58539.600000000006</v>
      </c>
      <c r="G71" s="204">
        <f>IFERROR(VLOOKUP($A71,'Budget &amp; Revenue'!$A:$AM,13,FALSE)," ")</f>
        <v>0</v>
      </c>
      <c r="H71" s="204">
        <f>IFERROR(VLOOKUP($A71,'Budget &amp; Revenue'!$A:$AM,15,FALSE)," ")</f>
        <v>0</v>
      </c>
      <c r="I71" s="204">
        <f>IFERROR(VLOOKUP($A71,'Budget &amp; Revenue'!$A:$AM,17,FALSE)," ")</f>
        <v>0</v>
      </c>
      <c r="J71" s="204">
        <f>IFERROR(VLOOKUP($A71,'Budget &amp; Revenue'!$A:$AM,19,FALSE)," ")</f>
        <v>0</v>
      </c>
      <c r="K71" s="204">
        <f>IFERROR(VLOOKUP($A71,'Budget &amp; Revenue'!$A:$AM,21,FALSE)," ")</f>
        <v>0</v>
      </c>
      <c r="L71" s="204">
        <f>IFERROR(VLOOKUP($A71,'Budget &amp; Revenue'!$A:$AM,23,FALSE)," ")</f>
        <v>0</v>
      </c>
      <c r="M71" s="204">
        <f>IFERROR(VLOOKUP($A71,'Budget &amp; Revenue'!$A:$AM,25,FALSE)," ")</f>
        <v>0</v>
      </c>
      <c r="N71" s="204">
        <f>IFERROR(VLOOKUP($A71,'Budget &amp; Revenue'!$A:$AM,27,FALSE)," ")</f>
        <v>0</v>
      </c>
      <c r="O71" s="204">
        <f>IFERROR(VLOOKUP($A71,'Budget &amp; Revenue'!$A:$AM,29,FALSE)," ")</f>
        <v>0</v>
      </c>
      <c r="P71" s="204">
        <f>IFERROR(VLOOKUP($A71,'Budget &amp; Revenue'!$A:$AM,31,FALSE)," ")</f>
        <v>1</v>
      </c>
      <c r="Q71" s="204">
        <f>IFERROR(VLOOKUP($A71,'Budget &amp; Revenue'!$A:$AM,33,FALSE)," ")</f>
        <v>1</v>
      </c>
      <c r="R71" s="204">
        <f>IFERROR(VLOOKUP($A71,'Budget &amp; Revenue'!$A:$AM,35,FALSE)," ")</f>
        <v>1</v>
      </c>
      <c r="S71" s="204">
        <f>IFERROR(VLOOKUP($A71,'Budget &amp; Revenue'!$A:$AM,37,FALSE)," ")</f>
        <v>1</v>
      </c>
      <c r="T71" s="204">
        <f>IFERROR(VLOOKUP($A71,'Budget &amp; Revenue'!$A:$AM,39,FALSE)," ")</f>
        <v>1</v>
      </c>
    </row>
    <row r="72" spans="1:20" ht="30" x14ac:dyDescent="0.25">
      <c r="A72" s="80">
        <v>71</v>
      </c>
      <c r="B72" s="201" t="str">
        <f>VLOOKUP(A72,Estimate!A:C,3,FALSE)</f>
        <v>Pavement Marking Paint - Longitudinal Lines including car parking bays</v>
      </c>
      <c r="C72" s="80">
        <f>VLOOKUP(A72,Estimate!A:L,12,FALSE)</f>
        <v>1</v>
      </c>
      <c r="D72" s="234" t="s">
        <v>3016</v>
      </c>
      <c r="E72" s="234">
        <v>73</v>
      </c>
      <c r="F72" s="235">
        <f>IFERROR(VLOOKUP(A72,Estimate!A:Q,17,FALSE)," ")</f>
        <v>5000</v>
      </c>
      <c r="G72" s="204">
        <f>IFERROR(VLOOKUP($A72,'Budget &amp; Revenue'!$A:$AM,13,FALSE)," ")</f>
        <v>0</v>
      </c>
      <c r="H72" s="204">
        <f>IFERROR(VLOOKUP($A72,'Budget &amp; Revenue'!$A:$AM,15,FALSE)," ")</f>
        <v>0</v>
      </c>
      <c r="I72" s="204">
        <f>IFERROR(VLOOKUP($A72,'Budget &amp; Revenue'!$A:$AM,17,FALSE)," ")</f>
        <v>0</v>
      </c>
      <c r="J72" s="204">
        <f>IFERROR(VLOOKUP($A72,'Budget &amp; Revenue'!$A:$AM,19,FALSE)," ")</f>
        <v>0</v>
      </c>
      <c r="K72" s="204">
        <f>IFERROR(VLOOKUP($A72,'Budget &amp; Revenue'!$A:$AM,21,FALSE)," ")</f>
        <v>0</v>
      </c>
      <c r="L72" s="204">
        <f>IFERROR(VLOOKUP($A72,'Budget &amp; Revenue'!$A:$AM,23,FALSE)," ")</f>
        <v>0</v>
      </c>
      <c r="M72" s="204">
        <f>IFERROR(VLOOKUP($A72,'Budget &amp; Revenue'!$A:$AM,25,FALSE)," ")</f>
        <v>0</v>
      </c>
      <c r="N72" s="204">
        <f>IFERROR(VLOOKUP($A72,'Budget &amp; Revenue'!$A:$AM,27,FALSE)," ")</f>
        <v>0</v>
      </c>
      <c r="O72" s="204">
        <f>IFERROR(VLOOKUP($A72,'Budget &amp; Revenue'!$A:$AM,29,FALSE)," ")</f>
        <v>0</v>
      </c>
      <c r="P72" s="204">
        <f>IFERROR(VLOOKUP($A72,'Budget &amp; Revenue'!$A:$AM,31,FALSE)," ")</f>
        <v>0</v>
      </c>
      <c r="Q72" s="204">
        <f>IFERROR(VLOOKUP($A72,'Budget &amp; Revenue'!$A:$AM,33,FALSE)," ")</f>
        <v>0</v>
      </c>
      <c r="R72" s="204">
        <f>IFERROR(VLOOKUP($A72,'Budget &amp; Revenue'!$A:$AM,35,FALSE)," ")</f>
        <v>1</v>
      </c>
      <c r="S72" s="204">
        <f>IFERROR(VLOOKUP($A72,'Budget &amp; Revenue'!$A:$AM,37,FALSE)," ")</f>
        <v>1</v>
      </c>
      <c r="T72" s="204">
        <f>IFERROR(VLOOKUP($A72,'Budget &amp; Revenue'!$A:$AM,39,FALSE)," ")</f>
        <v>1</v>
      </c>
    </row>
    <row r="73" spans="1:20" ht="30" x14ac:dyDescent="0.25">
      <c r="A73" s="80">
        <v>72</v>
      </c>
      <c r="B73" s="201" t="str">
        <f>VLOOKUP(A73,Estimate!A:C,3,FALSE)</f>
        <v>Pavement Marking Paint - Transverse Lines, Symbols, Legends, Arrows, Chevrons, Traffic Islands &amp; Kerbs</v>
      </c>
      <c r="C73" s="80">
        <f>VLOOKUP(A73,Estimate!A:L,12,FALSE)</f>
        <v>1</v>
      </c>
      <c r="D73" s="234">
        <v>72</v>
      </c>
      <c r="E73" s="234">
        <v>79</v>
      </c>
      <c r="F73" s="235">
        <f>IFERROR(VLOOKUP(A73,Estimate!A:Q,17,FALSE)," ")</f>
        <v>1500</v>
      </c>
      <c r="G73" s="204">
        <f>IFERROR(VLOOKUP($A73,'Budget &amp; Revenue'!$A:$AM,13,FALSE)," ")</f>
        <v>0</v>
      </c>
      <c r="H73" s="204">
        <f>IFERROR(VLOOKUP($A73,'Budget &amp; Revenue'!$A:$AM,15,FALSE)," ")</f>
        <v>0</v>
      </c>
      <c r="I73" s="204">
        <f>IFERROR(VLOOKUP($A73,'Budget &amp; Revenue'!$A:$AM,17,FALSE)," ")</f>
        <v>0</v>
      </c>
      <c r="J73" s="204">
        <f>IFERROR(VLOOKUP($A73,'Budget &amp; Revenue'!$A:$AM,19,FALSE)," ")</f>
        <v>0</v>
      </c>
      <c r="K73" s="204">
        <f>IFERROR(VLOOKUP($A73,'Budget &amp; Revenue'!$A:$AM,21,FALSE)," ")</f>
        <v>0</v>
      </c>
      <c r="L73" s="204">
        <f>IFERROR(VLOOKUP($A73,'Budget &amp; Revenue'!$A:$AM,23,FALSE)," ")</f>
        <v>0</v>
      </c>
      <c r="M73" s="204">
        <f>IFERROR(VLOOKUP($A73,'Budget &amp; Revenue'!$A:$AM,25,FALSE)," ")</f>
        <v>0</v>
      </c>
      <c r="N73" s="204">
        <f>IFERROR(VLOOKUP($A73,'Budget &amp; Revenue'!$A:$AM,27,FALSE)," ")</f>
        <v>0</v>
      </c>
      <c r="O73" s="204">
        <f>IFERROR(VLOOKUP($A73,'Budget &amp; Revenue'!$A:$AM,29,FALSE)," ")</f>
        <v>0</v>
      </c>
      <c r="P73" s="204">
        <f>IFERROR(VLOOKUP($A73,'Budget &amp; Revenue'!$A:$AM,31,FALSE)," ")</f>
        <v>0</v>
      </c>
      <c r="Q73" s="204">
        <f>IFERROR(VLOOKUP($A73,'Budget &amp; Revenue'!$A:$AM,33,FALSE)," ")</f>
        <v>0</v>
      </c>
      <c r="R73" s="204">
        <f>IFERROR(VLOOKUP($A73,'Budget &amp; Revenue'!$A:$AM,35,FALSE)," ")</f>
        <v>1</v>
      </c>
      <c r="S73" s="204">
        <f>IFERROR(VLOOKUP($A73,'Budget &amp; Revenue'!$A:$AM,37,FALSE)," ")</f>
        <v>1</v>
      </c>
      <c r="T73" s="204">
        <f>IFERROR(VLOOKUP($A73,'Budget &amp; Revenue'!$A:$AM,39,FALSE)," ")</f>
        <v>1</v>
      </c>
    </row>
    <row r="74" spans="1:20" x14ac:dyDescent="0.25">
      <c r="A74" s="80">
        <v>73</v>
      </c>
      <c r="B74" s="201" t="str">
        <f>VLOOKUP(A74,Estimate!A:C,3,FALSE)</f>
        <v>(i) 100mm thick concrete footpath</v>
      </c>
      <c r="C74" s="80">
        <f>VLOOKUP(A74,Estimate!A:L,12,FALSE)</f>
        <v>5</v>
      </c>
      <c r="D74" s="234">
        <v>70</v>
      </c>
      <c r="E74" s="234">
        <v>75</v>
      </c>
      <c r="F74" s="235">
        <f>IFERROR(VLOOKUP(A74,Estimate!A:Q,17,FALSE)," ")</f>
        <v>12821.2</v>
      </c>
      <c r="G74" s="204">
        <f>IFERROR(VLOOKUP($A74,'Budget &amp; Revenue'!$A:$AM,13,FALSE)," ")</f>
        <v>0</v>
      </c>
      <c r="H74" s="204">
        <f>IFERROR(VLOOKUP($A74,'Budget &amp; Revenue'!$A:$AM,15,FALSE)," ")</f>
        <v>0</v>
      </c>
      <c r="I74" s="204">
        <f>IFERROR(VLOOKUP($A74,'Budget &amp; Revenue'!$A:$AM,17,FALSE)," ")</f>
        <v>0</v>
      </c>
      <c r="J74" s="204">
        <f>IFERROR(VLOOKUP($A74,'Budget &amp; Revenue'!$A:$AM,19,FALSE)," ")</f>
        <v>0</v>
      </c>
      <c r="K74" s="204">
        <f>IFERROR(VLOOKUP($A74,'Budget &amp; Revenue'!$A:$AM,21,FALSE)," ")</f>
        <v>0</v>
      </c>
      <c r="L74" s="204">
        <f>IFERROR(VLOOKUP($A74,'Budget &amp; Revenue'!$A:$AM,23,FALSE)," ")</f>
        <v>0</v>
      </c>
      <c r="M74" s="204">
        <f>IFERROR(VLOOKUP($A74,'Budget &amp; Revenue'!$A:$AM,25,FALSE)," ")</f>
        <v>0</v>
      </c>
      <c r="N74" s="204">
        <f>IFERROR(VLOOKUP($A74,'Budget &amp; Revenue'!$A:$AM,27,FALSE)," ")</f>
        <v>0</v>
      </c>
      <c r="O74" s="204">
        <f>IFERROR(VLOOKUP($A74,'Budget &amp; Revenue'!$A:$AM,29,FALSE)," ")</f>
        <v>0</v>
      </c>
      <c r="P74" s="204">
        <f>IFERROR(VLOOKUP($A74,'Budget &amp; Revenue'!$A:$AM,31,FALSE)," ")</f>
        <v>1</v>
      </c>
      <c r="Q74" s="204">
        <f>IFERROR(VLOOKUP($A74,'Budget &amp; Revenue'!$A:$AM,33,FALSE)," ")</f>
        <v>1</v>
      </c>
      <c r="R74" s="204">
        <f>IFERROR(VLOOKUP($A74,'Budget &amp; Revenue'!$A:$AM,35,FALSE)," ")</f>
        <v>1</v>
      </c>
      <c r="S74" s="204">
        <f>IFERROR(VLOOKUP($A74,'Budget &amp; Revenue'!$A:$AM,37,FALSE)," ")</f>
        <v>1</v>
      </c>
      <c r="T74" s="204">
        <f>IFERROR(VLOOKUP($A74,'Budget &amp; Revenue'!$A:$AM,39,FALSE)," ")</f>
        <v>1</v>
      </c>
    </row>
    <row r="75" spans="1:20" x14ac:dyDescent="0.25">
      <c r="A75" s="80">
        <v>74</v>
      </c>
      <c r="B75" s="201" t="str">
        <f>VLOOKUP(A75,Estimate!A:C,3,FALSE)</f>
        <v>(ii)  Concrete Kerb Ramp</v>
      </c>
      <c r="C75" s="80">
        <f>VLOOKUP(A75,Estimate!A:L,12,FALSE)</f>
        <v>3</v>
      </c>
      <c r="D75" s="234">
        <v>74</v>
      </c>
      <c r="E75" s="234" t="s">
        <v>3017</v>
      </c>
      <c r="F75" s="235">
        <f>IFERROR(VLOOKUP(A75,Estimate!A:Q,17,FALSE)," ")</f>
        <v>3925</v>
      </c>
      <c r="G75" s="204">
        <f>IFERROR(VLOOKUP($A75,'Budget &amp; Revenue'!$A:$AM,13,FALSE)," ")</f>
        <v>0</v>
      </c>
      <c r="H75" s="204">
        <f>IFERROR(VLOOKUP($A75,'Budget &amp; Revenue'!$A:$AM,15,FALSE)," ")</f>
        <v>0</v>
      </c>
      <c r="I75" s="204">
        <f>IFERROR(VLOOKUP($A75,'Budget &amp; Revenue'!$A:$AM,17,FALSE)," ")</f>
        <v>0</v>
      </c>
      <c r="J75" s="204">
        <f>IFERROR(VLOOKUP($A75,'Budget &amp; Revenue'!$A:$AM,19,FALSE)," ")</f>
        <v>0</v>
      </c>
      <c r="K75" s="204">
        <f>IFERROR(VLOOKUP($A75,'Budget &amp; Revenue'!$A:$AM,21,FALSE)," ")</f>
        <v>0</v>
      </c>
      <c r="L75" s="204">
        <f>IFERROR(VLOOKUP($A75,'Budget &amp; Revenue'!$A:$AM,23,FALSE)," ")</f>
        <v>0</v>
      </c>
      <c r="M75" s="204">
        <f>IFERROR(VLOOKUP($A75,'Budget &amp; Revenue'!$A:$AM,25,FALSE)," ")</f>
        <v>0</v>
      </c>
      <c r="N75" s="204">
        <f>IFERROR(VLOOKUP($A75,'Budget &amp; Revenue'!$A:$AM,27,FALSE)," ")</f>
        <v>0</v>
      </c>
      <c r="O75" s="204">
        <f>IFERROR(VLOOKUP($A75,'Budget &amp; Revenue'!$A:$AM,29,FALSE)," ")</f>
        <v>0</v>
      </c>
      <c r="P75" s="204">
        <f>IFERROR(VLOOKUP($A75,'Budget &amp; Revenue'!$A:$AM,31,FALSE)," ")</f>
        <v>1</v>
      </c>
      <c r="Q75" s="204">
        <f>IFERROR(VLOOKUP($A75,'Budget &amp; Revenue'!$A:$AM,33,FALSE)," ")</f>
        <v>1</v>
      </c>
      <c r="R75" s="204">
        <f>IFERROR(VLOOKUP($A75,'Budget &amp; Revenue'!$A:$AM,35,FALSE)," ")</f>
        <v>1</v>
      </c>
      <c r="S75" s="204">
        <f>IFERROR(VLOOKUP($A75,'Budget &amp; Revenue'!$A:$AM,37,FALSE)," ")</f>
        <v>1</v>
      </c>
      <c r="T75" s="204">
        <f>IFERROR(VLOOKUP($A75,'Budget &amp; Revenue'!$A:$AM,39,FALSE)," ")</f>
        <v>1</v>
      </c>
    </row>
    <row r="76" spans="1:20" x14ac:dyDescent="0.25">
      <c r="A76" s="80">
        <v>75</v>
      </c>
      <c r="B76" s="201" t="str">
        <f>VLOOKUP(A76,Estimate!A:C,3,FALSE)</f>
        <v>(iv)  Residential Invert Crossing</v>
      </c>
      <c r="C76" s="80">
        <f>VLOOKUP(A76,Estimate!A:L,12,FALSE)</f>
        <v>2</v>
      </c>
      <c r="D76" s="234">
        <v>75</v>
      </c>
      <c r="E76" s="234">
        <v>77</v>
      </c>
      <c r="F76" s="235">
        <f>IFERROR(VLOOKUP(A76,Estimate!A:Q,17,FALSE)," ")</f>
        <v>620.45333333333326</v>
      </c>
      <c r="G76" s="204">
        <f>IFERROR(VLOOKUP($A76,'Budget &amp; Revenue'!$A:$AM,13,FALSE)," ")</f>
        <v>0</v>
      </c>
      <c r="H76" s="204">
        <f>IFERROR(VLOOKUP($A76,'Budget &amp; Revenue'!$A:$AM,15,FALSE)," ")</f>
        <v>0</v>
      </c>
      <c r="I76" s="204">
        <f>IFERROR(VLOOKUP($A76,'Budget &amp; Revenue'!$A:$AM,17,FALSE)," ")</f>
        <v>0</v>
      </c>
      <c r="J76" s="204">
        <f>IFERROR(VLOOKUP($A76,'Budget &amp; Revenue'!$A:$AM,19,FALSE)," ")</f>
        <v>0</v>
      </c>
      <c r="K76" s="204">
        <f>IFERROR(VLOOKUP($A76,'Budget &amp; Revenue'!$A:$AM,21,FALSE)," ")</f>
        <v>0</v>
      </c>
      <c r="L76" s="204">
        <f>IFERROR(VLOOKUP($A76,'Budget &amp; Revenue'!$A:$AM,23,FALSE)," ")</f>
        <v>0</v>
      </c>
      <c r="M76" s="204">
        <f>IFERROR(VLOOKUP($A76,'Budget &amp; Revenue'!$A:$AM,25,FALSE)," ")</f>
        <v>0</v>
      </c>
      <c r="N76" s="204">
        <f>IFERROR(VLOOKUP($A76,'Budget &amp; Revenue'!$A:$AM,27,FALSE)," ")</f>
        <v>0</v>
      </c>
      <c r="O76" s="204">
        <f>IFERROR(VLOOKUP($A76,'Budget &amp; Revenue'!$A:$AM,29,FALSE)," ")</f>
        <v>0</v>
      </c>
      <c r="P76" s="204">
        <f>IFERROR(VLOOKUP($A76,'Budget &amp; Revenue'!$A:$AM,31,FALSE)," ")</f>
        <v>1</v>
      </c>
      <c r="Q76" s="204">
        <f>IFERROR(VLOOKUP($A76,'Budget &amp; Revenue'!$A:$AM,33,FALSE)," ")</f>
        <v>1</v>
      </c>
      <c r="R76" s="204">
        <f>IFERROR(VLOOKUP($A76,'Budget &amp; Revenue'!$A:$AM,35,FALSE)," ")</f>
        <v>1</v>
      </c>
      <c r="S76" s="204">
        <f>IFERROR(VLOOKUP($A76,'Budget &amp; Revenue'!$A:$AM,37,FALSE)," ")</f>
        <v>1</v>
      </c>
      <c r="T76" s="204">
        <f>IFERROR(VLOOKUP($A76,'Budget &amp; Revenue'!$A:$AM,39,FALSE)," ")</f>
        <v>1</v>
      </c>
    </row>
    <row r="77" spans="1:20" x14ac:dyDescent="0.25">
      <c r="A77" s="80">
        <v>76</v>
      </c>
      <c r="B77" s="201" t="str">
        <f>VLOOKUP(A77,Estimate!A:C,3,FALSE)</f>
        <v>(v)   Industrial Invert Crossing</v>
      </c>
      <c r="C77" s="80">
        <f>VLOOKUP(A77,Estimate!A:L,12,FALSE)</f>
        <v>2</v>
      </c>
      <c r="D77" s="234">
        <v>76</v>
      </c>
      <c r="E77" s="234">
        <v>79</v>
      </c>
      <c r="F77" s="235">
        <f>IFERROR(VLOOKUP(A77,Estimate!A:Q,17,FALSE)," ")</f>
        <v>1534.5700000000002</v>
      </c>
      <c r="G77" s="204">
        <f>IFERROR(VLOOKUP($A77,'Budget &amp; Revenue'!$A:$AM,13,FALSE)," ")</f>
        <v>0</v>
      </c>
      <c r="H77" s="204">
        <f>IFERROR(VLOOKUP($A77,'Budget &amp; Revenue'!$A:$AM,15,FALSE)," ")</f>
        <v>0</v>
      </c>
      <c r="I77" s="204">
        <f>IFERROR(VLOOKUP($A77,'Budget &amp; Revenue'!$A:$AM,17,FALSE)," ")</f>
        <v>0</v>
      </c>
      <c r="J77" s="204">
        <f>IFERROR(VLOOKUP($A77,'Budget &amp; Revenue'!$A:$AM,19,FALSE)," ")</f>
        <v>0</v>
      </c>
      <c r="K77" s="204">
        <f>IFERROR(VLOOKUP($A77,'Budget &amp; Revenue'!$A:$AM,21,FALSE)," ")</f>
        <v>0</v>
      </c>
      <c r="L77" s="204">
        <f>IFERROR(VLOOKUP($A77,'Budget &amp; Revenue'!$A:$AM,23,FALSE)," ")</f>
        <v>0</v>
      </c>
      <c r="M77" s="204">
        <f>IFERROR(VLOOKUP($A77,'Budget &amp; Revenue'!$A:$AM,25,FALSE)," ")</f>
        <v>0</v>
      </c>
      <c r="N77" s="204">
        <f>IFERROR(VLOOKUP($A77,'Budget &amp; Revenue'!$A:$AM,27,FALSE)," ")</f>
        <v>0</v>
      </c>
      <c r="O77" s="204">
        <f>IFERROR(VLOOKUP($A77,'Budget &amp; Revenue'!$A:$AM,29,FALSE)," ")</f>
        <v>0</v>
      </c>
      <c r="P77" s="204">
        <f>IFERROR(VLOOKUP($A77,'Budget &amp; Revenue'!$A:$AM,31,FALSE)," ")</f>
        <v>0</v>
      </c>
      <c r="Q77" s="204">
        <f>IFERROR(VLOOKUP($A77,'Budget &amp; Revenue'!$A:$AM,33,FALSE)," ")</f>
        <v>1</v>
      </c>
      <c r="R77" s="204">
        <f>IFERROR(VLOOKUP($A77,'Budget &amp; Revenue'!$A:$AM,35,FALSE)," ")</f>
        <v>1</v>
      </c>
      <c r="S77" s="204">
        <f>IFERROR(VLOOKUP($A77,'Budget &amp; Revenue'!$A:$AM,37,FALSE)," ")</f>
        <v>1</v>
      </c>
      <c r="T77" s="204">
        <f>IFERROR(VLOOKUP($A77,'Budget &amp; Revenue'!$A:$AM,39,FALSE)," ")</f>
        <v>1</v>
      </c>
    </row>
    <row r="78" spans="1:20" x14ac:dyDescent="0.25">
      <c r="A78" s="80">
        <v>77</v>
      </c>
      <c r="B78" s="201" t="str">
        <f>VLOOKUP(A78,Estimate!A:C,3,FALSE)</f>
        <v>Special Item - Supply &amp; Install Tactile Marking</v>
      </c>
      <c r="C78" s="80">
        <f>VLOOKUP(A78,Estimate!A:L,12,FALSE)</f>
        <v>1</v>
      </c>
      <c r="D78" s="234" t="s">
        <v>3018</v>
      </c>
      <c r="E78" s="234">
        <v>79</v>
      </c>
      <c r="F78" s="235">
        <f>IFERROR(VLOOKUP(A78,Estimate!A:Q,17,FALSE)," ")</f>
        <v>5000</v>
      </c>
      <c r="G78" s="204">
        <f>IFERROR(VLOOKUP($A78,'Budget &amp; Revenue'!$A:$AM,13,FALSE)," ")</f>
        <v>0</v>
      </c>
      <c r="H78" s="204">
        <f>IFERROR(VLOOKUP($A78,'Budget &amp; Revenue'!$A:$AM,15,FALSE)," ")</f>
        <v>0</v>
      </c>
      <c r="I78" s="204">
        <f>IFERROR(VLOOKUP($A78,'Budget &amp; Revenue'!$A:$AM,17,FALSE)," ")</f>
        <v>0</v>
      </c>
      <c r="J78" s="204">
        <f>IFERROR(VLOOKUP($A78,'Budget &amp; Revenue'!$A:$AM,19,FALSE)," ")</f>
        <v>0</v>
      </c>
      <c r="K78" s="204">
        <f>IFERROR(VLOOKUP($A78,'Budget &amp; Revenue'!$A:$AM,21,FALSE)," ")</f>
        <v>0</v>
      </c>
      <c r="L78" s="204">
        <f>IFERROR(VLOOKUP($A78,'Budget &amp; Revenue'!$A:$AM,23,FALSE)," ")</f>
        <v>0</v>
      </c>
      <c r="M78" s="204">
        <f>IFERROR(VLOOKUP($A78,'Budget &amp; Revenue'!$A:$AM,25,FALSE)," ")</f>
        <v>0</v>
      </c>
      <c r="N78" s="204">
        <f>IFERROR(VLOOKUP($A78,'Budget &amp; Revenue'!$A:$AM,27,FALSE)," ")</f>
        <v>0</v>
      </c>
      <c r="O78" s="204">
        <f>IFERROR(VLOOKUP($A78,'Budget &amp; Revenue'!$A:$AM,29,FALSE)," ")</f>
        <v>0</v>
      </c>
      <c r="P78" s="204">
        <f>IFERROR(VLOOKUP($A78,'Budget &amp; Revenue'!$A:$AM,31,FALSE)," ")</f>
        <v>0</v>
      </c>
      <c r="Q78" s="204">
        <f>IFERROR(VLOOKUP($A78,'Budget &amp; Revenue'!$A:$AM,33,FALSE)," ")</f>
        <v>1</v>
      </c>
      <c r="R78" s="204">
        <f>IFERROR(VLOOKUP($A78,'Budget &amp; Revenue'!$A:$AM,35,FALSE)," ")</f>
        <v>1</v>
      </c>
      <c r="S78" s="204">
        <f>IFERROR(VLOOKUP($A78,'Budget &amp; Revenue'!$A:$AM,37,FALSE)," ")</f>
        <v>1</v>
      </c>
      <c r="T78" s="204">
        <f>IFERROR(VLOOKUP($A78,'Budget &amp; Revenue'!$A:$AM,39,FALSE)," ")</f>
        <v>1</v>
      </c>
    </row>
    <row r="79" spans="1:20" x14ac:dyDescent="0.25">
      <c r="A79" s="80">
        <v>78</v>
      </c>
      <c r="B79" s="201" t="str">
        <f>VLOOKUP(A79,Estimate!A:C,3,FALSE)</f>
        <v>Special Item - As Constructed Survey and Plans</v>
      </c>
      <c r="C79" s="80">
        <f>VLOOKUP(A79,Estimate!A:L,12,FALSE)</f>
        <v>3</v>
      </c>
      <c r="D79" s="234" t="s">
        <v>3098</v>
      </c>
      <c r="E79" s="234">
        <v>3</v>
      </c>
      <c r="F79" s="235">
        <f>IFERROR(VLOOKUP(A79,Estimate!A:Q,17,FALSE)," ")</f>
        <v>2500</v>
      </c>
      <c r="G79" s="204">
        <f>IFERROR(VLOOKUP($A79,'Budget &amp; Revenue'!$A:$AM,13,FALSE)," ")</f>
        <v>0</v>
      </c>
      <c r="H79" s="204">
        <f>IFERROR(VLOOKUP($A79,'Budget &amp; Revenue'!$A:$AM,15,FALSE)," ")</f>
        <v>0</v>
      </c>
      <c r="I79" s="204">
        <f>IFERROR(VLOOKUP($A79,'Budget &amp; Revenue'!$A:$AM,17,FALSE)," ")</f>
        <v>0</v>
      </c>
      <c r="J79" s="204">
        <f>IFERROR(VLOOKUP($A79,'Budget &amp; Revenue'!$A:$AM,19,FALSE)," ")</f>
        <v>0</v>
      </c>
      <c r="K79" s="204">
        <f>IFERROR(VLOOKUP($A79,'Budget &amp; Revenue'!$A:$AM,21,FALSE)," ")</f>
        <v>0</v>
      </c>
      <c r="L79" s="204">
        <f>IFERROR(VLOOKUP($A79,'Budget &amp; Revenue'!$A:$AM,23,FALSE)," ")</f>
        <v>0</v>
      </c>
      <c r="M79" s="204">
        <f>IFERROR(VLOOKUP($A79,'Budget &amp; Revenue'!$A:$AM,25,FALSE)," ")</f>
        <v>0</v>
      </c>
      <c r="N79" s="204">
        <f>IFERROR(VLOOKUP($A79,'Budget &amp; Revenue'!$A:$AM,27,FALSE)," ")</f>
        <v>0</v>
      </c>
      <c r="O79" s="204">
        <f>IFERROR(VLOOKUP($A79,'Budget &amp; Revenue'!$A:$AM,29,FALSE)," ")</f>
        <v>0</v>
      </c>
      <c r="P79" s="204">
        <f>IFERROR(VLOOKUP($A79,'Budget &amp; Revenue'!$A:$AM,31,FALSE)," ")</f>
        <v>0.5</v>
      </c>
      <c r="Q79" s="204">
        <f>IFERROR(VLOOKUP($A79,'Budget &amp; Revenue'!$A:$AM,33,FALSE)," ")</f>
        <v>1</v>
      </c>
      <c r="R79" s="204">
        <f>IFERROR(VLOOKUP($A79,'Budget &amp; Revenue'!$A:$AM,35,FALSE)," ")</f>
        <v>1</v>
      </c>
      <c r="S79" s="204">
        <f>IFERROR(VLOOKUP($A79,'Budget &amp; Revenue'!$A:$AM,37,FALSE)," ")</f>
        <v>1</v>
      </c>
      <c r="T79" s="204">
        <f>IFERROR(VLOOKUP($A79,'Budget &amp; Revenue'!$A:$AM,39,FALSE)," ")</f>
        <v>1</v>
      </c>
    </row>
    <row r="80" spans="1:20" s="10" customFormat="1" x14ac:dyDescent="0.25">
      <c r="A80" s="92">
        <v>400</v>
      </c>
      <c r="B80" s="212" t="str">
        <f>VLOOKUP(A80,Estimate!A:C,3,FALSE)</f>
        <v>DOBBINS LANE WATER MAIN</v>
      </c>
      <c r="C80" s="92">
        <f>VLOOKUP(A80,Estimate!A:L,12,FALSE)</f>
        <v>0</v>
      </c>
      <c r="D80" s="234">
        <v>2</v>
      </c>
      <c r="E80" s="234" t="s">
        <v>3099</v>
      </c>
      <c r="F80" s="235">
        <f>IFERROR(VLOOKUP(A80,Estimate!A:Q,17,FALSE)," ")</f>
        <v>0</v>
      </c>
      <c r="G80" s="204" t="str">
        <f>IFERROR(VLOOKUP($A80,'Budget &amp; Revenue'!$A:$AM,13,FALSE)," ")</f>
        <v xml:space="preserve"> </v>
      </c>
      <c r="H80" s="204" t="str">
        <f>IFERROR(VLOOKUP($A80,'Budget &amp; Revenue'!$A:$AM,15,FALSE)," ")</f>
        <v xml:space="preserve"> </v>
      </c>
      <c r="I80" s="204" t="str">
        <f>IFERROR(VLOOKUP($A80,'Budget &amp; Revenue'!$A:$AM,17,FALSE)," ")</f>
        <v xml:space="preserve"> </v>
      </c>
      <c r="J80" s="204" t="str">
        <f>IFERROR(VLOOKUP($A80,'Budget &amp; Revenue'!$A:$AM,19,FALSE)," ")</f>
        <v xml:space="preserve"> </v>
      </c>
      <c r="K80" s="204" t="str">
        <f>IFERROR(VLOOKUP($A80,'Budget &amp; Revenue'!$A:$AM,21,FALSE)," ")</f>
        <v xml:space="preserve"> </v>
      </c>
      <c r="L80" s="204" t="str">
        <f>IFERROR(VLOOKUP($A80,'Budget &amp; Revenue'!$A:$AM,23,FALSE)," ")</f>
        <v xml:space="preserve"> </v>
      </c>
      <c r="M80" s="204" t="str">
        <f>IFERROR(VLOOKUP($A80,'Budget &amp; Revenue'!$A:$AM,25,FALSE)," ")</f>
        <v xml:space="preserve"> </v>
      </c>
      <c r="N80" s="204" t="str">
        <f>IFERROR(VLOOKUP($A80,'Budget &amp; Revenue'!$A:$AM,27,FALSE)," ")</f>
        <v xml:space="preserve"> </v>
      </c>
      <c r="O80" s="204" t="str">
        <f>IFERROR(VLOOKUP($A80,'Budget &amp; Revenue'!$A:$AM,29,FALSE)," ")</f>
        <v xml:space="preserve"> </v>
      </c>
      <c r="P80" s="204" t="str">
        <f>IFERROR(VLOOKUP($A80,'Budget &amp; Revenue'!$A:$AM,31,FALSE)," ")</f>
        <v xml:space="preserve"> </v>
      </c>
      <c r="Q80" s="204" t="str">
        <f>IFERROR(VLOOKUP($A80,'Budget &amp; Revenue'!$A:$AM,33,FALSE)," ")</f>
        <v xml:space="preserve"> </v>
      </c>
      <c r="R80" s="204" t="str">
        <f>IFERROR(VLOOKUP($A80,'Budget &amp; Revenue'!$A:$AM,35,FALSE)," ")</f>
        <v xml:space="preserve"> </v>
      </c>
      <c r="S80" s="204" t="str">
        <f>IFERROR(VLOOKUP($A80,'Budget &amp; Revenue'!$A:$AM,37,FALSE)," ")</f>
        <v xml:space="preserve"> </v>
      </c>
      <c r="T80" s="204" t="str">
        <f>IFERROR(VLOOKUP($A80,'Budget &amp; Revenue'!$A:$AM,39,FALSE)," ")</f>
        <v xml:space="preserve"> </v>
      </c>
    </row>
    <row r="81" spans="1:20" ht="60" x14ac:dyDescent="0.25">
      <c r="A81" s="80">
        <v>79</v>
      </c>
      <c r="B81" s="201" t="str">
        <f>VLOOKUP(A81,Estimate!A:C,3,FALSE)</f>
        <v>Excavate and backfil all materials for following diameter water mains, approved backfill under roads, testing of backfill compaction, disposal of surplus materials and restoration of surfaces:</v>
      </c>
      <c r="C81" s="80">
        <f>VLOOKUP(A81,Estimate!A:L,12,FALSE)</f>
        <v>2</v>
      </c>
      <c r="D81" s="234">
        <v>80</v>
      </c>
      <c r="E81" s="234" t="s">
        <v>3019</v>
      </c>
      <c r="F81" s="235">
        <f>IFERROR(VLOOKUP(A81,Estimate!A:Q,17,FALSE)," ")</f>
        <v>7020</v>
      </c>
      <c r="G81" s="204">
        <f>IFERROR(VLOOKUP($A81,'Budget &amp; Revenue'!$A:$AM,13,FALSE)," ")</f>
        <v>0</v>
      </c>
      <c r="H81" s="204">
        <f>IFERROR(VLOOKUP($A81,'Budget &amp; Revenue'!$A:$AM,15,FALSE)," ")</f>
        <v>0</v>
      </c>
      <c r="I81" s="204">
        <f>IFERROR(VLOOKUP($A81,'Budget &amp; Revenue'!$A:$AM,17,FALSE)," ")</f>
        <v>0</v>
      </c>
      <c r="J81" s="204">
        <f>IFERROR(VLOOKUP($A81,'Budget &amp; Revenue'!$A:$AM,19,FALSE)," ")</f>
        <v>0</v>
      </c>
      <c r="K81" s="204">
        <f>IFERROR(VLOOKUP($A81,'Budget &amp; Revenue'!$A:$AM,21,FALSE)," ")</f>
        <v>0</v>
      </c>
      <c r="L81" s="204">
        <f>IFERROR(VLOOKUP($A81,'Budget &amp; Revenue'!$A:$AM,23,FALSE)," ")</f>
        <v>0</v>
      </c>
      <c r="M81" s="204">
        <f>IFERROR(VLOOKUP($A81,'Budget &amp; Revenue'!$A:$AM,25,FALSE)," ")</f>
        <v>0.64102564102564108</v>
      </c>
      <c r="N81" s="204">
        <f>IFERROR(VLOOKUP($A81,'Budget &amp; Revenue'!$A:$AM,27,FALSE)," ")</f>
        <v>1</v>
      </c>
      <c r="O81" s="204">
        <f>IFERROR(VLOOKUP($A81,'Budget &amp; Revenue'!$A:$AM,29,FALSE)," ")</f>
        <v>1</v>
      </c>
      <c r="P81" s="204">
        <f>IFERROR(VLOOKUP($A81,'Budget &amp; Revenue'!$A:$AM,31,FALSE)," ")</f>
        <v>1</v>
      </c>
      <c r="Q81" s="204">
        <f>IFERROR(VLOOKUP($A81,'Budget &amp; Revenue'!$A:$AM,33,FALSE)," ")</f>
        <v>1</v>
      </c>
      <c r="R81" s="204">
        <f>IFERROR(VLOOKUP($A81,'Budget &amp; Revenue'!$A:$AM,35,FALSE)," ")</f>
        <v>1</v>
      </c>
      <c r="S81" s="204">
        <f>IFERROR(VLOOKUP($A81,'Budget &amp; Revenue'!$A:$AM,37,FALSE)," ")</f>
        <v>1</v>
      </c>
      <c r="T81" s="204">
        <f>IFERROR(VLOOKUP($A81,'Budget &amp; Revenue'!$A:$AM,39,FALSE)," ")</f>
        <v>1</v>
      </c>
    </row>
    <row r="82" spans="1:20" x14ac:dyDescent="0.25">
      <c r="A82" s="80">
        <v>80</v>
      </c>
      <c r="B82" s="201" t="str">
        <f>VLOOKUP(A82,Estimate!A:C,3,FALSE)</f>
        <v>100mm dia. DICL Class PN35</v>
      </c>
      <c r="C82" s="80">
        <f>VLOOKUP(A82,Estimate!A:L,12,FALSE)</f>
        <v>2</v>
      </c>
      <c r="D82" s="234" t="s">
        <v>3020</v>
      </c>
      <c r="E82" s="234" t="s">
        <v>3021</v>
      </c>
      <c r="F82" s="235">
        <f>IFERROR(VLOOKUP(A82,Estimate!A:Q,17,FALSE)," ")</f>
        <v>39000</v>
      </c>
      <c r="G82" s="204">
        <f>IFERROR(VLOOKUP($A82,'Budget &amp; Revenue'!$A:$AM,13,FALSE)," ")</f>
        <v>0</v>
      </c>
      <c r="H82" s="204">
        <f>IFERROR(VLOOKUP($A82,'Budget &amp; Revenue'!$A:$AM,15,FALSE)," ")</f>
        <v>0</v>
      </c>
      <c r="I82" s="204">
        <f>IFERROR(VLOOKUP($A82,'Budget &amp; Revenue'!$A:$AM,17,FALSE)," ")</f>
        <v>0</v>
      </c>
      <c r="J82" s="204">
        <f>IFERROR(VLOOKUP($A82,'Budget &amp; Revenue'!$A:$AM,19,FALSE)," ")</f>
        <v>0</v>
      </c>
      <c r="K82" s="204">
        <f>IFERROR(VLOOKUP($A82,'Budget &amp; Revenue'!$A:$AM,21,FALSE)," ")</f>
        <v>0</v>
      </c>
      <c r="L82" s="204">
        <f>IFERROR(VLOOKUP($A82,'Budget &amp; Revenue'!$A:$AM,23,FALSE)," ")</f>
        <v>0</v>
      </c>
      <c r="M82" s="204">
        <f>IFERROR(VLOOKUP($A82,'Budget &amp; Revenue'!$A:$AM,25,FALSE)," ")</f>
        <v>0.64102564102564108</v>
      </c>
      <c r="N82" s="204">
        <f>IFERROR(VLOOKUP($A82,'Budget &amp; Revenue'!$A:$AM,27,FALSE)," ")</f>
        <v>1</v>
      </c>
      <c r="O82" s="204">
        <f>IFERROR(VLOOKUP($A82,'Budget &amp; Revenue'!$A:$AM,29,FALSE)," ")</f>
        <v>1</v>
      </c>
      <c r="P82" s="204">
        <f>IFERROR(VLOOKUP($A82,'Budget &amp; Revenue'!$A:$AM,31,FALSE)," ")</f>
        <v>1</v>
      </c>
      <c r="Q82" s="204">
        <f>IFERROR(VLOOKUP($A82,'Budget &amp; Revenue'!$A:$AM,33,FALSE)," ")</f>
        <v>1</v>
      </c>
      <c r="R82" s="204">
        <f>IFERROR(VLOOKUP($A82,'Budget &amp; Revenue'!$A:$AM,35,FALSE)," ")</f>
        <v>1</v>
      </c>
      <c r="S82" s="204">
        <f>IFERROR(VLOOKUP($A82,'Budget &amp; Revenue'!$A:$AM,37,FALSE)," ")</f>
        <v>1</v>
      </c>
      <c r="T82" s="204">
        <f>IFERROR(VLOOKUP($A82,'Budget &amp; Revenue'!$A:$AM,39,FALSE)," ")</f>
        <v>1</v>
      </c>
    </row>
    <row r="83" spans="1:20" x14ac:dyDescent="0.25">
      <c r="A83" s="80">
        <v>81</v>
      </c>
      <c r="B83" s="201" t="str">
        <f>VLOOKUP(A83,Estimate!A:C,3,FALSE)</f>
        <v>100mm dia.</v>
      </c>
      <c r="C83" s="80">
        <f>VLOOKUP(A83,Estimate!A:L,12,FALSE)</f>
        <v>1</v>
      </c>
      <c r="D83" s="234" t="s">
        <v>3019</v>
      </c>
      <c r="E83" s="234" t="s">
        <v>3022</v>
      </c>
      <c r="F83" s="235">
        <f>IFERROR(VLOOKUP(A83,Estimate!A:Q,17,FALSE)," ")</f>
        <v>4000</v>
      </c>
      <c r="G83" s="204">
        <f>IFERROR(VLOOKUP($A83,'Budget &amp; Revenue'!$A:$AM,13,FALSE)," ")</f>
        <v>0</v>
      </c>
      <c r="H83" s="204">
        <f>IFERROR(VLOOKUP($A83,'Budget &amp; Revenue'!$A:$AM,15,FALSE)," ")</f>
        <v>0</v>
      </c>
      <c r="I83" s="204">
        <f>IFERROR(VLOOKUP($A83,'Budget &amp; Revenue'!$A:$AM,17,FALSE)," ")</f>
        <v>0</v>
      </c>
      <c r="J83" s="204">
        <f>IFERROR(VLOOKUP($A83,'Budget &amp; Revenue'!$A:$AM,19,FALSE)," ")</f>
        <v>0</v>
      </c>
      <c r="K83" s="204">
        <f>IFERROR(VLOOKUP($A83,'Budget &amp; Revenue'!$A:$AM,21,FALSE)," ")</f>
        <v>0</v>
      </c>
      <c r="L83" s="204">
        <f>IFERROR(VLOOKUP($A83,'Budget &amp; Revenue'!$A:$AM,23,FALSE)," ")</f>
        <v>0</v>
      </c>
      <c r="M83" s="204">
        <f>IFERROR(VLOOKUP($A83,'Budget &amp; Revenue'!$A:$AM,25,FALSE)," ")</f>
        <v>0.5</v>
      </c>
      <c r="N83" s="204">
        <f>IFERROR(VLOOKUP($A83,'Budget &amp; Revenue'!$A:$AM,27,FALSE)," ")</f>
        <v>1</v>
      </c>
      <c r="O83" s="204">
        <f>IFERROR(VLOOKUP($A83,'Budget &amp; Revenue'!$A:$AM,29,FALSE)," ")</f>
        <v>1</v>
      </c>
      <c r="P83" s="204">
        <f>IFERROR(VLOOKUP($A83,'Budget &amp; Revenue'!$A:$AM,31,FALSE)," ")</f>
        <v>1</v>
      </c>
      <c r="Q83" s="204">
        <f>IFERROR(VLOOKUP($A83,'Budget &amp; Revenue'!$A:$AM,33,FALSE)," ")</f>
        <v>1</v>
      </c>
      <c r="R83" s="204">
        <f>IFERROR(VLOOKUP($A83,'Budget &amp; Revenue'!$A:$AM,35,FALSE)," ")</f>
        <v>1</v>
      </c>
      <c r="S83" s="204">
        <f>IFERROR(VLOOKUP($A83,'Budget &amp; Revenue'!$A:$AM,37,FALSE)," ")</f>
        <v>1</v>
      </c>
      <c r="T83" s="204">
        <f>IFERROR(VLOOKUP($A83,'Budget &amp; Revenue'!$A:$AM,39,FALSE)," ")</f>
        <v>1</v>
      </c>
    </row>
    <row r="84" spans="1:20" x14ac:dyDescent="0.25">
      <c r="A84" s="80">
        <v>82</v>
      </c>
      <c r="B84" s="201" t="str">
        <f>VLOOKUP(A84,Estimate!A:C,3,FALSE)</f>
        <v>100mm x 100mm.</v>
      </c>
      <c r="C84" s="80">
        <f>VLOOKUP(A84,Estimate!A:L,12,FALSE)</f>
        <v>1</v>
      </c>
      <c r="D84" s="234" t="s">
        <v>3023</v>
      </c>
      <c r="E84" s="234" t="s">
        <v>3024</v>
      </c>
      <c r="F84" s="235">
        <f>IFERROR(VLOOKUP(A84,Estimate!A:Q,17,FALSE)," ")</f>
        <v>220</v>
      </c>
      <c r="G84" s="204">
        <f>IFERROR(VLOOKUP($A84,'Budget &amp; Revenue'!$A:$AM,13,FALSE)," ")</f>
        <v>0</v>
      </c>
      <c r="H84" s="204">
        <f>IFERROR(VLOOKUP($A84,'Budget &amp; Revenue'!$A:$AM,15,FALSE)," ")</f>
        <v>0</v>
      </c>
      <c r="I84" s="204">
        <f>IFERROR(VLOOKUP($A84,'Budget &amp; Revenue'!$A:$AM,17,FALSE)," ")</f>
        <v>0</v>
      </c>
      <c r="J84" s="204">
        <f>IFERROR(VLOOKUP($A84,'Budget &amp; Revenue'!$A:$AM,19,FALSE)," ")</f>
        <v>0</v>
      </c>
      <c r="K84" s="204">
        <f>IFERROR(VLOOKUP($A84,'Budget &amp; Revenue'!$A:$AM,21,FALSE)," ")</f>
        <v>0</v>
      </c>
      <c r="L84" s="204">
        <f>IFERROR(VLOOKUP($A84,'Budget &amp; Revenue'!$A:$AM,23,FALSE)," ")</f>
        <v>0</v>
      </c>
      <c r="M84" s="204">
        <f>IFERROR(VLOOKUP($A84,'Budget &amp; Revenue'!$A:$AM,25,FALSE)," ")</f>
        <v>0.5</v>
      </c>
      <c r="N84" s="204">
        <f>IFERROR(VLOOKUP($A84,'Budget &amp; Revenue'!$A:$AM,27,FALSE)," ")</f>
        <v>1</v>
      </c>
      <c r="O84" s="204">
        <f>IFERROR(VLOOKUP($A84,'Budget &amp; Revenue'!$A:$AM,29,FALSE)," ")</f>
        <v>1</v>
      </c>
      <c r="P84" s="204">
        <f>IFERROR(VLOOKUP($A84,'Budget &amp; Revenue'!$A:$AM,31,FALSE)," ")</f>
        <v>1</v>
      </c>
      <c r="Q84" s="204">
        <f>IFERROR(VLOOKUP($A84,'Budget &amp; Revenue'!$A:$AM,33,FALSE)," ")</f>
        <v>1</v>
      </c>
      <c r="R84" s="204">
        <f>IFERROR(VLOOKUP($A84,'Budget &amp; Revenue'!$A:$AM,35,FALSE)," ")</f>
        <v>1</v>
      </c>
      <c r="S84" s="204">
        <f>IFERROR(VLOOKUP($A84,'Budget &amp; Revenue'!$A:$AM,37,FALSE)," ")</f>
        <v>1</v>
      </c>
      <c r="T84" s="204">
        <f>IFERROR(VLOOKUP($A84,'Budget &amp; Revenue'!$A:$AM,39,FALSE)," ")</f>
        <v>1</v>
      </c>
    </row>
    <row r="85" spans="1:20" x14ac:dyDescent="0.25">
      <c r="A85" s="80">
        <v>83</v>
      </c>
      <c r="B85" s="201" t="str">
        <f>VLOOKUP(A85,Estimate!A:C,3,FALSE)</f>
        <v>100mm x 45 degree.</v>
      </c>
      <c r="C85" s="80">
        <f>VLOOKUP(A85,Estimate!A:L,12,FALSE)</f>
        <v>3</v>
      </c>
      <c r="D85" s="234" t="s">
        <v>3022</v>
      </c>
      <c r="E85" s="234" t="s">
        <v>3025</v>
      </c>
      <c r="F85" s="235">
        <f>IFERROR(VLOOKUP(A85,Estimate!A:Q,17,FALSE)," ")</f>
        <v>960</v>
      </c>
      <c r="G85" s="204">
        <f>IFERROR(VLOOKUP($A85,'Budget &amp; Revenue'!$A:$AM,13,FALSE)," ")</f>
        <v>0</v>
      </c>
      <c r="H85" s="204">
        <f>IFERROR(VLOOKUP($A85,'Budget &amp; Revenue'!$A:$AM,15,FALSE)," ")</f>
        <v>0</v>
      </c>
      <c r="I85" s="204">
        <f>IFERROR(VLOOKUP($A85,'Budget &amp; Revenue'!$A:$AM,17,FALSE)," ")</f>
        <v>0</v>
      </c>
      <c r="J85" s="204">
        <f>IFERROR(VLOOKUP($A85,'Budget &amp; Revenue'!$A:$AM,19,FALSE)," ")</f>
        <v>0</v>
      </c>
      <c r="K85" s="204">
        <f>IFERROR(VLOOKUP($A85,'Budget &amp; Revenue'!$A:$AM,21,FALSE)," ")</f>
        <v>0</v>
      </c>
      <c r="L85" s="204">
        <f>IFERROR(VLOOKUP($A85,'Budget &amp; Revenue'!$A:$AM,23,FALSE)," ")</f>
        <v>0</v>
      </c>
      <c r="M85" s="204">
        <f>IFERROR(VLOOKUP($A85,'Budget &amp; Revenue'!$A:$AM,25,FALSE)," ")</f>
        <v>0.5</v>
      </c>
      <c r="N85" s="204">
        <f>IFERROR(VLOOKUP($A85,'Budget &amp; Revenue'!$A:$AM,27,FALSE)," ")</f>
        <v>1</v>
      </c>
      <c r="O85" s="204">
        <f>IFERROR(VLOOKUP($A85,'Budget &amp; Revenue'!$A:$AM,29,FALSE)," ")</f>
        <v>1</v>
      </c>
      <c r="P85" s="204">
        <f>IFERROR(VLOOKUP($A85,'Budget &amp; Revenue'!$A:$AM,31,FALSE)," ")</f>
        <v>1</v>
      </c>
      <c r="Q85" s="204">
        <f>IFERROR(VLOOKUP($A85,'Budget &amp; Revenue'!$A:$AM,33,FALSE)," ")</f>
        <v>1</v>
      </c>
      <c r="R85" s="204">
        <f>IFERROR(VLOOKUP($A85,'Budget &amp; Revenue'!$A:$AM,35,FALSE)," ")</f>
        <v>1</v>
      </c>
      <c r="S85" s="204">
        <f>IFERROR(VLOOKUP($A85,'Budget &amp; Revenue'!$A:$AM,37,FALSE)," ")</f>
        <v>1</v>
      </c>
      <c r="T85" s="204">
        <f>IFERROR(VLOOKUP($A85,'Budget &amp; Revenue'!$A:$AM,39,FALSE)," ")</f>
        <v>1</v>
      </c>
    </row>
    <row r="86" spans="1:20" x14ac:dyDescent="0.25">
      <c r="A86" s="80">
        <v>84</v>
      </c>
      <c r="B86" s="201" t="str">
        <f>VLOOKUP(A86,Estimate!A:C,3,FALSE)</f>
        <v>100mm</v>
      </c>
      <c r="C86" s="80">
        <f>VLOOKUP(A86,Estimate!A:L,12,FALSE)</f>
        <v>2</v>
      </c>
      <c r="D86" s="234" t="s">
        <v>3024</v>
      </c>
      <c r="E86" s="234" t="s">
        <v>3026</v>
      </c>
      <c r="F86" s="235">
        <f>IFERROR(VLOOKUP(A86,Estimate!A:Q,17,FALSE)," ")</f>
        <v>800</v>
      </c>
      <c r="G86" s="204">
        <f>IFERROR(VLOOKUP($A86,'Budget &amp; Revenue'!$A:$AM,13,FALSE)," ")</f>
        <v>0</v>
      </c>
      <c r="H86" s="204">
        <f>IFERROR(VLOOKUP($A86,'Budget &amp; Revenue'!$A:$AM,15,FALSE)," ")</f>
        <v>0</v>
      </c>
      <c r="I86" s="204">
        <f>IFERROR(VLOOKUP($A86,'Budget &amp; Revenue'!$A:$AM,17,FALSE)," ")</f>
        <v>0</v>
      </c>
      <c r="J86" s="204">
        <f>IFERROR(VLOOKUP($A86,'Budget &amp; Revenue'!$A:$AM,19,FALSE)," ")</f>
        <v>0</v>
      </c>
      <c r="K86" s="204">
        <f>IFERROR(VLOOKUP($A86,'Budget &amp; Revenue'!$A:$AM,21,FALSE)," ")</f>
        <v>0</v>
      </c>
      <c r="L86" s="204">
        <f>IFERROR(VLOOKUP($A86,'Budget &amp; Revenue'!$A:$AM,23,FALSE)," ")</f>
        <v>0</v>
      </c>
      <c r="M86" s="204">
        <f>IFERROR(VLOOKUP($A86,'Budget &amp; Revenue'!$A:$AM,25,FALSE)," ")</f>
        <v>0.5</v>
      </c>
      <c r="N86" s="204">
        <f>IFERROR(VLOOKUP($A86,'Budget &amp; Revenue'!$A:$AM,27,FALSE)," ")</f>
        <v>1</v>
      </c>
      <c r="O86" s="204">
        <f>IFERROR(VLOOKUP($A86,'Budget &amp; Revenue'!$A:$AM,29,FALSE)," ")</f>
        <v>1</v>
      </c>
      <c r="P86" s="204">
        <f>IFERROR(VLOOKUP($A86,'Budget &amp; Revenue'!$A:$AM,31,FALSE)," ")</f>
        <v>1</v>
      </c>
      <c r="Q86" s="204">
        <f>IFERROR(VLOOKUP($A86,'Budget &amp; Revenue'!$A:$AM,33,FALSE)," ")</f>
        <v>1</v>
      </c>
      <c r="R86" s="204">
        <f>IFERROR(VLOOKUP($A86,'Budget &amp; Revenue'!$A:$AM,35,FALSE)," ")</f>
        <v>1</v>
      </c>
      <c r="S86" s="204">
        <f>IFERROR(VLOOKUP($A86,'Budget &amp; Revenue'!$A:$AM,37,FALSE)," ")</f>
        <v>1</v>
      </c>
      <c r="T86" s="204">
        <f>IFERROR(VLOOKUP($A86,'Budget &amp; Revenue'!$A:$AM,39,FALSE)," ")</f>
        <v>1</v>
      </c>
    </row>
    <row r="87" spans="1:20" x14ac:dyDescent="0.25">
      <c r="A87" s="80">
        <v>85</v>
      </c>
      <c r="B87" s="201" t="str">
        <f>VLOOKUP(A87,Estimate!A:C,3,FALSE)</f>
        <v>100mm</v>
      </c>
      <c r="C87" s="80">
        <f>VLOOKUP(A87,Estimate!A:L,12,FALSE)</f>
        <v>1</v>
      </c>
      <c r="D87" s="234" t="s">
        <v>3025</v>
      </c>
      <c r="E87" s="233"/>
      <c r="F87" s="235">
        <f>IFERROR(VLOOKUP(A87,Estimate!A:Q,17,FALSE)," ")</f>
        <v>250</v>
      </c>
      <c r="G87" s="204">
        <f>IFERROR(VLOOKUP($A87,'Budget &amp; Revenue'!$A:$AM,13,FALSE)," ")</f>
        <v>0</v>
      </c>
      <c r="H87" s="204">
        <f>IFERROR(VLOOKUP($A87,'Budget &amp; Revenue'!$A:$AM,15,FALSE)," ")</f>
        <v>0</v>
      </c>
      <c r="I87" s="204">
        <f>IFERROR(VLOOKUP($A87,'Budget &amp; Revenue'!$A:$AM,17,FALSE)," ")</f>
        <v>0</v>
      </c>
      <c r="J87" s="204">
        <f>IFERROR(VLOOKUP($A87,'Budget &amp; Revenue'!$A:$AM,19,FALSE)," ")</f>
        <v>0</v>
      </c>
      <c r="K87" s="204">
        <f>IFERROR(VLOOKUP($A87,'Budget &amp; Revenue'!$A:$AM,21,FALSE)," ")</f>
        <v>0</v>
      </c>
      <c r="L87" s="204">
        <f>IFERROR(VLOOKUP($A87,'Budget &amp; Revenue'!$A:$AM,23,FALSE)," ")</f>
        <v>0</v>
      </c>
      <c r="M87" s="204">
        <f>IFERROR(VLOOKUP($A87,'Budget &amp; Revenue'!$A:$AM,25,FALSE)," ")</f>
        <v>0.5</v>
      </c>
      <c r="N87" s="204">
        <f>IFERROR(VLOOKUP($A87,'Budget &amp; Revenue'!$A:$AM,27,FALSE)," ")</f>
        <v>1</v>
      </c>
      <c r="O87" s="204">
        <f>IFERROR(VLOOKUP($A87,'Budget &amp; Revenue'!$A:$AM,29,FALSE)," ")</f>
        <v>1</v>
      </c>
      <c r="P87" s="204">
        <f>IFERROR(VLOOKUP($A87,'Budget &amp; Revenue'!$A:$AM,31,FALSE)," ")</f>
        <v>1</v>
      </c>
      <c r="Q87" s="204">
        <f>IFERROR(VLOOKUP($A87,'Budget &amp; Revenue'!$A:$AM,33,FALSE)," ")</f>
        <v>1</v>
      </c>
      <c r="R87" s="204">
        <f>IFERROR(VLOOKUP($A87,'Budget &amp; Revenue'!$A:$AM,35,FALSE)," ")</f>
        <v>1</v>
      </c>
      <c r="S87" s="204">
        <f>IFERROR(VLOOKUP($A87,'Budget &amp; Revenue'!$A:$AM,37,FALSE)," ")</f>
        <v>1</v>
      </c>
      <c r="T87" s="204">
        <f>IFERROR(VLOOKUP($A87,'Budget &amp; Revenue'!$A:$AM,39,FALSE)," ")</f>
        <v>1</v>
      </c>
    </row>
    <row r="88" spans="1:20" x14ac:dyDescent="0.25">
      <c r="A88" s="80">
        <v>86</v>
      </c>
      <c r="B88" s="201" t="str">
        <f>VLOOKUP(A88,Estimate!A:C,3,FALSE)</f>
        <v>Single connection with road crossing</v>
      </c>
      <c r="C88" s="80">
        <f>VLOOKUP(A88,Estimate!A:L,12,FALSE)</f>
        <v>4</v>
      </c>
      <c r="D88" s="234">
        <v>82</v>
      </c>
      <c r="E88" s="234">
        <v>89</v>
      </c>
      <c r="F88" s="235">
        <f>IFERROR(VLOOKUP(A88,Estimate!A:Q,17,FALSE)," ")</f>
        <v>8400</v>
      </c>
      <c r="G88" s="204">
        <f>IFERROR(VLOOKUP($A88,'Budget &amp; Revenue'!$A:$AM,13,FALSE)," ")</f>
        <v>0</v>
      </c>
      <c r="H88" s="204">
        <f>IFERROR(VLOOKUP($A88,'Budget &amp; Revenue'!$A:$AM,15,FALSE)," ")</f>
        <v>0</v>
      </c>
      <c r="I88" s="204">
        <f>IFERROR(VLOOKUP($A88,'Budget &amp; Revenue'!$A:$AM,17,FALSE)," ")</f>
        <v>0</v>
      </c>
      <c r="J88" s="204">
        <f>IFERROR(VLOOKUP($A88,'Budget &amp; Revenue'!$A:$AM,19,FALSE)," ")</f>
        <v>0</v>
      </c>
      <c r="K88" s="204">
        <f>IFERROR(VLOOKUP($A88,'Budget &amp; Revenue'!$A:$AM,21,FALSE)," ")</f>
        <v>0</v>
      </c>
      <c r="L88" s="204">
        <f>IFERROR(VLOOKUP($A88,'Budget &amp; Revenue'!$A:$AM,23,FALSE)," ")</f>
        <v>0</v>
      </c>
      <c r="M88" s="204">
        <f>IFERROR(VLOOKUP($A88,'Budget &amp; Revenue'!$A:$AM,25,FALSE)," ")</f>
        <v>0</v>
      </c>
      <c r="N88" s="204">
        <f>IFERROR(VLOOKUP($A88,'Budget &amp; Revenue'!$A:$AM,27,FALSE)," ")</f>
        <v>1</v>
      </c>
      <c r="O88" s="204">
        <f>IFERROR(VLOOKUP($A88,'Budget &amp; Revenue'!$A:$AM,29,FALSE)," ")</f>
        <v>1</v>
      </c>
      <c r="P88" s="204">
        <f>IFERROR(VLOOKUP($A88,'Budget &amp; Revenue'!$A:$AM,31,FALSE)," ")</f>
        <v>1</v>
      </c>
      <c r="Q88" s="204">
        <f>IFERROR(VLOOKUP($A88,'Budget &amp; Revenue'!$A:$AM,33,FALSE)," ")</f>
        <v>1</v>
      </c>
      <c r="R88" s="204">
        <f>IFERROR(VLOOKUP($A88,'Budget &amp; Revenue'!$A:$AM,35,FALSE)," ")</f>
        <v>1</v>
      </c>
      <c r="S88" s="204">
        <f>IFERROR(VLOOKUP($A88,'Budget &amp; Revenue'!$A:$AM,37,FALSE)," ")</f>
        <v>1</v>
      </c>
      <c r="T88" s="204">
        <f>IFERROR(VLOOKUP($A88,'Budget &amp; Revenue'!$A:$AM,39,FALSE)," ")</f>
        <v>1</v>
      </c>
    </row>
    <row r="89" spans="1:20" x14ac:dyDescent="0.25">
      <c r="A89" s="80">
        <v>87</v>
      </c>
      <c r="B89" s="201" t="str">
        <f>VLOOKUP(A89,Estimate!A:C,3,FALSE)</f>
        <v>Double connection with road crossing</v>
      </c>
      <c r="C89" s="80">
        <f>VLOOKUP(A89,Estimate!A:L,12,FALSE)</f>
        <v>2</v>
      </c>
      <c r="D89" s="234">
        <v>88</v>
      </c>
      <c r="E89" s="234" t="s">
        <v>3027</v>
      </c>
      <c r="F89" s="235">
        <f>IFERROR(VLOOKUP(A89,Estimate!A:Q,17,FALSE)," ")</f>
        <v>4320</v>
      </c>
      <c r="G89" s="204">
        <f>IFERROR(VLOOKUP($A89,'Budget &amp; Revenue'!$A:$AM,13,FALSE)," ")</f>
        <v>0</v>
      </c>
      <c r="H89" s="204">
        <f>IFERROR(VLOOKUP($A89,'Budget &amp; Revenue'!$A:$AM,15,FALSE)," ")</f>
        <v>0</v>
      </c>
      <c r="I89" s="204">
        <f>IFERROR(VLOOKUP($A89,'Budget &amp; Revenue'!$A:$AM,17,FALSE)," ")</f>
        <v>0</v>
      </c>
      <c r="J89" s="204">
        <f>IFERROR(VLOOKUP($A89,'Budget &amp; Revenue'!$A:$AM,19,FALSE)," ")</f>
        <v>0</v>
      </c>
      <c r="K89" s="204">
        <f>IFERROR(VLOOKUP($A89,'Budget &amp; Revenue'!$A:$AM,21,FALSE)," ")</f>
        <v>0</v>
      </c>
      <c r="L89" s="204">
        <f>IFERROR(VLOOKUP($A89,'Budget &amp; Revenue'!$A:$AM,23,FALSE)," ")</f>
        <v>0</v>
      </c>
      <c r="M89" s="204">
        <f>IFERROR(VLOOKUP($A89,'Budget &amp; Revenue'!$A:$AM,25,FALSE)," ")</f>
        <v>0</v>
      </c>
      <c r="N89" s="204">
        <f>IFERROR(VLOOKUP($A89,'Budget &amp; Revenue'!$A:$AM,27,FALSE)," ")</f>
        <v>1</v>
      </c>
      <c r="O89" s="204">
        <f>IFERROR(VLOOKUP($A89,'Budget &amp; Revenue'!$A:$AM,29,FALSE)," ")</f>
        <v>1</v>
      </c>
      <c r="P89" s="204">
        <f>IFERROR(VLOOKUP($A89,'Budget &amp; Revenue'!$A:$AM,31,FALSE)," ")</f>
        <v>1</v>
      </c>
      <c r="Q89" s="204">
        <f>IFERROR(VLOOKUP($A89,'Budget &amp; Revenue'!$A:$AM,33,FALSE)," ")</f>
        <v>1</v>
      </c>
      <c r="R89" s="204">
        <f>IFERROR(VLOOKUP($A89,'Budget &amp; Revenue'!$A:$AM,35,FALSE)," ")</f>
        <v>1</v>
      </c>
      <c r="S89" s="204">
        <f>IFERROR(VLOOKUP($A89,'Budget &amp; Revenue'!$A:$AM,37,FALSE)," ")</f>
        <v>1</v>
      </c>
      <c r="T89" s="204">
        <f>IFERROR(VLOOKUP($A89,'Budget &amp; Revenue'!$A:$AM,39,FALSE)," ")</f>
        <v>1</v>
      </c>
    </row>
    <row r="90" spans="1:20" ht="30" x14ac:dyDescent="0.25">
      <c r="A90" s="80">
        <v>88</v>
      </c>
      <c r="B90" s="201" t="str">
        <f>VLOOKUP(A90,Estimate!A:C,3,FALSE)</f>
        <v>Sterilisation of mains including supply of chlorine, water for chlorination and bacteriological sampling and testing.</v>
      </c>
      <c r="C90" s="80">
        <f>VLOOKUP(A90,Estimate!A:L,12,FALSE)</f>
        <v>3</v>
      </c>
      <c r="D90" s="234">
        <v>89</v>
      </c>
      <c r="E90" s="234">
        <v>91</v>
      </c>
      <c r="F90" s="235">
        <f>IFERROR(VLOOKUP(A90,Estimate!A:Q,17,FALSE)," ")</f>
        <v>2000</v>
      </c>
      <c r="G90" s="204">
        <f>IFERROR(VLOOKUP($A90,'Budget &amp; Revenue'!$A:$AM,13,FALSE)," ")</f>
        <v>0</v>
      </c>
      <c r="H90" s="204">
        <f>IFERROR(VLOOKUP($A90,'Budget &amp; Revenue'!$A:$AM,15,FALSE)," ")</f>
        <v>0</v>
      </c>
      <c r="I90" s="204">
        <f>IFERROR(VLOOKUP($A90,'Budget &amp; Revenue'!$A:$AM,17,FALSE)," ")</f>
        <v>0</v>
      </c>
      <c r="J90" s="204">
        <f>IFERROR(VLOOKUP($A90,'Budget &amp; Revenue'!$A:$AM,19,FALSE)," ")</f>
        <v>0</v>
      </c>
      <c r="K90" s="204">
        <f>IFERROR(VLOOKUP($A90,'Budget &amp; Revenue'!$A:$AM,21,FALSE)," ")</f>
        <v>0</v>
      </c>
      <c r="L90" s="204">
        <f>IFERROR(VLOOKUP($A90,'Budget &amp; Revenue'!$A:$AM,23,FALSE)," ")</f>
        <v>0</v>
      </c>
      <c r="M90" s="204">
        <f>IFERROR(VLOOKUP($A90,'Budget &amp; Revenue'!$A:$AM,25,FALSE)," ")</f>
        <v>0</v>
      </c>
      <c r="N90" s="204">
        <f>IFERROR(VLOOKUP($A90,'Budget &amp; Revenue'!$A:$AM,27,FALSE)," ")</f>
        <v>1</v>
      </c>
      <c r="O90" s="204">
        <f>IFERROR(VLOOKUP($A90,'Budget &amp; Revenue'!$A:$AM,29,FALSE)," ")</f>
        <v>1</v>
      </c>
      <c r="P90" s="204">
        <f>IFERROR(VLOOKUP($A90,'Budget &amp; Revenue'!$A:$AM,31,FALSE)," ")</f>
        <v>1</v>
      </c>
      <c r="Q90" s="204">
        <f>IFERROR(VLOOKUP($A90,'Budget &amp; Revenue'!$A:$AM,33,FALSE)," ")</f>
        <v>1</v>
      </c>
      <c r="R90" s="204">
        <f>IFERROR(VLOOKUP($A90,'Budget &amp; Revenue'!$A:$AM,35,FALSE)," ")</f>
        <v>1</v>
      </c>
      <c r="S90" s="204">
        <f>IFERROR(VLOOKUP($A90,'Budget &amp; Revenue'!$A:$AM,37,FALSE)," ")</f>
        <v>1</v>
      </c>
      <c r="T90" s="204">
        <f>IFERROR(VLOOKUP($A90,'Budget &amp; Revenue'!$A:$AM,39,FALSE)," ")</f>
        <v>1</v>
      </c>
    </row>
    <row r="91" spans="1:20" ht="30" x14ac:dyDescent="0.25">
      <c r="A91" s="80">
        <v>89</v>
      </c>
      <c r="B91" s="201" t="str">
        <f>VLOOKUP(A91,Estimate!A:C,3,FALSE)</f>
        <v>Locate existing  water main and arrange connection of new water main. (Work by WRC).</v>
      </c>
      <c r="C91" s="80">
        <f>VLOOKUP(A91,Estimate!A:L,12,FALSE)</f>
        <v>1</v>
      </c>
      <c r="D91" s="234" t="s">
        <v>3028</v>
      </c>
      <c r="E91" s="234">
        <v>92</v>
      </c>
      <c r="F91" s="235">
        <f>IFERROR(VLOOKUP(A91,Estimate!A:Q,17,FALSE)," ")</f>
        <v>5400</v>
      </c>
      <c r="G91" s="204">
        <f>IFERROR(VLOOKUP($A91,'Budget &amp; Revenue'!$A:$AM,13,FALSE)," ")</f>
        <v>0</v>
      </c>
      <c r="H91" s="204">
        <f>IFERROR(VLOOKUP($A91,'Budget &amp; Revenue'!$A:$AM,15,FALSE)," ")</f>
        <v>0</v>
      </c>
      <c r="I91" s="204">
        <f>IFERROR(VLOOKUP($A91,'Budget &amp; Revenue'!$A:$AM,17,FALSE)," ")</f>
        <v>0</v>
      </c>
      <c r="J91" s="204">
        <f>IFERROR(VLOOKUP($A91,'Budget &amp; Revenue'!$A:$AM,19,FALSE)," ")</f>
        <v>0</v>
      </c>
      <c r="K91" s="204">
        <f>IFERROR(VLOOKUP($A91,'Budget &amp; Revenue'!$A:$AM,21,FALSE)," ")</f>
        <v>0</v>
      </c>
      <c r="L91" s="204">
        <f>IFERROR(VLOOKUP($A91,'Budget &amp; Revenue'!$A:$AM,23,FALSE)," ")</f>
        <v>0</v>
      </c>
      <c r="M91" s="204">
        <f>IFERROR(VLOOKUP($A91,'Budget &amp; Revenue'!$A:$AM,25,FALSE)," ")</f>
        <v>0</v>
      </c>
      <c r="N91" s="204">
        <f>IFERROR(VLOOKUP($A91,'Budget &amp; Revenue'!$A:$AM,27,FALSE)," ")</f>
        <v>1</v>
      </c>
      <c r="O91" s="204">
        <f>IFERROR(VLOOKUP($A91,'Budget &amp; Revenue'!$A:$AM,29,FALSE)," ")</f>
        <v>1</v>
      </c>
      <c r="P91" s="204">
        <f>IFERROR(VLOOKUP($A91,'Budget &amp; Revenue'!$A:$AM,31,FALSE)," ")</f>
        <v>1</v>
      </c>
      <c r="Q91" s="204">
        <f>IFERROR(VLOOKUP($A91,'Budget &amp; Revenue'!$A:$AM,33,FALSE)," ")</f>
        <v>1</v>
      </c>
      <c r="R91" s="204">
        <f>IFERROR(VLOOKUP($A91,'Budget &amp; Revenue'!$A:$AM,35,FALSE)," ")</f>
        <v>1</v>
      </c>
      <c r="S91" s="204">
        <f>IFERROR(VLOOKUP($A91,'Budget &amp; Revenue'!$A:$AM,37,FALSE)," ")</f>
        <v>1</v>
      </c>
      <c r="T91" s="204">
        <f>IFERROR(VLOOKUP($A91,'Budget &amp; Revenue'!$A:$AM,39,FALSE)," ")</f>
        <v>1</v>
      </c>
    </row>
    <row r="92" spans="1:20" x14ac:dyDescent="0.25">
      <c r="A92" s="80">
        <v>90</v>
      </c>
      <c r="B92" s="201" t="str">
        <f>VLOOKUP(A92,Estimate!A:C,3,FALSE)</f>
        <v>Special Item - As Constructed Survey and Plans</v>
      </c>
      <c r="C92" s="80">
        <f>VLOOKUP(A92,Estimate!A:L,12,FALSE)</f>
        <v>4</v>
      </c>
      <c r="D92" s="234">
        <v>91</v>
      </c>
      <c r="E92" s="234">
        <v>3</v>
      </c>
      <c r="F92" s="235">
        <f>IFERROR(VLOOKUP(A92,Estimate!A:Q,17,FALSE)," ")</f>
        <v>4000</v>
      </c>
      <c r="G92" s="204">
        <f>IFERROR(VLOOKUP($A92,'Budget &amp; Revenue'!$A:$AM,13,FALSE)," ")</f>
        <v>0</v>
      </c>
      <c r="H92" s="204">
        <f>IFERROR(VLOOKUP($A92,'Budget &amp; Revenue'!$A:$AM,15,FALSE)," ")</f>
        <v>0</v>
      </c>
      <c r="I92" s="204">
        <f>IFERROR(VLOOKUP($A92,'Budget &amp; Revenue'!$A:$AM,17,FALSE)," ")</f>
        <v>0</v>
      </c>
      <c r="J92" s="204">
        <f>IFERROR(VLOOKUP($A92,'Budget &amp; Revenue'!$A:$AM,19,FALSE)," ")</f>
        <v>0</v>
      </c>
      <c r="K92" s="204">
        <f>IFERROR(VLOOKUP($A92,'Budget &amp; Revenue'!$A:$AM,21,FALSE)," ")</f>
        <v>0</v>
      </c>
      <c r="L92" s="204">
        <f>IFERROR(VLOOKUP($A92,'Budget &amp; Revenue'!$A:$AM,23,FALSE)," ")</f>
        <v>0</v>
      </c>
      <c r="M92" s="204">
        <f>IFERROR(VLOOKUP($A92,'Budget &amp; Revenue'!$A:$AM,25,FALSE)," ")</f>
        <v>0</v>
      </c>
      <c r="N92" s="204">
        <f>IFERROR(VLOOKUP($A92,'Budget &amp; Revenue'!$A:$AM,27,FALSE)," ")</f>
        <v>0.5</v>
      </c>
      <c r="O92" s="204">
        <f>IFERROR(VLOOKUP($A92,'Budget &amp; Revenue'!$A:$AM,29,FALSE)," ")</f>
        <v>0.9</v>
      </c>
      <c r="P92" s="204">
        <f>IFERROR(VLOOKUP($A92,'Budget &amp; Revenue'!$A:$AM,31,FALSE)," ")</f>
        <v>0.95</v>
      </c>
      <c r="Q92" s="204">
        <f>IFERROR(VLOOKUP($A92,'Budget &amp; Revenue'!$A:$AM,33,FALSE)," ")</f>
        <v>1</v>
      </c>
      <c r="R92" s="204">
        <f>IFERROR(VLOOKUP($A92,'Budget &amp; Revenue'!$A:$AM,35,FALSE)," ")</f>
        <v>1</v>
      </c>
      <c r="S92" s="204">
        <f>IFERROR(VLOOKUP($A92,'Budget &amp; Revenue'!$A:$AM,37,FALSE)," ")</f>
        <v>1</v>
      </c>
      <c r="T92" s="204">
        <f>IFERROR(VLOOKUP($A92,'Budget &amp; Revenue'!$A:$AM,39,FALSE)," ")</f>
        <v>1</v>
      </c>
    </row>
    <row r="93" spans="1:20" s="10" customFormat="1" x14ac:dyDescent="0.25">
      <c r="A93" s="92">
        <v>500</v>
      </c>
      <c r="B93" s="212" t="str">
        <f>VLOOKUP(A93,Estimate!A:C,3,FALSE)</f>
        <v>DODD STREET</v>
      </c>
      <c r="C93" s="92">
        <f>VLOOKUP(A93,Estimate!A:L,12,FALSE)</f>
        <v>0</v>
      </c>
      <c r="D93" s="236">
        <v>2181201</v>
      </c>
      <c r="E93" s="234" t="s">
        <v>3100</v>
      </c>
      <c r="F93" s="235">
        <f>IFERROR(VLOOKUP(A93,Estimate!A:Q,17,FALSE)," ")</f>
        <v>0</v>
      </c>
      <c r="G93" s="204" t="str">
        <f>IFERROR(VLOOKUP($A93,'Budget &amp; Revenue'!$A:$AM,13,FALSE)," ")</f>
        <v xml:space="preserve"> </v>
      </c>
      <c r="H93" s="204" t="str">
        <f>IFERROR(VLOOKUP($A93,'Budget &amp; Revenue'!$A:$AM,15,FALSE)," ")</f>
        <v xml:space="preserve"> </v>
      </c>
      <c r="I93" s="204" t="str">
        <f>IFERROR(VLOOKUP($A93,'Budget &amp; Revenue'!$A:$AM,17,FALSE)," ")</f>
        <v xml:space="preserve"> </v>
      </c>
      <c r="J93" s="204" t="str">
        <f>IFERROR(VLOOKUP($A93,'Budget &amp; Revenue'!$A:$AM,19,FALSE)," ")</f>
        <v xml:space="preserve"> </v>
      </c>
      <c r="K93" s="204" t="str">
        <f>IFERROR(VLOOKUP($A93,'Budget &amp; Revenue'!$A:$AM,21,FALSE)," ")</f>
        <v xml:space="preserve"> </v>
      </c>
      <c r="L93" s="204" t="str">
        <f>IFERROR(VLOOKUP($A93,'Budget &amp; Revenue'!$A:$AM,23,FALSE)," ")</f>
        <v xml:space="preserve"> </v>
      </c>
      <c r="M93" s="204" t="str">
        <f>IFERROR(VLOOKUP($A93,'Budget &amp; Revenue'!$A:$AM,25,FALSE)," ")</f>
        <v xml:space="preserve"> </v>
      </c>
      <c r="N93" s="204" t="str">
        <f>IFERROR(VLOOKUP($A93,'Budget &amp; Revenue'!$A:$AM,27,FALSE)," ")</f>
        <v xml:space="preserve"> </v>
      </c>
      <c r="O93" s="204" t="str">
        <f>IFERROR(VLOOKUP($A93,'Budget &amp; Revenue'!$A:$AM,29,FALSE)," ")</f>
        <v xml:space="preserve"> </v>
      </c>
      <c r="P93" s="204" t="str">
        <f>IFERROR(VLOOKUP($A93,'Budget &amp; Revenue'!$A:$AM,31,FALSE)," ")</f>
        <v xml:space="preserve"> </v>
      </c>
      <c r="Q93" s="204" t="str">
        <f>IFERROR(VLOOKUP($A93,'Budget &amp; Revenue'!$A:$AM,33,FALSE)," ")</f>
        <v xml:space="preserve"> </v>
      </c>
      <c r="R93" s="204" t="str">
        <f>IFERROR(VLOOKUP($A93,'Budget &amp; Revenue'!$A:$AM,35,FALSE)," ")</f>
        <v xml:space="preserve"> </v>
      </c>
      <c r="S93" s="204" t="str">
        <f>IFERROR(VLOOKUP($A93,'Budget &amp; Revenue'!$A:$AM,37,FALSE)," ")</f>
        <v xml:space="preserve"> </v>
      </c>
      <c r="T93" s="204" t="str">
        <f>IFERROR(VLOOKUP($A93,'Budget &amp; Revenue'!$A:$AM,39,FALSE)," ")</f>
        <v xml:space="preserve"> </v>
      </c>
    </row>
    <row r="94" spans="1:20" x14ac:dyDescent="0.25">
      <c r="A94" s="80">
        <v>91</v>
      </c>
      <c r="B94" s="201" t="str">
        <f>VLOOKUP(A94,Estimate!A:C,3,FALSE)</f>
        <v>Quality Verification &amp; Control</v>
      </c>
      <c r="C94" s="80">
        <f>VLOOKUP(A94,Estimate!A:L,12,FALSE)</f>
        <v>0</v>
      </c>
      <c r="D94" s="234">
        <v>93</v>
      </c>
      <c r="E94" s="236">
        <v>95266</v>
      </c>
      <c r="F94" s="235">
        <f>IFERROR(VLOOKUP(A94,Estimate!A:Q,17,FALSE)," ")</f>
        <v>13160</v>
      </c>
      <c r="G94" s="204">
        <f>IFERROR(VLOOKUP($A94,'Budget &amp; Revenue'!$A:$AM,13,FALSE)," ")</f>
        <v>0</v>
      </c>
      <c r="H94" s="204">
        <f>IFERROR(VLOOKUP($A94,'Budget &amp; Revenue'!$A:$AM,15,FALSE)," ")</f>
        <v>0</v>
      </c>
      <c r="I94" s="204">
        <f>IFERROR(VLOOKUP($A94,'Budget &amp; Revenue'!$A:$AM,17,FALSE)," ")</f>
        <v>0</v>
      </c>
      <c r="J94" s="204">
        <f>IFERROR(VLOOKUP($A94,'Budget &amp; Revenue'!$A:$AM,19,FALSE)," ")</f>
        <v>0.25</v>
      </c>
      <c r="K94" s="204">
        <f>IFERROR(VLOOKUP($A94,'Budget &amp; Revenue'!$A:$AM,21,FALSE)," ")</f>
        <v>0.35</v>
      </c>
      <c r="L94" s="204">
        <f>IFERROR(VLOOKUP($A94,'Budget &amp; Revenue'!$A:$AM,23,FALSE)," ")</f>
        <v>0.75</v>
      </c>
      <c r="M94" s="204">
        <f>IFERROR(VLOOKUP($A94,'Budget &amp; Revenue'!$A:$AM,25,FALSE)," ")</f>
        <v>0.85</v>
      </c>
      <c r="N94" s="204">
        <f>IFERROR(VLOOKUP($A94,'Budget &amp; Revenue'!$A:$AM,27,FALSE)," ")</f>
        <v>0.95</v>
      </c>
      <c r="O94" s="204">
        <f>IFERROR(VLOOKUP($A94,'Budget &amp; Revenue'!$A:$AM,29,FALSE)," ")</f>
        <v>1</v>
      </c>
      <c r="P94" s="204">
        <f>IFERROR(VLOOKUP($A94,'Budget &amp; Revenue'!$A:$AM,31,FALSE)," ")</f>
        <v>1</v>
      </c>
      <c r="Q94" s="204">
        <f>IFERROR(VLOOKUP($A94,'Budget &amp; Revenue'!$A:$AM,33,FALSE)," ")</f>
        <v>1</v>
      </c>
      <c r="R94" s="204">
        <f>IFERROR(VLOOKUP($A94,'Budget &amp; Revenue'!$A:$AM,35,FALSE)," ")</f>
        <v>1</v>
      </c>
      <c r="S94" s="204">
        <f>IFERROR(VLOOKUP($A94,'Budget &amp; Revenue'!$A:$AM,37,FALSE)," ")</f>
        <v>1</v>
      </c>
      <c r="T94" s="204">
        <f>IFERROR(VLOOKUP($A94,'Budget &amp; Revenue'!$A:$AM,39,FALSE)," ")</f>
        <v>1</v>
      </c>
    </row>
    <row r="95" spans="1:20" x14ac:dyDescent="0.25">
      <c r="A95" s="80">
        <v>92</v>
      </c>
      <c r="B95" s="201" t="str">
        <f>VLOOKUP(A95,Estimate!A:C,3,FALSE)</f>
        <v>Control of Traffic</v>
      </c>
      <c r="C95" s="80">
        <f>VLOOKUP(A95,Estimate!A:L,12,FALSE)</f>
        <v>20</v>
      </c>
      <c r="D95" s="234">
        <v>94</v>
      </c>
      <c r="E95" s="234" t="s">
        <v>3029</v>
      </c>
      <c r="F95" s="235">
        <f>IFERROR(VLOOKUP(A95,Estimate!A:Q,17,FALSE)," ")</f>
        <v>23292.48</v>
      </c>
      <c r="G95" s="204">
        <f>IFERROR(VLOOKUP($A95,'Budget &amp; Revenue'!$A:$AM,13,FALSE)," ")</f>
        <v>0</v>
      </c>
      <c r="H95" s="204">
        <f>IFERROR(VLOOKUP($A95,'Budget &amp; Revenue'!$A:$AM,15,FALSE)," ")</f>
        <v>0</v>
      </c>
      <c r="I95" s="204">
        <f>IFERROR(VLOOKUP($A95,'Budget &amp; Revenue'!$A:$AM,17,FALSE)," ")</f>
        <v>0</v>
      </c>
      <c r="J95" s="204">
        <f>IFERROR(VLOOKUP($A95,'Budget &amp; Revenue'!$A:$AM,19,FALSE)," ")</f>
        <v>0.25</v>
      </c>
      <c r="K95" s="204">
        <f>IFERROR(VLOOKUP($A95,'Budget &amp; Revenue'!$A:$AM,21,FALSE)," ")</f>
        <v>0.35</v>
      </c>
      <c r="L95" s="204">
        <f>IFERROR(VLOOKUP($A95,'Budget &amp; Revenue'!$A:$AM,23,FALSE)," ")</f>
        <v>0.75</v>
      </c>
      <c r="M95" s="204">
        <f>IFERROR(VLOOKUP($A95,'Budget &amp; Revenue'!$A:$AM,25,FALSE)," ")</f>
        <v>0.85</v>
      </c>
      <c r="N95" s="204">
        <f>IFERROR(VLOOKUP($A95,'Budget &amp; Revenue'!$A:$AM,27,FALSE)," ")</f>
        <v>0.95</v>
      </c>
      <c r="O95" s="204">
        <f>IFERROR(VLOOKUP($A95,'Budget &amp; Revenue'!$A:$AM,29,FALSE)," ")</f>
        <v>1</v>
      </c>
      <c r="P95" s="204">
        <f>IFERROR(VLOOKUP($A95,'Budget &amp; Revenue'!$A:$AM,31,FALSE)," ")</f>
        <v>1</v>
      </c>
      <c r="Q95" s="204">
        <f>IFERROR(VLOOKUP($A95,'Budget &amp; Revenue'!$A:$AM,33,FALSE)," ")</f>
        <v>1</v>
      </c>
      <c r="R95" s="204">
        <f>IFERROR(VLOOKUP($A95,'Budget &amp; Revenue'!$A:$AM,35,FALSE)," ")</f>
        <v>1</v>
      </c>
      <c r="S95" s="204">
        <f>IFERROR(VLOOKUP($A95,'Budget &amp; Revenue'!$A:$AM,37,FALSE)," ")</f>
        <v>1</v>
      </c>
      <c r="T95" s="204">
        <f>IFERROR(VLOOKUP($A95,'Budget &amp; Revenue'!$A:$AM,39,FALSE)," ")</f>
        <v>1</v>
      </c>
    </row>
    <row r="96" spans="1:20" ht="30" x14ac:dyDescent="0.25">
      <c r="A96" s="80">
        <v>93</v>
      </c>
      <c r="B96" s="201" t="str">
        <f>VLOOKUP(A96,Estimate!A:C,3,FALSE)</f>
        <v>Temporary Erosion &amp; Sedimentation Control (includes supply and installation of all components)</v>
      </c>
      <c r="C96" s="80">
        <f>VLOOKUP(A96,Estimate!A:L,12,FALSE)</f>
        <v>6</v>
      </c>
      <c r="D96" s="234" t="s">
        <v>3030</v>
      </c>
      <c r="E96" s="234" t="s">
        <v>3031</v>
      </c>
      <c r="F96" s="235">
        <f>IFERROR(VLOOKUP(A96,Estimate!A:Q,17,FALSE)," ")</f>
        <v>11050</v>
      </c>
      <c r="G96" s="204">
        <f>IFERROR(VLOOKUP($A96,'Budget &amp; Revenue'!$A:$AM,13,FALSE)," ")</f>
        <v>0</v>
      </c>
      <c r="H96" s="204">
        <f>IFERROR(VLOOKUP($A96,'Budget &amp; Revenue'!$A:$AM,15,FALSE)," ")</f>
        <v>0</v>
      </c>
      <c r="I96" s="204">
        <f>IFERROR(VLOOKUP($A96,'Budget &amp; Revenue'!$A:$AM,17,FALSE)," ")</f>
        <v>0</v>
      </c>
      <c r="J96" s="204">
        <f>IFERROR(VLOOKUP($A96,'Budget &amp; Revenue'!$A:$AM,19,FALSE)," ")</f>
        <v>0.25</v>
      </c>
      <c r="K96" s="204">
        <f>IFERROR(VLOOKUP($A96,'Budget &amp; Revenue'!$A:$AM,21,FALSE)," ")</f>
        <v>0.35</v>
      </c>
      <c r="L96" s="204">
        <f>IFERROR(VLOOKUP($A96,'Budget &amp; Revenue'!$A:$AM,23,FALSE)," ")</f>
        <v>0.75</v>
      </c>
      <c r="M96" s="204">
        <f>IFERROR(VLOOKUP($A96,'Budget &amp; Revenue'!$A:$AM,25,FALSE)," ")</f>
        <v>0.85</v>
      </c>
      <c r="N96" s="204">
        <f>IFERROR(VLOOKUP($A96,'Budget &amp; Revenue'!$A:$AM,27,FALSE)," ")</f>
        <v>0.95</v>
      </c>
      <c r="O96" s="204">
        <f>IFERROR(VLOOKUP($A96,'Budget &amp; Revenue'!$A:$AM,29,FALSE)," ")</f>
        <v>1</v>
      </c>
      <c r="P96" s="204">
        <f>IFERROR(VLOOKUP($A96,'Budget &amp; Revenue'!$A:$AM,31,FALSE)," ")</f>
        <v>1</v>
      </c>
      <c r="Q96" s="204">
        <f>IFERROR(VLOOKUP($A96,'Budget &amp; Revenue'!$A:$AM,33,FALSE)," ")</f>
        <v>1</v>
      </c>
      <c r="R96" s="204">
        <f>IFERROR(VLOOKUP($A96,'Budget &amp; Revenue'!$A:$AM,35,FALSE)," ")</f>
        <v>1</v>
      </c>
      <c r="S96" s="204">
        <f>IFERROR(VLOOKUP($A96,'Budget &amp; Revenue'!$A:$AM,37,FALSE)," ")</f>
        <v>1</v>
      </c>
      <c r="T96" s="204">
        <f>IFERROR(VLOOKUP($A96,'Budget &amp; Revenue'!$A:$AM,39,FALSE)," ")</f>
        <v>1</v>
      </c>
    </row>
    <row r="97" spans="1:20" ht="30" x14ac:dyDescent="0.25">
      <c r="A97" s="80">
        <v>94</v>
      </c>
      <c r="B97" s="201" t="str">
        <f>VLOOKUP(A97,Estimate!A:C,3,FALSE)</f>
        <v>Special Item - Demolition of Structure (concrete slabs, culverts, pipes etc)</v>
      </c>
      <c r="C97" s="80">
        <f>VLOOKUP(A97,Estimate!A:L,12,FALSE)</f>
        <v>2</v>
      </c>
      <c r="D97" s="234">
        <v>96</v>
      </c>
      <c r="E97" s="234">
        <v>99</v>
      </c>
      <c r="F97" s="235">
        <f>IFERROR(VLOOKUP(A97,Estimate!A:Q,17,FALSE)," ")</f>
        <v>10066.666666666666</v>
      </c>
      <c r="G97" s="204">
        <f>IFERROR(VLOOKUP($A97,'Budget &amp; Revenue'!$A:$AM,13,FALSE)," ")</f>
        <v>0</v>
      </c>
      <c r="H97" s="204">
        <f>IFERROR(VLOOKUP($A97,'Budget &amp; Revenue'!$A:$AM,15,FALSE)," ")</f>
        <v>0</v>
      </c>
      <c r="I97" s="204">
        <f>IFERROR(VLOOKUP($A97,'Budget &amp; Revenue'!$A:$AM,17,FALSE)," ")</f>
        <v>0</v>
      </c>
      <c r="J97" s="204">
        <f>IFERROR(VLOOKUP($A97,'Budget &amp; Revenue'!$A:$AM,19,FALSE)," ")</f>
        <v>0.5</v>
      </c>
      <c r="K97" s="204">
        <f>IFERROR(VLOOKUP($A97,'Budget &amp; Revenue'!$A:$AM,21,FALSE)," ")</f>
        <v>1</v>
      </c>
      <c r="L97" s="204">
        <f>IFERROR(VLOOKUP($A97,'Budget &amp; Revenue'!$A:$AM,23,FALSE)," ")</f>
        <v>1</v>
      </c>
      <c r="M97" s="204">
        <f>IFERROR(VLOOKUP($A97,'Budget &amp; Revenue'!$A:$AM,25,FALSE)," ")</f>
        <v>1</v>
      </c>
      <c r="N97" s="204">
        <f>IFERROR(VLOOKUP($A97,'Budget &amp; Revenue'!$A:$AM,27,FALSE)," ")</f>
        <v>1</v>
      </c>
      <c r="O97" s="204">
        <f>IFERROR(VLOOKUP($A97,'Budget &amp; Revenue'!$A:$AM,29,FALSE)," ")</f>
        <v>1</v>
      </c>
      <c r="P97" s="204">
        <f>IFERROR(VLOOKUP($A97,'Budget &amp; Revenue'!$A:$AM,31,FALSE)," ")</f>
        <v>1</v>
      </c>
      <c r="Q97" s="204">
        <f>IFERROR(VLOOKUP($A97,'Budget &amp; Revenue'!$A:$AM,33,FALSE)," ")</f>
        <v>1</v>
      </c>
      <c r="R97" s="204">
        <f>IFERROR(VLOOKUP($A97,'Budget &amp; Revenue'!$A:$AM,35,FALSE)," ")</f>
        <v>1</v>
      </c>
      <c r="S97" s="204">
        <f>IFERROR(VLOOKUP($A97,'Budget &amp; Revenue'!$A:$AM,37,FALSE)," ")</f>
        <v>1</v>
      </c>
      <c r="T97" s="204">
        <f>IFERROR(VLOOKUP($A97,'Budget &amp; Revenue'!$A:$AM,39,FALSE)," ")</f>
        <v>1</v>
      </c>
    </row>
    <row r="98" spans="1:20" x14ac:dyDescent="0.25">
      <c r="A98" s="80">
        <v>95</v>
      </c>
      <c r="B98" s="201" t="str">
        <f>VLOOKUP(A98,Estimate!A:C,3,FALSE)</f>
        <v>General Earthworks Cut</v>
      </c>
      <c r="C98" s="80">
        <f>VLOOKUP(A98,Estimate!A:L,12,FALSE)</f>
        <v>6</v>
      </c>
      <c r="D98" s="234">
        <v>96</v>
      </c>
      <c r="E98" s="234">
        <v>107</v>
      </c>
      <c r="F98" s="235">
        <f>IFERROR(VLOOKUP(A98,Estimate!A:Q,17,FALSE)," ")</f>
        <v>29655.241379310348</v>
      </c>
      <c r="G98" s="204">
        <f>IFERROR(VLOOKUP($A98,'Budget &amp; Revenue'!$A:$AM,13,FALSE)," ")</f>
        <v>0</v>
      </c>
      <c r="H98" s="204">
        <f>IFERROR(VLOOKUP($A98,'Budget &amp; Revenue'!$A:$AM,15,FALSE)," ")</f>
        <v>0</v>
      </c>
      <c r="I98" s="204">
        <f>IFERROR(VLOOKUP($A98,'Budget &amp; Revenue'!$A:$AM,17,FALSE)," ")</f>
        <v>0</v>
      </c>
      <c r="J98" s="204">
        <f>IFERROR(VLOOKUP($A98,'Budget &amp; Revenue'!$A:$AM,19,FALSE)," ")</f>
        <v>0.33076923076923076</v>
      </c>
      <c r="K98" s="204">
        <f>IFERROR(VLOOKUP($A98,'Budget &amp; Revenue'!$A:$AM,21,FALSE)," ")</f>
        <v>0.7503496503496504</v>
      </c>
      <c r="L98" s="204">
        <f>IFERROR(VLOOKUP($A98,'Budget &amp; Revenue'!$A:$AM,23,FALSE)," ")</f>
        <v>1</v>
      </c>
      <c r="M98" s="204">
        <f>IFERROR(VLOOKUP($A98,'Budget &amp; Revenue'!$A:$AM,25,FALSE)," ")</f>
        <v>1</v>
      </c>
      <c r="N98" s="204">
        <f>IFERROR(VLOOKUP($A98,'Budget &amp; Revenue'!$A:$AM,27,FALSE)," ")</f>
        <v>1</v>
      </c>
      <c r="O98" s="204">
        <f>IFERROR(VLOOKUP($A98,'Budget &amp; Revenue'!$A:$AM,29,FALSE)," ")</f>
        <v>1</v>
      </c>
      <c r="P98" s="204">
        <f>IFERROR(VLOOKUP($A98,'Budget &amp; Revenue'!$A:$AM,31,FALSE)," ")</f>
        <v>1</v>
      </c>
      <c r="Q98" s="204">
        <f>IFERROR(VLOOKUP($A98,'Budget &amp; Revenue'!$A:$AM,33,FALSE)," ")</f>
        <v>1</v>
      </c>
      <c r="R98" s="204">
        <f>IFERROR(VLOOKUP($A98,'Budget &amp; Revenue'!$A:$AM,35,FALSE)," ")</f>
        <v>1</v>
      </c>
      <c r="S98" s="204">
        <f>IFERROR(VLOOKUP($A98,'Budget &amp; Revenue'!$A:$AM,37,FALSE)," ")</f>
        <v>1</v>
      </c>
      <c r="T98" s="204">
        <f>IFERROR(VLOOKUP($A98,'Budget &amp; Revenue'!$A:$AM,39,FALSE)," ")</f>
        <v>1</v>
      </c>
    </row>
    <row r="99" spans="1:20" x14ac:dyDescent="0.25">
      <c r="A99" s="80">
        <v>96</v>
      </c>
      <c r="B99" s="201" t="str">
        <f>VLOOKUP(A99,Estimate!A:C,3,FALSE)</f>
        <v xml:space="preserve"> Removal / Demolition of Drainage Components complete</v>
      </c>
      <c r="C99" s="80">
        <f>VLOOKUP(A99,Estimate!A:L,12,FALSE)</f>
        <v>2</v>
      </c>
      <c r="D99" s="234">
        <v>97</v>
      </c>
      <c r="E99" s="234">
        <v>100</v>
      </c>
      <c r="F99" s="235">
        <f>IFERROR(VLOOKUP(A99,Estimate!A:Q,17,FALSE)," ")</f>
        <v>5490.9090909090919</v>
      </c>
      <c r="G99" s="204">
        <f>IFERROR(VLOOKUP($A99,'Budget &amp; Revenue'!$A:$AM,13,FALSE)," ")</f>
        <v>0</v>
      </c>
      <c r="H99" s="204">
        <f>IFERROR(VLOOKUP($A99,'Budget &amp; Revenue'!$A:$AM,15,FALSE)," ")</f>
        <v>0</v>
      </c>
      <c r="I99" s="204">
        <f>IFERROR(VLOOKUP($A99,'Budget &amp; Revenue'!$A:$AM,17,FALSE)," ")</f>
        <v>0</v>
      </c>
      <c r="J99" s="204">
        <f>IFERROR(VLOOKUP($A99,'Budget &amp; Revenue'!$A:$AM,19,FALSE)," ")</f>
        <v>1</v>
      </c>
      <c r="K99" s="204">
        <f>IFERROR(VLOOKUP($A99,'Budget &amp; Revenue'!$A:$AM,21,FALSE)," ")</f>
        <v>1</v>
      </c>
      <c r="L99" s="204">
        <f>IFERROR(VLOOKUP($A99,'Budget &amp; Revenue'!$A:$AM,23,FALSE)," ")</f>
        <v>1</v>
      </c>
      <c r="M99" s="204">
        <f>IFERROR(VLOOKUP($A99,'Budget &amp; Revenue'!$A:$AM,25,FALSE)," ")</f>
        <v>1</v>
      </c>
      <c r="N99" s="204">
        <f>IFERROR(VLOOKUP($A99,'Budget &amp; Revenue'!$A:$AM,27,FALSE)," ")</f>
        <v>1</v>
      </c>
      <c r="O99" s="204">
        <f>IFERROR(VLOOKUP($A99,'Budget &amp; Revenue'!$A:$AM,29,FALSE)," ")</f>
        <v>1</v>
      </c>
      <c r="P99" s="204">
        <f>IFERROR(VLOOKUP($A99,'Budget &amp; Revenue'!$A:$AM,31,FALSE)," ")</f>
        <v>1</v>
      </c>
      <c r="Q99" s="204">
        <f>IFERROR(VLOOKUP($A99,'Budget &amp; Revenue'!$A:$AM,33,FALSE)," ")</f>
        <v>1</v>
      </c>
      <c r="R99" s="204">
        <f>IFERROR(VLOOKUP($A99,'Budget &amp; Revenue'!$A:$AM,35,FALSE)," ")</f>
        <v>1</v>
      </c>
      <c r="S99" s="204">
        <f>IFERROR(VLOOKUP($A99,'Budget &amp; Revenue'!$A:$AM,37,FALSE)," ")</f>
        <v>1</v>
      </c>
      <c r="T99" s="204">
        <f>IFERROR(VLOOKUP($A99,'Budget &amp; Revenue'!$A:$AM,39,FALSE)," ")</f>
        <v>1</v>
      </c>
    </row>
    <row r="100" spans="1:20" ht="30" x14ac:dyDescent="0.25">
      <c r="A100" s="80">
        <v>97</v>
      </c>
      <c r="B100" s="201" t="str">
        <f>VLOOKUP(A100,Estimate!A:C,3,FALSE)</f>
        <v>Alteration to Existing Stormwater Structures (Break new RCP's into existing RCBC - 4 Nos)</v>
      </c>
      <c r="C100" s="80">
        <f>VLOOKUP(A100,Estimate!A:L,12,FALSE)</f>
        <v>8</v>
      </c>
      <c r="D100" s="234">
        <v>99</v>
      </c>
      <c r="E100" s="234">
        <v>101</v>
      </c>
      <c r="F100" s="235">
        <f>IFERROR(VLOOKUP(A100,Estimate!A:Q,17,FALSE)," ")</f>
        <v>9600</v>
      </c>
      <c r="G100" s="204">
        <f>IFERROR(VLOOKUP($A100,'Budget &amp; Revenue'!$A:$AM,13,FALSE)," ")</f>
        <v>0</v>
      </c>
      <c r="H100" s="204">
        <f>IFERROR(VLOOKUP($A100,'Budget &amp; Revenue'!$A:$AM,15,FALSE)," ")</f>
        <v>0</v>
      </c>
      <c r="I100" s="204">
        <f>IFERROR(VLOOKUP($A100,'Budget &amp; Revenue'!$A:$AM,17,FALSE)," ")</f>
        <v>0</v>
      </c>
      <c r="J100" s="204">
        <f>IFERROR(VLOOKUP($A100,'Budget &amp; Revenue'!$A:$AM,19,FALSE)," ")</f>
        <v>1</v>
      </c>
      <c r="K100" s="204">
        <f>IFERROR(VLOOKUP($A100,'Budget &amp; Revenue'!$A:$AM,21,FALSE)," ")</f>
        <v>1</v>
      </c>
      <c r="L100" s="204">
        <f>IFERROR(VLOOKUP($A100,'Budget &amp; Revenue'!$A:$AM,23,FALSE)," ")</f>
        <v>1</v>
      </c>
      <c r="M100" s="204">
        <f>IFERROR(VLOOKUP($A100,'Budget &amp; Revenue'!$A:$AM,25,FALSE)," ")</f>
        <v>1</v>
      </c>
      <c r="N100" s="204">
        <f>IFERROR(VLOOKUP($A100,'Budget &amp; Revenue'!$A:$AM,27,FALSE)," ")</f>
        <v>1</v>
      </c>
      <c r="O100" s="204">
        <f>IFERROR(VLOOKUP($A100,'Budget &amp; Revenue'!$A:$AM,29,FALSE)," ")</f>
        <v>1</v>
      </c>
      <c r="P100" s="204">
        <f>IFERROR(VLOOKUP($A100,'Budget &amp; Revenue'!$A:$AM,31,FALSE)," ")</f>
        <v>1</v>
      </c>
      <c r="Q100" s="204">
        <f>IFERROR(VLOOKUP($A100,'Budget &amp; Revenue'!$A:$AM,33,FALSE)," ")</f>
        <v>1</v>
      </c>
      <c r="R100" s="204">
        <f>IFERROR(VLOOKUP($A100,'Budget &amp; Revenue'!$A:$AM,35,FALSE)," ")</f>
        <v>1</v>
      </c>
      <c r="S100" s="204">
        <f>IFERROR(VLOOKUP($A100,'Budget &amp; Revenue'!$A:$AM,37,FALSE)," ")</f>
        <v>1</v>
      </c>
      <c r="T100" s="204">
        <f>IFERROR(VLOOKUP($A100,'Budget &amp; Revenue'!$A:$AM,39,FALSE)," ")</f>
        <v>1</v>
      </c>
    </row>
    <row r="101" spans="1:20" x14ac:dyDescent="0.25">
      <c r="A101" s="80">
        <v>98</v>
      </c>
      <c r="B101" s="201" t="str">
        <f>VLOOKUP(A101,Estimate!A:C,3,FALSE)</f>
        <v>375mm dia Class 2, Flush Joint</v>
      </c>
      <c r="C101" s="80">
        <f>VLOOKUP(A101,Estimate!A:L,12,FALSE)</f>
        <v>1</v>
      </c>
      <c r="D101" s="234">
        <v>100</v>
      </c>
      <c r="E101" s="234">
        <v>102</v>
      </c>
      <c r="F101" s="235">
        <f>IFERROR(VLOOKUP(A101,Estimate!A:Q,17,FALSE)," ")</f>
        <v>1893.5897424657535</v>
      </c>
      <c r="G101" s="204">
        <f>IFERROR(VLOOKUP($A101,'Budget &amp; Revenue'!$A:$AM,13,FALSE)," ")</f>
        <v>0</v>
      </c>
      <c r="H101" s="204">
        <f>IFERROR(VLOOKUP($A101,'Budget &amp; Revenue'!$A:$AM,15,FALSE)," ")</f>
        <v>0</v>
      </c>
      <c r="I101" s="204">
        <f>IFERROR(VLOOKUP($A101,'Budget &amp; Revenue'!$A:$AM,17,FALSE)," ")</f>
        <v>0</v>
      </c>
      <c r="J101" s="204">
        <f>IFERROR(VLOOKUP($A101,'Budget &amp; Revenue'!$A:$AM,19,FALSE)," ")</f>
        <v>1</v>
      </c>
      <c r="K101" s="204">
        <f>IFERROR(VLOOKUP($A101,'Budget &amp; Revenue'!$A:$AM,21,FALSE)," ")</f>
        <v>1</v>
      </c>
      <c r="L101" s="204">
        <f>IFERROR(VLOOKUP($A101,'Budget &amp; Revenue'!$A:$AM,23,FALSE)," ")</f>
        <v>1</v>
      </c>
      <c r="M101" s="204">
        <f>IFERROR(VLOOKUP($A101,'Budget &amp; Revenue'!$A:$AM,25,FALSE)," ")</f>
        <v>1</v>
      </c>
      <c r="N101" s="204">
        <f>IFERROR(VLOOKUP($A101,'Budget &amp; Revenue'!$A:$AM,27,FALSE)," ")</f>
        <v>1</v>
      </c>
      <c r="O101" s="204">
        <f>IFERROR(VLOOKUP($A101,'Budget &amp; Revenue'!$A:$AM,29,FALSE)," ")</f>
        <v>1</v>
      </c>
      <c r="P101" s="204">
        <f>IFERROR(VLOOKUP($A101,'Budget &amp; Revenue'!$A:$AM,31,FALSE)," ")</f>
        <v>1</v>
      </c>
      <c r="Q101" s="204">
        <f>IFERROR(VLOOKUP($A101,'Budget &amp; Revenue'!$A:$AM,33,FALSE)," ")</f>
        <v>1</v>
      </c>
      <c r="R101" s="204">
        <f>IFERROR(VLOOKUP($A101,'Budget &amp; Revenue'!$A:$AM,35,FALSE)," ")</f>
        <v>1</v>
      </c>
      <c r="S101" s="204">
        <f>IFERROR(VLOOKUP($A101,'Budget &amp; Revenue'!$A:$AM,37,FALSE)," ")</f>
        <v>1</v>
      </c>
      <c r="T101" s="204">
        <f>IFERROR(VLOOKUP($A101,'Budget &amp; Revenue'!$A:$AM,39,FALSE)," ")</f>
        <v>1</v>
      </c>
    </row>
    <row r="102" spans="1:20" x14ac:dyDescent="0.25">
      <c r="A102" s="80">
        <v>99</v>
      </c>
      <c r="B102" s="201" t="str">
        <f>VLOOKUP(A102,Estimate!A:C,3,FALSE)</f>
        <v>375mm dia Class 3, Flush Joint</v>
      </c>
      <c r="C102" s="80">
        <f>VLOOKUP(A102,Estimate!A:L,12,FALSE)</f>
        <v>1</v>
      </c>
      <c r="D102" s="234">
        <v>101</v>
      </c>
      <c r="E102" s="234">
        <v>103</v>
      </c>
      <c r="F102" s="235">
        <f>IFERROR(VLOOKUP(A102,Estimate!A:Q,17,FALSE)," ")</f>
        <v>2668.5072842105264</v>
      </c>
      <c r="G102" s="204">
        <f>IFERROR(VLOOKUP($A102,'Budget &amp; Revenue'!$A:$AM,13,FALSE)," ")</f>
        <v>0</v>
      </c>
      <c r="H102" s="204">
        <f>IFERROR(VLOOKUP($A102,'Budget &amp; Revenue'!$A:$AM,15,FALSE)," ")</f>
        <v>0</v>
      </c>
      <c r="I102" s="204">
        <f>IFERROR(VLOOKUP($A102,'Budget &amp; Revenue'!$A:$AM,17,FALSE)," ")</f>
        <v>0</v>
      </c>
      <c r="J102" s="204">
        <f>IFERROR(VLOOKUP($A102,'Budget &amp; Revenue'!$A:$AM,19,FALSE)," ")</f>
        <v>1</v>
      </c>
      <c r="K102" s="204">
        <f>IFERROR(VLOOKUP($A102,'Budget &amp; Revenue'!$A:$AM,21,FALSE)," ")</f>
        <v>1</v>
      </c>
      <c r="L102" s="204">
        <f>IFERROR(VLOOKUP($A102,'Budget &amp; Revenue'!$A:$AM,23,FALSE)," ")</f>
        <v>1</v>
      </c>
      <c r="M102" s="204">
        <f>IFERROR(VLOOKUP($A102,'Budget &amp; Revenue'!$A:$AM,25,FALSE)," ")</f>
        <v>1</v>
      </c>
      <c r="N102" s="204">
        <f>IFERROR(VLOOKUP($A102,'Budget &amp; Revenue'!$A:$AM,27,FALSE)," ")</f>
        <v>1</v>
      </c>
      <c r="O102" s="204">
        <f>IFERROR(VLOOKUP($A102,'Budget &amp; Revenue'!$A:$AM,29,FALSE)," ")</f>
        <v>1</v>
      </c>
      <c r="P102" s="204">
        <f>IFERROR(VLOOKUP($A102,'Budget &amp; Revenue'!$A:$AM,31,FALSE)," ")</f>
        <v>1</v>
      </c>
      <c r="Q102" s="204">
        <f>IFERROR(VLOOKUP($A102,'Budget &amp; Revenue'!$A:$AM,33,FALSE)," ")</f>
        <v>1</v>
      </c>
      <c r="R102" s="204">
        <f>IFERROR(VLOOKUP($A102,'Budget &amp; Revenue'!$A:$AM,35,FALSE)," ")</f>
        <v>1</v>
      </c>
      <c r="S102" s="204">
        <f>IFERROR(VLOOKUP($A102,'Budget &amp; Revenue'!$A:$AM,37,FALSE)," ")</f>
        <v>1</v>
      </c>
      <c r="T102" s="204">
        <f>IFERROR(VLOOKUP($A102,'Budget &amp; Revenue'!$A:$AM,39,FALSE)," ")</f>
        <v>1</v>
      </c>
    </row>
    <row r="103" spans="1:20" x14ac:dyDescent="0.25">
      <c r="A103" s="80">
        <v>100</v>
      </c>
      <c r="B103" s="201" t="str">
        <f>VLOOKUP(A103,Estimate!A:C,3,FALSE)</f>
        <v>Renew Property Drainage connections</v>
      </c>
      <c r="C103" s="80">
        <f>VLOOKUP(A103,Estimate!A:L,12,FALSE)</f>
        <v>4</v>
      </c>
      <c r="D103" s="234">
        <v>102</v>
      </c>
      <c r="E103" s="234">
        <v>104</v>
      </c>
      <c r="F103" s="235">
        <f>IFERROR(VLOOKUP(A103,Estimate!A:Q,17,FALSE)," ")</f>
        <v>6320</v>
      </c>
      <c r="G103" s="204">
        <f>IFERROR(VLOOKUP($A103,'Budget &amp; Revenue'!$A:$AM,13,FALSE)," ")</f>
        <v>0</v>
      </c>
      <c r="H103" s="204">
        <f>IFERROR(VLOOKUP($A103,'Budget &amp; Revenue'!$A:$AM,15,FALSE)," ")</f>
        <v>0</v>
      </c>
      <c r="I103" s="204">
        <f>IFERROR(VLOOKUP($A103,'Budget &amp; Revenue'!$A:$AM,17,FALSE)," ")</f>
        <v>0</v>
      </c>
      <c r="J103" s="204">
        <f>IFERROR(VLOOKUP($A103,'Budget &amp; Revenue'!$A:$AM,19,FALSE)," ")</f>
        <v>0</v>
      </c>
      <c r="K103" s="204">
        <f>IFERROR(VLOOKUP($A103,'Budget &amp; Revenue'!$A:$AM,21,FALSE)," ")</f>
        <v>0</v>
      </c>
      <c r="L103" s="204">
        <f>IFERROR(VLOOKUP($A103,'Budget &amp; Revenue'!$A:$AM,23,FALSE)," ")</f>
        <v>0.82</v>
      </c>
      <c r="M103" s="204">
        <f>IFERROR(VLOOKUP($A103,'Budget &amp; Revenue'!$A:$AM,25,FALSE)," ")</f>
        <v>1</v>
      </c>
      <c r="N103" s="204">
        <f>IFERROR(VLOOKUP($A103,'Budget &amp; Revenue'!$A:$AM,27,FALSE)," ")</f>
        <v>1</v>
      </c>
      <c r="O103" s="204">
        <f>IFERROR(VLOOKUP($A103,'Budget &amp; Revenue'!$A:$AM,29,FALSE)," ")</f>
        <v>1</v>
      </c>
      <c r="P103" s="204">
        <f>IFERROR(VLOOKUP($A103,'Budget &amp; Revenue'!$A:$AM,31,FALSE)," ")</f>
        <v>1</v>
      </c>
      <c r="Q103" s="204">
        <f>IFERROR(VLOOKUP($A103,'Budget &amp; Revenue'!$A:$AM,33,FALSE)," ")</f>
        <v>1</v>
      </c>
      <c r="R103" s="204">
        <f>IFERROR(VLOOKUP($A103,'Budget &amp; Revenue'!$A:$AM,35,FALSE)," ")</f>
        <v>1</v>
      </c>
      <c r="S103" s="204">
        <f>IFERROR(VLOOKUP($A103,'Budget &amp; Revenue'!$A:$AM,37,FALSE)," ")</f>
        <v>1</v>
      </c>
      <c r="T103" s="204">
        <f>IFERROR(VLOOKUP($A103,'Budget &amp; Revenue'!$A:$AM,39,FALSE)," ")</f>
        <v>1</v>
      </c>
    </row>
    <row r="104" spans="1:20" x14ac:dyDescent="0.25">
      <c r="A104" s="80">
        <v>101</v>
      </c>
      <c r="B104" s="201" t="str">
        <f>VLOOKUP(A104,Estimate!A:C,3,FALSE)</f>
        <v>MCC Type A Gully Pit</v>
      </c>
      <c r="C104" s="80">
        <f>VLOOKUP(A104,Estimate!A:L,12,FALSE)</f>
        <v>10</v>
      </c>
      <c r="D104" s="234">
        <v>103</v>
      </c>
      <c r="E104" s="236">
        <v>106259262</v>
      </c>
      <c r="F104" s="235">
        <f>IFERROR(VLOOKUP(A104,Estimate!A:Q,17,FALSE)," ")</f>
        <v>14020</v>
      </c>
      <c r="G104" s="204">
        <f>IFERROR(VLOOKUP($A104,'Budget &amp; Revenue'!$A:$AM,13,FALSE)," ")</f>
        <v>0</v>
      </c>
      <c r="H104" s="204">
        <f>IFERROR(VLOOKUP($A104,'Budget &amp; Revenue'!$A:$AM,15,FALSE)," ")</f>
        <v>0</v>
      </c>
      <c r="I104" s="204">
        <f>IFERROR(VLOOKUP($A104,'Budget &amp; Revenue'!$A:$AM,17,FALSE)," ")</f>
        <v>0</v>
      </c>
      <c r="J104" s="204">
        <f>IFERROR(VLOOKUP($A104,'Budget &amp; Revenue'!$A:$AM,19,FALSE)," ")</f>
        <v>1</v>
      </c>
      <c r="K104" s="204">
        <f>IFERROR(VLOOKUP($A104,'Budget &amp; Revenue'!$A:$AM,21,FALSE)," ")</f>
        <v>0.75</v>
      </c>
      <c r="L104" s="204">
        <f>IFERROR(VLOOKUP($A104,'Budget &amp; Revenue'!$A:$AM,23,FALSE)," ")</f>
        <v>0.75</v>
      </c>
      <c r="M104" s="204">
        <f>IFERROR(VLOOKUP($A104,'Budget &amp; Revenue'!$A:$AM,25,FALSE)," ")</f>
        <v>1</v>
      </c>
      <c r="N104" s="204">
        <f>IFERROR(VLOOKUP($A104,'Budget &amp; Revenue'!$A:$AM,27,FALSE)," ")</f>
        <v>1</v>
      </c>
      <c r="O104" s="204">
        <f>IFERROR(VLOOKUP($A104,'Budget &amp; Revenue'!$A:$AM,29,FALSE)," ")</f>
        <v>1</v>
      </c>
      <c r="P104" s="204">
        <f>IFERROR(VLOOKUP($A104,'Budget &amp; Revenue'!$A:$AM,31,FALSE)," ")</f>
        <v>1</v>
      </c>
      <c r="Q104" s="204">
        <f>IFERROR(VLOOKUP($A104,'Budget &amp; Revenue'!$A:$AM,33,FALSE)," ")</f>
        <v>1</v>
      </c>
      <c r="R104" s="204">
        <f>IFERROR(VLOOKUP($A104,'Budget &amp; Revenue'!$A:$AM,35,FALSE)," ")</f>
        <v>1</v>
      </c>
      <c r="S104" s="204">
        <f>IFERROR(VLOOKUP($A104,'Budget &amp; Revenue'!$A:$AM,37,FALSE)," ")</f>
        <v>1</v>
      </c>
      <c r="T104" s="204">
        <f>IFERROR(VLOOKUP($A104,'Budget &amp; Revenue'!$A:$AM,39,FALSE)," ")</f>
        <v>1</v>
      </c>
    </row>
    <row r="105" spans="1:20" x14ac:dyDescent="0.25">
      <c r="A105" s="80">
        <v>102</v>
      </c>
      <c r="B105" s="201" t="str">
        <f>VLOOKUP(A105,Estimate!A:C,3,FALSE)</f>
        <v>(i)  Concrete Barrier Kerb &amp; Channel B1 complete</v>
      </c>
      <c r="C105" s="80">
        <f>VLOOKUP(A105,Estimate!A:L,12,FALSE)</f>
        <v>3</v>
      </c>
      <c r="D105" s="234">
        <v>106</v>
      </c>
      <c r="E105" s="234">
        <v>110</v>
      </c>
      <c r="F105" s="235">
        <f>IFERROR(VLOOKUP(A105,Estimate!A:Q,17,FALSE)," ")</f>
        <v>27857.424186046512</v>
      </c>
      <c r="G105" s="204">
        <f>IFERROR(VLOOKUP($A105,'Budget &amp; Revenue'!$A:$AM,13,FALSE)," ")</f>
        <v>0</v>
      </c>
      <c r="H105" s="204">
        <f>IFERROR(VLOOKUP($A105,'Budget &amp; Revenue'!$A:$AM,15,FALSE)," ")</f>
        <v>0</v>
      </c>
      <c r="I105" s="204">
        <f>IFERROR(VLOOKUP($A105,'Budget &amp; Revenue'!$A:$AM,17,FALSE)," ")</f>
        <v>0</v>
      </c>
      <c r="J105" s="204">
        <f>IFERROR(VLOOKUP($A105,'Budget &amp; Revenue'!$A:$AM,19,FALSE)," ")</f>
        <v>0</v>
      </c>
      <c r="K105" s="204">
        <f>IFERROR(VLOOKUP($A105,'Budget &amp; Revenue'!$A:$AM,21,FALSE)," ")</f>
        <v>0.47709923664122139</v>
      </c>
      <c r="L105" s="204">
        <f>IFERROR(VLOOKUP($A105,'Budget &amp; Revenue'!$A:$AM,23,FALSE)," ")</f>
        <v>0.47709923664122139</v>
      </c>
      <c r="M105" s="204">
        <f>IFERROR(VLOOKUP($A105,'Budget &amp; Revenue'!$A:$AM,25,FALSE)," ")</f>
        <v>1</v>
      </c>
      <c r="N105" s="204">
        <f>IFERROR(VLOOKUP($A105,'Budget &amp; Revenue'!$A:$AM,27,FALSE)," ")</f>
        <v>1</v>
      </c>
      <c r="O105" s="204">
        <f>IFERROR(VLOOKUP($A105,'Budget &amp; Revenue'!$A:$AM,29,FALSE)," ")</f>
        <v>1</v>
      </c>
      <c r="P105" s="204">
        <f>IFERROR(VLOOKUP($A105,'Budget &amp; Revenue'!$A:$AM,31,FALSE)," ")</f>
        <v>1</v>
      </c>
      <c r="Q105" s="204">
        <f>IFERROR(VLOOKUP($A105,'Budget &amp; Revenue'!$A:$AM,33,FALSE)," ")</f>
        <v>1</v>
      </c>
      <c r="R105" s="204">
        <f>IFERROR(VLOOKUP($A105,'Budget &amp; Revenue'!$A:$AM,35,FALSE)," ")</f>
        <v>1</v>
      </c>
      <c r="S105" s="204">
        <f>IFERROR(VLOOKUP($A105,'Budget &amp; Revenue'!$A:$AM,37,FALSE)," ")</f>
        <v>1</v>
      </c>
      <c r="T105" s="204">
        <f>IFERROR(VLOOKUP($A105,'Budget &amp; Revenue'!$A:$AM,39,FALSE)," ")</f>
        <v>1</v>
      </c>
    </row>
    <row r="106" spans="1:20" x14ac:dyDescent="0.25">
      <c r="A106" s="80">
        <v>103</v>
      </c>
      <c r="B106" s="201" t="str">
        <f>VLOOKUP(A106,Estimate!A:C,3,FALSE)</f>
        <v>(ii)  Concrete Mountable Kerb &amp; Channel M1 complete</v>
      </c>
      <c r="C106" s="80">
        <f>VLOOKUP(A106,Estimate!A:L,12,FALSE)</f>
        <v>1</v>
      </c>
      <c r="D106" s="236">
        <v>104109259263</v>
      </c>
      <c r="E106" s="234">
        <v>105</v>
      </c>
      <c r="F106" s="235">
        <f>IFERROR(VLOOKUP(A106,Estimate!A:Q,17,FALSE)," ")</f>
        <v>2354.94</v>
      </c>
      <c r="G106" s="204">
        <f>IFERROR(VLOOKUP($A106,'Budget &amp; Revenue'!$A:$AM,13,FALSE)," ")</f>
        <v>0</v>
      </c>
      <c r="H106" s="204">
        <f>IFERROR(VLOOKUP($A106,'Budget &amp; Revenue'!$A:$AM,15,FALSE)," ")</f>
        <v>0</v>
      </c>
      <c r="I106" s="204">
        <f>IFERROR(VLOOKUP($A106,'Budget &amp; Revenue'!$A:$AM,17,FALSE)," ")</f>
        <v>0</v>
      </c>
      <c r="J106" s="204">
        <f>IFERROR(VLOOKUP($A106,'Budget &amp; Revenue'!$A:$AM,19,FALSE)," ")</f>
        <v>0</v>
      </c>
      <c r="K106" s="204">
        <f>IFERROR(VLOOKUP($A106,'Budget &amp; Revenue'!$A:$AM,21,FALSE)," ")</f>
        <v>0.32307692307692309</v>
      </c>
      <c r="L106" s="204">
        <f>IFERROR(VLOOKUP($A106,'Budget &amp; Revenue'!$A:$AM,23,FALSE)," ")</f>
        <v>0.32307692307692309</v>
      </c>
      <c r="M106" s="204">
        <f>IFERROR(VLOOKUP($A106,'Budget &amp; Revenue'!$A:$AM,25,FALSE)," ")</f>
        <v>0.32307692307692309</v>
      </c>
      <c r="N106" s="204">
        <f>IFERROR(VLOOKUP($A106,'Budget &amp; Revenue'!$A:$AM,27,FALSE)," ")</f>
        <v>0.32307692307692309</v>
      </c>
      <c r="O106" s="204">
        <f>IFERROR(VLOOKUP($A106,'Budget &amp; Revenue'!$A:$AM,29,FALSE)," ")</f>
        <v>0.32307692307692309</v>
      </c>
      <c r="P106" s="204">
        <f>IFERROR(VLOOKUP($A106,'Budget &amp; Revenue'!$A:$AM,31,FALSE)," ")</f>
        <v>0.32307692307692309</v>
      </c>
      <c r="Q106" s="204">
        <f>IFERROR(VLOOKUP($A106,'Budget &amp; Revenue'!$A:$AM,33,FALSE)," ")</f>
        <v>0.32307692307692309</v>
      </c>
      <c r="R106" s="204">
        <f>IFERROR(VLOOKUP($A106,'Budget &amp; Revenue'!$A:$AM,35,FALSE)," ")</f>
        <v>0.32307692307692309</v>
      </c>
      <c r="S106" s="204">
        <f>IFERROR(VLOOKUP($A106,'Budget &amp; Revenue'!$A:$AM,37,FALSE)," ")</f>
        <v>0.32307692307692309</v>
      </c>
      <c r="T106" s="204">
        <f>IFERROR(VLOOKUP($A106,'Budget &amp; Revenue'!$A:$AM,39,FALSE)," ")</f>
        <v>0.32307692307692309</v>
      </c>
    </row>
    <row r="107" spans="1:20" x14ac:dyDescent="0.25">
      <c r="A107" s="80">
        <v>104</v>
      </c>
      <c r="B107" s="201" t="str">
        <f>VLOOKUP(A107,Estimate!A:C,3,FALSE)</f>
        <v>(i)  100mm dia Slotted Corrugated Plastic Pipe</v>
      </c>
      <c r="C107" s="80">
        <f>VLOOKUP(A107,Estimate!A:L,12,FALSE)</f>
        <v>5</v>
      </c>
      <c r="D107" s="234">
        <v>98</v>
      </c>
      <c r="E107" s="234" t="s">
        <v>3032</v>
      </c>
      <c r="F107" s="235">
        <f>IFERROR(VLOOKUP(A107,Estimate!A:Q,17,FALSE)," ")</f>
        <v>20269.577789378938</v>
      </c>
      <c r="G107" s="204">
        <f>IFERROR(VLOOKUP($A107,'Budget &amp; Revenue'!$A:$AM,13,FALSE)," ")</f>
        <v>0</v>
      </c>
      <c r="H107" s="204">
        <f>IFERROR(VLOOKUP($A107,'Budget &amp; Revenue'!$A:$AM,15,FALSE)," ")</f>
        <v>0</v>
      </c>
      <c r="I107" s="204">
        <f>IFERROR(VLOOKUP($A107,'Budget &amp; Revenue'!$A:$AM,17,FALSE)," ")</f>
        <v>0</v>
      </c>
      <c r="J107" s="204">
        <f>IFERROR(VLOOKUP($A107,'Budget &amp; Revenue'!$A:$AM,19,FALSE)," ")</f>
        <v>0</v>
      </c>
      <c r="K107" s="204">
        <f>IFERROR(VLOOKUP($A107,'Budget &amp; Revenue'!$A:$AM,21,FALSE)," ")</f>
        <v>0.91649694501018331</v>
      </c>
      <c r="L107" s="204">
        <f>IFERROR(VLOOKUP($A107,'Budget &amp; Revenue'!$A:$AM,23,FALSE)," ")</f>
        <v>0.91649694501018331</v>
      </c>
      <c r="M107" s="204">
        <f>IFERROR(VLOOKUP($A107,'Budget &amp; Revenue'!$A:$AM,25,FALSE)," ")</f>
        <v>1</v>
      </c>
      <c r="N107" s="204">
        <f>IFERROR(VLOOKUP($A107,'Budget &amp; Revenue'!$A:$AM,27,FALSE)," ")</f>
        <v>1</v>
      </c>
      <c r="O107" s="204">
        <f>IFERROR(VLOOKUP($A107,'Budget &amp; Revenue'!$A:$AM,29,FALSE)," ")</f>
        <v>1</v>
      </c>
      <c r="P107" s="204">
        <f>IFERROR(VLOOKUP($A107,'Budget &amp; Revenue'!$A:$AM,31,FALSE)," ")</f>
        <v>1</v>
      </c>
      <c r="Q107" s="204">
        <f>IFERROR(VLOOKUP($A107,'Budget &amp; Revenue'!$A:$AM,33,FALSE)," ")</f>
        <v>1</v>
      </c>
      <c r="R107" s="204">
        <f>IFERROR(VLOOKUP($A107,'Budget &amp; Revenue'!$A:$AM,35,FALSE)," ")</f>
        <v>1</v>
      </c>
      <c r="S107" s="204">
        <f>IFERROR(VLOOKUP($A107,'Budget &amp; Revenue'!$A:$AM,37,FALSE)," ")</f>
        <v>1</v>
      </c>
      <c r="T107" s="204">
        <f>IFERROR(VLOOKUP($A107,'Budget &amp; Revenue'!$A:$AM,39,FALSE)," ")</f>
        <v>1</v>
      </c>
    </row>
    <row r="108" spans="1:20" x14ac:dyDescent="0.25">
      <c r="A108" s="80">
        <v>105</v>
      </c>
      <c r="B108" s="201" t="str">
        <f>VLOOKUP(A108,Estimate!A:C,3,FALSE)</f>
        <v>Cleanout Structures</v>
      </c>
      <c r="C108" s="80">
        <f>VLOOKUP(A108,Estimate!A:L,12,FALSE)</f>
        <v>5</v>
      </c>
      <c r="D108" s="234" t="s">
        <v>3033</v>
      </c>
      <c r="E108" s="233"/>
      <c r="F108" s="235">
        <f>IFERROR(VLOOKUP(A108,Estimate!A:Q,17,FALSE)," ")</f>
        <v>2002</v>
      </c>
      <c r="G108" s="204">
        <f>IFERROR(VLOOKUP($A108,'Budget &amp; Revenue'!$A:$AM,13,FALSE)," ")</f>
        <v>0</v>
      </c>
      <c r="H108" s="204">
        <f>IFERROR(VLOOKUP($A108,'Budget &amp; Revenue'!$A:$AM,15,FALSE)," ")</f>
        <v>0</v>
      </c>
      <c r="I108" s="204">
        <f>IFERROR(VLOOKUP($A108,'Budget &amp; Revenue'!$A:$AM,17,FALSE)," ")</f>
        <v>0</v>
      </c>
      <c r="J108" s="204">
        <f>IFERROR(VLOOKUP($A108,'Budget &amp; Revenue'!$A:$AM,19,FALSE)," ")</f>
        <v>0</v>
      </c>
      <c r="K108" s="204">
        <f>IFERROR(VLOOKUP($A108,'Budget &amp; Revenue'!$A:$AM,21,FALSE)," ")</f>
        <v>0</v>
      </c>
      <c r="L108" s="204">
        <f>IFERROR(VLOOKUP($A108,'Budget &amp; Revenue'!$A:$AM,23,FALSE)," ")</f>
        <v>0.8571428571428571</v>
      </c>
      <c r="M108" s="204">
        <f>IFERROR(VLOOKUP($A108,'Budget &amp; Revenue'!$A:$AM,25,FALSE)," ")</f>
        <v>1</v>
      </c>
      <c r="N108" s="204">
        <f>IFERROR(VLOOKUP($A108,'Budget &amp; Revenue'!$A:$AM,27,FALSE)," ")</f>
        <v>1</v>
      </c>
      <c r="O108" s="204">
        <f>IFERROR(VLOOKUP($A108,'Budget &amp; Revenue'!$A:$AM,29,FALSE)," ")</f>
        <v>1</v>
      </c>
      <c r="P108" s="204">
        <f>IFERROR(VLOOKUP($A108,'Budget &amp; Revenue'!$A:$AM,31,FALSE)," ")</f>
        <v>1</v>
      </c>
      <c r="Q108" s="204">
        <f>IFERROR(VLOOKUP($A108,'Budget &amp; Revenue'!$A:$AM,33,FALSE)," ")</f>
        <v>1</v>
      </c>
      <c r="R108" s="204">
        <f>IFERROR(VLOOKUP($A108,'Budget &amp; Revenue'!$A:$AM,35,FALSE)," ")</f>
        <v>1</v>
      </c>
      <c r="S108" s="204">
        <f>IFERROR(VLOOKUP($A108,'Budget &amp; Revenue'!$A:$AM,37,FALSE)," ")</f>
        <v>1</v>
      </c>
      <c r="T108" s="204">
        <f>IFERROR(VLOOKUP($A108,'Budget &amp; Revenue'!$A:$AM,39,FALSE)," ")</f>
        <v>1</v>
      </c>
    </row>
    <row r="109" spans="1:20" x14ac:dyDescent="0.25">
      <c r="A109" s="80">
        <v>106</v>
      </c>
      <c r="B109" s="201" t="str">
        <f>VLOOKUP(A109,Estimate!A:C,3,FALSE)</f>
        <v>Place only Type 2.3 (cement modified)</v>
      </c>
      <c r="C109" s="80">
        <f>VLOOKUP(A109,Estimate!A:L,12,FALSE)</f>
        <v>4</v>
      </c>
      <c r="D109" s="236">
        <v>111258</v>
      </c>
      <c r="E109" s="234">
        <v>106</v>
      </c>
      <c r="F109" s="235">
        <f>IFERROR(VLOOKUP(A109,Estimate!A:Q,17,FALSE)," ")</f>
        <v>29500.612645048292</v>
      </c>
      <c r="G109" s="204">
        <f>IFERROR(VLOOKUP($A109,'Budget &amp; Revenue'!$A:$AM,13,FALSE)," ")</f>
        <v>0</v>
      </c>
      <c r="H109" s="204">
        <f>IFERROR(VLOOKUP($A109,'Budget &amp; Revenue'!$A:$AM,15,FALSE)," ")</f>
        <v>0</v>
      </c>
      <c r="I109" s="204">
        <f>IFERROR(VLOOKUP($A109,'Budget &amp; Revenue'!$A:$AM,17,FALSE)," ")</f>
        <v>0</v>
      </c>
      <c r="J109" s="204">
        <f>IFERROR(VLOOKUP($A109,'Budget &amp; Revenue'!$A:$AM,19,FALSE)," ")</f>
        <v>0.32629558541266795</v>
      </c>
      <c r="K109" s="204">
        <f>IFERROR(VLOOKUP($A109,'Budget &amp; Revenue'!$A:$AM,21,FALSE)," ")</f>
        <v>0.42994241842610365</v>
      </c>
      <c r="L109" s="204">
        <f>IFERROR(VLOOKUP($A109,'Budget &amp; Revenue'!$A:$AM,23,FALSE)," ")</f>
        <v>0.60000000000000009</v>
      </c>
      <c r="M109" s="204">
        <f>IFERROR(VLOOKUP($A109,'Budget &amp; Revenue'!$A:$AM,25,FALSE)," ")</f>
        <v>1</v>
      </c>
      <c r="N109" s="204">
        <f>IFERROR(VLOOKUP($A109,'Budget &amp; Revenue'!$A:$AM,27,FALSE)," ")</f>
        <v>1</v>
      </c>
      <c r="O109" s="204">
        <f>IFERROR(VLOOKUP($A109,'Budget &amp; Revenue'!$A:$AM,29,FALSE)," ")</f>
        <v>1</v>
      </c>
      <c r="P109" s="204">
        <f>IFERROR(VLOOKUP($A109,'Budget &amp; Revenue'!$A:$AM,31,FALSE)," ")</f>
        <v>1</v>
      </c>
      <c r="Q109" s="204">
        <f>IFERROR(VLOOKUP($A109,'Budget &amp; Revenue'!$A:$AM,33,FALSE)," ")</f>
        <v>1</v>
      </c>
      <c r="R109" s="204">
        <f>IFERROR(VLOOKUP($A109,'Budget &amp; Revenue'!$A:$AM,35,FALSE)," ")</f>
        <v>1</v>
      </c>
      <c r="S109" s="204">
        <f>IFERROR(VLOOKUP($A109,'Budget &amp; Revenue'!$A:$AM,37,FALSE)," ")</f>
        <v>1</v>
      </c>
      <c r="T109" s="204">
        <f>IFERROR(VLOOKUP($A109,'Budget &amp; Revenue'!$A:$AM,39,FALSE)," ")</f>
        <v>1</v>
      </c>
    </row>
    <row r="110" spans="1:20" ht="30" x14ac:dyDescent="0.25">
      <c r="A110" s="80">
        <v>107</v>
      </c>
      <c r="B110" s="201" t="str">
        <f>VLOOKUP(A110,Estimate!A:C,3,FALSE)</f>
        <v>Place only Type 2.1</v>
      </c>
      <c r="C110" s="80">
        <f>VLOOKUP(A110,Estimate!A:L,12,FALSE)</f>
        <v>7</v>
      </c>
      <c r="D110" s="234">
        <v>105</v>
      </c>
      <c r="E110" s="234" t="s">
        <v>3101</v>
      </c>
      <c r="F110" s="235">
        <f>IFERROR(VLOOKUP(A110,Estimate!A:Q,17,FALSE)," ")</f>
        <v>27437.097487741048</v>
      </c>
      <c r="G110" s="204">
        <f>IFERROR(VLOOKUP($A110,'Budget &amp; Revenue'!$A:$AM,13,FALSE)," ")</f>
        <v>0</v>
      </c>
      <c r="H110" s="204">
        <f>IFERROR(VLOOKUP($A110,'Budget &amp; Revenue'!$A:$AM,15,FALSE)," ")</f>
        <v>0</v>
      </c>
      <c r="I110" s="204">
        <f>IFERROR(VLOOKUP($A110,'Budget &amp; Revenue'!$A:$AM,17,FALSE)," ")</f>
        <v>0</v>
      </c>
      <c r="J110" s="204">
        <f>IFERROR(VLOOKUP($A110,'Budget &amp; Revenue'!$A:$AM,19,FALSE)," ")</f>
        <v>0</v>
      </c>
      <c r="K110" s="204">
        <f>IFERROR(VLOOKUP($A110,'Budget &amp; Revenue'!$A:$AM,21,FALSE)," ")</f>
        <v>0.1391304347826087</v>
      </c>
      <c r="L110" s="204">
        <f>IFERROR(VLOOKUP($A110,'Budget &amp; Revenue'!$A:$AM,23,FALSE)," ")</f>
        <v>0.85507246376811596</v>
      </c>
      <c r="M110" s="204">
        <f>IFERROR(VLOOKUP($A110,'Budget &amp; Revenue'!$A:$AM,25,FALSE)," ")</f>
        <v>1</v>
      </c>
      <c r="N110" s="204">
        <f>IFERROR(VLOOKUP($A110,'Budget &amp; Revenue'!$A:$AM,27,FALSE)," ")</f>
        <v>1</v>
      </c>
      <c r="O110" s="204">
        <f>IFERROR(VLOOKUP($A110,'Budget &amp; Revenue'!$A:$AM,29,FALSE)," ")</f>
        <v>1</v>
      </c>
      <c r="P110" s="204">
        <f>IFERROR(VLOOKUP($A110,'Budget &amp; Revenue'!$A:$AM,31,FALSE)," ")</f>
        <v>1</v>
      </c>
      <c r="Q110" s="204">
        <f>IFERROR(VLOOKUP($A110,'Budget &amp; Revenue'!$A:$AM,33,FALSE)," ")</f>
        <v>1</v>
      </c>
      <c r="R110" s="204">
        <f>IFERROR(VLOOKUP($A110,'Budget &amp; Revenue'!$A:$AM,35,FALSE)," ")</f>
        <v>1</v>
      </c>
      <c r="S110" s="204">
        <f>IFERROR(VLOOKUP($A110,'Budget &amp; Revenue'!$A:$AM,37,FALSE)," ")</f>
        <v>1</v>
      </c>
      <c r="T110" s="204">
        <f>IFERROR(VLOOKUP($A110,'Budget &amp; Revenue'!$A:$AM,39,FALSE)," ")</f>
        <v>1</v>
      </c>
    </row>
    <row r="111" spans="1:20" x14ac:dyDescent="0.25">
      <c r="A111" s="80">
        <v>108</v>
      </c>
      <c r="B111" s="201" t="str">
        <f>VLOOKUP(A111,Estimate!A:C,3,FALSE)</f>
        <v>Special Item - Geotextile layer</v>
      </c>
      <c r="C111" s="80">
        <f>VLOOKUP(A111,Estimate!A:L,12,FALSE)</f>
        <v>1</v>
      </c>
      <c r="D111" s="236">
        <v>107260265</v>
      </c>
      <c r="E111" s="236">
        <v>109258</v>
      </c>
      <c r="F111" s="235">
        <f>IFERROR(VLOOKUP(A111,Estimate!A:Q,17,FALSE)," ")</f>
        <v>4423.4309649122815</v>
      </c>
      <c r="G111" s="204">
        <f>IFERROR(VLOOKUP($A111,'Budget &amp; Revenue'!$A:$AM,13,FALSE)," ")</f>
        <v>0</v>
      </c>
      <c r="H111" s="204">
        <f>IFERROR(VLOOKUP($A111,'Budget &amp; Revenue'!$A:$AM,15,FALSE)," ")</f>
        <v>0</v>
      </c>
      <c r="I111" s="204">
        <f>IFERROR(VLOOKUP($A111,'Budget &amp; Revenue'!$A:$AM,17,FALSE)," ")</f>
        <v>0</v>
      </c>
      <c r="J111" s="204">
        <f>IFERROR(VLOOKUP($A111,'Budget &amp; Revenue'!$A:$AM,19,FALSE)," ")</f>
        <v>0.31462281015373617</v>
      </c>
      <c r="K111" s="204">
        <f>IFERROR(VLOOKUP($A111,'Budget &amp; Revenue'!$A:$AM,21,FALSE)," ")</f>
        <v>0.84983911333571682</v>
      </c>
      <c r="L111" s="204">
        <f>IFERROR(VLOOKUP($A111,'Budget &amp; Revenue'!$A:$AM,23,FALSE)," ")</f>
        <v>0.94994637111190561</v>
      </c>
      <c r="M111" s="204">
        <f>IFERROR(VLOOKUP($A111,'Budget &amp; Revenue'!$A:$AM,25,FALSE)," ")</f>
        <v>1</v>
      </c>
      <c r="N111" s="204">
        <f>IFERROR(VLOOKUP($A111,'Budget &amp; Revenue'!$A:$AM,27,FALSE)," ")</f>
        <v>1</v>
      </c>
      <c r="O111" s="204">
        <f>IFERROR(VLOOKUP($A111,'Budget &amp; Revenue'!$A:$AM,29,FALSE)," ")</f>
        <v>1</v>
      </c>
      <c r="P111" s="204">
        <f>IFERROR(VLOOKUP($A111,'Budget &amp; Revenue'!$A:$AM,31,FALSE)," ")</f>
        <v>1</v>
      </c>
      <c r="Q111" s="204">
        <f>IFERROR(VLOOKUP($A111,'Budget &amp; Revenue'!$A:$AM,33,FALSE)," ")</f>
        <v>1</v>
      </c>
      <c r="R111" s="204">
        <f>IFERROR(VLOOKUP($A111,'Budget &amp; Revenue'!$A:$AM,35,FALSE)," ")</f>
        <v>1</v>
      </c>
      <c r="S111" s="204">
        <f>IFERROR(VLOOKUP($A111,'Budget &amp; Revenue'!$A:$AM,37,FALSE)," ")</f>
        <v>1</v>
      </c>
      <c r="T111" s="204">
        <f>IFERROR(VLOOKUP($A111,'Budget &amp; Revenue'!$A:$AM,39,FALSE)," ")</f>
        <v>1</v>
      </c>
    </row>
    <row r="112" spans="1:20" x14ac:dyDescent="0.25">
      <c r="A112" s="80">
        <v>109</v>
      </c>
      <c r="B112" s="201" t="str">
        <f>VLOOKUP(A112,Estimate!A:C,3,FALSE)</f>
        <v>(vii)  AMC5</v>
      </c>
      <c r="C112" s="80">
        <f>VLOOKUP(A112,Estimate!A:L,12,FALSE)</f>
        <v>1</v>
      </c>
      <c r="D112" s="234" t="s">
        <v>3034</v>
      </c>
      <c r="E112" s="234" t="s">
        <v>3035</v>
      </c>
      <c r="F112" s="235">
        <f>IFERROR(VLOOKUP(A112,Estimate!A:Q,17,FALSE)," ")</f>
        <v>18617.067000000003</v>
      </c>
      <c r="G112" s="204">
        <f>IFERROR(VLOOKUP($A112,'Budget &amp; Revenue'!$A:$AM,13,FALSE)," ")</f>
        <v>0</v>
      </c>
      <c r="H112" s="204">
        <f>IFERROR(VLOOKUP($A112,'Budget &amp; Revenue'!$A:$AM,15,FALSE)," ")</f>
        <v>0</v>
      </c>
      <c r="I112" s="204">
        <f>IFERROR(VLOOKUP($A112,'Budget &amp; Revenue'!$A:$AM,17,FALSE)," ")</f>
        <v>0</v>
      </c>
      <c r="J112" s="204">
        <f>IFERROR(VLOOKUP($A112,'Budget &amp; Revenue'!$A:$AM,19,FALSE)," ")</f>
        <v>0</v>
      </c>
      <c r="K112" s="204">
        <f>IFERROR(VLOOKUP($A112,'Budget &amp; Revenue'!$A:$AM,21,FALSE)," ")</f>
        <v>0</v>
      </c>
      <c r="L112" s="204">
        <f>IFERROR(VLOOKUP($A112,'Budget &amp; Revenue'!$A:$AM,23,FALSE)," ")</f>
        <v>0.81103000811030013</v>
      </c>
      <c r="M112" s="204">
        <f>IFERROR(VLOOKUP($A112,'Budget &amp; Revenue'!$A:$AM,25,FALSE)," ")</f>
        <v>1</v>
      </c>
      <c r="N112" s="204">
        <f>IFERROR(VLOOKUP($A112,'Budget &amp; Revenue'!$A:$AM,27,FALSE)," ")</f>
        <v>1</v>
      </c>
      <c r="O112" s="204">
        <f>IFERROR(VLOOKUP($A112,'Budget &amp; Revenue'!$A:$AM,29,FALSE)," ")</f>
        <v>1</v>
      </c>
      <c r="P112" s="204">
        <f>IFERROR(VLOOKUP($A112,'Budget &amp; Revenue'!$A:$AM,31,FALSE)," ")</f>
        <v>1</v>
      </c>
      <c r="Q112" s="204">
        <f>IFERROR(VLOOKUP($A112,'Budget &amp; Revenue'!$A:$AM,33,FALSE)," ")</f>
        <v>1</v>
      </c>
      <c r="R112" s="204">
        <f>IFERROR(VLOOKUP($A112,'Budget &amp; Revenue'!$A:$AM,35,FALSE)," ")</f>
        <v>1</v>
      </c>
      <c r="S112" s="204">
        <f>IFERROR(VLOOKUP($A112,'Budget &amp; Revenue'!$A:$AM,37,FALSE)," ")</f>
        <v>1</v>
      </c>
      <c r="T112" s="204">
        <f>IFERROR(VLOOKUP($A112,'Budget &amp; Revenue'!$A:$AM,39,FALSE)," ")</f>
        <v>1</v>
      </c>
    </row>
    <row r="113" spans="1:20" x14ac:dyDescent="0.25">
      <c r="A113" s="80">
        <v>110</v>
      </c>
      <c r="B113" s="201" t="str">
        <f>VLOOKUP(A113,Estimate!A:C,3,FALSE)</f>
        <v>(ii)  14mm Nominal Size</v>
      </c>
      <c r="C113" s="80">
        <f>VLOOKUP(A113,Estimate!A:L,12,FALSE)</f>
        <v>2</v>
      </c>
      <c r="D113" s="234" t="s">
        <v>3036</v>
      </c>
      <c r="E113" s="234" t="s">
        <v>3037</v>
      </c>
      <c r="F113" s="235">
        <f>IFERROR(VLOOKUP(A113,Estimate!A:Q,17,FALSE)," ")</f>
        <v>80186.400000000009</v>
      </c>
      <c r="G113" s="204">
        <f>IFERROR(VLOOKUP($A113,'Budget &amp; Revenue'!$A:$AM,13,FALSE)," ")</f>
        <v>0</v>
      </c>
      <c r="H113" s="204">
        <f>IFERROR(VLOOKUP($A113,'Budget &amp; Revenue'!$A:$AM,15,FALSE)," ")</f>
        <v>0</v>
      </c>
      <c r="I113" s="204">
        <f>IFERROR(VLOOKUP($A113,'Budget &amp; Revenue'!$A:$AM,17,FALSE)," ")</f>
        <v>0</v>
      </c>
      <c r="J113" s="204">
        <f>IFERROR(VLOOKUP($A113,'Budget &amp; Revenue'!$A:$AM,19,FALSE)," ")</f>
        <v>0</v>
      </c>
      <c r="K113" s="204">
        <f>IFERROR(VLOOKUP($A113,'Budget &amp; Revenue'!$A:$AM,21,FALSE)," ")</f>
        <v>0</v>
      </c>
      <c r="L113" s="204">
        <f>IFERROR(VLOOKUP($A113,'Budget &amp; Revenue'!$A:$AM,23,FALSE)," ")</f>
        <v>0</v>
      </c>
      <c r="M113" s="204">
        <f>IFERROR(VLOOKUP($A113,'Budget &amp; Revenue'!$A:$AM,25,FALSE)," ")</f>
        <v>0</v>
      </c>
      <c r="N113" s="204">
        <f>IFERROR(VLOOKUP($A113,'Budget &amp; Revenue'!$A:$AM,27,FALSE)," ")</f>
        <v>1</v>
      </c>
      <c r="O113" s="204">
        <f>IFERROR(VLOOKUP($A113,'Budget &amp; Revenue'!$A:$AM,29,FALSE)," ")</f>
        <v>1</v>
      </c>
      <c r="P113" s="204">
        <f>IFERROR(VLOOKUP($A113,'Budget &amp; Revenue'!$A:$AM,31,FALSE)," ")</f>
        <v>1</v>
      </c>
      <c r="Q113" s="204">
        <f>IFERROR(VLOOKUP($A113,'Budget &amp; Revenue'!$A:$AM,33,FALSE)," ")</f>
        <v>1</v>
      </c>
      <c r="R113" s="204">
        <f>IFERROR(VLOOKUP($A113,'Budget &amp; Revenue'!$A:$AM,35,FALSE)," ")</f>
        <v>1</v>
      </c>
      <c r="S113" s="204">
        <f>IFERROR(VLOOKUP($A113,'Budget &amp; Revenue'!$A:$AM,37,FALSE)," ")</f>
        <v>1</v>
      </c>
      <c r="T113" s="204">
        <f>IFERROR(VLOOKUP($A113,'Budget &amp; Revenue'!$A:$AM,39,FALSE)," ")</f>
        <v>1</v>
      </c>
    </row>
    <row r="114" spans="1:20" ht="30" x14ac:dyDescent="0.25">
      <c r="A114" s="80">
        <v>111</v>
      </c>
      <c r="B114" s="201" t="str">
        <f>VLOOKUP(A114,Estimate!A:C,3,FALSE)</f>
        <v>Pavement Marking Paint - Transverse Lines, Symbols, Legends, Arrows, Chevrons, Traffic Islands &amp; Kerbs</v>
      </c>
      <c r="C114" s="80">
        <f>VLOOKUP(A114,Estimate!A:L,12,FALSE)</f>
        <v>1</v>
      </c>
      <c r="D114" s="234" t="s">
        <v>3038</v>
      </c>
      <c r="E114" s="234">
        <v>117</v>
      </c>
      <c r="F114" s="235">
        <f>IFERROR(VLOOKUP(A114,Estimate!A:Q,17,FALSE)," ")</f>
        <v>2000</v>
      </c>
      <c r="G114" s="204">
        <f>IFERROR(VLOOKUP($A114,'Budget &amp; Revenue'!$A:$AM,13,FALSE)," ")</f>
        <v>0</v>
      </c>
      <c r="H114" s="204">
        <f>IFERROR(VLOOKUP($A114,'Budget &amp; Revenue'!$A:$AM,15,FALSE)," ")</f>
        <v>0</v>
      </c>
      <c r="I114" s="204">
        <f>IFERROR(VLOOKUP($A114,'Budget &amp; Revenue'!$A:$AM,17,FALSE)," ")</f>
        <v>0</v>
      </c>
      <c r="J114" s="204">
        <f>IFERROR(VLOOKUP($A114,'Budget &amp; Revenue'!$A:$AM,19,FALSE)," ")</f>
        <v>0</v>
      </c>
      <c r="K114" s="204">
        <f>IFERROR(VLOOKUP($A114,'Budget &amp; Revenue'!$A:$AM,21,FALSE)," ")</f>
        <v>0</v>
      </c>
      <c r="L114" s="204">
        <f>IFERROR(VLOOKUP($A114,'Budget &amp; Revenue'!$A:$AM,23,FALSE)," ")</f>
        <v>0</v>
      </c>
      <c r="M114" s="204">
        <f>IFERROR(VLOOKUP($A114,'Budget &amp; Revenue'!$A:$AM,25,FALSE)," ")</f>
        <v>0</v>
      </c>
      <c r="N114" s="204">
        <f>IFERROR(VLOOKUP($A114,'Budget &amp; Revenue'!$A:$AM,27,FALSE)," ")</f>
        <v>0</v>
      </c>
      <c r="O114" s="204">
        <f>IFERROR(VLOOKUP($A114,'Budget &amp; Revenue'!$A:$AM,29,FALSE)," ")</f>
        <v>0</v>
      </c>
      <c r="P114" s="204">
        <f>IFERROR(VLOOKUP($A114,'Budget &amp; Revenue'!$A:$AM,31,FALSE)," ")</f>
        <v>0</v>
      </c>
      <c r="Q114" s="204">
        <f>IFERROR(VLOOKUP($A114,'Budget &amp; Revenue'!$A:$AM,33,FALSE)," ")</f>
        <v>0</v>
      </c>
      <c r="R114" s="204">
        <f>IFERROR(VLOOKUP($A114,'Budget &amp; Revenue'!$A:$AM,35,FALSE)," ")</f>
        <v>1</v>
      </c>
      <c r="S114" s="204">
        <f>IFERROR(VLOOKUP($A114,'Budget &amp; Revenue'!$A:$AM,37,FALSE)," ")</f>
        <v>1</v>
      </c>
      <c r="T114" s="204">
        <f>IFERROR(VLOOKUP($A114,'Budget &amp; Revenue'!$A:$AM,39,FALSE)," ")</f>
        <v>1</v>
      </c>
    </row>
    <row r="115" spans="1:20" x14ac:dyDescent="0.25">
      <c r="A115" s="80">
        <v>112</v>
      </c>
      <c r="B115" s="201" t="str">
        <f>VLOOKUP(A115,Estimate!A:C,3,FALSE)</f>
        <v>Remove and reinstate Existing Signs &amp; Support Structures</v>
      </c>
      <c r="C115" s="80">
        <f>VLOOKUP(A115,Estimate!A:L,12,FALSE)</f>
        <v>1</v>
      </c>
      <c r="D115" s="234" t="s">
        <v>3030</v>
      </c>
      <c r="E115" s="234">
        <v>117</v>
      </c>
      <c r="F115" s="235">
        <f>IFERROR(VLOOKUP(A115,Estimate!A:Q,17,FALSE)," ")</f>
        <v>472</v>
      </c>
      <c r="G115" s="204">
        <f>IFERROR(VLOOKUP($A115,'Budget &amp; Revenue'!$A:$AM,13,FALSE)," ")</f>
        <v>0</v>
      </c>
      <c r="H115" s="204">
        <f>IFERROR(VLOOKUP($A115,'Budget &amp; Revenue'!$A:$AM,15,FALSE)," ")</f>
        <v>0</v>
      </c>
      <c r="I115" s="204">
        <f>IFERROR(VLOOKUP($A115,'Budget &amp; Revenue'!$A:$AM,17,FALSE)," ")</f>
        <v>0</v>
      </c>
      <c r="J115" s="204">
        <f>IFERROR(VLOOKUP($A115,'Budget &amp; Revenue'!$A:$AM,19,FALSE)," ")</f>
        <v>0</v>
      </c>
      <c r="K115" s="204">
        <f>IFERROR(VLOOKUP($A115,'Budget &amp; Revenue'!$A:$AM,21,FALSE)," ")</f>
        <v>0</v>
      </c>
      <c r="L115" s="204">
        <f>IFERROR(VLOOKUP($A115,'Budget &amp; Revenue'!$A:$AM,23,FALSE)," ")</f>
        <v>0</v>
      </c>
      <c r="M115" s="204">
        <f>IFERROR(VLOOKUP($A115,'Budget &amp; Revenue'!$A:$AM,25,FALSE)," ")</f>
        <v>0.5</v>
      </c>
      <c r="N115" s="204">
        <f>IFERROR(VLOOKUP($A115,'Budget &amp; Revenue'!$A:$AM,27,FALSE)," ")</f>
        <v>1</v>
      </c>
      <c r="O115" s="204">
        <f>IFERROR(VLOOKUP($A115,'Budget &amp; Revenue'!$A:$AM,29,FALSE)," ")</f>
        <v>1</v>
      </c>
      <c r="P115" s="204">
        <f>IFERROR(VLOOKUP($A115,'Budget &amp; Revenue'!$A:$AM,31,FALSE)," ")</f>
        <v>1</v>
      </c>
      <c r="Q115" s="204">
        <f>IFERROR(VLOOKUP($A115,'Budget &amp; Revenue'!$A:$AM,33,FALSE)," ")</f>
        <v>1</v>
      </c>
      <c r="R115" s="204">
        <f>IFERROR(VLOOKUP($A115,'Budget &amp; Revenue'!$A:$AM,35,FALSE)," ")</f>
        <v>1</v>
      </c>
      <c r="S115" s="204">
        <f>IFERROR(VLOOKUP($A115,'Budget &amp; Revenue'!$A:$AM,37,FALSE)," ")</f>
        <v>1</v>
      </c>
      <c r="T115" s="204">
        <f>IFERROR(VLOOKUP($A115,'Budget &amp; Revenue'!$A:$AM,39,FALSE)," ")</f>
        <v>1</v>
      </c>
    </row>
    <row r="116" spans="1:20" x14ac:dyDescent="0.25">
      <c r="A116" s="80">
        <v>113</v>
      </c>
      <c r="B116" s="201" t="str">
        <f>VLOOKUP(A116,Estimate!A:C,3,FALSE)</f>
        <v>(iv)  Residential Invert Crossing</v>
      </c>
      <c r="C116" s="80">
        <f>VLOOKUP(A116,Estimate!A:L,12,FALSE)</f>
        <v>4</v>
      </c>
      <c r="D116" s="234" t="s">
        <v>3039</v>
      </c>
      <c r="E116" s="236">
        <v>112264</v>
      </c>
      <c r="F116" s="235">
        <f>IFERROR(VLOOKUP(A116,Estimate!A:Q,17,FALSE)," ")</f>
        <v>3363.9733333333334</v>
      </c>
      <c r="G116" s="204">
        <f>IFERROR(VLOOKUP($A116,'Budget &amp; Revenue'!$A:$AM,13,FALSE)," ")</f>
        <v>0</v>
      </c>
      <c r="H116" s="204">
        <f>IFERROR(VLOOKUP($A116,'Budget &amp; Revenue'!$A:$AM,15,FALSE)," ")</f>
        <v>0</v>
      </c>
      <c r="I116" s="204">
        <f>IFERROR(VLOOKUP($A116,'Budget &amp; Revenue'!$A:$AM,17,FALSE)," ")</f>
        <v>0</v>
      </c>
      <c r="J116" s="204">
        <f>IFERROR(VLOOKUP($A116,'Budget &amp; Revenue'!$A:$AM,19,FALSE)," ")</f>
        <v>0</v>
      </c>
      <c r="K116" s="204">
        <f>IFERROR(VLOOKUP($A116,'Budget &amp; Revenue'!$A:$AM,21,FALSE)," ")</f>
        <v>0</v>
      </c>
      <c r="L116" s="204">
        <f>IFERROR(VLOOKUP($A116,'Budget &amp; Revenue'!$A:$AM,23,FALSE)," ")</f>
        <v>0.875</v>
      </c>
      <c r="M116" s="204">
        <f>IFERROR(VLOOKUP($A116,'Budget &amp; Revenue'!$A:$AM,25,FALSE)," ")</f>
        <v>0.875</v>
      </c>
      <c r="N116" s="204">
        <f>IFERROR(VLOOKUP($A116,'Budget &amp; Revenue'!$A:$AM,27,FALSE)," ")</f>
        <v>0.875</v>
      </c>
      <c r="O116" s="204">
        <f>IFERROR(VLOOKUP($A116,'Budget &amp; Revenue'!$A:$AM,29,FALSE)," ")</f>
        <v>0.875</v>
      </c>
      <c r="P116" s="204">
        <f>IFERROR(VLOOKUP($A116,'Budget &amp; Revenue'!$A:$AM,31,FALSE)," ")</f>
        <v>0.875</v>
      </c>
      <c r="Q116" s="204">
        <f>IFERROR(VLOOKUP($A116,'Budget &amp; Revenue'!$A:$AM,33,FALSE)," ")</f>
        <v>0.875</v>
      </c>
      <c r="R116" s="204">
        <f>IFERROR(VLOOKUP($A116,'Budget &amp; Revenue'!$A:$AM,35,FALSE)," ")</f>
        <v>0.875</v>
      </c>
      <c r="S116" s="204">
        <f>IFERROR(VLOOKUP($A116,'Budget &amp; Revenue'!$A:$AM,37,FALSE)," ")</f>
        <v>0.875</v>
      </c>
      <c r="T116" s="204">
        <f>IFERROR(VLOOKUP($A116,'Budget &amp; Revenue'!$A:$AM,39,FALSE)," ")</f>
        <v>0.875</v>
      </c>
    </row>
    <row r="117" spans="1:20" x14ac:dyDescent="0.25">
      <c r="A117" s="80">
        <v>114</v>
      </c>
      <c r="B117" s="201" t="str">
        <f>VLOOKUP(A117,Estimate!A:C,3,FALSE)</f>
        <v>Special Item - As Constructed Survey and Plans</v>
      </c>
      <c r="C117" s="80">
        <f>VLOOKUP(A117,Estimate!A:L,12,FALSE)</f>
        <v>20</v>
      </c>
      <c r="D117" s="236">
        <v>95114115261</v>
      </c>
      <c r="E117" s="234">
        <v>3</v>
      </c>
      <c r="F117" s="235">
        <f>IFERROR(VLOOKUP(A117,Estimate!A:Q,17,FALSE)," ")</f>
        <v>2500</v>
      </c>
      <c r="G117" s="204">
        <f>IFERROR(VLOOKUP($A117,'Budget &amp; Revenue'!$A:$AM,13,FALSE)," ")</f>
        <v>0</v>
      </c>
      <c r="H117" s="204">
        <f>IFERROR(VLOOKUP($A117,'Budget &amp; Revenue'!$A:$AM,15,FALSE)," ")</f>
        <v>0</v>
      </c>
      <c r="I117" s="204">
        <f>IFERROR(VLOOKUP($A117,'Budget &amp; Revenue'!$A:$AM,17,FALSE)," ")</f>
        <v>0</v>
      </c>
      <c r="J117" s="204">
        <f>IFERROR(VLOOKUP($A117,'Budget &amp; Revenue'!$A:$AM,19,FALSE)," ")</f>
        <v>0</v>
      </c>
      <c r="K117" s="204">
        <f>IFERROR(VLOOKUP($A117,'Budget &amp; Revenue'!$A:$AM,21,FALSE)," ")</f>
        <v>0</v>
      </c>
      <c r="L117" s="204">
        <f>IFERROR(VLOOKUP($A117,'Budget &amp; Revenue'!$A:$AM,23,FALSE)," ")</f>
        <v>0</v>
      </c>
      <c r="M117" s="204">
        <f>IFERROR(VLOOKUP($A117,'Budget &amp; Revenue'!$A:$AM,25,FALSE)," ")</f>
        <v>0.8</v>
      </c>
      <c r="N117" s="204">
        <f>IFERROR(VLOOKUP($A117,'Budget &amp; Revenue'!$A:$AM,27,FALSE)," ")</f>
        <v>0.9</v>
      </c>
      <c r="O117" s="204">
        <f>IFERROR(VLOOKUP($A117,'Budget &amp; Revenue'!$A:$AM,29,FALSE)," ")</f>
        <v>0.95</v>
      </c>
      <c r="P117" s="204">
        <f>IFERROR(VLOOKUP($A117,'Budget &amp; Revenue'!$A:$AM,31,FALSE)," ")</f>
        <v>0.95</v>
      </c>
      <c r="Q117" s="204">
        <f>IFERROR(VLOOKUP($A117,'Budget &amp; Revenue'!$A:$AM,33,FALSE)," ")</f>
        <v>1</v>
      </c>
      <c r="R117" s="204">
        <f>IFERROR(VLOOKUP($A117,'Budget &amp; Revenue'!$A:$AM,35,FALSE)," ")</f>
        <v>1</v>
      </c>
      <c r="S117" s="204">
        <f>IFERROR(VLOOKUP($A117,'Budget &amp; Revenue'!$A:$AM,37,FALSE)," ")</f>
        <v>1</v>
      </c>
      <c r="T117" s="204">
        <f>IFERROR(VLOOKUP($A117,'Budget &amp; Revenue'!$A:$AM,39,FALSE)," ")</f>
        <v>1</v>
      </c>
    </row>
    <row r="118" spans="1:20" s="10" customFormat="1" x14ac:dyDescent="0.25">
      <c r="A118" s="92">
        <v>600</v>
      </c>
      <c r="B118" s="212" t="str">
        <f>VLOOKUP(A118,Estimate!A:C,3,FALSE)</f>
        <v>DOHERTY STREET</v>
      </c>
      <c r="C118" s="92">
        <f>VLOOKUP(A118,Estimate!A:L,12,FALSE)</f>
        <v>0</v>
      </c>
      <c r="D118" s="234" t="s">
        <v>3084</v>
      </c>
      <c r="E118" s="236">
        <v>3119</v>
      </c>
      <c r="F118" s="235">
        <f>IFERROR(VLOOKUP(A118,Estimate!A:Q,17,FALSE)," ")</f>
        <v>0</v>
      </c>
      <c r="G118" s="204" t="str">
        <f>IFERROR(VLOOKUP($A118,'Budget &amp; Revenue'!$A:$AM,13,FALSE)," ")</f>
        <v xml:space="preserve"> </v>
      </c>
      <c r="H118" s="204" t="str">
        <f>IFERROR(VLOOKUP($A118,'Budget &amp; Revenue'!$A:$AM,15,FALSE)," ")</f>
        <v xml:space="preserve"> </v>
      </c>
      <c r="I118" s="204" t="str">
        <f>IFERROR(VLOOKUP($A118,'Budget &amp; Revenue'!$A:$AM,17,FALSE)," ")</f>
        <v xml:space="preserve"> </v>
      </c>
      <c r="J118" s="204" t="str">
        <f>IFERROR(VLOOKUP($A118,'Budget &amp; Revenue'!$A:$AM,19,FALSE)," ")</f>
        <v xml:space="preserve"> </v>
      </c>
      <c r="K118" s="204" t="str">
        <f>IFERROR(VLOOKUP($A118,'Budget &amp; Revenue'!$A:$AM,21,FALSE)," ")</f>
        <v xml:space="preserve"> </v>
      </c>
      <c r="L118" s="204" t="str">
        <f>IFERROR(VLOOKUP($A118,'Budget &amp; Revenue'!$A:$AM,23,FALSE)," ")</f>
        <v xml:space="preserve"> </v>
      </c>
      <c r="M118" s="204" t="str">
        <f>IFERROR(VLOOKUP($A118,'Budget &amp; Revenue'!$A:$AM,25,FALSE)," ")</f>
        <v xml:space="preserve"> </v>
      </c>
      <c r="N118" s="204" t="str">
        <f>IFERROR(VLOOKUP($A118,'Budget &amp; Revenue'!$A:$AM,27,FALSE)," ")</f>
        <v xml:space="preserve"> </v>
      </c>
      <c r="O118" s="204" t="str">
        <f>IFERROR(VLOOKUP($A118,'Budget &amp; Revenue'!$A:$AM,29,FALSE)," ")</f>
        <v xml:space="preserve"> </v>
      </c>
      <c r="P118" s="204" t="str">
        <f>IFERROR(VLOOKUP($A118,'Budget &amp; Revenue'!$A:$AM,31,FALSE)," ")</f>
        <v xml:space="preserve"> </v>
      </c>
      <c r="Q118" s="204" t="str">
        <f>IFERROR(VLOOKUP($A118,'Budget &amp; Revenue'!$A:$AM,33,FALSE)," ")</f>
        <v xml:space="preserve"> </v>
      </c>
      <c r="R118" s="204" t="str">
        <f>IFERROR(VLOOKUP($A118,'Budget &amp; Revenue'!$A:$AM,35,FALSE)," ")</f>
        <v xml:space="preserve"> </v>
      </c>
      <c r="S118" s="204" t="str">
        <f>IFERROR(VLOOKUP($A118,'Budget &amp; Revenue'!$A:$AM,37,FALSE)," ")</f>
        <v xml:space="preserve"> </v>
      </c>
      <c r="T118" s="204" t="str">
        <f>IFERROR(VLOOKUP($A118,'Budget &amp; Revenue'!$A:$AM,39,FALSE)," ")</f>
        <v xml:space="preserve"> </v>
      </c>
    </row>
    <row r="119" spans="1:20" x14ac:dyDescent="0.25">
      <c r="A119" s="80">
        <v>115</v>
      </c>
      <c r="B119" s="201" t="str">
        <f>VLOOKUP(A119,Estimate!A:C,3,FALSE)</f>
        <v>Quality Verification &amp; Control</v>
      </c>
      <c r="C119" s="80">
        <f>VLOOKUP(A119,Estimate!A:L,12,FALSE)</f>
        <v>0</v>
      </c>
      <c r="D119" s="234">
        <v>118</v>
      </c>
      <c r="E119" s="234">
        <v>120</v>
      </c>
      <c r="F119" s="235">
        <f>IFERROR(VLOOKUP(A119,Estimate!A:Q,17,FALSE)," ")</f>
        <v>9760</v>
      </c>
      <c r="G119" s="204">
        <f>IFERROR(VLOOKUP($A119,'Budget &amp; Revenue'!$A:$AM,13,FALSE)," ")</f>
        <v>0</v>
      </c>
      <c r="H119" s="204">
        <f>IFERROR(VLOOKUP($A119,'Budget &amp; Revenue'!$A:$AM,15,FALSE)," ")</f>
        <v>0</v>
      </c>
      <c r="I119" s="204">
        <f>IFERROR(VLOOKUP($A119,'Budget &amp; Revenue'!$A:$AM,17,FALSE)," ")</f>
        <v>0</v>
      </c>
      <c r="J119" s="204">
        <f>IFERROR(VLOOKUP($A119,'Budget &amp; Revenue'!$A:$AM,19,FALSE)," ")</f>
        <v>0</v>
      </c>
      <c r="K119" s="204">
        <f>IFERROR(VLOOKUP($A119,'Budget &amp; Revenue'!$A:$AM,21,FALSE)," ")</f>
        <v>0</v>
      </c>
      <c r="L119" s="204">
        <f>IFERROR(VLOOKUP($A119,'Budget &amp; Revenue'!$A:$AM,23,FALSE)," ")</f>
        <v>0</v>
      </c>
      <c r="M119" s="204">
        <f>IFERROR(VLOOKUP($A119,'Budget &amp; Revenue'!$A:$AM,25,FALSE)," ")</f>
        <v>0</v>
      </c>
      <c r="N119" s="204">
        <f>IFERROR(VLOOKUP($A119,'Budget &amp; Revenue'!$A:$AM,27,FALSE)," ")</f>
        <v>0</v>
      </c>
      <c r="O119" s="204">
        <f>IFERROR(VLOOKUP($A119,'Budget &amp; Revenue'!$A:$AM,29,FALSE)," ")</f>
        <v>0.1</v>
      </c>
      <c r="P119" s="204">
        <f>IFERROR(VLOOKUP($A119,'Budget &amp; Revenue'!$A:$AM,31,FALSE)," ")</f>
        <v>0.5</v>
      </c>
      <c r="Q119" s="204">
        <f>IFERROR(VLOOKUP($A119,'Budget &amp; Revenue'!$A:$AM,33,FALSE)," ")</f>
        <v>0.75</v>
      </c>
      <c r="R119" s="204">
        <f>IFERROR(VLOOKUP($A119,'Budget &amp; Revenue'!$A:$AM,35,FALSE)," ")</f>
        <v>1</v>
      </c>
      <c r="S119" s="204">
        <f>IFERROR(VLOOKUP($A119,'Budget &amp; Revenue'!$A:$AM,37,FALSE)," ")</f>
        <v>1</v>
      </c>
      <c r="T119" s="204">
        <f>IFERROR(VLOOKUP($A119,'Budget &amp; Revenue'!$A:$AM,39,FALSE)," ")</f>
        <v>1</v>
      </c>
    </row>
    <row r="120" spans="1:20" x14ac:dyDescent="0.25">
      <c r="A120" s="80">
        <v>116</v>
      </c>
      <c r="B120" s="201" t="str">
        <f>VLOOKUP(A120,Estimate!A:C,3,FALSE)</f>
        <v>Control of Traffic</v>
      </c>
      <c r="C120" s="80">
        <f>VLOOKUP(A120,Estimate!A:L,12,FALSE)</f>
        <v>20</v>
      </c>
      <c r="D120" s="234">
        <v>119</v>
      </c>
      <c r="E120" s="234" t="s">
        <v>3102</v>
      </c>
      <c r="F120" s="235">
        <f>IFERROR(VLOOKUP(A120,Estimate!A:Q,17,FALSE)," ")</f>
        <v>23292.48</v>
      </c>
      <c r="G120" s="204">
        <f>IFERROR(VLOOKUP($A120,'Budget &amp; Revenue'!$A:$AM,13,FALSE)," ")</f>
        <v>0</v>
      </c>
      <c r="H120" s="204">
        <f>IFERROR(VLOOKUP($A120,'Budget &amp; Revenue'!$A:$AM,15,FALSE)," ")</f>
        <v>0</v>
      </c>
      <c r="I120" s="204">
        <f>IFERROR(VLOOKUP($A120,'Budget &amp; Revenue'!$A:$AM,17,FALSE)," ")</f>
        <v>0</v>
      </c>
      <c r="J120" s="204">
        <f>IFERROR(VLOOKUP($A120,'Budget &amp; Revenue'!$A:$AM,19,FALSE)," ")</f>
        <v>0</v>
      </c>
      <c r="K120" s="204">
        <f>IFERROR(VLOOKUP($A120,'Budget &amp; Revenue'!$A:$AM,21,FALSE)," ")</f>
        <v>0</v>
      </c>
      <c r="L120" s="204">
        <f>IFERROR(VLOOKUP($A120,'Budget &amp; Revenue'!$A:$AM,23,FALSE)," ")</f>
        <v>0</v>
      </c>
      <c r="M120" s="204">
        <f>IFERROR(VLOOKUP($A120,'Budget &amp; Revenue'!$A:$AM,25,FALSE)," ")</f>
        <v>0</v>
      </c>
      <c r="N120" s="204">
        <f>IFERROR(VLOOKUP($A120,'Budget &amp; Revenue'!$A:$AM,27,FALSE)," ")</f>
        <v>0</v>
      </c>
      <c r="O120" s="204">
        <f>IFERROR(VLOOKUP($A120,'Budget &amp; Revenue'!$A:$AM,29,FALSE)," ")</f>
        <v>0.1</v>
      </c>
      <c r="P120" s="204">
        <f>IFERROR(VLOOKUP($A120,'Budget &amp; Revenue'!$A:$AM,31,FALSE)," ")</f>
        <v>0.5</v>
      </c>
      <c r="Q120" s="204">
        <f>IFERROR(VLOOKUP($A120,'Budget &amp; Revenue'!$A:$AM,33,FALSE)," ")</f>
        <v>0.75</v>
      </c>
      <c r="R120" s="204">
        <f>IFERROR(VLOOKUP($A120,'Budget &amp; Revenue'!$A:$AM,35,FALSE)," ")</f>
        <v>1</v>
      </c>
      <c r="S120" s="204">
        <f>IFERROR(VLOOKUP($A120,'Budget &amp; Revenue'!$A:$AM,37,FALSE)," ")</f>
        <v>1</v>
      </c>
      <c r="T120" s="204">
        <f>IFERROR(VLOOKUP($A120,'Budget &amp; Revenue'!$A:$AM,39,FALSE)," ")</f>
        <v>1</v>
      </c>
    </row>
    <row r="121" spans="1:20" x14ac:dyDescent="0.25">
      <c r="A121" s="80">
        <v>117</v>
      </c>
      <c r="B121" s="201" t="str">
        <f>VLOOKUP(A121,Estimate!A:C,3,FALSE)</f>
        <v>General Earthworks Cut</v>
      </c>
      <c r="C121" s="80">
        <f>VLOOKUP(A121,Estimate!A:L,12,FALSE)</f>
        <v>3</v>
      </c>
      <c r="D121" s="234" t="s">
        <v>3040</v>
      </c>
      <c r="E121" s="236">
        <v>124123</v>
      </c>
      <c r="F121" s="235">
        <f>IFERROR(VLOOKUP(A121,Estimate!A:Q,17,FALSE)," ")</f>
        <v>13017.300127064804</v>
      </c>
      <c r="G121" s="204">
        <f>IFERROR(VLOOKUP($A121,'Budget &amp; Revenue'!$A:$AM,13,FALSE)," ")</f>
        <v>0</v>
      </c>
      <c r="H121" s="204">
        <f>IFERROR(VLOOKUP($A121,'Budget &amp; Revenue'!$A:$AM,15,FALSE)," ")</f>
        <v>0</v>
      </c>
      <c r="I121" s="204">
        <f>IFERROR(VLOOKUP($A121,'Budget &amp; Revenue'!$A:$AM,17,FALSE)," ")</f>
        <v>0</v>
      </c>
      <c r="J121" s="204">
        <f>IFERROR(VLOOKUP($A121,'Budget &amp; Revenue'!$A:$AM,19,FALSE)," ")</f>
        <v>0</v>
      </c>
      <c r="K121" s="204">
        <f>IFERROR(VLOOKUP($A121,'Budget &amp; Revenue'!$A:$AM,21,FALSE)," ")</f>
        <v>0</v>
      </c>
      <c r="L121" s="204">
        <f>IFERROR(VLOOKUP($A121,'Budget &amp; Revenue'!$A:$AM,23,FALSE)," ")</f>
        <v>0</v>
      </c>
      <c r="M121" s="204">
        <f>IFERROR(VLOOKUP($A121,'Budget &amp; Revenue'!$A:$AM,25,FALSE)," ")</f>
        <v>0</v>
      </c>
      <c r="N121" s="204">
        <f>IFERROR(VLOOKUP($A121,'Budget &amp; Revenue'!$A:$AM,27,FALSE)," ")</f>
        <v>0</v>
      </c>
      <c r="O121" s="204">
        <f>IFERROR(VLOOKUP($A121,'Budget &amp; Revenue'!$A:$AM,29,FALSE)," ")</f>
        <v>0</v>
      </c>
      <c r="P121" s="204">
        <f>IFERROR(VLOOKUP($A121,'Budget &amp; Revenue'!$A:$AM,31,FALSE)," ")</f>
        <v>0.5</v>
      </c>
      <c r="Q121" s="204">
        <f>IFERROR(VLOOKUP($A121,'Budget &amp; Revenue'!$A:$AM,33,FALSE)," ")</f>
        <v>1</v>
      </c>
      <c r="R121" s="204">
        <f>IFERROR(VLOOKUP($A121,'Budget &amp; Revenue'!$A:$AM,35,FALSE)," ")</f>
        <v>1</v>
      </c>
      <c r="S121" s="204">
        <f>IFERROR(VLOOKUP($A121,'Budget &amp; Revenue'!$A:$AM,37,FALSE)," ")</f>
        <v>1</v>
      </c>
      <c r="T121" s="204">
        <f>IFERROR(VLOOKUP($A121,'Budget &amp; Revenue'!$A:$AM,39,FALSE)," ")</f>
        <v>1</v>
      </c>
    </row>
    <row r="122" spans="1:20" x14ac:dyDescent="0.25">
      <c r="A122" s="80">
        <v>118</v>
      </c>
      <c r="B122" s="201" t="str">
        <f>VLOOKUP(A122,Estimate!A:C,3,FALSE)</f>
        <v>General Earthworks Fill (Fill behind kerb to boundary)</v>
      </c>
      <c r="C122" s="80">
        <f>VLOOKUP(A122,Estimate!A:L,12,FALSE)</f>
        <v>1</v>
      </c>
      <c r="D122" s="234">
        <v>135</v>
      </c>
      <c r="E122" s="234">
        <v>257</v>
      </c>
      <c r="F122" s="235">
        <f>IFERROR(VLOOKUP(A122,Estimate!A:Q,17,FALSE)," ")</f>
        <v>2917.2</v>
      </c>
      <c r="G122" s="204">
        <f>IFERROR(VLOOKUP($A122,'Budget &amp; Revenue'!$A:$AM,13,FALSE)," ")</f>
        <v>0</v>
      </c>
      <c r="H122" s="204">
        <f>IFERROR(VLOOKUP($A122,'Budget &amp; Revenue'!$A:$AM,15,FALSE)," ")</f>
        <v>0</v>
      </c>
      <c r="I122" s="204">
        <f>IFERROR(VLOOKUP($A122,'Budget &amp; Revenue'!$A:$AM,17,FALSE)," ")</f>
        <v>0</v>
      </c>
      <c r="J122" s="204">
        <f>IFERROR(VLOOKUP($A122,'Budget &amp; Revenue'!$A:$AM,19,FALSE)," ")</f>
        <v>0</v>
      </c>
      <c r="K122" s="204">
        <f>IFERROR(VLOOKUP($A122,'Budget &amp; Revenue'!$A:$AM,21,FALSE)," ")</f>
        <v>0</v>
      </c>
      <c r="L122" s="204">
        <f>IFERROR(VLOOKUP($A122,'Budget &amp; Revenue'!$A:$AM,23,FALSE)," ")</f>
        <v>0</v>
      </c>
      <c r="M122" s="204">
        <f>IFERROR(VLOOKUP($A122,'Budget &amp; Revenue'!$A:$AM,25,FALSE)," ")</f>
        <v>0</v>
      </c>
      <c r="N122" s="204">
        <f>IFERROR(VLOOKUP($A122,'Budget &amp; Revenue'!$A:$AM,27,FALSE)," ")</f>
        <v>0</v>
      </c>
      <c r="O122" s="204">
        <f>IFERROR(VLOOKUP($A122,'Budget &amp; Revenue'!$A:$AM,29,FALSE)," ")</f>
        <v>0</v>
      </c>
      <c r="P122" s="204">
        <f>IFERROR(VLOOKUP($A122,'Budget &amp; Revenue'!$A:$AM,31,FALSE)," ")</f>
        <v>0</v>
      </c>
      <c r="Q122" s="204">
        <f>IFERROR(VLOOKUP($A122,'Budget &amp; Revenue'!$A:$AM,33,FALSE)," ")</f>
        <v>1</v>
      </c>
      <c r="R122" s="204">
        <f>IFERROR(VLOOKUP($A122,'Budget &amp; Revenue'!$A:$AM,35,FALSE)," ")</f>
        <v>1</v>
      </c>
      <c r="S122" s="204">
        <f>IFERROR(VLOOKUP($A122,'Budget &amp; Revenue'!$A:$AM,37,FALSE)," ")</f>
        <v>1</v>
      </c>
      <c r="T122" s="204">
        <f>IFERROR(VLOOKUP($A122,'Budget &amp; Revenue'!$A:$AM,39,FALSE)," ")</f>
        <v>1</v>
      </c>
    </row>
    <row r="123" spans="1:20" ht="30" x14ac:dyDescent="0.25">
      <c r="A123" s="80">
        <v>119</v>
      </c>
      <c r="B123" s="201" t="str">
        <f>VLOOKUP(A123,Estimate!A:C,3,FALSE)</f>
        <v>Replace unsuitable material below sub grade with select material complete (PROVISIONAL)</v>
      </c>
      <c r="C123" s="80">
        <f>VLOOKUP(A123,Estimate!A:L,12,FALSE)</f>
        <v>1</v>
      </c>
      <c r="D123" s="234">
        <v>121</v>
      </c>
      <c r="E123" s="236">
        <v>148252</v>
      </c>
      <c r="F123" s="235">
        <f>IFERROR(VLOOKUP(A123,Estimate!A:Q,17,FALSE)," ")</f>
        <v>4259.666666666667</v>
      </c>
      <c r="G123" s="204">
        <f>IFERROR(VLOOKUP($A123,'Budget &amp; Revenue'!$A:$AM,13,FALSE)," ")</f>
        <v>0</v>
      </c>
      <c r="H123" s="204">
        <f>IFERROR(VLOOKUP($A123,'Budget &amp; Revenue'!$A:$AM,15,FALSE)," ")</f>
        <v>0</v>
      </c>
      <c r="I123" s="204">
        <f>IFERROR(VLOOKUP($A123,'Budget &amp; Revenue'!$A:$AM,17,FALSE)," ")</f>
        <v>0</v>
      </c>
      <c r="J123" s="204">
        <f>IFERROR(VLOOKUP($A123,'Budget &amp; Revenue'!$A:$AM,19,FALSE)," ")</f>
        <v>0</v>
      </c>
      <c r="K123" s="204">
        <f>IFERROR(VLOOKUP($A123,'Budget &amp; Revenue'!$A:$AM,21,FALSE)," ")</f>
        <v>0</v>
      </c>
      <c r="L123" s="204">
        <f>IFERROR(VLOOKUP($A123,'Budget &amp; Revenue'!$A:$AM,23,FALSE)," ")</f>
        <v>0</v>
      </c>
      <c r="M123" s="204">
        <f>IFERROR(VLOOKUP($A123,'Budget &amp; Revenue'!$A:$AM,25,FALSE)," ")</f>
        <v>0</v>
      </c>
      <c r="N123" s="204">
        <f>IFERROR(VLOOKUP($A123,'Budget &amp; Revenue'!$A:$AM,27,FALSE)," ")</f>
        <v>0</v>
      </c>
      <c r="O123" s="204">
        <f>IFERROR(VLOOKUP($A123,'Budget &amp; Revenue'!$A:$AM,29,FALSE)," ")</f>
        <v>0</v>
      </c>
      <c r="P123" s="204">
        <f>IFERROR(VLOOKUP($A123,'Budget &amp; Revenue'!$A:$AM,31,FALSE)," ")</f>
        <v>1</v>
      </c>
      <c r="Q123" s="204">
        <f>IFERROR(VLOOKUP($A123,'Budget &amp; Revenue'!$A:$AM,33,FALSE)," ")</f>
        <v>1</v>
      </c>
      <c r="R123" s="204">
        <f>IFERROR(VLOOKUP($A123,'Budget &amp; Revenue'!$A:$AM,35,FALSE)," ")</f>
        <v>1</v>
      </c>
      <c r="S123" s="204">
        <f>IFERROR(VLOOKUP($A123,'Budget &amp; Revenue'!$A:$AM,37,FALSE)," ")</f>
        <v>1</v>
      </c>
      <c r="T123" s="204">
        <f>IFERROR(VLOOKUP($A123,'Budget &amp; Revenue'!$A:$AM,39,FALSE)," ")</f>
        <v>1</v>
      </c>
    </row>
    <row r="124" spans="1:20" x14ac:dyDescent="0.25">
      <c r="A124" s="80">
        <v>120</v>
      </c>
      <c r="B124" s="201" t="str">
        <f>VLOOKUP(A124,Estimate!A:C,3,FALSE)</f>
        <v xml:space="preserve"> Removal / Demolition of Drainage Components complete</v>
      </c>
      <c r="C124" s="80">
        <f>VLOOKUP(A124,Estimate!A:L,12,FALSE)</f>
        <v>2</v>
      </c>
      <c r="D124" s="234">
        <v>121</v>
      </c>
      <c r="E124" s="234">
        <v>126</v>
      </c>
      <c r="F124" s="235">
        <f>IFERROR(VLOOKUP(A124,Estimate!A:Q,17,FALSE)," ")</f>
        <v>5490.9090909090919</v>
      </c>
      <c r="G124" s="204">
        <f>IFERROR(VLOOKUP($A124,'Budget &amp; Revenue'!$A:$AM,13,FALSE)," ")</f>
        <v>0</v>
      </c>
      <c r="H124" s="204">
        <f>IFERROR(VLOOKUP($A124,'Budget &amp; Revenue'!$A:$AM,15,FALSE)," ")</f>
        <v>0</v>
      </c>
      <c r="I124" s="204">
        <f>IFERROR(VLOOKUP($A124,'Budget &amp; Revenue'!$A:$AM,17,FALSE)," ")</f>
        <v>0</v>
      </c>
      <c r="J124" s="204">
        <f>IFERROR(VLOOKUP($A124,'Budget &amp; Revenue'!$A:$AM,19,FALSE)," ")</f>
        <v>0</v>
      </c>
      <c r="K124" s="204">
        <f>IFERROR(VLOOKUP($A124,'Budget &amp; Revenue'!$A:$AM,21,FALSE)," ")</f>
        <v>0</v>
      </c>
      <c r="L124" s="204">
        <f>IFERROR(VLOOKUP($A124,'Budget &amp; Revenue'!$A:$AM,23,FALSE)," ")</f>
        <v>0</v>
      </c>
      <c r="M124" s="204">
        <f>IFERROR(VLOOKUP($A124,'Budget &amp; Revenue'!$A:$AM,25,FALSE)," ")</f>
        <v>0</v>
      </c>
      <c r="N124" s="204">
        <f>IFERROR(VLOOKUP($A124,'Budget &amp; Revenue'!$A:$AM,27,FALSE)," ")</f>
        <v>0</v>
      </c>
      <c r="O124" s="204">
        <f>IFERROR(VLOOKUP($A124,'Budget &amp; Revenue'!$A:$AM,29,FALSE)," ")</f>
        <v>0</v>
      </c>
      <c r="P124" s="204">
        <f>IFERROR(VLOOKUP($A124,'Budget &amp; Revenue'!$A:$AM,31,FALSE)," ")</f>
        <v>1</v>
      </c>
      <c r="Q124" s="204">
        <f>IFERROR(VLOOKUP($A124,'Budget &amp; Revenue'!$A:$AM,33,FALSE)," ")</f>
        <v>1</v>
      </c>
      <c r="R124" s="204">
        <f>IFERROR(VLOOKUP($A124,'Budget &amp; Revenue'!$A:$AM,35,FALSE)," ")</f>
        <v>1</v>
      </c>
      <c r="S124" s="204">
        <f>IFERROR(VLOOKUP($A124,'Budget &amp; Revenue'!$A:$AM,37,FALSE)," ")</f>
        <v>1</v>
      </c>
      <c r="T124" s="204">
        <f>IFERROR(VLOOKUP($A124,'Budget &amp; Revenue'!$A:$AM,39,FALSE)," ")</f>
        <v>1</v>
      </c>
    </row>
    <row r="125" spans="1:20" ht="30" x14ac:dyDescent="0.25">
      <c r="A125" s="80">
        <v>121</v>
      </c>
      <c r="B125" s="201" t="str">
        <f>VLOOKUP(A125,Estimate!A:C,3,FALSE)</f>
        <v>Relocate existing kerb adapter and roofwater connection from property</v>
      </c>
      <c r="C125" s="80">
        <f>VLOOKUP(A125,Estimate!A:L,12,FALSE)</f>
        <v>1</v>
      </c>
      <c r="D125" s="234" t="s">
        <v>3041</v>
      </c>
      <c r="E125" s="233"/>
      <c r="F125" s="235">
        <f>IFERROR(VLOOKUP(A125,Estimate!A:Q,17,FALSE)," ")</f>
        <v>790</v>
      </c>
      <c r="G125" s="204">
        <f>IFERROR(VLOOKUP($A125,'Budget &amp; Revenue'!$A:$AM,13,FALSE)," ")</f>
        <v>0</v>
      </c>
      <c r="H125" s="204">
        <f>IFERROR(VLOOKUP($A125,'Budget &amp; Revenue'!$A:$AM,15,FALSE)," ")</f>
        <v>0</v>
      </c>
      <c r="I125" s="204">
        <f>IFERROR(VLOOKUP($A125,'Budget &amp; Revenue'!$A:$AM,17,FALSE)," ")</f>
        <v>0</v>
      </c>
      <c r="J125" s="204">
        <f>IFERROR(VLOOKUP($A125,'Budget &amp; Revenue'!$A:$AM,19,FALSE)," ")</f>
        <v>0</v>
      </c>
      <c r="K125" s="204">
        <f>IFERROR(VLOOKUP($A125,'Budget &amp; Revenue'!$A:$AM,21,FALSE)," ")</f>
        <v>0</v>
      </c>
      <c r="L125" s="204">
        <f>IFERROR(VLOOKUP($A125,'Budget &amp; Revenue'!$A:$AM,23,FALSE)," ")</f>
        <v>0</v>
      </c>
      <c r="M125" s="204">
        <f>IFERROR(VLOOKUP($A125,'Budget &amp; Revenue'!$A:$AM,25,FALSE)," ")</f>
        <v>0</v>
      </c>
      <c r="N125" s="204">
        <f>IFERROR(VLOOKUP($A125,'Budget &amp; Revenue'!$A:$AM,27,FALSE)," ")</f>
        <v>0</v>
      </c>
      <c r="O125" s="204">
        <f>IFERROR(VLOOKUP($A125,'Budget &amp; Revenue'!$A:$AM,29,FALSE)," ")</f>
        <v>0</v>
      </c>
      <c r="P125" s="204">
        <f>IFERROR(VLOOKUP($A125,'Budget &amp; Revenue'!$A:$AM,31,FALSE)," ")</f>
        <v>0</v>
      </c>
      <c r="Q125" s="204">
        <f>IFERROR(VLOOKUP($A125,'Budget &amp; Revenue'!$A:$AM,33,FALSE)," ")</f>
        <v>1</v>
      </c>
      <c r="R125" s="204">
        <f>IFERROR(VLOOKUP($A125,'Budget &amp; Revenue'!$A:$AM,35,FALSE)," ")</f>
        <v>1</v>
      </c>
      <c r="S125" s="204">
        <f>IFERROR(VLOOKUP($A125,'Budget &amp; Revenue'!$A:$AM,37,FALSE)," ")</f>
        <v>1</v>
      </c>
      <c r="T125" s="204">
        <f>IFERROR(VLOOKUP($A125,'Budget &amp; Revenue'!$A:$AM,39,FALSE)," ")</f>
        <v>1</v>
      </c>
    </row>
    <row r="126" spans="1:20" x14ac:dyDescent="0.25">
      <c r="A126" s="80">
        <v>122</v>
      </c>
      <c r="B126" s="201" t="str">
        <f>VLOOKUP(A126,Estimate!A:C,3,FALSE)</f>
        <v>375mm dia Class 2, Flush Joint</v>
      </c>
      <c r="C126" s="80">
        <f>VLOOKUP(A126,Estimate!A:L,12,FALSE)</f>
        <v>3</v>
      </c>
      <c r="D126" s="236">
        <v>124252</v>
      </c>
      <c r="E126" s="234">
        <v>127</v>
      </c>
      <c r="F126" s="235">
        <f>IFERROR(VLOOKUP(A126,Estimate!A:Q,17,FALSE)," ")</f>
        <v>12899.451891891891</v>
      </c>
      <c r="G126" s="204" t="str">
        <f>IFERROR(VLOOKUP($A126,'Budget &amp; Revenue'!$A:$AM,13,FALSE)," ")</f>
        <v xml:space="preserve"> </v>
      </c>
      <c r="H126" s="204" t="str">
        <f>IFERROR(VLOOKUP($A126,'Budget &amp; Revenue'!$A:$AM,15,FALSE)," ")</f>
        <v xml:space="preserve"> </v>
      </c>
      <c r="I126" s="204" t="str">
        <f>IFERROR(VLOOKUP($A126,'Budget &amp; Revenue'!$A:$AM,17,FALSE)," ")</f>
        <v xml:space="preserve"> </v>
      </c>
      <c r="J126" s="204" t="str">
        <f>IFERROR(VLOOKUP($A126,'Budget &amp; Revenue'!$A:$AM,19,FALSE)," ")</f>
        <v xml:space="preserve"> </v>
      </c>
      <c r="K126" s="204" t="str">
        <f>IFERROR(VLOOKUP($A126,'Budget &amp; Revenue'!$A:$AM,21,FALSE)," ")</f>
        <v xml:space="preserve"> </v>
      </c>
      <c r="L126" s="204" t="str">
        <f>IFERROR(VLOOKUP($A126,'Budget &amp; Revenue'!$A:$AM,23,FALSE)," ")</f>
        <v xml:space="preserve"> </v>
      </c>
      <c r="M126" s="204" t="str">
        <f>IFERROR(VLOOKUP($A126,'Budget &amp; Revenue'!$A:$AM,25,FALSE)," ")</f>
        <v xml:space="preserve"> </v>
      </c>
      <c r="N126" s="204" t="str">
        <f>IFERROR(VLOOKUP($A126,'Budget &amp; Revenue'!$A:$AM,27,FALSE)," ")</f>
        <v xml:space="preserve"> </v>
      </c>
      <c r="O126" s="204" t="str">
        <f>IFERROR(VLOOKUP($A126,'Budget &amp; Revenue'!$A:$AM,29,FALSE)," ")</f>
        <v xml:space="preserve"> </v>
      </c>
      <c r="P126" s="204" t="str">
        <f>IFERROR(VLOOKUP($A126,'Budget &amp; Revenue'!$A:$AM,31,FALSE)," ")</f>
        <v xml:space="preserve"> </v>
      </c>
      <c r="Q126" s="204" t="str">
        <f>IFERROR(VLOOKUP($A126,'Budget &amp; Revenue'!$A:$AM,33,FALSE)," ")</f>
        <v xml:space="preserve"> </v>
      </c>
      <c r="R126" s="204" t="str">
        <f>IFERROR(VLOOKUP($A126,'Budget &amp; Revenue'!$A:$AM,35,FALSE)," ")</f>
        <v xml:space="preserve"> </v>
      </c>
      <c r="S126" s="204" t="str">
        <f>IFERROR(VLOOKUP($A126,'Budget &amp; Revenue'!$A:$AM,37,FALSE)," ")</f>
        <v xml:space="preserve"> </v>
      </c>
      <c r="T126" s="204" t="str">
        <f>IFERROR(VLOOKUP($A126,'Budget &amp; Revenue'!$A:$AM,39,FALSE)," ")</f>
        <v xml:space="preserve"> </v>
      </c>
    </row>
    <row r="127" spans="1:20" x14ac:dyDescent="0.25">
      <c r="A127" s="80">
        <v>123</v>
      </c>
      <c r="B127" s="201" t="str">
        <f>VLOOKUP(A127,Estimate!A:C,3,FALSE)</f>
        <v>450mm dia Class 2, Flush Joint</v>
      </c>
      <c r="C127" s="80">
        <f>VLOOKUP(A127,Estimate!A:L,12,FALSE)</f>
        <v>1</v>
      </c>
      <c r="D127" s="234">
        <v>126</v>
      </c>
      <c r="E127" s="234">
        <v>128</v>
      </c>
      <c r="F127" s="235">
        <f>IFERROR(VLOOKUP(A127,Estimate!A:Q,17,FALSE)," ")</f>
        <v>2280.6627216494849</v>
      </c>
      <c r="G127" s="204">
        <f>IFERROR(VLOOKUP($A127,'Budget &amp; Revenue'!$A:$AM,13,FALSE)," ")</f>
        <v>0</v>
      </c>
      <c r="H127" s="204">
        <f>IFERROR(VLOOKUP($A127,'Budget &amp; Revenue'!$A:$AM,15,FALSE)," ")</f>
        <v>0</v>
      </c>
      <c r="I127" s="204">
        <f>IFERROR(VLOOKUP($A127,'Budget &amp; Revenue'!$A:$AM,17,FALSE)," ")</f>
        <v>0</v>
      </c>
      <c r="J127" s="204">
        <f>IFERROR(VLOOKUP($A127,'Budget &amp; Revenue'!$A:$AM,19,FALSE)," ")</f>
        <v>0</v>
      </c>
      <c r="K127" s="204">
        <f>IFERROR(VLOOKUP($A127,'Budget &amp; Revenue'!$A:$AM,21,FALSE)," ")</f>
        <v>0</v>
      </c>
      <c r="L127" s="204">
        <f>IFERROR(VLOOKUP($A127,'Budget &amp; Revenue'!$A:$AM,23,FALSE)," ")</f>
        <v>0</v>
      </c>
      <c r="M127" s="204">
        <f>IFERROR(VLOOKUP($A127,'Budget &amp; Revenue'!$A:$AM,25,FALSE)," ")</f>
        <v>0</v>
      </c>
      <c r="N127" s="204">
        <f>IFERROR(VLOOKUP($A127,'Budget &amp; Revenue'!$A:$AM,27,FALSE)," ")</f>
        <v>0</v>
      </c>
      <c r="O127" s="204">
        <f>IFERROR(VLOOKUP($A127,'Budget &amp; Revenue'!$A:$AM,29,FALSE)," ")</f>
        <v>0</v>
      </c>
      <c r="P127" s="204">
        <f>IFERROR(VLOOKUP($A127,'Budget &amp; Revenue'!$A:$AM,31,FALSE)," ")</f>
        <v>0.5</v>
      </c>
      <c r="Q127" s="204">
        <f>IFERROR(VLOOKUP($A127,'Budget &amp; Revenue'!$A:$AM,33,FALSE)," ")</f>
        <v>1</v>
      </c>
      <c r="R127" s="204">
        <f>IFERROR(VLOOKUP($A127,'Budget &amp; Revenue'!$A:$AM,35,FALSE)," ")</f>
        <v>1</v>
      </c>
      <c r="S127" s="204">
        <f>IFERROR(VLOOKUP($A127,'Budget &amp; Revenue'!$A:$AM,37,FALSE)," ")</f>
        <v>1</v>
      </c>
      <c r="T127" s="204">
        <f>IFERROR(VLOOKUP($A127,'Budget &amp; Revenue'!$A:$AM,39,FALSE)," ")</f>
        <v>1</v>
      </c>
    </row>
    <row r="128" spans="1:20" x14ac:dyDescent="0.25">
      <c r="A128" s="80">
        <v>124</v>
      </c>
      <c r="B128" s="201" t="str">
        <f>VLOOKUP(A128,Estimate!A:C,3,FALSE)</f>
        <v>450mm dia Class 2, Rubber Ring Joint</v>
      </c>
      <c r="C128" s="80">
        <f>VLOOKUP(A128,Estimate!A:L,12,FALSE)</f>
        <v>2</v>
      </c>
      <c r="D128" s="234">
        <v>127</v>
      </c>
      <c r="E128" s="234">
        <v>129</v>
      </c>
      <c r="F128" s="235">
        <f>IFERROR(VLOOKUP(A128,Estimate!A:Q,17,FALSE)," ")</f>
        <v>5354.3513513513517</v>
      </c>
      <c r="G128" s="204">
        <f>IFERROR(VLOOKUP($A128,'Budget &amp; Revenue'!$A:$AM,13,FALSE)," ")</f>
        <v>0</v>
      </c>
      <c r="H128" s="204">
        <f>IFERROR(VLOOKUP($A128,'Budget &amp; Revenue'!$A:$AM,15,FALSE)," ")</f>
        <v>0</v>
      </c>
      <c r="I128" s="204">
        <f>IFERROR(VLOOKUP($A128,'Budget &amp; Revenue'!$A:$AM,17,FALSE)," ")</f>
        <v>0</v>
      </c>
      <c r="J128" s="204">
        <f>IFERROR(VLOOKUP($A128,'Budget &amp; Revenue'!$A:$AM,19,FALSE)," ")</f>
        <v>0</v>
      </c>
      <c r="K128" s="204">
        <f>IFERROR(VLOOKUP($A128,'Budget &amp; Revenue'!$A:$AM,21,FALSE)," ")</f>
        <v>0</v>
      </c>
      <c r="L128" s="204">
        <f>IFERROR(VLOOKUP($A128,'Budget &amp; Revenue'!$A:$AM,23,FALSE)," ")</f>
        <v>0</v>
      </c>
      <c r="M128" s="204">
        <f>IFERROR(VLOOKUP($A128,'Budget &amp; Revenue'!$A:$AM,25,FALSE)," ")</f>
        <v>0</v>
      </c>
      <c r="N128" s="204">
        <f>IFERROR(VLOOKUP($A128,'Budget &amp; Revenue'!$A:$AM,27,FALSE)," ")</f>
        <v>0</v>
      </c>
      <c r="O128" s="204">
        <f>IFERROR(VLOOKUP($A128,'Budget &amp; Revenue'!$A:$AM,29,FALSE)," ")</f>
        <v>0</v>
      </c>
      <c r="P128" s="204">
        <f>IFERROR(VLOOKUP($A128,'Budget &amp; Revenue'!$A:$AM,31,FALSE)," ")</f>
        <v>0</v>
      </c>
      <c r="Q128" s="204">
        <f>IFERROR(VLOOKUP($A128,'Budget &amp; Revenue'!$A:$AM,33,FALSE)," ")</f>
        <v>1</v>
      </c>
      <c r="R128" s="204">
        <f>IFERROR(VLOOKUP($A128,'Budget &amp; Revenue'!$A:$AM,35,FALSE)," ")</f>
        <v>0</v>
      </c>
      <c r="S128" s="204">
        <f>IFERROR(VLOOKUP($A128,'Budget &amp; Revenue'!$A:$AM,37,FALSE)," ")</f>
        <v>0</v>
      </c>
      <c r="T128" s="204">
        <f>IFERROR(VLOOKUP($A128,'Budget &amp; Revenue'!$A:$AM,39,FALSE)," ")</f>
        <v>0</v>
      </c>
    </row>
    <row r="129" spans="1:20" x14ac:dyDescent="0.25">
      <c r="A129" s="80">
        <v>125</v>
      </c>
      <c r="B129" s="201" t="str">
        <f>VLOOKUP(A129,Estimate!A:C,3,FALSE)</f>
        <v>900 x 450</v>
      </c>
      <c r="C129" s="80">
        <f>VLOOKUP(A129,Estimate!A:L,12,FALSE)</f>
        <v>2</v>
      </c>
      <c r="D129" s="234">
        <v>128</v>
      </c>
      <c r="E129" s="234">
        <v>130</v>
      </c>
      <c r="F129" s="235">
        <f>IFERROR(VLOOKUP(A129,Estimate!A:Q,17,FALSE)," ")</f>
        <v>7752.5</v>
      </c>
      <c r="G129" s="204">
        <f>IFERROR(VLOOKUP($A129,'Budget &amp; Revenue'!$A:$AM,13,FALSE)," ")</f>
        <v>0</v>
      </c>
      <c r="H129" s="204">
        <f>IFERROR(VLOOKUP($A129,'Budget &amp; Revenue'!$A:$AM,15,FALSE)," ")</f>
        <v>0</v>
      </c>
      <c r="I129" s="204">
        <f>IFERROR(VLOOKUP($A129,'Budget &amp; Revenue'!$A:$AM,17,FALSE)," ")</f>
        <v>0</v>
      </c>
      <c r="J129" s="204">
        <f>IFERROR(VLOOKUP($A129,'Budget &amp; Revenue'!$A:$AM,19,FALSE)," ")</f>
        <v>0</v>
      </c>
      <c r="K129" s="204">
        <f>IFERROR(VLOOKUP($A129,'Budget &amp; Revenue'!$A:$AM,21,FALSE)," ")</f>
        <v>0.14634146341463414</v>
      </c>
      <c r="L129" s="204">
        <f>IFERROR(VLOOKUP($A129,'Budget &amp; Revenue'!$A:$AM,23,FALSE)," ")</f>
        <v>0.14634146341463414</v>
      </c>
      <c r="M129" s="204">
        <f>IFERROR(VLOOKUP($A129,'Budget &amp; Revenue'!$A:$AM,25,FALSE)," ")</f>
        <v>0.14634146341463414</v>
      </c>
      <c r="N129" s="204">
        <f>IFERROR(VLOOKUP($A129,'Budget &amp; Revenue'!$A:$AM,27,FALSE)," ")</f>
        <v>0.14634146341463414</v>
      </c>
      <c r="O129" s="204">
        <f>IFERROR(VLOOKUP($A129,'Budget &amp; Revenue'!$A:$AM,29,FALSE)," ")</f>
        <v>0.14634146341463414</v>
      </c>
      <c r="P129" s="204">
        <f>IFERROR(VLOOKUP($A129,'Budget &amp; Revenue'!$A:$AM,31,FALSE)," ")</f>
        <v>0.21951219512195122</v>
      </c>
      <c r="Q129" s="204">
        <f>IFERROR(VLOOKUP($A129,'Budget &amp; Revenue'!$A:$AM,33,FALSE)," ")</f>
        <v>0.29268292682926828</v>
      </c>
      <c r="R129" s="204">
        <f>IFERROR(VLOOKUP($A129,'Budget &amp; Revenue'!$A:$AM,35,FALSE)," ")</f>
        <v>1</v>
      </c>
      <c r="S129" s="204">
        <f>IFERROR(VLOOKUP($A129,'Budget &amp; Revenue'!$A:$AM,37,FALSE)," ")</f>
        <v>1</v>
      </c>
      <c r="T129" s="204">
        <f>IFERROR(VLOOKUP($A129,'Budget &amp; Revenue'!$A:$AM,39,FALSE)," ")</f>
        <v>1</v>
      </c>
    </row>
    <row r="130" spans="1:20" x14ac:dyDescent="0.25">
      <c r="A130" s="80">
        <v>126</v>
      </c>
      <c r="B130" s="201" t="str">
        <f>VLOOKUP(A130,Estimate!A:C,3,FALSE)</f>
        <v>1200 x 450</v>
      </c>
      <c r="C130" s="80">
        <f>VLOOKUP(A130,Estimate!A:L,12,FALSE)</f>
        <v>6</v>
      </c>
      <c r="D130" s="234">
        <v>129</v>
      </c>
      <c r="E130" s="234">
        <v>131</v>
      </c>
      <c r="F130" s="235">
        <f>IFERROR(VLOOKUP(A130,Estimate!A:Q,17,FALSE)," ")</f>
        <v>50229.5</v>
      </c>
      <c r="G130" s="204">
        <f>IFERROR(VLOOKUP($A130,'Budget &amp; Revenue'!$A:$AM,13,FALSE)," ")</f>
        <v>0</v>
      </c>
      <c r="H130" s="204">
        <f>IFERROR(VLOOKUP($A130,'Budget &amp; Revenue'!$A:$AM,15,FALSE)," ")</f>
        <v>0</v>
      </c>
      <c r="I130" s="204">
        <f>IFERROR(VLOOKUP($A130,'Budget &amp; Revenue'!$A:$AM,17,FALSE)," ")</f>
        <v>0</v>
      </c>
      <c r="J130" s="204">
        <f>IFERROR(VLOOKUP($A130,'Budget &amp; Revenue'!$A:$AM,19,FALSE)," ")</f>
        <v>0</v>
      </c>
      <c r="K130" s="204">
        <f>IFERROR(VLOOKUP($A130,'Budget &amp; Revenue'!$A:$AM,21,FALSE)," ")</f>
        <v>0.62857142857142856</v>
      </c>
      <c r="L130" s="204">
        <f>IFERROR(VLOOKUP($A130,'Budget &amp; Revenue'!$A:$AM,23,FALSE)," ")</f>
        <v>0.62857142857142856</v>
      </c>
      <c r="M130" s="204">
        <f>IFERROR(VLOOKUP($A130,'Budget &amp; Revenue'!$A:$AM,25,FALSE)," ")</f>
        <v>0.62857142857142856</v>
      </c>
      <c r="N130" s="204">
        <f>IFERROR(VLOOKUP($A130,'Budget &amp; Revenue'!$A:$AM,27,FALSE)," ")</f>
        <v>0.62857142857142856</v>
      </c>
      <c r="O130" s="204">
        <f>IFERROR(VLOOKUP($A130,'Budget &amp; Revenue'!$A:$AM,29,FALSE)," ")</f>
        <v>0.62857142857142856</v>
      </c>
      <c r="P130" s="204">
        <f>IFERROR(VLOOKUP($A130,'Budget &amp; Revenue'!$A:$AM,31,FALSE)," ")</f>
        <v>1</v>
      </c>
      <c r="Q130" s="204">
        <f>IFERROR(VLOOKUP($A130,'Budget &amp; Revenue'!$A:$AM,33,FALSE)," ")</f>
        <v>1</v>
      </c>
      <c r="R130" s="204">
        <f>IFERROR(VLOOKUP($A130,'Budget &amp; Revenue'!$A:$AM,35,FALSE)," ")</f>
        <v>1</v>
      </c>
      <c r="S130" s="204">
        <f>IFERROR(VLOOKUP($A130,'Budget &amp; Revenue'!$A:$AM,37,FALSE)," ")</f>
        <v>1</v>
      </c>
      <c r="T130" s="204">
        <f>IFERROR(VLOOKUP($A130,'Budget &amp; Revenue'!$A:$AM,39,FALSE)," ")</f>
        <v>1</v>
      </c>
    </row>
    <row r="131" spans="1:20" x14ac:dyDescent="0.25">
      <c r="A131" s="80">
        <v>127</v>
      </c>
      <c r="B131" s="201" t="str">
        <f>VLOOKUP(A131,Estimate!A:C,3,FALSE)</f>
        <v>1200 x 600</v>
      </c>
      <c r="C131" s="80">
        <f>VLOOKUP(A131,Estimate!A:L,12,FALSE)</f>
        <v>2</v>
      </c>
      <c r="D131" s="234">
        <v>130</v>
      </c>
      <c r="E131" s="236">
        <v>132133141137</v>
      </c>
      <c r="F131" s="235">
        <f>IFERROR(VLOOKUP(A131,Estimate!A:Q,17,FALSE)," ")</f>
        <v>7274.5</v>
      </c>
      <c r="G131" s="204">
        <f>IFERROR(VLOOKUP($A131,'Budget &amp; Revenue'!$A:$AM,13,FALSE)," ")</f>
        <v>0</v>
      </c>
      <c r="H131" s="204">
        <f>IFERROR(VLOOKUP($A131,'Budget &amp; Revenue'!$A:$AM,15,FALSE)," ")</f>
        <v>0</v>
      </c>
      <c r="I131" s="204">
        <f>IFERROR(VLOOKUP($A131,'Budget &amp; Revenue'!$A:$AM,17,FALSE)," ")</f>
        <v>0</v>
      </c>
      <c r="J131" s="204">
        <f>IFERROR(VLOOKUP($A131,'Budget &amp; Revenue'!$A:$AM,19,FALSE)," ")</f>
        <v>0</v>
      </c>
      <c r="K131" s="204">
        <f>IFERROR(VLOOKUP($A131,'Budget &amp; Revenue'!$A:$AM,21,FALSE)," ")</f>
        <v>0.625</v>
      </c>
      <c r="L131" s="204">
        <f>IFERROR(VLOOKUP($A131,'Budget &amp; Revenue'!$A:$AM,23,FALSE)," ")</f>
        <v>0.625</v>
      </c>
      <c r="M131" s="204">
        <f>IFERROR(VLOOKUP($A131,'Budget &amp; Revenue'!$A:$AM,25,FALSE)," ")</f>
        <v>0.625</v>
      </c>
      <c r="N131" s="204">
        <f>IFERROR(VLOOKUP($A131,'Budget &amp; Revenue'!$A:$AM,27,FALSE)," ")</f>
        <v>0.625</v>
      </c>
      <c r="O131" s="204">
        <f>IFERROR(VLOOKUP($A131,'Budget &amp; Revenue'!$A:$AM,29,FALSE)," ")</f>
        <v>0.625</v>
      </c>
      <c r="P131" s="204">
        <f>IFERROR(VLOOKUP($A131,'Budget &amp; Revenue'!$A:$AM,31,FALSE)," ")</f>
        <v>0.9375</v>
      </c>
      <c r="Q131" s="204">
        <f>IFERROR(VLOOKUP($A131,'Budget &amp; Revenue'!$A:$AM,33,FALSE)," ")</f>
        <v>1.25</v>
      </c>
      <c r="R131" s="204">
        <f>IFERROR(VLOOKUP($A131,'Budget &amp; Revenue'!$A:$AM,35,FALSE)," ")</f>
        <v>1.25</v>
      </c>
      <c r="S131" s="204">
        <f>IFERROR(VLOOKUP($A131,'Budget &amp; Revenue'!$A:$AM,37,FALSE)," ")</f>
        <v>1.25</v>
      </c>
      <c r="T131" s="204">
        <f>IFERROR(VLOOKUP($A131,'Budget &amp; Revenue'!$A:$AM,39,FALSE)," ")</f>
        <v>1.25</v>
      </c>
    </row>
    <row r="132" spans="1:20" ht="30" x14ac:dyDescent="0.25">
      <c r="A132" s="80">
        <v>128</v>
      </c>
      <c r="B132" s="201" t="str">
        <f>VLOOKUP(A132,Estimate!A:C,3,FALSE)</f>
        <v>Cast in situ Concrete Headwalls &amp; Wingwalls &amp; Aprons complete</v>
      </c>
      <c r="C132" s="80">
        <f>VLOOKUP(A132,Estimate!A:L,12,FALSE)</f>
        <v>2</v>
      </c>
      <c r="D132" s="234">
        <v>131</v>
      </c>
      <c r="E132" s="234">
        <v>150</v>
      </c>
      <c r="F132" s="235">
        <f>IFERROR(VLOOKUP(A132,Estimate!A:Q,17,FALSE)," ")</f>
        <v>410.15800000000002</v>
      </c>
      <c r="G132" s="204">
        <f>IFERROR(VLOOKUP($A132,'Budget &amp; Revenue'!$A:$AM,13,FALSE)," ")</f>
        <v>0</v>
      </c>
      <c r="H132" s="204">
        <f>IFERROR(VLOOKUP($A132,'Budget &amp; Revenue'!$A:$AM,15,FALSE)," ")</f>
        <v>0</v>
      </c>
      <c r="I132" s="204">
        <f>IFERROR(VLOOKUP($A132,'Budget &amp; Revenue'!$A:$AM,17,FALSE)," ")</f>
        <v>0</v>
      </c>
      <c r="J132" s="204">
        <f>IFERROR(VLOOKUP($A132,'Budget &amp; Revenue'!$A:$AM,19,FALSE)," ")</f>
        <v>0</v>
      </c>
      <c r="K132" s="204">
        <f>IFERROR(VLOOKUP($A132,'Budget &amp; Revenue'!$A:$AM,21,FALSE)," ")</f>
        <v>0</v>
      </c>
      <c r="L132" s="204">
        <f>IFERROR(VLOOKUP($A132,'Budget &amp; Revenue'!$A:$AM,23,FALSE)," ")</f>
        <v>0</v>
      </c>
      <c r="M132" s="204">
        <f>IFERROR(VLOOKUP($A132,'Budget &amp; Revenue'!$A:$AM,25,FALSE)," ")</f>
        <v>0</v>
      </c>
      <c r="N132" s="204">
        <f>IFERROR(VLOOKUP($A132,'Budget &amp; Revenue'!$A:$AM,27,FALSE)," ")</f>
        <v>0</v>
      </c>
      <c r="O132" s="204">
        <f>IFERROR(VLOOKUP($A132,'Budget &amp; Revenue'!$A:$AM,29,FALSE)," ")</f>
        <v>0</v>
      </c>
      <c r="P132" s="204">
        <f>IFERROR(VLOOKUP($A132,'Budget &amp; Revenue'!$A:$AM,31,FALSE)," ")</f>
        <v>1</v>
      </c>
      <c r="Q132" s="204">
        <f>IFERROR(VLOOKUP($A132,'Budget &amp; Revenue'!$A:$AM,33,FALSE)," ")</f>
        <v>1</v>
      </c>
      <c r="R132" s="204">
        <f>IFERROR(VLOOKUP($A132,'Budget &amp; Revenue'!$A:$AM,35,FALSE)," ")</f>
        <v>1</v>
      </c>
      <c r="S132" s="204">
        <f>IFERROR(VLOOKUP($A132,'Budget &amp; Revenue'!$A:$AM,37,FALSE)," ")</f>
        <v>1</v>
      </c>
      <c r="T132" s="204">
        <f>IFERROR(VLOOKUP($A132,'Budget &amp; Revenue'!$A:$AM,39,FALSE)," ")</f>
        <v>1</v>
      </c>
    </row>
    <row r="133" spans="1:20" x14ac:dyDescent="0.25">
      <c r="A133" s="80">
        <v>129</v>
      </c>
      <c r="B133" s="201" t="str">
        <f>VLOOKUP(A133,Estimate!A:C,3,FALSE)</f>
        <v>BRO Pit Gully Pit</v>
      </c>
      <c r="C133" s="80">
        <f>VLOOKUP(A133,Estimate!A:L,12,FALSE)</f>
        <v>10</v>
      </c>
      <c r="D133" s="234">
        <v>131</v>
      </c>
      <c r="E133" s="234">
        <v>134</v>
      </c>
      <c r="F133" s="235">
        <f>IFERROR(VLOOKUP(A133,Estimate!A:Q,17,FALSE)," ")</f>
        <v>27181.3</v>
      </c>
      <c r="G133" s="204">
        <f>IFERROR(VLOOKUP($A133,'Budget &amp; Revenue'!$A:$AM,13,FALSE)," ")</f>
        <v>0</v>
      </c>
      <c r="H133" s="204">
        <f>IFERROR(VLOOKUP($A133,'Budget &amp; Revenue'!$A:$AM,15,FALSE)," ")</f>
        <v>0</v>
      </c>
      <c r="I133" s="204">
        <f>IFERROR(VLOOKUP($A133,'Budget &amp; Revenue'!$A:$AM,17,FALSE)," ")</f>
        <v>0</v>
      </c>
      <c r="J133" s="204">
        <f>IFERROR(VLOOKUP($A133,'Budget &amp; Revenue'!$A:$AM,19,FALSE)," ")</f>
        <v>0</v>
      </c>
      <c r="K133" s="204">
        <f>IFERROR(VLOOKUP($A133,'Budget &amp; Revenue'!$A:$AM,21,FALSE)," ")</f>
        <v>0.5</v>
      </c>
      <c r="L133" s="204">
        <f>IFERROR(VLOOKUP($A133,'Budget &amp; Revenue'!$A:$AM,23,FALSE)," ")</f>
        <v>0.5</v>
      </c>
      <c r="M133" s="204">
        <f>IFERROR(VLOOKUP($A133,'Budget &amp; Revenue'!$A:$AM,25,FALSE)," ")</f>
        <v>0.5</v>
      </c>
      <c r="N133" s="204">
        <f>IFERROR(VLOOKUP($A133,'Budget &amp; Revenue'!$A:$AM,27,FALSE)," ")</f>
        <v>0.5</v>
      </c>
      <c r="O133" s="204">
        <f>IFERROR(VLOOKUP($A133,'Budget &amp; Revenue'!$A:$AM,29,FALSE)," ")</f>
        <v>0.5</v>
      </c>
      <c r="P133" s="204">
        <f>IFERROR(VLOOKUP($A133,'Budget &amp; Revenue'!$A:$AM,31,FALSE)," ")</f>
        <v>0.5</v>
      </c>
      <c r="Q133" s="204">
        <f>IFERROR(VLOOKUP($A133,'Budget &amp; Revenue'!$A:$AM,33,FALSE)," ")</f>
        <v>1</v>
      </c>
      <c r="R133" s="204">
        <f>IFERROR(VLOOKUP($A133,'Budget &amp; Revenue'!$A:$AM,35,FALSE)," ")</f>
        <v>1</v>
      </c>
      <c r="S133" s="204">
        <f>IFERROR(VLOOKUP($A133,'Budget &amp; Revenue'!$A:$AM,37,FALSE)," ")</f>
        <v>1</v>
      </c>
      <c r="T133" s="204">
        <f>IFERROR(VLOOKUP($A133,'Budget &amp; Revenue'!$A:$AM,39,FALSE)," ")</f>
        <v>1</v>
      </c>
    </row>
    <row r="134" spans="1:20" x14ac:dyDescent="0.25">
      <c r="A134" s="80">
        <v>130</v>
      </c>
      <c r="B134" s="201" t="str">
        <f>VLOOKUP(A134,Estimate!A:C,3,FALSE)</f>
        <v>(v)  Concrete Manholes - Cast Insitu</v>
      </c>
      <c r="C134" s="80">
        <f>VLOOKUP(A134,Estimate!A:L,12,FALSE)</f>
        <v>4</v>
      </c>
      <c r="D134" s="234">
        <v>133</v>
      </c>
      <c r="E134" s="236">
        <v>136254</v>
      </c>
      <c r="F134" s="235">
        <f>IFERROR(VLOOKUP(A134,Estimate!A:Q,17,FALSE)," ")</f>
        <v>7500</v>
      </c>
      <c r="G134" s="204">
        <f>IFERROR(VLOOKUP($A134,'Budget &amp; Revenue'!$A:$AM,13,FALSE)," ")</f>
        <v>0</v>
      </c>
      <c r="H134" s="204">
        <f>IFERROR(VLOOKUP($A134,'Budget &amp; Revenue'!$A:$AM,15,FALSE)," ")</f>
        <v>0</v>
      </c>
      <c r="I134" s="204">
        <f>IFERROR(VLOOKUP($A134,'Budget &amp; Revenue'!$A:$AM,17,FALSE)," ")</f>
        <v>0</v>
      </c>
      <c r="J134" s="204">
        <f>IFERROR(VLOOKUP($A134,'Budget &amp; Revenue'!$A:$AM,19,FALSE)," ")</f>
        <v>0</v>
      </c>
      <c r="K134" s="204">
        <f>IFERROR(VLOOKUP($A134,'Budget &amp; Revenue'!$A:$AM,21,FALSE)," ")</f>
        <v>0</v>
      </c>
      <c r="L134" s="204">
        <f>IFERROR(VLOOKUP($A134,'Budget &amp; Revenue'!$A:$AM,23,FALSE)," ")</f>
        <v>0</v>
      </c>
      <c r="M134" s="204">
        <f>IFERROR(VLOOKUP($A134,'Budget &amp; Revenue'!$A:$AM,25,FALSE)," ")</f>
        <v>0</v>
      </c>
      <c r="N134" s="204">
        <f>IFERROR(VLOOKUP($A134,'Budget &amp; Revenue'!$A:$AM,27,FALSE)," ")</f>
        <v>0</v>
      </c>
      <c r="O134" s="204">
        <f>IFERROR(VLOOKUP($A134,'Budget &amp; Revenue'!$A:$AM,29,FALSE)," ")</f>
        <v>0</v>
      </c>
      <c r="P134" s="204">
        <f>IFERROR(VLOOKUP($A134,'Budget &amp; Revenue'!$A:$AM,31,FALSE)," ")</f>
        <v>0.5</v>
      </c>
      <c r="Q134" s="204">
        <f>IFERROR(VLOOKUP($A134,'Budget &amp; Revenue'!$A:$AM,33,FALSE)," ")</f>
        <v>1</v>
      </c>
      <c r="R134" s="204">
        <f>IFERROR(VLOOKUP($A134,'Budget &amp; Revenue'!$A:$AM,35,FALSE)," ")</f>
        <v>1</v>
      </c>
      <c r="S134" s="204">
        <f>IFERROR(VLOOKUP($A134,'Budget &amp; Revenue'!$A:$AM,37,FALSE)," ")</f>
        <v>1</v>
      </c>
      <c r="T134" s="204">
        <f>IFERROR(VLOOKUP($A134,'Budget &amp; Revenue'!$A:$AM,39,FALSE)," ")</f>
        <v>1</v>
      </c>
    </row>
    <row r="135" spans="1:20" x14ac:dyDescent="0.25">
      <c r="A135" s="80">
        <v>131</v>
      </c>
      <c r="B135" s="201" t="str">
        <f>VLOOKUP(A135,Estimate!A:C,3,FALSE)</f>
        <v>(i)  Concrete Barrier Kerb &amp; Channel B1 complete</v>
      </c>
      <c r="C135" s="80">
        <f>VLOOKUP(A135,Estimate!A:L,12,FALSE)</f>
        <v>1</v>
      </c>
      <c r="D135" s="234">
        <v>136</v>
      </c>
      <c r="E135" s="236">
        <v>122140146255</v>
      </c>
      <c r="F135" s="235">
        <f>IFERROR(VLOOKUP(A135,Estimate!A:Q,17,FALSE)," ")</f>
        <v>1701.2167441860465</v>
      </c>
      <c r="G135" s="204">
        <f>IFERROR(VLOOKUP($A135,'Budget &amp; Revenue'!$A:$AM,13,FALSE)," ")</f>
        <v>0</v>
      </c>
      <c r="H135" s="204">
        <f>IFERROR(VLOOKUP($A135,'Budget &amp; Revenue'!$A:$AM,15,FALSE)," ")</f>
        <v>0</v>
      </c>
      <c r="I135" s="204">
        <f>IFERROR(VLOOKUP($A135,'Budget &amp; Revenue'!$A:$AM,17,FALSE)," ")</f>
        <v>0</v>
      </c>
      <c r="J135" s="204">
        <f>IFERROR(VLOOKUP($A135,'Budget &amp; Revenue'!$A:$AM,19,FALSE)," ")</f>
        <v>0</v>
      </c>
      <c r="K135" s="204">
        <f>IFERROR(VLOOKUP($A135,'Budget &amp; Revenue'!$A:$AM,21,FALSE)," ")</f>
        <v>0</v>
      </c>
      <c r="L135" s="204">
        <f>IFERROR(VLOOKUP($A135,'Budget &amp; Revenue'!$A:$AM,23,FALSE)," ")</f>
        <v>0</v>
      </c>
      <c r="M135" s="204">
        <f>IFERROR(VLOOKUP($A135,'Budget &amp; Revenue'!$A:$AM,25,FALSE)," ")</f>
        <v>0</v>
      </c>
      <c r="N135" s="204">
        <f>IFERROR(VLOOKUP($A135,'Budget &amp; Revenue'!$A:$AM,27,FALSE)," ")</f>
        <v>0</v>
      </c>
      <c r="O135" s="204">
        <f>IFERROR(VLOOKUP($A135,'Budget &amp; Revenue'!$A:$AM,29,FALSE)," ")</f>
        <v>0</v>
      </c>
      <c r="P135" s="204">
        <f>IFERROR(VLOOKUP($A135,'Budget &amp; Revenue'!$A:$AM,31,FALSE)," ")</f>
        <v>0</v>
      </c>
      <c r="Q135" s="204">
        <f>IFERROR(VLOOKUP($A135,'Budget &amp; Revenue'!$A:$AM,33,FALSE)," ")</f>
        <v>1</v>
      </c>
      <c r="R135" s="204">
        <f>IFERROR(VLOOKUP($A135,'Budget &amp; Revenue'!$A:$AM,35,FALSE)," ")</f>
        <v>1</v>
      </c>
      <c r="S135" s="204">
        <f>IFERROR(VLOOKUP($A135,'Budget &amp; Revenue'!$A:$AM,37,FALSE)," ")</f>
        <v>1</v>
      </c>
      <c r="T135" s="204">
        <f>IFERROR(VLOOKUP($A135,'Budget &amp; Revenue'!$A:$AM,39,FALSE)," ")</f>
        <v>1</v>
      </c>
    </row>
    <row r="136" spans="1:20" x14ac:dyDescent="0.25">
      <c r="A136" s="80">
        <v>132</v>
      </c>
      <c r="B136" s="201" t="str">
        <f>VLOOKUP(A136,Estimate!A:C,3,FALSE)</f>
        <v>(ii)  Concrete Mountable Kerb &amp; Channel M1 complete</v>
      </c>
      <c r="C136" s="80">
        <f>VLOOKUP(A136,Estimate!A:L,12,FALSE)</f>
        <v>1</v>
      </c>
      <c r="D136" s="236">
        <v>134139254</v>
      </c>
      <c r="E136" s="234" t="s">
        <v>3103</v>
      </c>
      <c r="F136" s="235">
        <f>IFERROR(VLOOKUP(A136,Estimate!A:Q,17,FALSE)," ")</f>
        <v>10092.6</v>
      </c>
      <c r="G136" s="204">
        <f>IFERROR(VLOOKUP($A136,'Budget &amp; Revenue'!$A:$AM,13,FALSE)," ")</f>
        <v>0</v>
      </c>
      <c r="H136" s="204">
        <f>IFERROR(VLOOKUP($A136,'Budget &amp; Revenue'!$A:$AM,15,FALSE)," ")</f>
        <v>0</v>
      </c>
      <c r="I136" s="204">
        <f>IFERROR(VLOOKUP($A136,'Budget &amp; Revenue'!$A:$AM,17,FALSE)," ")</f>
        <v>0</v>
      </c>
      <c r="J136" s="204">
        <f>IFERROR(VLOOKUP($A136,'Budget &amp; Revenue'!$A:$AM,19,FALSE)," ")</f>
        <v>0</v>
      </c>
      <c r="K136" s="204">
        <f>IFERROR(VLOOKUP($A136,'Budget &amp; Revenue'!$A:$AM,21,FALSE)," ")</f>
        <v>0</v>
      </c>
      <c r="L136" s="204">
        <f>IFERROR(VLOOKUP($A136,'Budget &amp; Revenue'!$A:$AM,23,FALSE)," ")</f>
        <v>0</v>
      </c>
      <c r="M136" s="204">
        <f>IFERROR(VLOOKUP($A136,'Budget &amp; Revenue'!$A:$AM,25,FALSE)," ")</f>
        <v>0</v>
      </c>
      <c r="N136" s="204">
        <f>IFERROR(VLOOKUP($A136,'Budget &amp; Revenue'!$A:$AM,27,FALSE)," ")</f>
        <v>0</v>
      </c>
      <c r="O136" s="204">
        <f>IFERROR(VLOOKUP($A136,'Budget &amp; Revenue'!$A:$AM,29,FALSE)," ")</f>
        <v>0</v>
      </c>
      <c r="P136" s="204">
        <f>IFERROR(VLOOKUP($A136,'Budget &amp; Revenue'!$A:$AM,31,FALSE)," ")</f>
        <v>0</v>
      </c>
      <c r="Q136" s="204">
        <f>IFERROR(VLOOKUP($A136,'Budget &amp; Revenue'!$A:$AM,33,FALSE)," ")</f>
        <v>1</v>
      </c>
      <c r="R136" s="204">
        <f>IFERROR(VLOOKUP($A136,'Budget &amp; Revenue'!$A:$AM,35,FALSE)," ")</f>
        <v>1</v>
      </c>
      <c r="S136" s="204">
        <f>IFERROR(VLOOKUP($A136,'Budget &amp; Revenue'!$A:$AM,37,FALSE)," ")</f>
        <v>1</v>
      </c>
      <c r="T136" s="204">
        <f>IFERROR(VLOOKUP($A136,'Budget &amp; Revenue'!$A:$AM,39,FALSE)," ")</f>
        <v>1</v>
      </c>
    </row>
    <row r="137" spans="1:20" x14ac:dyDescent="0.25">
      <c r="A137" s="80">
        <v>133</v>
      </c>
      <c r="B137" s="201" t="str">
        <f>VLOOKUP(A137,Estimate!A:C,3,FALSE)</f>
        <v>(i)  100mm dia Slotted Corrugated Plastic Pipe</v>
      </c>
      <c r="C137" s="80">
        <f>VLOOKUP(A137,Estimate!A:L,12,FALSE)</f>
        <v>3</v>
      </c>
      <c r="D137" s="234">
        <v>131</v>
      </c>
      <c r="E137" s="234" t="s">
        <v>3042</v>
      </c>
      <c r="F137" s="235">
        <f>IFERROR(VLOOKUP(A137,Estimate!A:Q,17,FALSE)," ")</f>
        <v>8669.2695229522942</v>
      </c>
      <c r="G137" s="204">
        <f>IFERROR(VLOOKUP($A137,'Budget &amp; Revenue'!$A:$AM,13,FALSE)," ")</f>
        <v>0</v>
      </c>
      <c r="H137" s="204">
        <f>IFERROR(VLOOKUP($A137,'Budget &amp; Revenue'!$A:$AM,15,FALSE)," ")</f>
        <v>0</v>
      </c>
      <c r="I137" s="204">
        <f>IFERROR(VLOOKUP($A137,'Budget &amp; Revenue'!$A:$AM,17,FALSE)," ")</f>
        <v>0</v>
      </c>
      <c r="J137" s="204">
        <f>IFERROR(VLOOKUP($A137,'Budget &amp; Revenue'!$A:$AM,19,FALSE)," ")</f>
        <v>0</v>
      </c>
      <c r="K137" s="204">
        <f>IFERROR(VLOOKUP($A137,'Budget &amp; Revenue'!$A:$AM,21,FALSE)," ")</f>
        <v>0</v>
      </c>
      <c r="L137" s="204">
        <f>IFERROR(VLOOKUP($A137,'Budget &amp; Revenue'!$A:$AM,23,FALSE)," ")</f>
        <v>0</v>
      </c>
      <c r="M137" s="204">
        <f>IFERROR(VLOOKUP($A137,'Budget &amp; Revenue'!$A:$AM,25,FALSE)," ")</f>
        <v>0</v>
      </c>
      <c r="N137" s="204">
        <f>IFERROR(VLOOKUP($A137,'Budget &amp; Revenue'!$A:$AM,27,FALSE)," ")</f>
        <v>0</v>
      </c>
      <c r="O137" s="204">
        <f>IFERROR(VLOOKUP($A137,'Budget &amp; Revenue'!$A:$AM,29,FALSE)," ")</f>
        <v>0</v>
      </c>
      <c r="P137" s="204">
        <f>IFERROR(VLOOKUP($A137,'Budget &amp; Revenue'!$A:$AM,31,FALSE)," ")</f>
        <v>0</v>
      </c>
      <c r="Q137" s="204">
        <f>IFERROR(VLOOKUP($A137,'Budget &amp; Revenue'!$A:$AM,33,FALSE)," ")</f>
        <v>1</v>
      </c>
      <c r="R137" s="204">
        <f>IFERROR(VLOOKUP($A137,'Budget &amp; Revenue'!$A:$AM,35,FALSE)," ")</f>
        <v>1</v>
      </c>
      <c r="S137" s="204">
        <f>IFERROR(VLOOKUP($A137,'Budget &amp; Revenue'!$A:$AM,37,FALSE)," ")</f>
        <v>1</v>
      </c>
      <c r="T137" s="204">
        <f>IFERROR(VLOOKUP($A137,'Budget &amp; Revenue'!$A:$AM,39,FALSE)," ")</f>
        <v>1</v>
      </c>
    </row>
    <row r="138" spans="1:20" x14ac:dyDescent="0.25">
      <c r="A138" s="80">
        <v>134</v>
      </c>
      <c r="B138" s="201" t="str">
        <f>VLOOKUP(A138,Estimate!A:C,3,FALSE)</f>
        <v>Cleanout Structures</v>
      </c>
      <c r="C138" s="80">
        <f>VLOOKUP(A138,Estimate!A:L,12,FALSE)</f>
        <v>1</v>
      </c>
      <c r="D138" s="234" t="s">
        <v>3043</v>
      </c>
      <c r="E138" s="233"/>
      <c r="F138" s="235">
        <f>IFERROR(VLOOKUP(A138,Estimate!A:Q,17,FALSE)," ")</f>
        <v>858</v>
      </c>
      <c r="G138" s="204">
        <f>IFERROR(VLOOKUP($A138,'Budget &amp; Revenue'!$A:$AM,13,FALSE)," ")</f>
        <v>0</v>
      </c>
      <c r="H138" s="204">
        <f>IFERROR(VLOOKUP($A138,'Budget &amp; Revenue'!$A:$AM,15,FALSE)," ")</f>
        <v>0</v>
      </c>
      <c r="I138" s="204">
        <f>IFERROR(VLOOKUP($A138,'Budget &amp; Revenue'!$A:$AM,17,FALSE)," ")</f>
        <v>0</v>
      </c>
      <c r="J138" s="204">
        <f>IFERROR(VLOOKUP($A138,'Budget &amp; Revenue'!$A:$AM,19,FALSE)," ")</f>
        <v>0</v>
      </c>
      <c r="K138" s="204">
        <f>IFERROR(VLOOKUP($A138,'Budget &amp; Revenue'!$A:$AM,21,FALSE)," ")</f>
        <v>0</v>
      </c>
      <c r="L138" s="204">
        <f>IFERROR(VLOOKUP($A138,'Budget &amp; Revenue'!$A:$AM,23,FALSE)," ")</f>
        <v>0</v>
      </c>
      <c r="M138" s="204">
        <f>IFERROR(VLOOKUP($A138,'Budget &amp; Revenue'!$A:$AM,25,FALSE)," ")</f>
        <v>0</v>
      </c>
      <c r="N138" s="204">
        <f>IFERROR(VLOOKUP($A138,'Budget &amp; Revenue'!$A:$AM,27,FALSE)," ")</f>
        <v>0</v>
      </c>
      <c r="O138" s="204">
        <f>IFERROR(VLOOKUP($A138,'Budget &amp; Revenue'!$A:$AM,29,FALSE)," ")</f>
        <v>0</v>
      </c>
      <c r="P138" s="204">
        <f>IFERROR(VLOOKUP($A138,'Budget &amp; Revenue'!$A:$AM,31,FALSE)," ")</f>
        <v>0</v>
      </c>
      <c r="Q138" s="204">
        <f>IFERROR(VLOOKUP($A138,'Budget &amp; Revenue'!$A:$AM,33,FALSE)," ")</f>
        <v>1</v>
      </c>
      <c r="R138" s="204">
        <f>IFERROR(VLOOKUP($A138,'Budget &amp; Revenue'!$A:$AM,35,FALSE)," ")</f>
        <v>1</v>
      </c>
      <c r="S138" s="204">
        <f>IFERROR(VLOOKUP($A138,'Budget &amp; Revenue'!$A:$AM,37,FALSE)," ")</f>
        <v>1</v>
      </c>
      <c r="T138" s="204">
        <f>IFERROR(VLOOKUP($A138,'Budget &amp; Revenue'!$A:$AM,39,FALSE)," ")</f>
        <v>1</v>
      </c>
    </row>
    <row r="139" spans="1:20" x14ac:dyDescent="0.25">
      <c r="A139" s="80">
        <v>135</v>
      </c>
      <c r="B139" s="201" t="str">
        <f>VLOOKUP(A139,Estimate!A:C,3,FALSE)</f>
        <v>Place only Type 2.3</v>
      </c>
      <c r="C139" s="80">
        <f>VLOOKUP(A139,Estimate!A:L,12,FALSE)</f>
        <v>2</v>
      </c>
      <c r="D139" s="236">
        <v>137141</v>
      </c>
      <c r="E139" s="234">
        <v>136</v>
      </c>
      <c r="F139" s="235">
        <f>IFERROR(VLOOKUP(A139,Estimate!A:Q,17,FALSE)," ")</f>
        <v>8380.212421242124</v>
      </c>
      <c r="G139" s="204">
        <f>IFERROR(VLOOKUP($A139,'Budget &amp; Revenue'!$A:$AM,13,FALSE)," ")</f>
        <v>0</v>
      </c>
      <c r="H139" s="204">
        <f>IFERROR(VLOOKUP($A139,'Budget &amp; Revenue'!$A:$AM,15,FALSE)," ")</f>
        <v>0</v>
      </c>
      <c r="I139" s="204">
        <f>IFERROR(VLOOKUP($A139,'Budget &amp; Revenue'!$A:$AM,17,FALSE)," ")</f>
        <v>0</v>
      </c>
      <c r="J139" s="204">
        <f>IFERROR(VLOOKUP($A139,'Budget &amp; Revenue'!$A:$AM,19,FALSE)," ")</f>
        <v>0</v>
      </c>
      <c r="K139" s="204">
        <f>IFERROR(VLOOKUP($A139,'Budget &amp; Revenue'!$A:$AM,21,FALSE)," ")</f>
        <v>0</v>
      </c>
      <c r="L139" s="204">
        <f>IFERROR(VLOOKUP($A139,'Budget &amp; Revenue'!$A:$AM,23,FALSE)," ")</f>
        <v>0</v>
      </c>
      <c r="M139" s="204">
        <f>IFERROR(VLOOKUP($A139,'Budget &amp; Revenue'!$A:$AM,25,FALSE)," ")</f>
        <v>0</v>
      </c>
      <c r="N139" s="204">
        <f>IFERROR(VLOOKUP($A139,'Budget &amp; Revenue'!$A:$AM,27,FALSE)," ")</f>
        <v>0</v>
      </c>
      <c r="O139" s="204">
        <f>IFERROR(VLOOKUP($A139,'Budget &amp; Revenue'!$A:$AM,29,FALSE)," ")</f>
        <v>0</v>
      </c>
      <c r="P139" s="204">
        <f>IFERROR(VLOOKUP($A139,'Budget &amp; Revenue'!$A:$AM,31,FALSE)," ")</f>
        <v>0</v>
      </c>
      <c r="Q139" s="204">
        <f>IFERROR(VLOOKUP($A139,'Budget &amp; Revenue'!$A:$AM,33,FALSE)," ")</f>
        <v>1</v>
      </c>
      <c r="R139" s="204">
        <f>IFERROR(VLOOKUP($A139,'Budget &amp; Revenue'!$A:$AM,35,FALSE)," ")</f>
        <v>1</v>
      </c>
      <c r="S139" s="204">
        <f>IFERROR(VLOOKUP($A139,'Budget &amp; Revenue'!$A:$AM,37,FALSE)," ")</f>
        <v>1</v>
      </c>
      <c r="T139" s="204">
        <f>IFERROR(VLOOKUP($A139,'Budget &amp; Revenue'!$A:$AM,39,FALSE)," ")</f>
        <v>1</v>
      </c>
    </row>
    <row r="140" spans="1:20" x14ac:dyDescent="0.25">
      <c r="A140" s="80">
        <v>136</v>
      </c>
      <c r="B140" s="201" t="str">
        <f>VLOOKUP(A140,Estimate!A:C,3,FALSE)</f>
        <v>Place only Type 2.1 (828m²)</v>
      </c>
      <c r="C140" s="80">
        <f>VLOOKUP(A140,Estimate!A:L,12,FALSE)</f>
        <v>3</v>
      </c>
      <c r="D140" s="234" t="s">
        <v>3044</v>
      </c>
      <c r="E140" s="234" t="s">
        <v>3045</v>
      </c>
      <c r="F140" s="235">
        <f>IFERROR(VLOOKUP(A140,Estimate!A:Q,17,FALSE)," ")</f>
        <v>8090.9334624273233</v>
      </c>
      <c r="G140" s="204">
        <f>IFERROR(VLOOKUP($A140,'Budget &amp; Revenue'!$A:$AM,13,FALSE)," ")</f>
        <v>0</v>
      </c>
      <c r="H140" s="204">
        <f>IFERROR(VLOOKUP($A140,'Budget &amp; Revenue'!$A:$AM,15,FALSE)," ")</f>
        <v>0</v>
      </c>
      <c r="I140" s="204">
        <f>IFERROR(VLOOKUP($A140,'Budget &amp; Revenue'!$A:$AM,17,FALSE)," ")</f>
        <v>0</v>
      </c>
      <c r="J140" s="204">
        <f>IFERROR(VLOOKUP($A140,'Budget &amp; Revenue'!$A:$AM,19,FALSE)," ")</f>
        <v>0</v>
      </c>
      <c r="K140" s="204">
        <f>IFERROR(VLOOKUP($A140,'Budget &amp; Revenue'!$A:$AM,21,FALSE)," ")</f>
        <v>0</v>
      </c>
      <c r="L140" s="204">
        <f>IFERROR(VLOOKUP($A140,'Budget &amp; Revenue'!$A:$AM,23,FALSE)," ")</f>
        <v>0</v>
      </c>
      <c r="M140" s="204">
        <f>IFERROR(VLOOKUP($A140,'Budget &amp; Revenue'!$A:$AM,25,FALSE)," ")</f>
        <v>0</v>
      </c>
      <c r="N140" s="204">
        <f>IFERROR(VLOOKUP($A140,'Budget &amp; Revenue'!$A:$AM,27,FALSE)," ")</f>
        <v>0</v>
      </c>
      <c r="O140" s="204">
        <f>IFERROR(VLOOKUP($A140,'Budget &amp; Revenue'!$A:$AM,29,FALSE)," ")</f>
        <v>0</v>
      </c>
      <c r="P140" s="204">
        <f>IFERROR(VLOOKUP($A140,'Budget &amp; Revenue'!$A:$AM,31,FALSE)," ")</f>
        <v>0</v>
      </c>
      <c r="Q140" s="204">
        <f>IFERROR(VLOOKUP($A140,'Budget &amp; Revenue'!$A:$AM,33,FALSE)," ")</f>
        <v>1</v>
      </c>
      <c r="R140" s="204">
        <f>IFERROR(VLOOKUP($A140,'Budget &amp; Revenue'!$A:$AM,35,FALSE)," ")</f>
        <v>1</v>
      </c>
      <c r="S140" s="204">
        <f>IFERROR(VLOOKUP($A140,'Budget &amp; Revenue'!$A:$AM,37,FALSE)," ")</f>
        <v>1</v>
      </c>
      <c r="T140" s="204">
        <f>IFERROR(VLOOKUP($A140,'Budget &amp; Revenue'!$A:$AM,39,FALSE)," ")</f>
        <v>1</v>
      </c>
    </row>
    <row r="141" spans="1:20" x14ac:dyDescent="0.25">
      <c r="A141" s="80">
        <v>137</v>
      </c>
      <c r="B141" s="201" t="str">
        <f>VLOOKUP(A141,Estimate!A:C,3,FALSE)</f>
        <v>Special Item - Geotextile layer</v>
      </c>
      <c r="C141" s="80">
        <f>VLOOKUP(A141,Estimate!A:L,12,FALSE)</f>
        <v>1</v>
      </c>
      <c r="D141" s="234">
        <v>131</v>
      </c>
      <c r="E141" s="234">
        <v>139</v>
      </c>
      <c r="F141" s="235">
        <f>IFERROR(VLOOKUP(A141,Estimate!A:Q,17,FALSE)," ")</f>
        <v>1467.623859649123</v>
      </c>
      <c r="G141" s="204">
        <f>IFERROR(VLOOKUP($A141,'Budget &amp; Revenue'!$A:$AM,13,FALSE)," ")</f>
        <v>0</v>
      </c>
      <c r="H141" s="204">
        <f>IFERROR(VLOOKUP($A141,'Budget &amp; Revenue'!$A:$AM,15,FALSE)," ")</f>
        <v>0</v>
      </c>
      <c r="I141" s="204">
        <f>IFERROR(VLOOKUP($A141,'Budget &amp; Revenue'!$A:$AM,17,FALSE)," ")</f>
        <v>0</v>
      </c>
      <c r="J141" s="204">
        <f>IFERROR(VLOOKUP($A141,'Budget &amp; Revenue'!$A:$AM,19,FALSE)," ")</f>
        <v>0</v>
      </c>
      <c r="K141" s="204">
        <f>IFERROR(VLOOKUP($A141,'Budget &amp; Revenue'!$A:$AM,21,FALSE)," ")</f>
        <v>0</v>
      </c>
      <c r="L141" s="204">
        <f>IFERROR(VLOOKUP($A141,'Budget &amp; Revenue'!$A:$AM,23,FALSE)," ")</f>
        <v>0</v>
      </c>
      <c r="M141" s="204">
        <f>IFERROR(VLOOKUP($A141,'Budget &amp; Revenue'!$A:$AM,25,FALSE)," ")</f>
        <v>0</v>
      </c>
      <c r="N141" s="204">
        <f>IFERROR(VLOOKUP($A141,'Budget &amp; Revenue'!$A:$AM,27,FALSE)," ")</f>
        <v>0</v>
      </c>
      <c r="O141" s="204">
        <f>IFERROR(VLOOKUP($A141,'Budget &amp; Revenue'!$A:$AM,29,FALSE)," ")</f>
        <v>0.5</v>
      </c>
      <c r="P141" s="204">
        <f>IFERROR(VLOOKUP($A141,'Budget &amp; Revenue'!$A:$AM,31,FALSE)," ")</f>
        <v>1</v>
      </c>
      <c r="Q141" s="204">
        <f>IFERROR(VLOOKUP($A141,'Budget &amp; Revenue'!$A:$AM,33,FALSE)," ")</f>
        <v>1</v>
      </c>
      <c r="R141" s="204">
        <f>IFERROR(VLOOKUP($A141,'Budget &amp; Revenue'!$A:$AM,35,FALSE)," ")</f>
        <v>1</v>
      </c>
      <c r="S141" s="204">
        <f>IFERROR(VLOOKUP($A141,'Budget &amp; Revenue'!$A:$AM,37,FALSE)," ")</f>
        <v>1</v>
      </c>
      <c r="T141" s="204">
        <f>IFERROR(VLOOKUP($A141,'Budget &amp; Revenue'!$A:$AM,39,FALSE)," ")</f>
        <v>1</v>
      </c>
    </row>
    <row r="142" spans="1:20" x14ac:dyDescent="0.25">
      <c r="A142" s="80">
        <v>138</v>
      </c>
      <c r="B142" s="201" t="str">
        <f>VLOOKUP(A142,Estimate!A:C,3,FALSE)</f>
        <v>(vii)  AMC5</v>
      </c>
      <c r="C142" s="80">
        <f>VLOOKUP(A142,Estimate!A:L,12,FALSE)</f>
        <v>1</v>
      </c>
      <c r="D142" s="234" t="s">
        <v>3104</v>
      </c>
      <c r="E142" s="234" t="s">
        <v>3046</v>
      </c>
      <c r="F142" s="235">
        <f>IFERROR(VLOOKUP(A142,Estimate!A:Q,17,FALSE)," ")</f>
        <v>13597.416000000001</v>
      </c>
      <c r="G142" s="204">
        <f>IFERROR(VLOOKUP($A142,'Budget &amp; Revenue'!$A:$AM,13,FALSE)," ")</f>
        <v>0</v>
      </c>
      <c r="H142" s="204">
        <f>IFERROR(VLOOKUP($A142,'Budget &amp; Revenue'!$A:$AM,15,FALSE)," ")</f>
        <v>0</v>
      </c>
      <c r="I142" s="204">
        <f>IFERROR(VLOOKUP($A142,'Budget &amp; Revenue'!$A:$AM,17,FALSE)," ")</f>
        <v>0</v>
      </c>
      <c r="J142" s="204">
        <f>IFERROR(VLOOKUP($A142,'Budget &amp; Revenue'!$A:$AM,19,FALSE)," ")</f>
        <v>0</v>
      </c>
      <c r="K142" s="204">
        <f>IFERROR(VLOOKUP($A142,'Budget &amp; Revenue'!$A:$AM,21,FALSE)," ")</f>
        <v>0</v>
      </c>
      <c r="L142" s="204">
        <f>IFERROR(VLOOKUP($A142,'Budget &amp; Revenue'!$A:$AM,23,FALSE)," ")</f>
        <v>0</v>
      </c>
      <c r="M142" s="204">
        <f>IFERROR(VLOOKUP($A142,'Budget &amp; Revenue'!$A:$AM,25,FALSE)," ")</f>
        <v>0</v>
      </c>
      <c r="N142" s="204">
        <f>IFERROR(VLOOKUP($A142,'Budget &amp; Revenue'!$A:$AM,27,FALSE)," ")</f>
        <v>0</v>
      </c>
      <c r="O142" s="204">
        <f>IFERROR(VLOOKUP($A142,'Budget &amp; Revenue'!$A:$AM,29,FALSE)," ")</f>
        <v>0</v>
      </c>
      <c r="P142" s="204">
        <f>IFERROR(VLOOKUP($A142,'Budget &amp; Revenue'!$A:$AM,31,FALSE)," ")</f>
        <v>0</v>
      </c>
      <c r="Q142" s="204">
        <f>IFERROR(VLOOKUP($A142,'Budget &amp; Revenue'!$A:$AM,33,FALSE)," ")</f>
        <v>0</v>
      </c>
      <c r="R142" s="204">
        <f>IFERROR(VLOOKUP($A142,'Budget &amp; Revenue'!$A:$AM,35,FALSE)," ")</f>
        <v>1</v>
      </c>
      <c r="S142" s="204">
        <f>IFERROR(VLOOKUP($A142,'Budget &amp; Revenue'!$A:$AM,37,FALSE)," ")</f>
        <v>1</v>
      </c>
      <c r="T142" s="204">
        <f>IFERROR(VLOOKUP($A142,'Budget &amp; Revenue'!$A:$AM,39,FALSE)," ")</f>
        <v>1</v>
      </c>
    </row>
    <row r="143" spans="1:20" x14ac:dyDescent="0.25">
      <c r="A143" s="80">
        <v>139</v>
      </c>
      <c r="B143" s="201" t="str">
        <f>VLOOKUP(A143,Estimate!A:C,3,FALSE)</f>
        <v>(ii)  14mm Nominal Size</v>
      </c>
      <c r="C143" s="80">
        <f>VLOOKUP(A143,Estimate!A:L,12,FALSE)</f>
        <v>1</v>
      </c>
      <c r="D143" s="234" t="s">
        <v>3047</v>
      </c>
      <c r="E143" s="234">
        <v>150</v>
      </c>
      <c r="F143" s="235">
        <f>IFERROR(VLOOKUP(A143,Estimate!A:Q,17,FALSE)," ")</f>
        <v>33384.959999999999</v>
      </c>
      <c r="G143" s="204">
        <f>IFERROR(VLOOKUP($A143,'Budget &amp; Revenue'!$A:$AM,13,FALSE)," ")</f>
        <v>0</v>
      </c>
      <c r="H143" s="204">
        <f>IFERROR(VLOOKUP($A143,'Budget &amp; Revenue'!$A:$AM,15,FALSE)," ")</f>
        <v>0</v>
      </c>
      <c r="I143" s="204">
        <f>IFERROR(VLOOKUP($A143,'Budget &amp; Revenue'!$A:$AM,17,FALSE)," ")</f>
        <v>0</v>
      </c>
      <c r="J143" s="204">
        <f>IFERROR(VLOOKUP($A143,'Budget &amp; Revenue'!$A:$AM,19,FALSE)," ")</f>
        <v>0</v>
      </c>
      <c r="K143" s="204">
        <f>IFERROR(VLOOKUP($A143,'Budget &amp; Revenue'!$A:$AM,21,FALSE)," ")</f>
        <v>0</v>
      </c>
      <c r="L143" s="204">
        <f>IFERROR(VLOOKUP($A143,'Budget &amp; Revenue'!$A:$AM,23,FALSE)," ")</f>
        <v>0</v>
      </c>
      <c r="M143" s="204">
        <f>IFERROR(VLOOKUP($A143,'Budget &amp; Revenue'!$A:$AM,25,FALSE)," ")</f>
        <v>0</v>
      </c>
      <c r="N143" s="204">
        <f>IFERROR(VLOOKUP($A143,'Budget &amp; Revenue'!$A:$AM,27,FALSE)," ")</f>
        <v>0</v>
      </c>
      <c r="O143" s="204">
        <f>IFERROR(VLOOKUP($A143,'Budget &amp; Revenue'!$A:$AM,29,FALSE)," ")</f>
        <v>0</v>
      </c>
      <c r="P143" s="204">
        <f>IFERROR(VLOOKUP($A143,'Budget &amp; Revenue'!$A:$AM,31,FALSE)," ")</f>
        <v>0</v>
      </c>
      <c r="Q143" s="204">
        <f>IFERROR(VLOOKUP($A143,'Budget &amp; Revenue'!$A:$AM,33,FALSE)," ")</f>
        <v>0</v>
      </c>
      <c r="R143" s="204">
        <f>IFERROR(VLOOKUP($A143,'Budget &amp; Revenue'!$A:$AM,35,FALSE)," ")</f>
        <v>1</v>
      </c>
      <c r="S143" s="204">
        <f>IFERROR(VLOOKUP($A143,'Budget &amp; Revenue'!$A:$AM,37,FALSE)," ")</f>
        <v>1</v>
      </c>
      <c r="T143" s="204">
        <f>IFERROR(VLOOKUP($A143,'Budget &amp; Revenue'!$A:$AM,39,FALSE)," ")</f>
        <v>1</v>
      </c>
    </row>
    <row r="144" spans="1:20" x14ac:dyDescent="0.25">
      <c r="A144" s="80">
        <v>140</v>
      </c>
      <c r="B144" s="201" t="str">
        <f>VLOOKUP(A144,Estimate!A:C,3,FALSE)</f>
        <v>Remove and reinstate Existing Signs &amp; Support Structures</v>
      </c>
      <c r="C144" s="80">
        <f>VLOOKUP(A144,Estimate!A:L,12,FALSE)</f>
        <v>1</v>
      </c>
      <c r="D144" s="234">
        <v>120</v>
      </c>
      <c r="E144" s="234">
        <v>150</v>
      </c>
      <c r="F144" s="235">
        <f>IFERROR(VLOOKUP(A144,Estimate!A:Q,17,FALSE)," ")</f>
        <v>1048</v>
      </c>
      <c r="G144" s="204">
        <f>IFERROR(VLOOKUP($A144,'Budget &amp; Revenue'!$A:$AM,13,FALSE)," ")</f>
        <v>0</v>
      </c>
      <c r="H144" s="204">
        <f>IFERROR(VLOOKUP($A144,'Budget &amp; Revenue'!$A:$AM,15,FALSE)," ")</f>
        <v>0</v>
      </c>
      <c r="I144" s="204">
        <f>IFERROR(VLOOKUP($A144,'Budget &amp; Revenue'!$A:$AM,17,FALSE)," ")</f>
        <v>0</v>
      </c>
      <c r="J144" s="204">
        <f>IFERROR(VLOOKUP($A144,'Budget &amp; Revenue'!$A:$AM,19,FALSE)," ")</f>
        <v>0</v>
      </c>
      <c r="K144" s="204">
        <f>IFERROR(VLOOKUP($A144,'Budget &amp; Revenue'!$A:$AM,21,FALSE)," ")</f>
        <v>0</v>
      </c>
      <c r="L144" s="204">
        <f>IFERROR(VLOOKUP($A144,'Budget &amp; Revenue'!$A:$AM,23,FALSE)," ")</f>
        <v>0</v>
      </c>
      <c r="M144" s="204">
        <f>IFERROR(VLOOKUP($A144,'Budget &amp; Revenue'!$A:$AM,25,FALSE)," ")</f>
        <v>0</v>
      </c>
      <c r="N144" s="204">
        <f>IFERROR(VLOOKUP($A144,'Budget &amp; Revenue'!$A:$AM,27,FALSE)," ")</f>
        <v>0</v>
      </c>
      <c r="O144" s="204">
        <f>IFERROR(VLOOKUP($A144,'Budget &amp; Revenue'!$A:$AM,29,FALSE)," ")</f>
        <v>0</v>
      </c>
      <c r="P144" s="204">
        <f>IFERROR(VLOOKUP($A144,'Budget &amp; Revenue'!$A:$AM,31,FALSE)," ")</f>
        <v>0</v>
      </c>
      <c r="Q144" s="204">
        <f>IFERROR(VLOOKUP($A144,'Budget &amp; Revenue'!$A:$AM,33,FALSE)," ")</f>
        <v>0</v>
      </c>
      <c r="R144" s="204">
        <f>IFERROR(VLOOKUP($A144,'Budget &amp; Revenue'!$A:$AM,35,FALSE)," ")</f>
        <v>1</v>
      </c>
      <c r="S144" s="204">
        <f>IFERROR(VLOOKUP($A144,'Budget &amp; Revenue'!$A:$AM,37,FALSE)," ")</f>
        <v>1</v>
      </c>
      <c r="T144" s="204">
        <f>IFERROR(VLOOKUP($A144,'Budget &amp; Revenue'!$A:$AM,39,FALSE)," ")</f>
        <v>1</v>
      </c>
    </row>
    <row r="145" spans="1:20" ht="30" x14ac:dyDescent="0.25">
      <c r="A145" s="80">
        <v>141</v>
      </c>
      <c r="B145" s="201" t="str">
        <f>VLOOKUP(A145,Estimate!A:C,3,FALSE)</f>
        <v>Supply &amp; Erection of Boundary Fencing  (1200 high chainlink star picket fence)</v>
      </c>
      <c r="C145" s="80">
        <f>VLOOKUP(A145,Estimate!A:L,12,FALSE)</f>
        <v>1</v>
      </c>
      <c r="D145" s="234">
        <v>142</v>
      </c>
      <c r="E145" s="234">
        <v>150</v>
      </c>
      <c r="F145" s="235">
        <f>IFERROR(VLOOKUP(A145,Estimate!A:Q,17,FALSE)," ")</f>
        <v>1375</v>
      </c>
      <c r="G145" s="204">
        <f>IFERROR(VLOOKUP($A145,'Budget &amp; Revenue'!$A:$AM,13,FALSE)," ")</f>
        <v>0</v>
      </c>
      <c r="H145" s="204">
        <f>IFERROR(VLOOKUP($A145,'Budget &amp; Revenue'!$A:$AM,15,FALSE)," ")</f>
        <v>0</v>
      </c>
      <c r="I145" s="204">
        <f>IFERROR(VLOOKUP($A145,'Budget &amp; Revenue'!$A:$AM,17,FALSE)," ")</f>
        <v>0</v>
      </c>
      <c r="J145" s="204">
        <f>IFERROR(VLOOKUP($A145,'Budget &amp; Revenue'!$A:$AM,19,FALSE)," ")</f>
        <v>0</v>
      </c>
      <c r="K145" s="204">
        <f>IFERROR(VLOOKUP($A145,'Budget &amp; Revenue'!$A:$AM,21,FALSE)," ")</f>
        <v>0</v>
      </c>
      <c r="L145" s="204">
        <f>IFERROR(VLOOKUP($A145,'Budget &amp; Revenue'!$A:$AM,23,FALSE)," ")</f>
        <v>0</v>
      </c>
      <c r="M145" s="204">
        <f>IFERROR(VLOOKUP($A145,'Budget &amp; Revenue'!$A:$AM,25,FALSE)," ")</f>
        <v>0</v>
      </c>
      <c r="N145" s="204">
        <f>IFERROR(VLOOKUP($A145,'Budget &amp; Revenue'!$A:$AM,27,FALSE)," ")</f>
        <v>0</v>
      </c>
      <c r="O145" s="204">
        <f>IFERROR(VLOOKUP($A145,'Budget &amp; Revenue'!$A:$AM,29,FALSE)," ")</f>
        <v>0</v>
      </c>
      <c r="P145" s="204">
        <f>IFERROR(VLOOKUP($A145,'Budget &amp; Revenue'!$A:$AM,31,FALSE)," ")</f>
        <v>0</v>
      </c>
      <c r="Q145" s="204">
        <f>IFERROR(VLOOKUP($A145,'Budget &amp; Revenue'!$A:$AM,33,FALSE)," ")</f>
        <v>0</v>
      </c>
      <c r="R145" s="204">
        <f>IFERROR(VLOOKUP($A145,'Budget &amp; Revenue'!$A:$AM,35,FALSE)," ")</f>
        <v>1</v>
      </c>
      <c r="S145" s="204">
        <f>IFERROR(VLOOKUP($A145,'Budget &amp; Revenue'!$A:$AM,37,FALSE)," ")</f>
        <v>1</v>
      </c>
      <c r="T145" s="204">
        <f>IFERROR(VLOOKUP($A145,'Budget &amp; Revenue'!$A:$AM,39,FALSE)," ")</f>
        <v>1</v>
      </c>
    </row>
    <row r="146" spans="1:20" x14ac:dyDescent="0.25">
      <c r="A146" s="80">
        <v>142</v>
      </c>
      <c r="B146" s="201" t="str">
        <f>VLOOKUP(A146,Estimate!A:C,3,FALSE)</f>
        <v>(iv)  Residential Invert Crossing (? m)</v>
      </c>
      <c r="C146" s="80">
        <f>VLOOKUP(A146,Estimate!A:L,12,FALSE)</f>
        <v>4</v>
      </c>
      <c r="D146" s="236">
        <v>135255</v>
      </c>
      <c r="E146" s="234" t="s">
        <v>3105</v>
      </c>
      <c r="F146" s="235">
        <f>IFERROR(VLOOKUP(A146,Estimate!A:Q,17,FALSE)," ")</f>
        <v>2449.4666666666667</v>
      </c>
      <c r="G146" s="204">
        <f>IFERROR(VLOOKUP($A146,'Budget &amp; Revenue'!$A:$AM,13,FALSE)," ")</f>
        <v>0</v>
      </c>
      <c r="H146" s="204">
        <f>IFERROR(VLOOKUP($A146,'Budget &amp; Revenue'!$A:$AM,15,FALSE)," ")</f>
        <v>0</v>
      </c>
      <c r="I146" s="204">
        <f>IFERROR(VLOOKUP($A146,'Budget &amp; Revenue'!$A:$AM,17,FALSE)," ")</f>
        <v>0</v>
      </c>
      <c r="J146" s="204">
        <f>IFERROR(VLOOKUP($A146,'Budget &amp; Revenue'!$A:$AM,19,FALSE)," ")</f>
        <v>0</v>
      </c>
      <c r="K146" s="204">
        <f>IFERROR(VLOOKUP($A146,'Budget &amp; Revenue'!$A:$AM,21,FALSE)," ")</f>
        <v>0</v>
      </c>
      <c r="L146" s="204">
        <f>IFERROR(VLOOKUP($A146,'Budget &amp; Revenue'!$A:$AM,23,FALSE)," ")</f>
        <v>0</v>
      </c>
      <c r="M146" s="204">
        <f>IFERROR(VLOOKUP($A146,'Budget &amp; Revenue'!$A:$AM,25,FALSE)," ")</f>
        <v>0</v>
      </c>
      <c r="N146" s="204">
        <f>IFERROR(VLOOKUP($A146,'Budget &amp; Revenue'!$A:$AM,27,FALSE)," ")</f>
        <v>0</v>
      </c>
      <c r="O146" s="204">
        <f>IFERROR(VLOOKUP($A146,'Budget &amp; Revenue'!$A:$AM,29,FALSE)," ")</f>
        <v>0</v>
      </c>
      <c r="P146" s="204">
        <f>IFERROR(VLOOKUP($A146,'Budget &amp; Revenue'!$A:$AM,31,FALSE)," ")</f>
        <v>0</v>
      </c>
      <c r="Q146" s="204">
        <f>IFERROR(VLOOKUP($A146,'Budget &amp; Revenue'!$A:$AM,33,FALSE)," ")</f>
        <v>1</v>
      </c>
      <c r="R146" s="204">
        <f>IFERROR(VLOOKUP($A146,'Budget &amp; Revenue'!$A:$AM,35,FALSE)," ")</f>
        <v>1</v>
      </c>
      <c r="S146" s="204">
        <f>IFERROR(VLOOKUP($A146,'Budget &amp; Revenue'!$A:$AM,37,FALSE)," ")</f>
        <v>1</v>
      </c>
      <c r="T146" s="204">
        <f>IFERROR(VLOOKUP($A146,'Budget &amp; Revenue'!$A:$AM,39,FALSE)," ")</f>
        <v>1</v>
      </c>
    </row>
    <row r="147" spans="1:20" x14ac:dyDescent="0.25">
      <c r="A147" s="80">
        <v>143</v>
      </c>
      <c r="B147" s="201" t="str">
        <f>VLOOKUP(A147,Estimate!A:C,3,FALSE)</f>
        <v>Service connections</v>
      </c>
      <c r="C147" s="80">
        <f>VLOOKUP(A147,Estimate!A:L,12,FALSE)</f>
        <v>3</v>
      </c>
      <c r="D147" s="236">
        <v>149253</v>
      </c>
      <c r="E147" s="234">
        <v>150</v>
      </c>
      <c r="F147" s="235">
        <f>IFERROR(VLOOKUP(A147,Estimate!A:Q,17,FALSE)," ")</f>
        <v>7920</v>
      </c>
      <c r="G147" s="204">
        <f>IFERROR(VLOOKUP($A147,'Budget &amp; Revenue'!$A:$AM,13,FALSE)," ")</f>
        <v>0</v>
      </c>
      <c r="H147" s="204">
        <f>IFERROR(VLOOKUP($A147,'Budget &amp; Revenue'!$A:$AM,15,FALSE)," ")</f>
        <v>0</v>
      </c>
      <c r="I147" s="204">
        <f>IFERROR(VLOOKUP($A147,'Budget &amp; Revenue'!$A:$AM,17,FALSE)," ")</f>
        <v>0</v>
      </c>
      <c r="J147" s="204">
        <f>IFERROR(VLOOKUP($A147,'Budget &amp; Revenue'!$A:$AM,19,FALSE)," ")</f>
        <v>0</v>
      </c>
      <c r="K147" s="204">
        <f>IFERROR(VLOOKUP($A147,'Budget &amp; Revenue'!$A:$AM,21,FALSE)," ")</f>
        <v>0</v>
      </c>
      <c r="L147" s="204">
        <f>IFERROR(VLOOKUP($A147,'Budget &amp; Revenue'!$A:$AM,23,FALSE)," ")</f>
        <v>0</v>
      </c>
      <c r="M147" s="204">
        <f>IFERROR(VLOOKUP($A147,'Budget &amp; Revenue'!$A:$AM,25,FALSE)," ")</f>
        <v>0</v>
      </c>
      <c r="N147" s="204">
        <f>IFERROR(VLOOKUP($A147,'Budget &amp; Revenue'!$A:$AM,27,FALSE)," ")</f>
        <v>0</v>
      </c>
      <c r="O147" s="204">
        <f>IFERROR(VLOOKUP($A147,'Budget &amp; Revenue'!$A:$AM,29,FALSE)," ")</f>
        <v>0.8</v>
      </c>
      <c r="P147" s="204">
        <f>IFERROR(VLOOKUP($A147,'Budget &amp; Revenue'!$A:$AM,31,FALSE)," ")</f>
        <v>1</v>
      </c>
      <c r="Q147" s="204">
        <f>IFERROR(VLOOKUP($A147,'Budget &amp; Revenue'!$A:$AM,33,FALSE)," ")</f>
        <v>1</v>
      </c>
      <c r="R147" s="204">
        <f>IFERROR(VLOOKUP($A147,'Budget &amp; Revenue'!$A:$AM,35,FALSE)," ")</f>
        <v>1</v>
      </c>
      <c r="S147" s="204">
        <f>IFERROR(VLOOKUP($A147,'Budget &amp; Revenue'!$A:$AM,37,FALSE)," ")</f>
        <v>1</v>
      </c>
      <c r="T147" s="204">
        <f>IFERROR(VLOOKUP($A147,'Budget &amp; Revenue'!$A:$AM,39,FALSE)," ")</f>
        <v>1</v>
      </c>
    </row>
    <row r="148" spans="1:20" x14ac:dyDescent="0.25">
      <c r="A148" s="80">
        <v>144</v>
      </c>
      <c r="B148" s="201" t="str">
        <f>VLOOKUP(A148,Estimate!A:C,3,FALSE)</f>
        <v>Alterations to water main</v>
      </c>
      <c r="C148" s="80">
        <f>VLOOKUP(A148,Estimate!A:L,12,FALSE)</f>
        <v>2</v>
      </c>
      <c r="D148" s="234">
        <v>123</v>
      </c>
      <c r="E148" s="236">
        <v>149251</v>
      </c>
      <c r="F148" s="235">
        <f>IFERROR(VLOOKUP(A148,Estimate!A:Q,17,FALSE)," ")</f>
        <v>7000</v>
      </c>
      <c r="G148" s="204">
        <f>IFERROR(VLOOKUP($A148,'Budget &amp; Revenue'!$A:$AM,13,FALSE)," ")</f>
        <v>0</v>
      </c>
      <c r="H148" s="204">
        <f>IFERROR(VLOOKUP($A148,'Budget &amp; Revenue'!$A:$AM,15,FALSE)," ")</f>
        <v>0</v>
      </c>
      <c r="I148" s="204">
        <f>IFERROR(VLOOKUP($A148,'Budget &amp; Revenue'!$A:$AM,17,FALSE)," ")</f>
        <v>0</v>
      </c>
      <c r="J148" s="204">
        <f>IFERROR(VLOOKUP($A148,'Budget &amp; Revenue'!$A:$AM,19,FALSE)," ")</f>
        <v>0</v>
      </c>
      <c r="K148" s="204">
        <f>IFERROR(VLOOKUP($A148,'Budget &amp; Revenue'!$A:$AM,21,FALSE)," ")</f>
        <v>0</v>
      </c>
      <c r="L148" s="204">
        <f>IFERROR(VLOOKUP($A148,'Budget &amp; Revenue'!$A:$AM,23,FALSE)," ")</f>
        <v>0</v>
      </c>
      <c r="M148" s="204">
        <f>IFERROR(VLOOKUP($A148,'Budget &amp; Revenue'!$A:$AM,25,FALSE)," ")</f>
        <v>0</v>
      </c>
      <c r="N148" s="204">
        <f>IFERROR(VLOOKUP($A148,'Budget &amp; Revenue'!$A:$AM,27,FALSE)," ")</f>
        <v>0</v>
      </c>
      <c r="O148" s="204">
        <f>IFERROR(VLOOKUP($A148,'Budget &amp; Revenue'!$A:$AM,29,FALSE)," ")</f>
        <v>0.8</v>
      </c>
      <c r="P148" s="204">
        <f>IFERROR(VLOOKUP($A148,'Budget &amp; Revenue'!$A:$AM,31,FALSE)," ")</f>
        <v>1</v>
      </c>
      <c r="Q148" s="204">
        <f>IFERROR(VLOOKUP($A148,'Budget &amp; Revenue'!$A:$AM,33,FALSE)," ")</f>
        <v>1</v>
      </c>
      <c r="R148" s="204">
        <f>IFERROR(VLOOKUP($A148,'Budget &amp; Revenue'!$A:$AM,35,FALSE)," ")</f>
        <v>1</v>
      </c>
      <c r="S148" s="204">
        <f>IFERROR(VLOOKUP($A148,'Budget &amp; Revenue'!$A:$AM,37,FALSE)," ")</f>
        <v>1</v>
      </c>
      <c r="T148" s="204">
        <f>IFERROR(VLOOKUP($A148,'Budget &amp; Revenue'!$A:$AM,39,FALSE)," ")</f>
        <v>1</v>
      </c>
    </row>
    <row r="149" spans="1:20" x14ac:dyDescent="0.25">
      <c r="A149" s="80">
        <v>145</v>
      </c>
      <c r="B149" s="201" t="str">
        <f>VLOOKUP(A149,Estimate!A:C,3,FALSE)</f>
        <v>Alterations to valves and hydrant margins</v>
      </c>
      <c r="C149" s="80">
        <f>VLOOKUP(A149,Estimate!A:L,12,FALSE)</f>
        <v>2</v>
      </c>
      <c r="D149" s="236">
        <v>148251</v>
      </c>
      <c r="E149" s="236">
        <v>147253</v>
      </c>
      <c r="F149" s="235">
        <f>IFERROR(VLOOKUP(A149,Estimate!A:Q,17,FALSE)," ")</f>
        <v>1000</v>
      </c>
      <c r="G149" s="204">
        <f>IFERROR(VLOOKUP($A149,'Budget &amp; Revenue'!$A:$AM,13,FALSE)," ")</f>
        <v>0</v>
      </c>
      <c r="H149" s="204">
        <f>IFERROR(VLOOKUP($A149,'Budget &amp; Revenue'!$A:$AM,15,FALSE)," ")</f>
        <v>0</v>
      </c>
      <c r="I149" s="204">
        <f>IFERROR(VLOOKUP($A149,'Budget &amp; Revenue'!$A:$AM,17,FALSE)," ")</f>
        <v>0</v>
      </c>
      <c r="J149" s="204">
        <f>IFERROR(VLOOKUP($A149,'Budget &amp; Revenue'!$A:$AM,19,FALSE)," ")</f>
        <v>0</v>
      </c>
      <c r="K149" s="204">
        <f>IFERROR(VLOOKUP($A149,'Budget &amp; Revenue'!$A:$AM,21,FALSE)," ")</f>
        <v>0</v>
      </c>
      <c r="L149" s="204">
        <f>IFERROR(VLOOKUP($A149,'Budget &amp; Revenue'!$A:$AM,23,FALSE)," ")</f>
        <v>0</v>
      </c>
      <c r="M149" s="204">
        <f>IFERROR(VLOOKUP($A149,'Budget &amp; Revenue'!$A:$AM,25,FALSE)," ")</f>
        <v>0</v>
      </c>
      <c r="N149" s="204">
        <f>IFERROR(VLOOKUP($A149,'Budget &amp; Revenue'!$A:$AM,27,FALSE)," ")</f>
        <v>0</v>
      </c>
      <c r="O149" s="204">
        <f>IFERROR(VLOOKUP($A149,'Budget &amp; Revenue'!$A:$AM,29,FALSE)," ")</f>
        <v>0.8</v>
      </c>
      <c r="P149" s="204">
        <f>IFERROR(VLOOKUP($A149,'Budget &amp; Revenue'!$A:$AM,31,FALSE)," ")</f>
        <v>1</v>
      </c>
      <c r="Q149" s="204">
        <f>IFERROR(VLOOKUP($A149,'Budget &amp; Revenue'!$A:$AM,33,FALSE)," ")</f>
        <v>1</v>
      </c>
      <c r="R149" s="204">
        <f>IFERROR(VLOOKUP($A149,'Budget &amp; Revenue'!$A:$AM,35,FALSE)," ")</f>
        <v>1</v>
      </c>
      <c r="S149" s="204">
        <f>IFERROR(VLOOKUP($A149,'Budget &amp; Revenue'!$A:$AM,37,FALSE)," ")</f>
        <v>1</v>
      </c>
      <c r="T149" s="204">
        <f>IFERROR(VLOOKUP($A149,'Budget &amp; Revenue'!$A:$AM,39,FALSE)," ")</f>
        <v>1</v>
      </c>
    </row>
    <row r="150" spans="1:20" x14ac:dyDescent="0.25">
      <c r="A150" s="80">
        <v>146</v>
      </c>
      <c r="B150" s="201" t="str">
        <f>VLOOKUP(A150,Estimate!A:C,3,FALSE)</f>
        <v>Special Item - As Constructed Survey and Plans</v>
      </c>
      <c r="C150" s="80">
        <f>VLOOKUP(A150,Estimate!A:L,12,FALSE)</f>
        <v>3</v>
      </c>
      <c r="D150" s="236" t="s">
        <v>3117</v>
      </c>
      <c r="E150" s="234">
        <v>3</v>
      </c>
      <c r="F150" s="235">
        <f>IFERROR(VLOOKUP(A150,Estimate!A:Q,17,FALSE)," ")</f>
        <v>2400</v>
      </c>
      <c r="G150" s="204">
        <f>IFERROR(VLOOKUP($A150,'Budget &amp; Revenue'!$A:$AM,13,FALSE)," ")</f>
        <v>0</v>
      </c>
      <c r="H150" s="204">
        <f>IFERROR(VLOOKUP($A150,'Budget &amp; Revenue'!$A:$AM,15,FALSE)," ")</f>
        <v>0</v>
      </c>
      <c r="I150" s="204">
        <f>IFERROR(VLOOKUP($A150,'Budget &amp; Revenue'!$A:$AM,17,FALSE)," ")</f>
        <v>0</v>
      </c>
      <c r="J150" s="204">
        <f>IFERROR(VLOOKUP($A150,'Budget &amp; Revenue'!$A:$AM,19,FALSE)," ")</f>
        <v>0</v>
      </c>
      <c r="K150" s="204">
        <f>IFERROR(VLOOKUP($A150,'Budget &amp; Revenue'!$A:$AM,21,FALSE)," ")</f>
        <v>0</v>
      </c>
      <c r="L150" s="204">
        <f>IFERROR(VLOOKUP($A150,'Budget &amp; Revenue'!$A:$AM,23,FALSE)," ")</f>
        <v>0</v>
      </c>
      <c r="M150" s="204">
        <f>IFERROR(VLOOKUP($A150,'Budget &amp; Revenue'!$A:$AM,25,FALSE)," ")</f>
        <v>0</v>
      </c>
      <c r="N150" s="204">
        <f>IFERROR(VLOOKUP($A150,'Budget &amp; Revenue'!$A:$AM,27,FALSE)," ")</f>
        <v>0</v>
      </c>
      <c r="O150" s="204">
        <f>IFERROR(VLOOKUP($A150,'Budget &amp; Revenue'!$A:$AM,29,FALSE)," ")</f>
        <v>0</v>
      </c>
      <c r="P150" s="204">
        <f>IFERROR(VLOOKUP($A150,'Budget &amp; Revenue'!$A:$AM,31,FALSE)," ")</f>
        <v>0.5</v>
      </c>
      <c r="Q150" s="204">
        <f>IFERROR(VLOOKUP($A150,'Budget &amp; Revenue'!$A:$AM,33,FALSE)," ")</f>
        <v>0.75</v>
      </c>
      <c r="R150" s="204">
        <f>IFERROR(VLOOKUP($A150,'Budget &amp; Revenue'!$A:$AM,35,FALSE)," ")</f>
        <v>1</v>
      </c>
      <c r="S150" s="204">
        <f>IFERROR(VLOOKUP($A150,'Budget &amp; Revenue'!$A:$AM,37,FALSE)," ")</f>
        <v>1</v>
      </c>
      <c r="T150" s="204">
        <f>IFERROR(VLOOKUP($A150,'Budget &amp; Revenue'!$A:$AM,39,FALSE)," ")</f>
        <v>1</v>
      </c>
    </row>
    <row r="151" spans="1:20" s="10" customFormat="1" x14ac:dyDescent="0.25">
      <c r="A151" s="92">
        <v>700</v>
      </c>
      <c r="B151" s="212" t="str">
        <f>VLOOKUP(A151,Estimate!A:C,3,FALSE)</f>
        <v>FAUST STREET</v>
      </c>
      <c r="C151" s="92">
        <f>VLOOKUP(A151,Estimate!A:L,12,FALSE)</f>
        <v>0</v>
      </c>
      <c r="D151" s="236">
        <v>2211235</v>
      </c>
      <c r="E151" s="236">
        <v>3152291</v>
      </c>
      <c r="F151" s="235">
        <f>IFERROR(VLOOKUP(A151,Estimate!A:Q,17,FALSE)," ")</f>
        <v>0</v>
      </c>
      <c r="G151" s="204" t="str">
        <f>IFERROR(VLOOKUP($A151,'Budget &amp; Revenue'!$A:$AM,13,FALSE)," ")</f>
        <v xml:space="preserve"> </v>
      </c>
      <c r="H151" s="204" t="str">
        <f>IFERROR(VLOOKUP($A151,'Budget &amp; Revenue'!$A:$AM,15,FALSE)," ")</f>
        <v xml:space="preserve"> </v>
      </c>
      <c r="I151" s="204" t="str">
        <f>IFERROR(VLOOKUP($A151,'Budget &amp; Revenue'!$A:$AM,17,FALSE)," ")</f>
        <v xml:space="preserve"> </v>
      </c>
      <c r="J151" s="204" t="str">
        <f>IFERROR(VLOOKUP($A151,'Budget &amp; Revenue'!$A:$AM,19,FALSE)," ")</f>
        <v xml:space="preserve"> </v>
      </c>
      <c r="K151" s="204" t="str">
        <f>IFERROR(VLOOKUP($A151,'Budget &amp; Revenue'!$A:$AM,21,FALSE)," ")</f>
        <v xml:space="preserve"> </v>
      </c>
      <c r="L151" s="204" t="str">
        <f>IFERROR(VLOOKUP($A151,'Budget &amp; Revenue'!$A:$AM,23,FALSE)," ")</f>
        <v xml:space="preserve"> </v>
      </c>
      <c r="M151" s="204" t="str">
        <f>IFERROR(VLOOKUP($A151,'Budget &amp; Revenue'!$A:$AM,25,FALSE)," ")</f>
        <v xml:space="preserve"> </v>
      </c>
      <c r="N151" s="204" t="str">
        <f>IFERROR(VLOOKUP($A151,'Budget &amp; Revenue'!$A:$AM,27,FALSE)," ")</f>
        <v xml:space="preserve"> </v>
      </c>
      <c r="O151" s="204" t="str">
        <f>IFERROR(VLOOKUP($A151,'Budget &amp; Revenue'!$A:$AM,29,FALSE)," ")</f>
        <v xml:space="preserve"> </v>
      </c>
      <c r="P151" s="204" t="str">
        <f>IFERROR(VLOOKUP($A151,'Budget &amp; Revenue'!$A:$AM,31,FALSE)," ")</f>
        <v xml:space="preserve"> </v>
      </c>
      <c r="Q151" s="204" t="str">
        <f>IFERROR(VLOOKUP($A151,'Budget &amp; Revenue'!$A:$AM,33,FALSE)," ")</f>
        <v xml:space="preserve"> </v>
      </c>
      <c r="R151" s="204" t="str">
        <f>IFERROR(VLOOKUP($A151,'Budget &amp; Revenue'!$A:$AM,35,FALSE)," ")</f>
        <v xml:space="preserve"> </v>
      </c>
      <c r="S151" s="204" t="str">
        <f>IFERROR(VLOOKUP($A151,'Budget &amp; Revenue'!$A:$AM,37,FALSE)," ")</f>
        <v xml:space="preserve"> </v>
      </c>
      <c r="T151" s="204" t="str">
        <f>IFERROR(VLOOKUP($A151,'Budget &amp; Revenue'!$A:$AM,39,FALSE)," ")</f>
        <v xml:space="preserve"> </v>
      </c>
    </row>
    <row r="152" spans="1:20" x14ac:dyDescent="0.25">
      <c r="A152" s="80">
        <v>147</v>
      </c>
      <c r="B152" s="201" t="str">
        <f>VLOOKUP(A152,Estimate!A:C,3,FALSE)</f>
        <v>Quality Verification &amp; Control</v>
      </c>
      <c r="C152" s="80">
        <f>VLOOKUP(A152,Estimate!A:L,12,FALSE)</f>
        <v>0</v>
      </c>
      <c r="D152" s="234">
        <v>151</v>
      </c>
      <c r="E152" s="236">
        <v>153273</v>
      </c>
      <c r="F152" s="235">
        <f>IFERROR(VLOOKUP(A152,Estimate!A:Q,17,FALSE)," ")</f>
        <v>10470</v>
      </c>
      <c r="G152" s="204">
        <f>IFERROR(VLOOKUP($A152,'Budget &amp; Revenue'!$A:$AM,13,FALSE)," ")</f>
        <v>0</v>
      </c>
      <c r="H152" s="204">
        <f>IFERROR(VLOOKUP($A152,'Budget &amp; Revenue'!$A:$AM,15,FALSE)," ")</f>
        <v>0</v>
      </c>
      <c r="I152" s="204">
        <f>IFERROR(VLOOKUP($A152,'Budget &amp; Revenue'!$A:$AM,17,FALSE)," ")</f>
        <v>0</v>
      </c>
      <c r="J152" s="204">
        <f>IFERROR(VLOOKUP($A152,'Budget &amp; Revenue'!$A:$AM,19,FALSE)," ")</f>
        <v>0</v>
      </c>
      <c r="K152" s="204">
        <f>IFERROR(VLOOKUP($A152,'Budget &amp; Revenue'!$A:$AM,21,FALSE)," ")</f>
        <v>0</v>
      </c>
      <c r="L152" s="204">
        <f>IFERROR(VLOOKUP($A152,'Budget &amp; Revenue'!$A:$AM,23,FALSE)," ")</f>
        <v>0</v>
      </c>
      <c r="M152" s="204">
        <f>IFERROR(VLOOKUP($A152,'Budget &amp; Revenue'!$A:$AM,25,FALSE)," ")</f>
        <v>0</v>
      </c>
      <c r="N152" s="204">
        <f>IFERROR(VLOOKUP($A152,'Budget &amp; Revenue'!$A:$AM,27,FALSE)," ")</f>
        <v>0</v>
      </c>
      <c r="O152" s="204">
        <f>IFERROR(VLOOKUP($A152,'Budget &amp; Revenue'!$A:$AM,29,FALSE)," ")</f>
        <v>0</v>
      </c>
      <c r="P152" s="204">
        <f>IFERROR(VLOOKUP($A152,'Budget &amp; Revenue'!$A:$AM,31,FALSE)," ")</f>
        <v>0</v>
      </c>
      <c r="Q152" s="204">
        <f>IFERROR(VLOOKUP($A152,'Budget &amp; Revenue'!$A:$AM,33,FALSE)," ")</f>
        <v>0.5</v>
      </c>
      <c r="R152" s="204">
        <f>IFERROR(VLOOKUP($A152,'Budget &amp; Revenue'!$A:$AM,35,FALSE)," ")</f>
        <v>1</v>
      </c>
      <c r="S152" s="204">
        <f>IFERROR(VLOOKUP($A152,'Budget &amp; Revenue'!$A:$AM,37,FALSE)," ")</f>
        <v>1</v>
      </c>
      <c r="T152" s="204">
        <f>IFERROR(VLOOKUP($A152,'Budget &amp; Revenue'!$A:$AM,39,FALSE)," ")</f>
        <v>1</v>
      </c>
    </row>
    <row r="153" spans="1:20" x14ac:dyDescent="0.25">
      <c r="A153" s="80">
        <v>148</v>
      </c>
      <c r="B153" s="201" t="str">
        <f>VLOOKUP(A153,Estimate!A:C,3,FALSE)</f>
        <v>Control of Traffic</v>
      </c>
      <c r="C153" s="80">
        <f>VLOOKUP(A153,Estimate!A:L,12,FALSE)</f>
        <v>30</v>
      </c>
      <c r="D153" s="234">
        <v>152</v>
      </c>
      <c r="E153" s="234" t="s">
        <v>3048</v>
      </c>
      <c r="F153" s="235">
        <f>IFERROR(VLOOKUP(A153,Estimate!A:Q,17,FALSE)," ")</f>
        <v>34938.720000000001</v>
      </c>
      <c r="G153" s="204">
        <f>IFERROR(VLOOKUP($A153,'Budget &amp; Revenue'!$A:$AM,13,FALSE)," ")</f>
        <v>0</v>
      </c>
      <c r="H153" s="204">
        <f>IFERROR(VLOOKUP($A153,'Budget &amp; Revenue'!$A:$AM,15,FALSE)," ")</f>
        <v>0</v>
      </c>
      <c r="I153" s="204">
        <f>IFERROR(VLOOKUP($A153,'Budget &amp; Revenue'!$A:$AM,17,FALSE)," ")</f>
        <v>0</v>
      </c>
      <c r="J153" s="204">
        <f>IFERROR(VLOOKUP($A153,'Budget &amp; Revenue'!$A:$AM,19,FALSE)," ")</f>
        <v>0</v>
      </c>
      <c r="K153" s="204">
        <f>IFERROR(VLOOKUP($A153,'Budget &amp; Revenue'!$A:$AM,21,FALSE)," ")</f>
        <v>0</v>
      </c>
      <c r="L153" s="204">
        <f>IFERROR(VLOOKUP($A153,'Budget &amp; Revenue'!$A:$AM,23,FALSE)," ")</f>
        <v>0</v>
      </c>
      <c r="M153" s="204">
        <f>IFERROR(VLOOKUP($A153,'Budget &amp; Revenue'!$A:$AM,25,FALSE)," ")</f>
        <v>0</v>
      </c>
      <c r="N153" s="204">
        <f>IFERROR(VLOOKUP($A153,'Budget &amp; Revenue'!$A:$AM,27,FALSE)," ")</f>
        <v>0</v>
      </c>
      <c r="O153" s="204">
        <f>IFERROR(VLOOKUP($A153,'Budget &amp; Revenue'!$A:$AM,29,FALSE)," ")</f>
        <v>0</v>
      </c>
      <c r="P153" s="204">
        <f>IFERROR(VLOOKUP($A153,'Budget &amp; Revenue'!$A:$AM,31,FALSE)," ")</f>
        <v>0</v>
      </c>
      <c r="Q153" s="204">
        <f>IFERROR(VLOOKUP($A153,'Budget &amp; Revenue'!$A:$AM,33,FALSE)," ")</f>
        <v>0.5</v>
      </c>
      <c r="R153" s="204">
        <f>IFERROR(VLOOKUP($A153,'Budget &amp; Revenue'!$A:$AM,35,FALSE)," ")</f>
        <v>1</v>
      </c>
      <c r="S153" s="204">
        <f>IFERROR(VLOOKUP($A153,'Budget &amp; Revenue'!$A:$AM,37,FALSE)," ")</f>
        <v>1</v>
      </c>
      <c r="T153" s="204">
        <f>IFERROR(VLOOKUP($A153,'Budget &amp; Revenue'!$A:$AM,39,FALSE)," ")</f>
        <v>1</v>
      </c>
    </row>
    <row r="154" spans="1:20" ht="30" x14ac:dyDescent="0.25">
      <c r="A154" s="80">
        <v>149</v>
      </c>
      <c r="B154" s="201" t="str">
        <f>VLOOKUP(A154,Estimate!A:C,3,FALSE)</f>
        <v>Temporary Erosion &amp; Sedimentation Control (includes supply and installation of all components)</v>
      </c>
      <c r="C154" s="80">
        <f>VLOOKUP(A154,Estimate!A:L,12,FALSE)</f>
        <v>6</v>
      </c>
      <c r="D154" s="234" t="s">
        <v>3049</v>
      </c>
      <c r="E154" s="234">
        <v>155</v>
      </c>
      <c r="F154" s="235">
        <f>IFERROR(VLOOKUP(A154,Estimate!A:Q,17,FALSE)," ")</f>
        <v>11050</v>
      </c>
      <c r="G154" s="204">
        <f>IFERROR(VLOOKUP($A154,'Budget &amp; Revenue'!$A:$AM,13,FALSE)," ")</f>
        <v>0</v>
      </c>
      <c r="H154" s="204">
        <f>IFERROR(VLOOKUP($A154,'Budget &amp; Revenue'!$A:$AM,15,FALSE)," ")</f>
        <v>0</v>
      </c>
      <c r="I154" s="204">
        <f>IFERROR(VLOOKUP($A154,'Budget &amp; Revenue'!$A:$AM,17,FALSE)," ")</f>
        <v>0</v>
      </c>
      <c r="J154" s="204">
        <f>IFERROR(VLOOKUP($A154,'Budget &amp; Revenue'!$A:$AM,19,FALSE)," ")</f>
        <v>0</v>
      </c>
      <c r="K154" s="204">
        <f>IFERROR(VLOOKUP($A154,'Budget &amp; Revenue'!$A:$AM,21,FALSE)," ")</f>
        <v>0</v>
      </c>
      <c r="L154" s="204">
        <f>IFERROR(VLOOKUP($A154,'Budget &amp; Revenue'!$A:$AM,23,FALSE)," ")</f>
        <v>0</v>
      </c>
      <c r="M154" s="204">
        <f>IFERROR(VLOOKUP($A154,'Budget &amp; Revenue'!$A:$AM,25,FALSE)," ")</f>
        <v>0</v>
      </c>
      <c r="N154" s="204">
        <f>IFERROR(VLOOKUP($A154,'Budget &amp; Revenue'!$A:$AM,27,FALSE)," ")</f>
        <v>0</v>
      </c>
      <c r="O154" s="204">
        <f>IFERROR(VLOOKUP($A154,'Budget &amp; Revenue'!$A:$AM,29,FALSE)," ")</f>
        <v>0</v>
      </c>
      <c r="P154" s="204">
        <f>IFERROR(VLOOKUP($A154,'Budget &amp; Revenue'!$A:$AM,31,FALSE)," ")</f>
        <v>0</v>
      </c>
      <c r="Q154" s="204">
        <f>IFERROR(VLOOKUP($A154,'Budget &amp; Revenue'!$A:$AM,33,FALSE)," ")</f>
        <v>0.5</v>
      </c>
      <c r="R154" s="204">
        <f>IFERROR(VLOOKUP($A154,'Budget &amp; Revenue'!$A:$AM,35,FALSE)," ")</f>
        <v>1</v>
      </c>
      <c r="S154" s="204">
        <f>IFERROR(VLOOKUP($A154,'Budget &amp; Revenue'!$A:$AM,37,FALSE)," ")</f>
        <v>1</v>
      </c>
      <c r="T154" s="204">
        <f>IFERROR(VLOOKUP($A154,'Budget &amp; Revenue'!$A:$AM,39,FALSE)," ")</f>
        <v>1</v>
      </c>
    </row>
    <row r="155" spans="1:20" x14ac:dyDescent="0.25">
      <c r="A155" s="80">
        <v>150</v>
      </c>
      <c r="B155" s="201" t="str">
        <f>VLOOKUP(A155,Estimate!A:C,3,FALSE)</f>
        <v>Clearing and Grubbing (removal of kerb &amp; channel)</v>
      </c>
      <c r="C155" s="80">
        <f>VLOOKUP(A155,Estimate!A:L,12,FALSE)</f>
        <v>2</v>
      </c>
      <c r="D155" s="234">
        <v>154</v>
      </c>
      <c r="E155" s="236">
        <v>156158</v>
      </c>
      <c r="F155" s="235">
        <f>IFERROR(VLOOKUP(A155,Estimate!A:Q,17,FALSE)," ")</f>
        <v>10066.666666666666</v>
      </c>
      <c r="G155" s="204">
        <f>IFERROR(VLOOKUP($A155,'Budget &amp; Revenue'!$A:$AM,13,FALSE)," ")</f>
        <v>0</v>
      </c>
      <c r="H155" s="204">
        <f>IFERROR(VLOOKUP($A155,'Budget &amp; Revenue'!$A:$AM,15,FALSE)," ")</f>
        <v>0</v>
      </c>
      <c r="I155" s="204">
        <f>IFERROR(VLOOKUP($A155,'Budget &amp; Revenue'!$A:$AM,17,FALSE)," ")</f>
        <v>0</v>
      </c>
      <c r="J155" s="204">
        <f>IFERROR(VLOOKUP($A155,'Budget &amp; Revenue'!$A:$AM,19,FALSE)," ")</f>
        <v>0</v>
      </c>
      <c r="K155" s="204">
        <f>IFERROR(VLOOKUP($A155,'Budget &amp; Revenue'!$A:$AM,21,FALSE)," ")</f>
        <v>0</v>
      </c>
      <c r="L155" s="204">
        <f>IFERROR(VLOOKUP($A155,'Budget &amp; Revenue'!$A:$AM,23,FALSE)," ")</f>
        <v>0</v>
      </c>
      <c r="M155" s="204">
        <f>IFERROR(VLOOKUP($A155,'Budget &amp; Revenue'!$A:$AM,25,FALSE)," ")</f>
        <v>0</v>
      </c>
      <c r="N155" s="204">
        <f>IFERROR(VLOOKUP($A155,'Budget &amp; Revenue'!$A:$AM,27,FALSE)," ")</f>
        <v>0</v>
      </c>
      <c r="O155" s="204">
        <f>IFERROR(VLOOKUP($A155,'Budget &amp; Revenue'!$A:$AM,29,FALSE)," ")</f>
        <v>0</v>
      </c>
      <c r="P155" s="204">
        <f>IFERROR(VLOOKUP($A155,'Budget &amp; Revenue'!$A:$AM,31,FALSE)," ")</f>
        <v>0</v>
      </c>
      <c r="Q155" s="204">
        <f>IFERROR(VLOOKUP($A155,'Budget &amp; Revenue'!$A:$AM,33,FALSE)," ")</f>
        <v>0.5</v>
      </c>
      <c r="R155" s="204">
        <f>IFERROR(VLOOKUP($A155,'Budget &amp; Revenue'!$A:$AM,35,FALSE)," ")</f>
        <v>1</v>
      </c>
      <c r="S155" s="204">
        <f>IFERROR(VLOOKUP($A155,'Budget &amp; Revenue'!$A:$AM,37,FALSE)," ")</f>
        <v>1</v>
      </c>
      <c r="T155" s="204">
        <f>IFERROR(VLOOKUP($A155,'Budget &amp; Revenue'!$A:$AM,39,FALSE)," ")</f>
        <v>1</v>
      </c>
    </row>
    <row r="156" spans="1:20" x14ac:dyDescent="0.25">
      <c r="A156" s="80">
        <v>151</v>
      </c>
      <c r="B156" s="201" t="str">
        <f>VLOOKUP(A156,Estimate!A:C,3,FALSE)</f>
        <v>General Earthworks Cut</v>
      </c>
      <c r="C156" s="80">
        <f>VLOOKUP(A156,Estimate!A:L,12,FALSE)</f>
        <v>3</v>
      </c>
      <c r="D156" s="234">
        <v>155</v>
      </c>
      <c r="E156" s="234">
        <v>157</v>
      </c>
      <c r="F156" s="235">
        <f>IFERROR(VLOOKUP(A156,Estimate!A:Q,17,FALSE)," ")</f>
        <v>13092.333333333334</v>
      </c>
      <c r="G156" s="204">
        <f>IFERROR(VLOOKUP($A156,'Budget &amp; Revenue'!$A:$AM,13,FALSE)," ")</f>
        <v>0</v>
      </c>
      <c r="H156" s="204">
        <f>IFERROR(VLOOKUP($A156,'Budget &amp; Revenue'!$A:$AM,15,FALSE)," ")</f>
        <v>0</v>
      </c>
      <c r="I156" s="204">
        <f>IFERROR(VLOOKUP($A156,'Budget &amp; Revenue'!$A:$AM,17,FALSE)," ")</f>
        <v>0</v>
      </c>
      <c r="J156" s="204">
        <f>IFERROR(VLOOKUP($A156,'Budget &amp; Revenue'!$A:$AM,19,FALSE)," ")</f>
        <v>0</v>
      </c>
      <c r="K156" s="204">
        <f>IFERROR(VLOOKUP($A156,'Budget &amp; Revenue'!$A:$AM,21,FALSE)," ")</f>
        <v>0</v>
      </c>
      <c r="L156" s="204">
        <f>IFERROR(VLOOKUP($A156,'Budget &amp; Revenue'!$A:$AM,23,FALSE)," ")</f>
        <v>0</v>
      </c>
      <c r="M156" s="204">
        <f>IFERROR(VLOOKUP($A156,'Budget &amp; Revenue'!$A:$AM,25,FALSE)," ")</f>
        <v>0</v>
      </c>
      <c r="N156" s="204">
        <f>IFERROR(VLOOKUP($A156,'Budget &amp; Revenue'!$A:$AM,27,FALSE)," ")</f>
        <v>0</v>
      </c>
      <c r="O156" s="204">
        <f>IFERROR(VLOOKUP($A156,'Budget &amp; Revenue'!$A:$AM,29,FALSE)," ")</f>
        <v>0</v>
      </c>
      <c r="P156" s="204">
        <f>IFERROR(VLOOKUP($A156,'Budget &amp; Revenue'!$A:$AM,31,FALSE)," ")</f>
        <v>0</v>
      </c>
      <c r="Q156" s="204">
        <f>IFERROR(VLOOKUP($A156,'Budget &amp; Revenue'!$A:$AM,33,FALSE)," ")</f>
        <v>0.5</v>
      </c>
      <c r="R156" s="204">
        <f>IFERROR(VLOOKUP($A156,'Budget &amp; Revenue'!$A:$AM,35,FALSE)," ")</f>
        <v>1</v>
      </c>
      <c r="S156" s="204">
        <f>IFERROR(VLOOKUP($A156,'Budget &amp; Revenue'!$A:$AM,37,FALSE)," ")</f>
        <v>1</v>
      </c>
      <c r="T156" s="204">
        <f>IFERROR(VLOOKUP($A156,'Budget &amp; Revenue'!$A:$AM,39,FALSE)," ")</f>
        <v>1</v>
      </c>
    </row>
    <row r="157" spans="1:20" ht="30" x14ac:dyDescent="0.25">
      <c r="A157" s="80">
        <v>152</v>
      </c>
      <c r="B157" s="201" t="str">
        <f>VLOOKUP(A157,Estimate!A:C,3,FALSE)</f>
        <v>Replace unsuitable material below sub grade with select material complete (provisional)</v>
      </c>
      <c r="C157" s="80">
        <f>VLOOKUP(A157,Estimate!A:L,12,FALSE)</f>
        <v>1</v>
      </c>
      <c r="D157" s="234">
        <v>156</v>
      </c>
      <c r="E157" s="236">
        <v>164267271</v>
      </c>
      <c r="F157" s="235">
        <f>IFERROR(VLOOKUP(A157,Estimate!A:Q,17,FALSE)," ")</f>
        <v>1310.6666666666667</v>
      </c>
      <c r="G157" s="204">
        <f>IFERROR(VLOOKUP($A157,'Budget &amp; Revenue'!$A:$AM,13,FALSE)," ")</f>
        <v>0</v>
      </c>
      <c r="H157" s="204">
        <f>IFERROR(VLOOKUP($A157,'Budget &amp; Revenue'!$A:$AM,15,FALSE)," ")</f>
        <v>0</v>
      </c>
      <c r="I157" s="204">
        <f>IFERROR(VLOOKUP($A157,'Budget &amp; Revenue'!$A:$AM,17,FALSE)," ")</f>
        <v>0</v>
      </c>
      <c r="J157" s="204">
        <f>IFERROR(VLOOKUP($A157,'Budget &amp; Revenue'!$A:$AM,19,FALSE)," ")</f>
        <v>0</v>
      </c>
      <c r="K157" s="204">
        <f>IFERROR(VLOOKUP($A157,'Budget &amp; Revenue'!$A:$AM,21,FALSE)," ")</f>
        <v>0</v>
      </c>
      <c r="L157" s="204">
        <f>IFERROR(VLOOKUP($A157,'Budget &amp; Revenue'!$A:$AM,23,FALSE)," ")</f>
        <v>0</v>
      </c>
      <c r="M157" s="204">
        <f>IFERROR(VLOOKUP($A157,'Budget &amp; Revenue'!$A:$AM,25,FALSE)," ")</f>
        <v>0</v>
      </c>
      <c r="N157" s="204">
        <f>IFERROR(VLOOKUP($A157,'Budget &amp; Revenue'!$A:$AM,27,FALSE)," ")</f>
        <v>0</v>
      </c>
      <c r="O157" s="204">
        <f>IFERROR(VLOOKUP($A157,'Budget &amp; Revenue'!$A:$AM,29,FALSE)," ")</f>
        <v>0</v>
      </c>
      <c r="P157" s="204">
        <f>IFERROR(VLOOKUP($A157,'Budget &amp; Revenue'!$A:$AM,31,FALSE)," ")</f>
        <v>0</v>
      </c>
      <c r="Q157" s="204">
        <f>IFERROR(VLOOKUP($A157,'Budget &amp; Revenue'!$A:$AM,33,FALSE)," ")</f>
        <v>1</v>
      </c>
      <c r="R157" s="204">
        <f>IFERROR(VLOOKUP($A157,'Budget &amp; Revenue'!$A:$AM,35,FALSE)," ")</f>
        <v>1</v>
      </c>
      <c r="S157" s="204">
        <f>IFERROR(VLOOKUP($A157,'Budget &amp; Revenue'!$A:$AM,37,FALSE)," ")</f>
        <v>0</v>
      </c>
      <c r="T157" s="204">
        <f>IFERROR(VLOOKUP($A157,'Budget &amp; Revenue'!$A:$AM,39,FALSE)," ")</f>
        <v>0</v>
      </c>
    </row>
    <row r="158" spans="1:20" x14ac:dyDescent="0.25">
      <c r="A158" s="80">
        <v>153</v>
      </c>
      <c r="B158" s="201" t="str">
        <f>VLOOKUP(A158,Estimate!A:C,3,FALSE)</f>
        <v xml:space="preserve"> Removal / Demolition of Drainage Components complete</v>
      </c>
      <c r="C158" s="80">
        <f>VLOOKUP(A158,Estimate!A:L,12,FALSE)</f>
        <v>2</v>
      </c>
      <c r="D158" s="236">
        <v>155272</v>
      </c>
      <c r="E158" s="234">
        <v>160</v>
      </c>
      <c r="F158" s="235">
        <f>IFERROR(VLOOKUP(A158,Estimate!A:Q,17,FALSE)," ")</f>
        <v>5452.4979524979526</v>
      </c>
      <c r="G158" s="204">
        <f>IFERROR(VLOOKUP($A158,'Budget &amp; Revenue'!$A:$AM,13,FALSE)," ")</f>
        <v>0</v>
      </c>
      <c r="H158" s="204">
        <f>IFERROR(VLOOKUP($A158,'Budget &amp; Revenue'!$A:$AM,15,FALSE)," ")</f>
        <v>0</v>
      </c>
      <c r="I158" s="204">
        <f>IFERROR(VLOOKUP($A158,'Budget &amp; Revenue'!$A:$AM,17,FALSE)," ")</f>
        <v>0</v>
      </c>
      <c r="J158" s="204">
        <f>IFERROR(VLOOKUP($A158,'Budget &amp; Revenue'!$A:$AM,19,FALSE)," ")</f>
        <v>0</v>
      </c>
      <c r="K158" s="204">
        <f>IFERROR(VLOOKUP($A158,'Budget &amp; Revenue'!$A:$AM,21,FALSE)," ")</f>
        <v>0</v>
      </c>
      <c r="L158" s="204">
        <f>IFERROR(VLOOKUP($A158,'Budget &amp; Revenue'!$A:$AM,23,FALSE)," ")</f>
        <v>0</v>
      </c>
      <c r="M158" s="204">
        <f>IFERROR(VLOOKUP($A158,'Budget &amp; Revenue'!$A:$AM,25,FALSE)," ")</f>
        <v>0</v>
      </c>
      <c r="N158" s="204">
        <f>IFERROR(VLOOKUP($A158,'Budget &amp; Revenue'!$A:$AM,27,FALSE)," ")</f>
        <v>0</v>
      </c>
      <c r="O158" s="204">
        <f>IFERROR(VLOOKUP($A158,'Budget &amp; Revenue'!$A:$AM,29,FALSE)," ")</f>
        <v>0</v>
      </c>
      <c r="P158" s="204">
        <f>IFERROR(VLOOKUP($A158,'Budget &amp; Revenue'!$A:$AM,31,FALSE)," ")</f>
        <v>0</v>
      </c>
      <c r="Q158" s="204">
        <f>IFERROR(VLOOKUP($A158,'Budget &amp; Revenue'!$A:$AM,33,FALSE)," ")</f>
        <v>0.5</v>
      </c>
      <c r="R158" s="204">
        <f>IFERROR(VLOOKUP($A158,'Budget &amp; Revenue'!$A:$AM,35,FALSE)," ")</f>
        <v>1</v>
      </c>
      <c r="S158" s="204">
        <f>IFERROR(VLOOKUP($A158,'Budget &amp; Revenue'!$A:$AM,37,FALSE)," ")</f>
        <v>1</v>
      </c>
      <c r="T158" s="204">
        <f>IFERROR(VLOOKUP($A158,'Budget &amp; Revenue'!$A:$AM,39,FALSE)," ")</f>
        <v>1</v>
      </c>
    </row>
    <row r="159" spans="1:20" x14ac:dyDescent="0.25">
      <c r="A159" s="80">
        <v>154</v>
      </c>
      <c r="B159" s="201" t="str">
        <f>VLOOKUP(A159,Estimate!A:C,3,FALSE)</f>
        <v>Connect property drainage pipes (No. 21)</v>
      </c>
      <c r="C159" s="80">
        <f>VLOOKUP(A159,Estimate!A:L,12,FALSE)</f>
        <v>5</v>
      </c>
      <c r="D159" s="234">
        <v>162</v>
      </c>
      <c r="E159" s="233"/>
      <c r="F159" s="235">
        <f>IFERROR(VLOOKUP(A159,Estimate!A:Q,17,FALSE)," ")</f>
        <v>8295</v>
      </c>
      <c r="G159" s="204">
        <f>IFERROR(VLOOKUP($A159,'Budget &amp; Revenue'!$A:$AM,13,FALSE)," ")</f>
        <v>0</v>
      </c>
      <c r="H159" s="204">
        <f>IFERROR(VLOOKUP($A159,'Budget &amp; Revenue'!$A:$AM,15,FALSE)," ")</f>
        <v>0</v>
      </c>
      <c r="I159" s="204">
        <f>IFERROR(VLOOKUP($A159,'Budget &amp; Revenue'!$A:$AM,17,FALSE)," ")</f>
        <v>0</v>
      </c>
      <c r="J159" s="204">
        <f>IFERROR(VLOOKUP($A159,'Budget &amp; Revenue'!$A:$AM,19,FALSE)," ")</f>
        <v>0</v>
      </c>
      <c r="K159" s="204">
        <f>IFERROR(VLOOKUP($A159,'Budget &amp; Revenue'!$A:$AM,21,FALSE)," ")</f>
        <v>0</v>
      </c>
      <c r="L159" s="204">
        <f>IFERROR(VLOOKUP($A159,'Budget &amp; Revenue'!$A:$AM,23,FALSE)," ")</f>
        <v>0</v>
      </c>
      <c r="M159" s="204">
        <f>IFERROR(VLOOKUP($A159,'Budget &amp; Revenue'!$A:$AM,25,FALSE)," ")</f>
        <v>0</v>
      </c>
      <c r="N159" s="204">
        <f>IFERROR(VLOOKUP($A159,'Budget &amp; Revenue'!$A:$AM,27,FALSE)," ")</f>
        <v>0</v>
      </c>
      <c r="O159" s="204">
        <f>IFERROR(VLOOKUP($A159,'Budget &amp; Revenue'!$A:$AM,29,FALSE)," ")</f>
        <v>0</v>
      </c>
      <c r="P159" s="204">
        <f>IFERROR(VLOOKUP($A159,'Budget &amp; Revenue'!$A:$AM,31,FALSE)," ")</f>
        <v>0</v>
      </c>
      <c r="Q159" s="204">
        <f>IFERROR(VLOOKUP($A159,'Budget &amp; Revenue'!$A:$AM,33,FALSE)," ")</f>
        <v>0.5</v>
      </c>
      <c r="R159" s="204">
        <f>IFERROR(VLOOKUP($A159,'Budget &amp; Revenue'!$A:$AM,35,FALSE)," ")</f>
        <v>1</v>
      </c>
      <c r="S159" s="204">
        <f>IFERROR(VLOOKUP($A159,'Budget &amp; Revenue'!$A:$AM,37,FALSE)," ")</f>
        <v>1</v>
      </c>
      <c r="T159" s="204">
        <f>IFERROR(VLOOKUP($A159,'Budget &amp; Revenue'!$A:$AM,39,FALSE)," ")</f>
        <v>1</v>
      </c>
    </row>
    <row r="160" spans="1:20" x14ac:dyDescent="0.25">
      <c r="A160" s="80">
        <v>155</v>
      </c>
      <c r="B160" s="201" t="str">
        <f>VLOOKUP(A160,Estimate!A:C,3,FALSE)</f>
        <v>In-Situ reinforced concrete Base Slab for culverts complete</v>
      </c>
      <c r="C160" s="80">
        <f>VLOOKUP(A160,Estimate!A:L,12,FALSE)</f>
        <v>2</v>
      </c>
      <c r="D160" s="234">
        <v>158</v>
      </c>
      <c r="E160" s="234">
        <v>161</v>
      </c>
      <c r="F160" s="235">
        <f>IFERROR(VLOOKUP(A160,Estimate!A:Q,17,FALSE)," ")</f>
        <v>1953.1333333333334</v>
      </c>
      <c r="G160" s="204">
        <f>IFERROR(VLOOKUP($A160,'Budget &amp; Revenue'!$A:$AM,13,FALSE)," ")</f>
        <v>0</v>
      </c>
      <c r="H160" s="204">
        <f>IFERROR(VLOOKUP($A160,'Budget &amp; Revenue'!$A:$AM,15,FALSE)," ")</f>
        <v>0</v>
      </c>
      <c r="I160" s="204">
        <f>IFERROR(VLOOKUP($A160,'Budget &amp; Revenue'!$A:$AM,17,FALSE)," ")</f>
        <v>0</v>
      </c>
      <c r="J160" s="204">
        <f>IFERROR(VLOOKUP($A160,'Budget &amp; Revenue'!$A:$AM,19,FALSE)," ")</f>
        <v>0</v>
      </c>
      <c r="K160" s="204">
        <f>IFERROR(VLOOKUP($A160,'Budget &amp; Revenue'!$A:$AM,21,FALSE)," ")</f>
        <v>0</v>
      </c>
      <c r="L160" s="204">
        <f>IFERROR(VLOOKUP($A160,'Budget &amp; Revenue'!$A:$AM,23,FALSE)," ")</f>
        <v>0</v>
      </c>
      <c r="M160" s="204">
        <f>IFERROR(VLOOKUP($A160,'Budget &amp; Revenue'!$A:$AM,25,FALSE)," ")</f>
        <v>0</v>
      </c>
      <c r="N160" s="204">
        <f>IFERROR(VLOOKUP($A160,'Budget &amp; Revenue'!$A:$AM,27,FALSE)," ")</f>
        <v>0</v>
      </c>
      <c r="O160" s="204">
        <f>IFERROR(VLOOKUP($A160,'Budget &amp; Revenue'!$A:$AM,29,FALSE)," ")</f>
        <v>0</v>
      </c>
      <c r="P160" s="204">
        <f>IFERROR(VLOOKUP($A160,'Budget &amp; Revenue'!$A:$AM,31,FALSE)," ")</f>
        <v>0</v>
      </c>
      <c r="Q160" s="204">
        <f>IFERROR(VLOOKUP($A160,'Budget &amp; Revenue'!$A:$AM,33,FALSE)," ")</f>
        <v>0.5</v>
      </c>
      <c r="R160" s="204">
        <f>IFERROR(VLOOKUP($A160,'Budget &amp; Revenue'!$A:$AM,35,FALSE)," ")</f>
        <v>1</v>
      </c>
      <c r="S160" s="204">
        <f>IFERROR(VLOOKUP($A160,'Budget &amp; Revenue'!$A:$AM,37,FALSE)," ")</f>
        <v>1</v>
      </c>
      <c r="T160" s="204">
        <f>IFERROR(VLOOKUP($A160,'Budget &amp; Revenue'!$A:$AM,39,FALSE)," ")</f>
        <v>1</v>
      </c>
    </row>
    <row r="161" spans="1:20" x14ac:dyDescent="0.25">
      <c r="A161" s="80">
        <v>156</v>
      </c>
      <c r="B161" s="201" t="str">
        <f>VLOOKUP(A161,Estimate!A:C,3,FALSE)</f>
        <v>1200 x 300</v>
      </c>
      <c r="C161" s="80">
        <f>VLOOKUP(A161,Estimate!A:L,12,FALSE)</f>
        <v>2</v>
      </c>
      <c r="D161" s="234">
        <v>160</v>
      </c>
      <c r="E161" s="234">
        <v>162</v>
      </c>
      <c r="F161" s="235">
        <f>IFERROR(VLOOKUP(A161,Estimate!A:Q,17,FALSE)," ")</f>
        <v>8442.851999999999</v>
      </c>
      <c r="G161" s="204">
        <f>IFERROR(VLOOKUP($A161,'Budget &amp; Revenue'!$A:$AM,13,FALSE)," ")</f>
        <v>0</v>
      </c>
      <c r="H161" s="204">
        <f>IFERROR(VLOOKUP($A161,'Budget &amp; Revenue'!$A:$AM,15,FALSE)," ")</f>
        <v>0</v>
      </c>
      <c r="I161" s="204">
        <f>IFERROR(VLOOKUP($A161,'Budget &amp; Revenue'!$A:$AM,17,FALSE)," ")</f>
        <v>0</v>
      </c>
      <c r="J161" s="204">
        <f>IFERROR(VLOOKUP($A161,'Budget &amp; Revenue'!$A:$AM,19,FALSE)," ")</f>
        <v>0</v>
      </c>
      <c r="K161" s="204">
        <f>IFERROR(VLOOKUP($A161,'Budget &amp; Revenue'!$A:$AM,21,FALSE)," ")</f>
        <v>0</v>
      </c>
      <c r="L161" s="204">
        <f>IFERROR(VLOOKUP($A161,'Budget &amp; Revenue'!$A:$AM,23,FALSE)," ")</f>
        <v>0</v>
      </c>
      <c r="M161" s="204">
        <f>IFERROR(VLOOKUP($A161,'Budget &amp; Revenue'!$A:$AM,25,FALSE)," ")</f>
        <v>0</v>
      </c>
      <c r="N161" s="204">
        <f>IFERROR(VLOOKUP($A161,'Budget &amp; Revenue'!$A:$AM,27,FALSE)," ")</f>
        <v>0</v>
      </c>
      <c r="O161" s="204">
        <f>IFERROR(VLOOKUP($A161,'Budget &amp; Revenue'!$A:$AM,29,FALSE)," ")</f>
        <v>0</v>
      </c>
      <c r="P161" s="204">
        <f>IFERROR(VLOOKUP($A161,'Budget &amp; Revenue'!$A:$AM,31,FALSE)," ")</f>
        <v>0.5</v>
      </c>
      <c r="Q161" s="204">
        <f>IFERROR(VLOOKUP($A161,'Budget &amp; Revenue'!$A:$AM,33,FALSE)," ")</f>
        <v>0.66129032258064513</v>
      </c>
      <c r="R161" s="204">
        <f>IFERROR(VLOOKUP($A161,'Budget &amp; Revenue'!$A:$AM,35,FALSE)," ")</f>
        <v>1</v>
      </c>
      <c r="S161" s="204">
        <f>IFERROR(VLOOKUP($A161,'Budget &amp; Revenue'!$A:$AM,37,FALSE)," ")</f>
        <v>1</v>
      </c>
      <c r="T161" s="204">
        <f>IFERROR(VLOOKUP($A161,'Budget &amp; Revenue'!$A:$AM,39,FALSE)," ")</f>
        <v>1</v>
      </c>
    </row>
    <row r="162" spans="1:20" x14ac:dyDescent="0.25">
      <c r="A162" s="80">
        <v>157</v>
      </c>
      <c r="B162" s="201" t="str">
        <f>VLOOKUP(A162,Estimate!A:C,3,FALSE)</f>
        <v>MCC Type A Gully Pit</v>
      </c>
      <c r="C162" s="80">
        <f>VLOOKUP(A162,Estimate!A:L,12,FALSE)</f>
        <v>4</v>
      </c>
      <c r="D162" s="234">
        <v>161</v>
      </c>
      <c r="E162" s="236">
        <v>159163</v>
      </c>
      <c r="F162" s="235">
        <f>IFERROR(VLOOKUP(A162,Estimate!A:Q,17,FALSE)," ")</f>
        <v>14020</v>
      </c>
      <c r="G162" s="204">
        <f>IFERROR(VLOOKUP($A162,'Budget &amp; Revenue'!$A:$AM,13,FALSE)," ")</f>
        <v>0</v>
      </c>
      <c r="H162" s="204">
        <f>IFERROR(VLOOKUP($A162,'Budget &amp; Revenue'!$A:$AM,15,FALSE)," ")</f>
        <v>0</v>
      </c>
      <c r="I162" s="204">
        <f>IFERROR(VLOOKUP($A162,'Budget &amp; Revenue'!$A:$AM,17,FALSE)," ")</f>
        <v>0</v>
      </c>
      <c r="J162" s="204">
        <f>IFERROR(VLOOKUP($A162,'Budget &amp; Revenue'!$A:$AM,19,FALSE)," ")</f>
        <v>0</v>
      </c>
      <c r="K162" s="204">
        <f>IFERROR(VLOOKUP($A162,'Budget &amp; Revenue'!$A:$AM,21,FALSE)," ")</f>
        <v>0</v>
      </c>
      <c r="L162" s="204">
        <f>IFERROR(VLOOKUP($A162,'Budget &amp; Revenue'!$A:$AM,23,FALSE)," ")</f>
        <v>0</v>
      </c>
      <c r="M162" s="204">
        <f>IFERROR(VLOOKUP($A162,'Budget &amp; Revenue'!$A:$AM,25,FALSE)," ")</f>
        <v>0</v>
      </c>
      <c r="N162" s="204">
        <f>IFERROR(VLOOKUP($A162,'Budget &amp; Revenue'!$A:$AM,27,FALSE)," ")</f>
        <v>0</v>
      </c>
      <c r="O162" s="204">
        <f>IFERROR(VLOOKUP($A162,'Budget &amp; Revenue'!$A:$AM,29,FALSE)," ")</f>
        <v>0</v>
      </c>
      <c r="P162" s="204">
        <f>IFERROR(VLOOKUP($A162,'Budget &amp; Revenue'!$A:$AM,31,FALSE)," ")</f>
        <v>0.5</v>
      </c>
      <c r="Q162" s="204">
        <f>IFERROR(VLOOKUP($A162,'Budget &amp; Revenue'!$A:$AM,33,FALSE)," ")</f>
        <v>0.5</v>
      </c>
      <c r="R162" s="204">
        <f>IFERROR(VLOOKUP($A162,'Budget &amp; Revenue'!$A:$AM,35,FALSE)," ")</f>
        <v>1</v>
      </c>
      <c r="S162" s="204">
        <f>IFERROR(VLOOKUP($A162,'Budget &amp; Revenue'!$A:$AM,37,FALSE)," ")</f>
        <v>1</v>
      </c>
      <c r="T162" s="204">
        <f>IFERROR(VLOOKUP($A162,'Budget &amp; Revenue'!$A:$AM,39,FALSE)," ")</f>
        <v>1</v>
      </c>
    </row>
    <row r="163" spans="1:20" x14ac:dyDescent="0.25">
      <c r="A163" s="80">
        <v>158</v>
      </c>
      <c r="B163" s="201" t="str">
        <f>VLOOKUP(A163,Estimate!A:C,3,FALSE)</f>
        <v>(i)  Concrete Barrier Kerb &amp; Channel B1 complete</v>
      </c>
      <c r="C163" s="80">
        <f>VLOOKUP(A163,Estimate!A:L,12,FALSE)</f>
        <v>3</v>
      </c>
      <c r="D163" s="236">
        <v>162165</v>
      </c>
      <c r="E163" s="234">
        <v>166</v>
      </c>
      <c r="F163" s="235">
        <f>IFERROR(VLOOKUP(A163,Estimate!A:Q,17,FALSE)," ")</f>
        <v>25252.436046511626</v>
      </c>
      <c r="G163" s="204">
        <f>IFERROR(VLOOKUP($A163,'Budget &amp; Revenue'!$A:$AM,13,FALSE)," ")</f>
        <v>0</v>
      </c>
      <c r="H163" s="204">
        <f>IFERROR(VLOOKUP($A163,'Budget &amp; Revenue'!$A:$AM,15,FALSE)," ")</f>
        <v>0</v>
      </c>
      <c r="I163" s="204">
        <f>IFERROR(VLOOKUP($A163,'Budget &amp; Revenue'!$A:$AM,17,FALSE)," ")</f>
        <v>0</v>
      </c>
      <c r="J163" s="204">
        <f>IFERROR(VLOOKUP($A163,'Budget &amp; Revenue'!$A:$AM,19,FALSE)," ")</f>
        <v>0</v>
      </c>
      <c r="K163" s="204">
        <f>IFERROR(VLOOKUP($A163,'Budget &amp; Revenue'!$A:$AM,21,FALSE)," ")</f>
        <v>0</v>
      </c>
      <c r="L163" s="204">
        <f>IFERROR(VLOOKUP($A163,'Budget &amp; Revenue'!$A:$AM,23,FALSE)," ")</f>
        <v>0</v>
      </c>
      <c r="M163" s="204">
        <f>IFERROR(VLOOKUP($A163,'Budget &amp; Revenue'!$A:$AM,25,FALSE)," ")</f>
        <v>0</v>
      </c>
      <c r="N163" s="204">
        <f>IFERROR(VLOOKUP($A163,'Budget &amp; Revenue'!$A:$AM,27,FALSE)," ")</f>
        <v>0</v>
      </c>
      <c r="O163" s="204">
        <f>IFERROR(VLOOKUP($A163,'Budget &amp; Revenue'!$A:$AM,29,FALSE)," ")</f>
        <v>0</v>
      </c>
      <c r="P163" s="204">
        <f>IFERROR(VLOOKUP($A163,'Budget &amp; Revenue'!$A:$AM,31,FALSE)," ")</f>
        <v>0</v>
      </c>
      <c r="Q163" s="204">
        <f>IFERROR(VLOOKUP($A163,'Budget &amp; Revenue'!$A:$AM,33,FALSE)," ")</f>
        <v>0.21052631578947367</v>
      </c>
      <c r="R163" s="204">
        <f>IFERROR(VLOOKUP($A163,'Budget &amp; Revenue'!$A:$AM,35,FALSE)," ")</f>
        <v>1</v>
      </c>
      <c r="S163" s="204">
        <f>IFERROR(VLOOKUP($A163,'Budget &amp; Revenue'!$A:$AM,37,FALSE)," ")</f>
        <v>1</v>
      </c>
      <c r="T163" s="204">
        <f>IFERROR(VLOOKUP($A163,'Budget &amp; Revenue'!$A:$AM,39,FALSE)," ")</f>
        <v>1</v>
      </c>
    </row>
    <row r="164" spans="1:20" ht="30" x14ac:dyDescent="0.25">
      <c r="A164" s="80">
        <v>159</v>
      </c>
      <c r="B164" s="201" t="str">
        <f>VLOOKUP(A164,Estimate!A:C,3,FALSE)</f>
        <v>Subsoil Drain Pipe - 100mm dia Slotted Corrugated Plastic Pipe complete (provisional quantity)</v>
      </c>
      <c r="C164" s="80">
        <f>VLOOKUP(A164,Estimate!A:L,12,FALSE)</f>
        <v>6</v>
      </c>
      <c r="D164" s="236">
        <v>157268</v>
      </c>
      <c r="E164" s="234">
        <v>167</v>
      </c>
      <c r="F164" s="235">
        <f>IFERROR(VLOOKUP(A164,Estimate!A:Q,17,FALSE)," ")</f>
        <v>19609.06201620162</v>
      </c>
      <c r="G164" s="204">
        <f>IFERROR(VLOOKUP($A164,'Budget &amp; Revenue'!$A:$AM,13,FALSE)," ")</f>
        <v>0</v>
      </c>
      <c r="H164" s="204">
        <f>IFERROR(VLOOKUP($A164,'Budget &amp; Revenue'!$A:$AM,15,FALSE)," ")</f>
        <v>0</v>
      </c>
      <c r="I164" s="204">
        <f>IFERROR(VLOOKUP($A164,'Budget &amp; Revenue'!$A:$AM,17,FALSE)," ")</f>
        <v>0</v>
      </c>
      <c r="J164" s="204">
        <f>IFERROR(VLOOKUP($A164,'Budget &amp; Revenue'!$A:$AM,19,FALSE)," ")</f>
        <v>0</v>
      </c>
      <c r="K164" s="204">
        <f>IFERROR(VLOOKUP($A164,'Budget &amp; Revenue'!$A:$AM,21,FALSE)," ")</f>
        <v>0</v>
      </c>
      <c r="L164" s="204">
        <f>IFERROR(VLOOKUP($A164,'Budget &amp; Revenue'!$A:$AM,23,FALSE)," ")</f>
        <v>0</v>
      </c>
      <c r="M164" s="204">
        <f>IFERROR(VLOOKUP($A164,'Budget &amp; Revenue'!$A:$AM,25,FALSE)," ")</f>
        <v>0</v>
      </c>
      <c r="N164" s="204">
        <f>IFERROR(VLOOKUP($A164,'Budget &amp; Revenue'!$A:$AM,27,FALSE)," ")</f>
        <v>0</v>
      </c>
      <c r="O164" s="204">
        <f>IFERROR(VLOOKUP($A164,'Budget &amp; Revenue'!$A:$AM,29,FALSE)," ")</f>
        <v>0</v>
      </c>
      <c r="P164" s="204">
        <f>IFERROR(VLOOKUP($A164,'Budget &amp; Revenue'!$A:$AM,31,FALSE)," ")</f>
        <v>0</v>
      </c>
      <c r="Q164" s="204">
        <f>IFERROR(VLOOKUP($A164,'Budget &amp; Revenue'!$A:$AM,33,FALSE)," ")</f>
        <v>0.61684210526315786</v>
      </c>
      <c r="R164" s="204">
        <f>IFERROR(VLOOKUP($A164,'Budget &amp; Revenue'!$A:$AM,35,FALSE)," ")</f>
        <v>1</v>
      </c>
      <c r="S164" s="204">
        <f>IFERROR(VLOOKUP($A164,'Budget &amp; Revenue'!$A:$AM,37,FALSE)," ")</f>
        <v>1</v>
      </c>
      <c r="T164" s="204">
        <f>IFERROR(VLOOKUP($A164,'Budget &amp; Revenue'!$A:$AM,39,FALSE)," ")</f>
        <v>1</v>
      </c>
    </row>
    <row r="165" spans="1:20" x14ac:dyDescent="0.25">
      <c r="A165" s="80">
        <v>160</v>
      </c>
      <c r="B165" s="201" t="str">
        <f>VLOOKUP(A165,Estimate!A:C,3,FALSE)</f>
        <v>Place only Type 2.3 (includes cart, place, compact &amp; trim)</v>
      </c>
      <c r="C165" s="80">
        <f>VLOOKUP(A165,Estimate!A:L,12,FALSE)</f>
        <v>3</v>
      </c>
      <c r="D165" s="234">
        <v>167</v>
      </c>
      <c r="E165" s="236">
        <v>163173179</v>
      </c>
      <c r="F165" s="235">
        <f>IFERROR(VLOOKUP(A165,Estimate!A:Q,17,FALSE)," ")</f>
        <v>22392.330161695168</v>
      </c>
      <c r="G165" s="204">
        <f>IFERROR(VLOOKUP($A165,'Budget &amp; Revenue'!$A:$AM,13,FALSE)," ")</f>
        <v>0</v>
      </c>
      <c r="H165" s="204">
        <f>IFERROR(VLOOKUP($A165,'Budget &amp; Revenue'!$A:$AM,15,FALSE)," ")</f>
        <v>0</v>
      </c>
      <c r="I165" s="204">
        <f>IFERROR(VLOOKUP($A165,'Budget &amp; Revenue'!$A:$AM,17,FALSE)," ")</f>
        <v>0</v>
      </c>
      <c r="J165" s="204">
        <f>IFERROR(VLOOKUP($A165,'Budget &amp; Revenue'!$A:$AM,19,FALSE)," ")</f>
        <v>0</v>
      </c>
      <c r="K165" s="204">
        <f>IFERROR(VLOOKUP($A165,'Budget &amp; Revenue'!$A:$AM,21,FALSE)," ")</f>
        <v>0</v>
      </c>
      <c r="L165" s="204">
        <f>IFERROR(VLOOKUP($A165,'Budget &amp; Revenue'!$A:$AM,23,FALSE)," ")</f>
        <v>0</v>
      </c>
      <c r="M165" s="204">
        <f>IFERROR(VLOOKUP($A165,'Budget &amp; Revenue'!$A:$AM,25,FALSE)," ")</f>
        <v>0</v>
      </c>
      <c r="N165" s="204">
        <f>IFERROR(VLOOKUP($A165,'Budget &amp; Revenue'!$A:$AM,27,FALSE)," ")</f>
        <v>0</v>
      </c>
      <c r="O165" s="204">
        <f>IFERROR(VLOOKUP($A165,'Budget &amp; Revenue'!$A:$AM,29,FALSE)," ")</f>
        <v>0</v>
      </c>
      <c r="P165" s="204">
        <f>IFERROR(VLOOKUP($A165,'Budget &amp; Revenue'!$A:$AM,31,FALSE)," ")</f>
        <v>0</v>
      </c>
      <c r="Q165" s="204">
        <f>IFERROR(VLOOKUP($A165,'Budget &amp; Revenue'!$A:$AM,33,FALSE)," ")</f>
        <v>0.62171052631578949</v>
      </c>
      <c r="R165" s="204">
        <f>IFERROR(VLOOKUP($A165,'Budget &amp; Revenue'!$A:$AM,35,FALSE)," ")</f>
        <v>1</v>
      </c>
      <c r="S165" s="204">
        <f>IFERROR(VLOOKUP($A165,'Budget &amp; Revenue'!$A:$AM,37,FALSE)," ")</f>
        <v>1</v>
      </c>
      <c r="T165" s="204">
        <f>IFERROR(VLOOKUP($A165,'Budget &amp; Revenue'!$A:$AM,39,FALSE)," ")</f>
        <v>1</v>
      </c>
    </row>
    <row r="166" spans="1:20" x14ac:dyDescent="0.25">
      <c r="A166" s="80">
        <v>161</v>
      </c>
      <c r="B166" s="201" t="str">
        <f>VLOOKUP(A166,Estimate!A:C,3,FALSE)</f>
        <v>Place only Type 2.1 (includes cart, place, compact &amp; trim)</v>
      </c>
      <c r="C166" s="80">
        <f>VLOOKUP(A166,Estimate!A:L,12,FALSE)</f>
        <v>4</v>
      </c>
      <c r="D166" s="234" t="s">
        <v>3050</v>
      </c>
      <c r="E166" s="234" t="s">
        <v>3051</v>
      </c>
      <c r="F166" s="235">
        <f>IFERROR(VLOOKUP(A166,Estimate!A:Q,17,FALSE)," ")</f>
        <v>17201.65330168181</v>
      </c>
      <c r="G166" s="204">
        <f>IFERROR(VLOOKUP($A166,'Budget &amp; Revenue'!$A:$AM,13,FALSE)," ")</f>
        <v>0</v>
      </c>
      <c r="H166" s="204">
        <f>IFERROR(VLOOKUP($A166,'Budget &amp; Revenue'!$A:$AM,15,FALSE)," ")</f>
        <v>0</v>
      </c>
      <c r="I166" s="204">
        <f>IFERROR(VLOOKUP($A166,'Budget &amp; Revenue'!$A:$AM,17,FALSE)," ")</f>
        <v>0</v>
      </c>
      <c r="J166" s="204">
        <f>IFERROR(VLOOKUP($A166,'Budget &amp; Revenue'!$A:$AM,19,FALSE)," ")</f>
        <v>0</v>
      </c>
      <c r="K166" s="204">
        <f>IFERROR(VLOOKUP($A166,'Budget &amp; Revenue'!$A:$AM,21,FALSE)," ")</f>
        <v>0</v>
      </c>
      <c r="L166" s="204">
        <f>IFERROR(VLOOKUP($A166,'Budget &amp; Revenue'!$A:$AM,23,FALSE)," ")</f>
        <v>0</v>
      </c>
      <c r="M166" s="204">
        <f>IFERROR(VLOOKUP($A166,'Budget &amp; Revenue'!$A:$AM,25,FALSE)," ")</f>
        <v>0</v>
      </c>
      <c r="N166" s="204">
        <f>IFERROR(VLOOKUP($A166,'Budget &amp; Revenue'!$A:$AM,27,FALSE)," ")</f>
        <v>0</v>
      </c>
      <c r="O166" s="204">
        <f>IFERROR(VLOOKUP($A166,'Budget &amp; Revenue'!$A:$AM,29,FALSE)," ")</f>
        <v>0</v>
      </c>
      <c r="P166" s="204">
        <f>IFERROR(VLOOKUP($A166,'Budget &amp; Revenue'!$A:$AM,31,FALSE)," ")</f>
        <v>0</v>
      </c>
      <c r="Q166" s="204">
        <f>IFERROR(VLOOKUP($A166,'Budget &amp; Revenue'!$A:$AM,33,FALSE)," ")</f>
        <v>0.72375690607734811</v>
      </c>
      <c r="R166" s="204">
        <f>IFERROR(VLOOKUP($A166,'Budget &amp; Revenue'!$A:$AM,35,FALSE)," ")</f>
        <v>1</v>
      </c>
      <c r="S166" s="204">
        <f>IFERROR(VLOOKUP($A166,'Budget &amp; Revenue'!$A:$AM,37,FALSE)," ")</f>
        <v>1</v>
      </c>
      <c r="T166" s="204">
        <f>IFERROR(VLOOKUP($A166,'Budget &amp; Revenue'!$A:$AM,39,FALSE)," ")</f>
        <v>1</v>
      </c>
    </row>
    <row r="167" spans="1:20" x14ac:dyDescent="0.25">
      <c r="A167" s="80">
        <v>162</v>
      </c>
      <c r="B167" s="201" t="str">
        <f>VLOOKUP(A167,Estimate!A:C,3,FALSE)</f>
        <v>Special Item - Geogrid layer</v>
      </c>
      <c r="C167" s="80">
        <f>VLOOKUP(A167,Estimate!A:L,12,FALSE)</f>
        <v>1</v>
      </c>
      <c r="D167" s="234">
        <v>164</v>
      </c>
      <c r="E167" s="234" t="s">
        <v>3106</v>
      </c>
      <c r="F167" s="235">
        <f>IFERROR(VLOOKUP(A167,Estimate!A:Q,17,FALSE)," ")</f>
        <v>9505.3885087719318</v>
      </c>
      <c r="G167" s="204">
        <f>IFERROR(VLOOKUP($A167,'Budget &amp; Revenue'!$A:$AM,13,FALSE)," ")</f>
        <v>0</v>
      </c>
      <c r="H167" s="204">
        <f>IFERROR(VLOOKUP($A167,'Budget &amp; Revenue'!$A:$AM,15,FALSE)," ")</f>
        <v>0</v>
      </c>
      <c r="I167" s="204">
        <f>IFERROR(VLOOKUP($A167,'Budget &amp; Revenue'!$A:$AM,17,FALSE)," ")</f>
        <v>0</v>
      </c>
      <c r="J167" s="204">
        <f>IFERROR(VLOOKUP($A167,'Budget &amp; Revenue'!$A:$AM,19,FALSE)," ")</f>
        <v>0</v>
      </c>
      <c r="K167" s="204">
        <f>IFERROR(VLOOKUP($A167,'Budget &amp; Revenue'!$A:$AM,21,FALSE)," ")</f>
        <v>0</v>
      </c>
      <c r="L167" s="204">
        <f>IFERROR(VLOOKUP($A167,'Budget &amp; Revenue'!$A:$AM,23,FALSE)," ")</f>
        <v>0</v>
      </c>
      <c r="M167" s="204">
        <f>IFERROR(VLOOKUP($A167,'Budget &amp; Revenue'!$A:$AM,25,FALSE)," ")</f>
        <v>0</v>
      </c>
      <c r="N167" s="204">
        <f>IFERROR(VLOOKUP($A167,'Budget &amp; Revenue'!$A:$AM,27,FALSE)," ")</f>
        <v>0</v>
      </c>
      <c r="O167" s="204">
        <f>IFERROR(VLOOKUP($A167,'Budget &amp; Revenue'!$A:$AM,29,FALSE)," ")</f>
        <v>0</v>
      </c>
      <c r="P167" s="204">
        <f>IFERROR(VLOOKUP($A167,'Budget &amp; Revenue'!$A:$AM,31,FALSE)," ")</f>
        <v>0</v>
      </c>
      <c r="Q167" s="204">
        <f>IFERROR(VLOOKUP($A167,'Budget &amp; Revenue'!$A:$AM,33,FALSE)," ")</f>
        <v>0.62445141065830723</v>
      </c>
      <c r="R167" s="204">
        <f>IFERROR(VLOOKUP($A167,'Budget &amp; Revenue'!$A:$AM,35,FALSE)," ")</f>
        <v>1</v>
      </c>
      <c r="S167" s="204">
        <f>IFERROR(VLOOKUP($A167,'Budget &amp; Revenue'!$A:$AM,37,FALSE)," ")</f>
        <v>1</v>
      </c>
      <c r="T167" s="204">
        <f>IFERROR(VLOOKUP($A167,'Budget &amp; Revenue'!$A:$AM,39,FALSE)," ")</f>
        <v>1</v>
      </c>
    </row>
    <row r="168" spans="1:20" x14ac:dyDescent="0.25">
      <c r="A168" s="80">
        <v>163</v>
      </c>
      <c r="B168" s="201" t="str">
        <f>VLOOKUP(A168,Estimate!A:C,3,FALSE)</f>
        <v>Special Item - Geotextile layer</v>
      </c>
      <c r="C168" s="80">
        <f>VLOOKUP(A168,Estimate!A:L,12,FALSE)</f>
        <v>1</v>
      </c>
      <c r="D168" s="234" t="s">
        <v>3052</v>
      </c>
      <c r="E168" s="233"/>
      <c r="F168" s="235">
        <f>IFERROR(VLOOKUP(A168,Estimate!A:Q,17,FALSE)," ")</f>
        <v>2522.4785087719301</v>
      </c>
      <c r="G168" s="204">
        <f>IFERROR(VLOOKUP($A168,'Budget &amp; Revenue'!$A:$AM,13,FALSE)," ")</f>
        <v>0</v>
      </c>
      <c r="H168" s="204">
        <f>IFERROR(VLOOKUP($A168,'Budget &amp; Revenue'!$A:$AM,15,FALSE)," ")</f>
        <v>0</v>
      </c>
      <c r="I168" s="204">
        <f>IFERROR(VLOOKUP($A168,'Budget &amp; Revenue'!$A:$AM,17,FALSE)," ")</f>
        <v>0</v>
      </c>
      <c r="J168" s="204">
        <f>IFERROR(VLOOKUP($A168,'Budget &amp; Revenue'!$A:$AM,19,FALSE)," ")</f>
        <v>0</v>
      </c>
      <c r="K168" s="204">
        <f>IFERROR(VLOOKUP($A168,'Budget &amp; Revenue'!$A:$AM,21,FALSE)," ")</f>
        <v>0</v>
      </c>
      <c r="L168" s="204">
        <f>IFERROR(VLOOKUP($A168,'Budget &amp; Revenue'!$A:$AM,23,FALSE)," ")</f>
        <v>0</v>
      </c>
      <c r="M168" s="204">
        <f>IFERROR(VLOOKUP($A168,'Budget &amp; Revenue'!$A:$AM,25,FALSE)," ")</f>
        <v>0</v>
      </c>
      <c r="N168" s="204">
        <f>IFERROR(VLOOKUP($A168,'Budget &amp; Revenue'!$A:$AM,27,FALSE)," ")</f>
        <v>0</v>
      </c>
      <c r="O168" s="204">
        <f>IFERROR(VLOOKUP($A168,'Budget &amp; Revenue'!$A:$AM,29,FALSE)," ")</f>
        <v>0</v>
      </c>
      <c r="P168" s="204">
        <f>IFERROR(VLOOKUP($A168,'Budget &amp; Revenue'!$A:$AM,31,FALSE)," ")</f>
        <v>0</v>
      </c>
      <c r="Q168" s="204">
        <f>IFERROR(VLOOKUP($A168,'Budget &amp; Revenue'!$A:$AM,33,FALSE)," ")</f>
        <v>0.62445141065830723</v>
      </c>
      <c r="R168" s="204">
        <f>IFERROR(VLOOKUP($A168,'Budget &amp; Revenue'!$A:$AM,35,FALSE)," ")</f>
        <v>1</v>
      </c>
      <c r="S168" s="204">
        <f>IFERROR(VLOOKUP($A168,'Budget &amp; Revenue'!$A:$AM,37,FALSE)," ")</f>
        <v>1</v>
      </c>
      <c r="T168" s="204">
        <f>IFERROR(VLOOKUP($A168,'Budget &amp; Revenue'!$A:$AM,39,FALSE)," ")</f>
        <v>1</v>
      </c>
    </row>
    <row r="169" spans="1:20" x14ac:dyDescent="0.25">
      <c r="A169" s="80">
        <v>164</v>
      </c>
      <c r="B169" s="201" t="str">
        <f>VLOOKUP(A169,Estimate!A:C,3,FALSE)</f>
        <v>(vii)  AMC5</v>
      </c>
      <c r="C169" s="80">
        <f>VLOOKUP(A169,Estimate!A:L,12,FALSE)</f>
        <v>1</v>
      </c>
      <c r="D169" s="234" t="s">
        <v>3107</v>
      </c>
      <c r="E169" s="234" t="s">
        <v>3053</v>
      </c>
      <c r="F169" s="235">
        <f>IFERROR(VLOOKUP(A169,Estimate!A:Q,17,FALSE)," ")</f>
        <v>14537.124</v>
      </c>
      <c r="G169" s="204">
        <f>IFERROR(VLOOKUP($A169,'Budget &amp; Revenue'!$A:$AM,13,FALSE)," ")</f>
        <v>0</v>
      </c>
      <c r="H169" s="204">
        <f>IFERROR(VLOOKUP($A169,'Budget &amp; Revenue'!$A:$AM,15,FALSE)," ")</f>
        <v>0</v>
      </c>
      <c r="I169" s="204">
        <f>IFERROR(VLOOKUP($A169,'Budget &amp; Revenue'!$A:$AM,17,FALSE)," ")</f>
        <v>0</v>
      </c>
      <c r="J169" s="204">
        <f>IFERROR(VLOOKUP($A169,'Budget &amp; Revenue'!$A:$AM,19,FALSE)," ")</f>
        <v>0</v>
      </c>
      <c r="K169" s="204">
        <f>IFERROR(VLOOKUP($A169,'Budget &amp; Revenue'!$A:$AM,21,FALSE)," ")</f>
        <v>0</v>
      </c>
      <c r="L169" s="204">
        <f>IFERROR(VLOOKUP($A169,'Budget &amp; Revenue'!$A:$AM,23,FALSE)," ")</f>
        <v>0</v>
      </c>
      <c r="M169" s="204">
        <f>IFERROR(VLOOKUP($A169,'Budget &amp; Revenue'!$A:$AM,25,FALSE)," ")</f>
        <v>0</v>
      </c>
      <c r="N169" s="204">
        <f>IFERROR(VLOOKUP($A169,'Budget &amp; Revenue'!$A:$AM,27,FALSE)," ")</f>
        <v>0</v>
      </c>
      <c r="O169" s="204">
        <f>IFERROR(VLOOKUP($A169,'Budget &amp; Revenue'!$A:$AM,29,FALSE)," ")</f>
        <v>0</v>
      </c>
      <c r="P169" s="204">
        <f>IFERROR(VLOOKUP($A169,'Budget &amp; Revenue'!$A:$AM,31,FALSE)," ")</f>
        <v>0</v>
      </c>
      <c r="Q169" s="204">
        <f>IFERROR(VLOOKUP($A169,'Budget &amp; Revenue'!$A:$AM,33,FALSE)," ")</f>
        <v>0</v>
      </c>
      <c r="R169" s="204">
        <f>IFERROR(VLOOKUP($A169,'Budget &amp; Revenue'!$A:$AM,35,FALSE)," ")</f>
        <v>1</v>
      </c>
      <c r="S169" s="204">
        <f>IFERROR(VLOOKUP($A169,'Budget &amp; Revenue'!$A:$AM,37,FALSE)," ")</f>
        <v>1</v>
      </c>
      <c r="T169" s="204">
        <f>IFERROR(VLOOKUP($A169,'Budget &amp; Revenue'!$A:$AM,39,FALSE)," ")</f>
        <v>1</v>
      </c>
    </row>
    <row r="170" spans="1:20" x14ac:dyDescent="0.25">
      <c r="A170" s="80">
        <v>165</v>
      </c>
      <c r="B170" s="201" t="str">
        <f>VLOOKUP(A170,Estimate!A:C,3,FALSE)</f>
        <v>(i)  10mm Nominal Size</v>
      </c>
      <c r="C170" s="80">
        <f>VLOOKUP(A170,Estimate!A:L,12,FALSE)</f>
        <v>1</v>
      </c>
      <c r="D170" s="234" t="s">
        <v>3054</v>
      </c>
      <c r="E170" s="234" t="s">
        <v>3055</v>
      </c>
      <c r="F170" s="235">
        <f>IFERROR(VLOOKUP(A170,Estimate!A:Q,17,FALSE)," ")</f>
        <v>30256.947000000004</v>
      </c>
      <c r="G170" s="204">
        <f>IFERROR(VLOOKUP($A170,'Budget &amp; Revenue'!$A:$AM,13,FALSE)," ")</f>
        <v>0</v>
      </c>
      <c r="H170" s="204">
        <f>IFERROR(VLOOKUP($A170,'Budget &amp; Revenue'!$A:$AM,15,FALSE)," ")</f>
        <v>0</v>
      </c>
      <c r="I170" s="204">
        <f>IFERROR(VLOOKUP($A170,'Budget &amp; Revenue'!$A:$AM,17,FALSE)," ")</f>
        <v>0</v>
      </c>
      <c r="J170" s="204">
        <f>IFERROR(VLOOKUP($A170,'Budget &amp; Revenue'!$A:$AM,19,FALSE)," ")</f>
        <v>0</v>
      </c>
      <c r="K170" s="204">
        <f>IFERROR(VLOOKUP($A170,'Budget &amp; Revenue'!$A:$AM,21,FALSE)," ")</f>
        <v>0</v>
      </c>
      <c r="L170" s="204">
        <f>IFERROR(VLOOKUP($A170,'Budget &amp; Revenue'!$A:$AM,23,FALSE)," ")</f>
        <v>0</v>
      </c>
      <c r="M170" s="204">
        <f>IFERROR(VLOOKUP($A170,'Budget &amp; Revenue'!$A:$AM,25,FALSE)," ")</f>
        <v>0</v>
      </c>
      <c r="N170" s="204">
        <f>IFERROR(VLOOKUP($A170,'Budget &amp; Revenue'!$A:$AM,27,FALSE)," ")</f>
        <v>0</v>
      </c>
      <c r="O170" s="204">
        <f>IFERROR(VLOOKUP($A170,'Budget &amp; Revenue'!$A:$AM,29,FALSE)," ")</f>
        <v>0</v>
      </c>
      <c r="P170" s="204">
        <f>IFERROR(VLOOKUP($A170,'Budget &amp; Revenue'!$A:$AM,31,FALSE)," ")</f>
        <v>0</v>
      </c>
      <c r="Q170" s="204">
        <f>IFERROR(VLOOKUP($A170,'Budget &amp; Revenue'!$A:$AM,33,FALSE)," ")</f>
        <v>0</v>
      </c>
      <c r="R170" s="204">
        <f>IFERROR(VLOOKUP($A170,'Budget &amp; Revenue'!$A:$AM,35,FALSE)," ")</f>
        <v>1</v>
      </c>
      <c r="S170" s="204">
        <f>IFERROR(VLOOKUP($A170,'Budget &amp; Revenue'!$A:$AM,37,FALSE)," ")</f>
        <v>1</v>
      </c>
      <c r="T170" s="204">
        <f>IFERROR(VLOOKUP($A170,'Budget &amp; Revenue'!$A:$AM,39,FALSE)," ")</f>
        <v>1</v>
      </c>
    </row>
    <row r="171" spans="1:20" ht="30" x14ac:dyDescent="0.25">
      <c r="A171" s="80">
        <v>166</v>
      </c>
      <c r="B171" s="201" t="str">
        <f>VLOOKUP(A171,Estimate!A:C,3,FALSE)</f>
        <v>Pavement Marking Paint - Longitudinal Lines including car parking bays</v>
      </c>
      <c r="C171" s="80">
        <f>VLOOKUP(A171,Estimate!A:L,12,FALSE)</f>
        <v>1</v>
      </c>
      <c r="D171" s="234" t="s">
        <v>3056</v>
      </c>
      <c r="E171" s="234">
        <v>180</v>
      </c>
      <c r="F171" s="235">
        <f>IFERROR(VLOOKUP(A171,Estimate!A:Q,17,FALSE)," ")</f>
        <v>4000</v>
      </c>
      <c r="G171" s="204">
        <f>IFERROR(VLOOKUP($A171,'Budget &amp; Revenue'!$A:$AM,13,FALSE)," ")</f>
        <v>0</v>
      </c>
      <c r="H171" s="204">
        <f>IFERROR(VLOOKUP($A171,'Budget &amp; Revenue'!$A:$AM,15,FALSE)," ")</f>
        <v>0</v>
      </c>
      <c r="I171" s="204">
        <f>IFERROR(VLOOKUP($A171,'Budget &amp; Revenue'!$A:$AM,17,FALSE)," ")</f>
        <v>0</v>
      </c>
      <c r="J171" s="204">
        <f>IFERROR(VLOOKUP($A171,'Budget &amp; Revenue'!$A:$AM,19,FALSE)," ")</f>
        <v>0</v>
      </c>
      <c r="K171" s="204">
        <f>IFERROR(VLOOKUP($A171,'Budget &amp; Revenue'!$A:$AM,21,FALSE)," ")</f>
        <v>0</v>
      </c>
      <c r="L171" s="204">
        <f>IFERROR(VLOOKUP($A171,'Budget &amp; Revenue'!$A:$AM,23,FALSE)," ")</f>
        <v>0</v>
      </c>
      <c r="M171" s="204">
        <f>IFERROR(VLOOKUP($A171,'Budget &amp; Revenue'!$A:$AM,25,FALSE)," ")</f>
        <v>0</v>
      </c>
      <c r="N171" s="204">
        <f>IFERROR(VLOOKUP($A171,'Budget &amp; Revenue'!$A:$AM,27,FALSE)," ")</f>
        <v>0</v>
      </c>
      <c r="O171" s="204">
        <f>IFERROR(VLOOKUP($A171,'Budget &amp; Revenue'!$A:$AM,29,FALSE)," ")</f>
        <v>0</v>
      </c>
      <c r="P171" s="204">
        <f>IFERROR(VLOOKUP($A171,'Budget &amp; Revenue'!$A:$AM,31,FALSE)," ")</f>
        <v>0</v>
      </c>
      <c r="Q171" s="204">
        <f>IFERROR(VLOOKUP($A171,'Budget &amp; Revenue'!$A:$AM,33,FALSE)," ")</f>
        <v>0</v>
      </c>
      <c r="R171" s="204">
        <f>IFERROR(VLOOKUP($A171,'Budget &amp; Revenue'!$A:$AM,35,FALSE)," ")</f>
        <v>1</v>
      </c>
      <c r="S171" s="204">
        <f>IFERROR(VLOOKUP($A171,'Budget &amp; Revenue'!$A:$AM,37,FALSE)," ")</f>
        <v>1</v>
      </c>
      <c r="T171" s="204">
        <f>IFERROR(VLOOKUP($A171,'Budget &amp; Revenue'!$A:$AM,39,FALSE)," ")</f>
        <v>1</v>
      </c>
    </row>
    <row r="172" spans="1:20" x14ac:dyDescent="0.25">
      <c r="A172" s="80">
        <v>167</v>
      </c>
      <c r="B172" s="201" t="str">
        <f>VLOOKUP(A172,Estimate!A:C,3,FALSE)</f>
        <v>Remove and reinstate Existing Signs &amp; Support Structures</v>
      </c>
      <c r="C172" s="80">
        <f>VLOOKUP(A172,Estimate!A:L,12,FALSE)</f>
        <v>2</v>
      </c>
      <c r="D172" s="234" t="s">
        <v>3049</v>
      </c>
      <c r="E172" s="234">
        <v>180</v>
      </c>
      <c r="F172" s="235">
        <f>IFERROR(VLOOKUP(A172,Estimate!A:Q,17,FALSE)," ")</f>
        <v>2832</v>
      </c>
      <c r="G172" s="204">
        <f>IFERROR(VLOOKUP($A172,'Budget &amp; Revenue'!$A:$AM,13,FALSE)," ")</f>
        <v>0</v>
      </c>
      <c r="H172" s="204">
        <f>IFERROR(VLOOKUP($A172,'Budget &amp; Revenue'!$A:$AM,15,FALSE)," ")</f>
        <v>0</v>
      </c>
      <c r="I172" s="204">
        <f>IFERROR(VLOOKUP($A172,'Budget &amp; Revenue'!$A:$AM,17,FALSE)," ")</f>
        <v>0</v>
      </c>
      <c r="J172" s="204">
        <f>IFERROR(VLOOKUP($A172,'Budget &amp; Revenue'!$A:$AM,19,FALSE)," ")</f>
        <v>0</v>
      </c>
      <c r="K172" s="204">
        <f>IFERROR(VLOOKUP($A172,'Budget &amp; Revenue'!$A:$AM,21,FALSE)," ")</f>
        <v>0</v>
      </c>
      <c r="L172" s="204">
        <f>IFERROR(VLOOKUP($A172,'Budget &amp; Revenue'!$A:$AM,23,FALSE)," ")</f>
        <v>0</v>
      </c>
      <c r="M172" s="204">
        <f>IFERROR(VLOOKUP($A172,'Budget &amp; Revenue'!$A:$AM,25,FALSE)," ")</f>
        <v>0</v>
      </c>
      <c r="N172" s="204">
        <f>IFERROR(VLOOKUP($A172,'Budget &amp; Revenue'!$A:$AM,27,FALSE)," ")</f>
        <v>0</v>
      </c>
      <c r="O172" s="204">
        <f>IFERROR(VLOOKUP($A172,'Budget &amp; Revenue'!$A:$AM,29,FALSE)," ")</f>
        <v>0</v>
      </c>
      <c r="P172" s="204">
        <f>IFERROR(VLOOKUP($A172,'Budget &amp; Revenue'!$A:$AM,31,FALSE)," ")</f>
        <v>0</v>
      </c>
      <c r="Q172" s="204">
        <f>IFERROR(VLOOKUP($A172,'Budget &amp; Revenue'!$A:$AM,33,FALSE)," ")</f>
        <v>0</v>
      </c>
      <c r="R172" s="204">
        <f>IFERROR(VLOOKUP($A172,'Budget &amp; Revenue'!$A:$AM,35,FALSE)," ")</f>
        <v>1</v>
      </c>
      <c r="S172" s="204">
        <f>IFERROR(VLOOKUP($A172,'Budget &amp; Revenue'!$A:$AM,37,FALSE)," ")</f>
        <v>1</v>
      </c>
      <c r="T172" s="204">
        <f>IFERROR(VLOOKUP($A172,'Budget &amp; Revenue'!$A:$AM,39,FALSE)," ")</f>
        <v>1</v>
      </c>
    </row>
    <row r="173" spans="1:20" x14ac:dyDescent="0.25">
      <c r="A173" s="80">
        <v>168</v>
      </c>
      <c r="B173" s="201" t="str">
        <f>VLOOKUP(A173,Estimate!A:C,3,FALSE)</f>
        <v>(iv)  Residential Invert Crossing</v>
      </c>
      <c r="C173" s="80">
        <f>VLOOKUP(A173,Estimate!A:L,12,FALSE)</f>
        <v>9</v>
      </c>
      <c r="D173" s="234">
        <v>165</v>
      </c>
      <c r="E173" s="234" t="s">
        <v>3057</v>
      </c>
      <c r="F173" s="235">
        <f>IFERROR(VLOOKUP(A173,Estimate!A:Q,17,FALSE)," ")</f>
        <v>9765.52</v>
      </c>
      <c r="G173" s="204">
        <f>IFERROR(VLOOKUP($A173,'Budget &amp; Revenue'!$A:$AM,13,FALSE)," ")</f>
        <v>0</v>
      </c>
      <c r="H173" s="204">
        <f>IFERROR(VLOOKUP($A173,'Budget &amp; Revenue'!$A:$AM,15,FALSE)," ")</f>
        <v>0</v>
      </c>
      <c r="I173" s="204">
        <f>IFERROR(VLOOKUP($A173,'Budget &amp; Revenue'!$A:$AM,17,FALSE)," ")</f>
        <v>0</v>
      </c>
      <c r="J173" s="204">
        <f>IFERROR(VLOOKUP($A173,'Budget &amp; Revenue'!$A:$AM,19,FALSE)," ")</f>
        <v>0</v>
      </c>
      <c r="K173" s="204">
        <f>IFERROR(VLOOKUP($A173,'Budget &amp; Revenue'!$A:$AM,21,FALSE)," ")</f>
        <v>0</v>
      </c>
      <c r="L173" s="204">
        <f>IFERROR(VLOOKUP($A173,'Budget &amp; Revenue'!$A:$AM,23,FALSE)," ")</f>
        <v>0</v>
      </c>
      <c r="M173" s="204">
        <f>IFERROR(VLOOKUP($A173,'Budget &amp; Revenue'!$A:$AM,25,FALSE)," ")</f>
        <v>0</v>
      </c>
      <c r="N173" s="204">
        <f>IFERROR(VLOOKUP($A173,'Budget &amp; Revenue'!$A:$AM,27,FALSE)," ")</f>
        <v>0</v>
      </c>
      <c r="O173" s="204">
        <f>IFERROR(VLOOKUP($A173,'Budget &amp; Revenue'!$A:$AM,29,FALSE)," ")</f>
        <v>0</v>
      </c>
      <c r="P173" s="204">
        <f>IFERROR(VLOOKUP($A173,'Budget &amp; Revenue'!$A:$AM,31,FALSE)," ")</f>
        <v>0</v>
      </c>
      <c r="Q173" s="204">
        <f>IFERROR(VLOOKUP($A173,'Budget &amp; Revenue'!$A:$AM,33,FALSE)," ")</f>
        <v>0.2857142857142857</v>
      </c>
      <c r="R173" s="204">
        <f>IFERROR(VLOOKUP($A173,'Budget &amp; Revenue'!$A:$AM,35,FALSE)," ")</f>
        <v>1</v>
      </c>
      <c r="S173" s="204">
        <f>IFERROR(VLOOKUP($A173,'Budget &amp; Revenue'!$A:$AM,37,FALSE)," ")</f>
        <v>1</v>
      </c>
      <c r="T173" s="204">
        <f>IFERROR(VLOOKUP($A173,'Budget &amp; Revenue'!$A:$AM,39,FALSE)," ")</f>
        <v>1</v>
      </c>
    </row>
    <row r="174" spans="1:20" x14ac:dyDescent="0.25">
      <c r="A174" s="80">
        <v>169</v>
      </c>
      <c r="B174" s="201" t="str">
        <f>VLOOKUP(A174,Estimate!A:C,3,FALSE)</f>
        <v>(i)  Grass Seeding</v>
      </c>
      <c r="C174" s="80">
        <f>VLOOKUP(A174,Estimate!A:L,12,FALSE)</f>
        <v>1</v>
      </c>
      <c r="D174" s="234">
        <v>177</v>
      </c>
      <c r="E174" s="234">
        <v>175</v>
      </c>
      <c r="F174" s="235">
        <f>IFERROR(VLOOKUP(A174,Estimate!A:Q,17,FALSE)," ")</f>
        <v>1347.5</v>
      </c>
      <c r="G174" s="204">
        <f>IFERROR(VLOOKUP($A174,'Budget &amp; Revenue'!$A:$AM,13,FALSE)," ")</f>
        <v>0</v>
      </c>
      <c r="H174" s="204">
        <f>IFERROR(VLOOKUP($A174,'Budget &amp; Revenue'!$A:$AM,15,FALSE)," ")</f>
        <v>0</v>
      </c>
      <c r="I174" s="204">
        <f>IFERROR(VLOOKUP($A174,'Budget &amp; Revenue'!$A:$AM,17,FALSE)," ")</f>
        <v>0</v>
      </c>
      <c r="J174" s="204">
        <f>IFERROR(VLOOKUP($A174,'Budget &amp; Revenue'!$A:$AM,19,FALSE)," ")</f>
        <v>0</v>
      </c>
      <c r="K174" s="204">
        <f>IFERROR(VLOOKUP($A174,'Budget &amp; Revenue'!$A:$AM,21,FALSE)," ")</f>
        <v>0</v>
      </c>
      <c r="L174" s="204">
        <f>IFERROR(VLOOKUP($A174,'Budget &amp; Revenue'!$A:$AM,23,FALSE)," ")</f>
        <v>0</v>
      </c>
      <c r="M174" s="204">
        <f>IFERROR(VLOOKUP($A174,'Budget &amp; Revenue'!$A:$AM,25,FALSE)," ")</f>
        <v>0</v>
      </c>
      <c r="N174" s="204">
        <f>IFERROR(VLOOKUP($A174,'Budget &amp; Revenue'!$A:$AM,27,FALSE)," ")</f>
        <v>0</v>
      </c>
      <c r="O174" s="204">
        <f>IFERROR(VLOOKUP($A174,'Budget &amp; Revenue'!$A:$AM,29,FALSE)," ")</f>
        <v>0</v>
      </c>
      <c r="P174" s="204">
        <f>IFERROR(VLOOKUP($A174,'Budget &amp; Revenue'!$A:$AM,31,FALSE)," ")</f>
        <v>0</v>
      </c>
      <c r="Q174" s="204">
        <f>IFERROR(VLOOKUP($A174,'Budget &amp; Revenue'!$A:$AM,33,FALSE)," ")</f>
        <v>0</v>
      </c>
      <c r="R174" s="204">
        <f>IFERROR(VLOOKUP($A174,'Budget &amp; Revenue'!$A:$AM,35,FALSE)," ")</f>
        <v>1</v>
      </c>
      <c r="S174" s="204">
        <f>IFERROR(VLOOKUP($A174,'Budget &amp; Revenue'!$A:$AM,37,FALSE)," ")</f>
        <v>1</v>
      </c>
      <c r="T174" s="204">
        <f>IFERROR(VLOOKUP($A174,'Budget &amp; Revenue'!$A:$AM,39,FALSE)," ")</f>
        <v>1</v>
      </c>
    </row>
    <row r="175" spans="1:20" x14ac:dyDescent="0.25">
      <c r="A175" s="80">
        <v>170</v>
      </c>
      <c r="B175" s="201" t="str">
        <f>VLOOKUP(A175,Estimate!A:C,3,FALSE)</f>
        <v>(ii)  Turfing</v>
      </c>
      <c r="C175" s="80">
        <f>VLOOKUP(A175,Estimate!A:L,12,FALSE)</f>
        <v>1</v>
      </c>
      <c r="D175" s="234">
        <v>174</v>
      </c>
      <c r="E175" s="234">
        <v>176</v>
      </c>
      <c r="F175" s="235">
        <f>IFERROR(VLOOKUP(A175,Estimate!A:Q,17,FALSE)," ")</f>
        <v>2231.25</v>
      </c>
      <c r="G175" s="204">
        <f>IFERROR(VLOOKUP($A175,'Budget &amp; Revenue'!$A:$AM,13,FALSE)," ")</f>
        <v>0</v>
      </c>
      <c r="H175" s="204">
        <f>IFERROR(VLOOKUP($A175,'Budget &amp; Revenue'!$A:$AM,15,FALSE)," ")</f>
        <v>0</v>
      </c>
      <c r="I175" s="204">
        <f>IFERROR(VLOOKUP($A175,'Budget &amp; Revenue'!$A:$AM,17,FALSE)," ")</f>
        <v>0</v>
      </c>
      <c r="J175" s="204">
        <f>IFERROR(VLOOKUP($A175,'Budget &amp; Revenue'!$A:$AM,19,FALSE)," ")</f>
        <v>0</v>
      </c>
      <c r="K175" s="204">
        <f>IFERROR(VLOOKUP($A175,'Budget &amp; Revenue'!$A:$AM,21,FALSE)," ")</f>
        <v>0</v>
      </c>
      <c r="L175" s="204">
        <f>IFERROR(VLOOKUP($A175,'Budget &amp; Revenue'!$A:$AM,23,FALSE)," ")</f>
        <v>0</v>
      </c>
      <c r="M175" s="204">
        <f>IFERROR(VLOOKUP($A175,'Budget &amp; Revenue'!$A:$AM,25,FALSE)," ")</f>
        <v>0</v>
      </c>
      <c r="N175" s="204">
        <f>IFERROR(VLOOKUP($A175,'Budget &amp; Revenue'!$A:$AM,27,FALSE)," ")</f>
        <v>0</v>
      </c>
      <c r="O175" s="204">
        <f>IFERROR(VLOOKUP($A175,'Budget &amp; Revenue'!$A:$AM,29,FALSE)," ")</f>
        <v>0</v>
      </c>
      <c r="P175" s="204">
        <f>IFERROR(VLOOKUP($A175,'Budget &amp; Revenue'!$A:$AM,31,FALSE)," ")</f>
        <v>0</v>
      </c>
      <c r="Q175" s="204">
        <f>IFERROR(VLOOKUP($A175,'Budget &amp; Revenue'!$A:$AM,33,FALSE)," ")</f>
        <v>0</v>
      </c>
      <c r="R175" s="204">
        <f>IFERROR(VLOOKUP($A175,'Budget &amp; Revenue'!$A:$AM,35,FALSE)," ")</f>
        <v>1</v>
      </c>
      <c r="S175" s="204">
        <f>IFERROR(VLOOKUP($A175,'Budget &amp; Revenue'!$A:$AM,37,FALSE)," ")</f>
        <v>1</v>
      </c>
      <c r="T175" s="204">
        <f>IFERROR(VLOOKUP($A175,'Budget &amp; Revenue'!$A:$AM,39,FALSE)," ")</f>
        <v>1</v>
      </c>
    </row>
    <row r="176" spans="1:20" x14ac:dyDescent="0.25">
      <c r="A176" s="80">
        <v>171</v>
      </c>
      <c r="B176" s="201" t="str">
        <f>VLOOKUP(A176,Estimate!A:C,3,FALSE)</f>
        <v>(iii)  Individual Planting</v>
      </c>
      <c r="C176" s="80">
        <f>VLOOKUP(A176,Estimate!A:L,12,FALSE)</f>
        <v>1</v>
      </c>
      <c r="D176" s="234">
        <v>175</v>
      </c>
      <c r="E176" s="234">
        <v>180</v>
      </c>
      <c r="F176" s="235">
        <f>IFERROR(VLOOKUP(A176,Estimate!A:Q,17,FALSE)," ")</f>
        <v>3000</v>
      </c>
      <c r="G176" s="204">
        <f>IFERROR(VLOOKUP($A176,'Budget &amp; Revenue'!$A:$AM,13,FALSE)," ")</f>
        <v>0</v>
      </c>
      <c r="H176" s="204">
        <f>IFERROR(VLOOKUP($A176,'Budget &amp; Revenue'!$A:$AM,15,FALSE)," ")</f>
        <v>0</v>
      </c>
      <c r="I176" s="204">
        <f>IFERROR(VLOOKUP($A176,'Budget &amp; Revenue'!$A:$AM,17,FALSE)," ")</f>
        <v>0</v>
      </c>
      <c r="J176" s="204">
        <f>IFERROR(VLOOKUP($A176,'Budget &amp; Revenue'!$A:$AM,19,FALSE)," ")</f>
        <v>0</v>
      </c>
      <c r="K176" s="204">
        <f>IFERROR(VLOOKUP($A176,'Budget &amp; Revenue'!$A:$AM,21,FALSE)," ")</f>
        <v>0</v>
      </c>
      <c r="L176" s="204">
        <f>IFERROR(VLOOKUP($A176,'Budget &amp; Revenue'!$A:$AM,23,FALSE)," ")</f>
        <v>0</v>
      </c>
      <c r="M176" s="204">
        <f>IFERROR(VLOOKUP($A176,'Budget &amp; Revenue'!$A:$AM,25,FALSE)," ")</f>
        <v>0</v>
      </c>
      <c r="N176" s="204">
        <f>IFERROR(VLOOKUP($A176,'Budget &amp; Revenue'!$A:$AM,27,FALSE)," ")</f>
        <v>0</v>
      </c>
      <c r="O176" s="204">
        <f>IFERROR(VLOOKUP($A176,'Budget &amp; Revenue'!$A:$AM,29,FALSE)," ")</f>
        <v>0</v>
      </c>
      <c r="P176" s="204">
        <f>IFERROR(VLOOKUP($A176,'Budget &amp; Revenue'!$A:$AM,31,FALSE)," ")</f>
        <v>0</v>
      </c>
      <c r="Q176" s="204">
        <f>IFERROR(VLOOKUP($A176,'Budget &amp; Revenue'!$A:$AM,33,FALSE)," ")</f>
        <v>0</v>
      </c>
      <c r="R176" s="204">
        <f>IFERROR(VLOOKUP($A176,'Budget &amp; Revenue'!$A:$AM,35,FALSE)," ")</f>
        <v>1</v>
      </c>
      <c r="S176" s="204">
        <f>IFERROR(VLOOKUP($A176,'Budget &amp; Revenue'!$A:$AM,37,FALSE)," ")</f>
        <v>1</v>
      </c>
      <c r="T176" s="204">
        <f>IFERROR(VLOOKUP($A176,'Budget &amp; Revenue'!$A:$AM,39,FALSE)," ")</f>
        <v>1</v>
      </c>
    </row>
    <row r="177" spans="1:20" x14ac:dyDescent="0.25">
      <c r="A177" s="80">
        <v>172</v>
      </c>
      <c r="B177" s="201" t="str">
        <f>VLOOKUP(A177,Estimate!A:C,3,FALSE)</f>
        <v>Supply and place  Imported Topsoil</v>
      </c>
      <c r="C177" s="80">
        <f>VLOOKUP(A177,Estimate!A:L,12,FALSE)</f>
        <v>1</v>
      </c>
      <c r="D177" s="234">
        <v>173</v>
      </c>
      <c r="E177" s="234">
        <v>174</v>
      </c>
      <c r="F177" s="235">
        <f>IFERROR(VLOOKUP(A177,Estimate!A:Q,17,FALSE)," ")</f>
        <v>2645</v>
      </c>
      <c r="G177" s="204">
        <f>IFERROR(VLOOKUP($A177,'Budget &amp; Revenue'!$A:$AM,13,FALSE)," ")</f>
        <v>0</v>
      </c>
      <c r="H177" s="204">
        <f>IFERROR(VLOOKUP($A177,'Budget &amp; Revenue'!$A:$AM,15,FALSE)," ")</f>
        <v>0</v>
      </c>
      <c r="I177" s="204">
        <f>IFERROR(VLOOKUP($A177,'Budget &amp; Revenue'!$A:$AM,17,FALSE)," ")</f>
        <v>0</v>
      </c>
      <c r="J177" s="204">
        <f>IFERROR(VLOOKUP($A177,'Budget &amp; Revenue'!$A:$AM,19,FALSE)," ")</f>
        <v>0</v>
      </c>
      <c r="K177" s="204">
        <f>IFERROR(VLOOKUP($A177,'Budget &amp; Revenue'!$A:$AM,21,FALSE)," ")</f>
        <v>0</v>
      </c>
      <c r="L177" s="204">
        <f>IFERROR(VLOOKUP($A177,'Budget &amp; Revenue'!$A:$AM,23,FALSE)," ")</f>
        <v>0</v>
      </c>
      <c r="M177" s="204">
        <f>IFERROR(VLOOKUP($A177,'Budget &amp; Revenue'!$A:$AM,25,FALSE)," ")</f>
        <v>0</v>
      </c>
      <c r="N177" s="204">
        <f>IFERROR(VLOOKUP($A177,'Budget &amp; Revenue'!$A:$AM,27,FALSE)," ")</f>
        <v>0</v>
      </c>
      <c r="O177" s="204">
        <f>IFERROR(VLOOKUP($A177,'Budget &amp; Revenue'!$A:$AM,29,FALSE)," ")</f>
        <v>0</v>
      </c>
      <c r="P177" s="204">
        <f>IFERROR(VLOOKUP($A177,'Budget &amp; Revenue'!$A:$AM,31,FALSE)," ")</f>
        <v>0</v>
      </c>
      <c r="Q177" s="204">
        <f>IFERROR(VLOOKUP($A177,'Budget &amp; Revenue'!$A:$AM,33,FALSE)," ")</f>
        <v>0</v>
      </c>
      <c r="R177" s="204">
        <f>IFERROR(VLOOKUP($A177,'Budget &amp; Revenue'!$A:$AM,35,FALSE)," ")</f>
        <v>1</v>
      </c>
      <c r="S177" s="204">
        <f>IFERROR(VLOOKUP($A177,'Budget &amp; Revenue'!$A:$AM,37,FALSE)," ")</f>
        <v>1</v>
      </c>
      <c r="T177" s="204">
        <f>IFERROR(VLOOKUP($A177,'Budget &amp; Revenue'!$A:$AM,39,FALSE)," ")</f>
        <v>1</v>
      </c>
    </row>
    <row r="178" spans="1:20" x14ac:dyDescent="0.25">
      <c r="A178" s="80">
        <v>173</v>
      </c>
      <c r="B178" s="201" t="str">
        <f>VLOOKUP(A178,Estimate!A:C,3,FALSE)</f>
        <v>Sawcut Bituminous pavement</v>
      </c>
      <c r="C178" s="80">
        <f>VLOOKUP(A178,Estimate!A:L,12,FALSE)</f>
        <v>2</v>
      </c>
      <c r="D178" s="234" t="s">
        <v>3058</v>
      </c>
      <c r="E178" s="233"/>
      <c r="F178" s="235">
        <f>IFERROR(VLOOKUP(A178,Estimate!A:Q,17,FALSE)," ")</f>
        <v>3000</v>
      </c>
      <c r="G178" s="204">
        <f>IFERROR(VLOOKUP($A178,'Budget &amp; Revenue'!$A:$AM,13,FALSE)," ")</f>
        <v>0</v>
      </c>
      <c r="H178" s="204">
        <f>IFERROR(VLOOKUP($A178,'Budget &amp; Revenue'!$A:$AM,15,FALSE)," ")</f>
        <v>0</v>
      </c>
      <c r="I178" s="204">
        <f>IFERROR(VLOOKUP($A178,'Budget &amp; Revenue'!$A:$AM,17,FALSE)," ")</f>
        <v>0</v>
      </c>
      <c r="J178" s="204">
        <f>IFERROR(VLOOKUP($A178,'Budget &amp; Revenue'!$A:$AM,19,FALSE)," ")</f>
        <v>0</v>
      </c>
      <c r="K178" s="204">
        <f>IFERROR(VLOOKUP($A178,'Budget &amp; Revenue'!$A:$AM,21,FALSE)," ")</f>
        <v>0</v>
      </c>
      <c r="L178" s="204">
        <f>IFERROR(VLOOKUP($A178,'Budget &amp; Revenue'!$A:$AM,23,FALSE)," ")</f>
        <v>0</v>
      </c>
      <c r="M178" s="204">
        <f>IFERROR(VLOOKUP($A178,'Budget &amp; Revenue'!$A:$AM,25,FALSE)," ")</f>
        <v>0</v>
      </c>
      <c r="N178" s="204">
        <f>IFERROR(VLOOKUP($A178,'Budget &amp; Revenue'!$A:$AM,27,FALSE)," ")</f>
        <v>0</v>
      </c>
      <c r="O178" s="204">
        <f>IFERROR(VLOOKUP($A178,'Budget &amp; Revenue'!$A:$AM,29,FALSE)," ")</f>
        <v>0</v>
      </c>
      <c r="P178" s="204">
        <f>IFERROR(VLOOKUP($A178,'Budget &amp; Revenue'!$A:$AM,31,FALSE)," ")</f>
        <v>0</v>
      </c>
      <c r="Q178" s="204">
        <f>IFERROR(VLOOKUP($A178,'Budget &amp; Revenue'!$A:$AM,33,FALSE)," ")</f>
        <v>0</v>
      </c>
      <c r="R178" s="204">
        <f>IFERROR(VLOOKUP($A178,'Budget &amp; Revenue'!$A:$AM,35,FALSE)," ")</f>
        <v>1</v>
      </c>
      <c r="S178" s="204">
        <f>IFERROR(VLOOKUP($A178,'Budget &amp; Revenue'!$A:$AM,37,FALSE)," ")</f>
        <v>1</v>
      </c>
      <c r="T178" s="204">
        <f>IFERROR(VLOOKUP($A178,'Budget &amp; Revenue'!$A:$AM,39,FALSE)," ")</f>
        <v>1</v>
      </c>
    </row>
    <row r="179" spans="1:20" x14ac:dyDescent="0.25">
      <c r="A179" s="80">
        <v>174</v>
      </c>
      <c r="B179" s="201" t="str">
        <f>VLOOKUP(A179,Estimate!A:C,3,FALSE)</f>
        <v>Service connections</v>
      </c>
      <c r="C179" s="80">
        <f>VLOOKUP(A179,Estimate!A:L,12,FALSE)</f>
        <v>4</v>
      </c>
      <c r="D179" s="234">
        <v>165</v>
      </c>
      <c r="E179" s="234" t="s">
        <v>3108</v>
      </c>
      <c r="F179" s="235">
        <f>IFERROR(VLOOKUP(A179,Estimate!A:Q,17,FALSE)," ")</f>
        <v>29880</v>
      </c>
      <c r="G179" s="204">
        <f>IFERROR(VLOOKUP($A179,'Budget &amp; Revenue'!$A:$AM,13,FALSE)," ")</f>
        <v>0</v>
      </c>
      <c r="H179" s="204">
        <f>IFERROR(VLOOKUP($A179,'Budget &amp; Revenue'!$A:$AM,15,FALSE)," ")</f>
        <v>0</v>
      </c>
      <c r="I179" s="204">
        <f>IFERROR(VLOOKUP($A179,'Budget &amp; Revenue'!$A:$AM,17,FALSE)," ")</f>
        <v>0</v>
      </c>
      <c r="J179" s="204">
        <f>IFERROR(VLOOKUP($A179,'Budget &amp; Revenue'!$A:$AM,19,FALSE)," ")</f>
        <v>0</v>
      </c>
      <c r="K179" s="204">
        <f>IFERROR(VLOOKUP($A179,'Budget &amp; Revenue'!$A:$AM,21,FALSE)," ")</f>
        <v>0</v>
      </c>
      <c r="L179" s="204">
        <f>IFERROR(VLOOKUP($A179,'Budget &amp; Revenue'!$A:$AM,23,FALSE)," ")</f>
        <v>0</v>
      </c>
      <c r="M179" s="204">
        <f>IFERROR(VLOOKUP($A179,'Budget &amp; Revenue'!$A:$AM,25,FALSE)," ")</f>
        <v>0</v>
      </c>
      <c r="N179" s="204">
        <f>IFERROR(VLOOKUP($A179,'Budget &amp; Revenue'!$A:$AM,27,FALSE)," ")</f>
        <v>0</v>
      </c>
      <c r="O179" s="204">
        <f>IFERROR(VLOOKUP($A179,'Budget &amp; Revenue'!$A:$AM,29,FALSE)," ")</f>
        <v>0</v>
      </c>
      <c r="P179" s="204">
        <f>IFERROR(VLOOKUP($A179,'Budget &amp; Revenue'!$A:$AM,31,FALSE)," ")</f>
        <v>0</v>
      </c>
      <c r="Q179" s="204">
        <f>IFERROR(VLOOKUP($A179,'Budget &amp; Revenue'!$A:$AM,33,FALSE)," ")</f>
        <v>0.4</v>
      </c>
      <c r="R179" s="204">
        <f>IFERROR(VLOOKUP($A179,'Budget &amp; Revenue'!$A:$AM,35,FALSE)," ")</f>
        <v>1</v>
      </c>
      <c r="S179" s="204">
        <f>IFERROR(VLOOKUP($A179,'Budget &amp; Revenue'!$A:$AM,37,FALSE)," ")</f>
        <v>1</v>
      </c>
      <c r="T179" s="204">
        <f>IFERROR(VLOOKUP($A179,'Budget &amp; Revenue'!$A:$AM,39,FALSE)," ")</f>
        <v>1</v>
      </c>
    </row>
    <row r="180" spans="1:20" x14ac:dyDescent="0.25">
      <c r="A180" s="80">
        <v>175</v>
      </c>
      <c r="B180" s="201" t="str">
        <f>VLOOKUP(A180,Estimate!A:C,3,FALSE)</f>
        <v>Special Item - As Constructed Survey and Plans</v>
      </c>
      <c r="C180" s="80">
        <f>VLOOKUP(A180,Estimate!A:L,12,FALSE)</f>
        <v>3</v>
      </c>
      <c r="D180" s="236">
        <v>153171172176179</v>
      </c>
      <c r="E180" s="234">
        <v>3</v>
      </c>
      <c r="F180" s="235">
        <f>IFERROR(VLOOKUP(A180,Estimate!A:Q,17,FALSE)," ")</f>
        <v>2400</v>
      </c>
      <c r="G180" s="204">
        <f>IFERROR(VLOOKUP($A180,'Budget &amp; Revenue'!$A:$AM,13,FALSE)," ")</f>
        <v>0</v>
      </c>
      <c r="H180" s="204">
        <f>IFERROR(VLOOKUP($A180,'Budget &amp; Revenue'!$A:$AM,15,FALSE)," ")</f>
        <v>0</v>
      </c>
      <c r="I180" s="204">
        <f>IFERROR(VLOOKUP($A180,'Budget &amp; Revenue'!$A:$AM,17,FALSE)," ")</f>
        <v>0</v>
      </c>
      <c r="J180" s="204">
        <f>IFERROR(VLOOKUP($A180,'Budget &amp; Revenue'!$A:$AM,19,FALSE)," ")</f>
        <v>0</v>
      </c>
      <c r="K180" s="204">
        <f>IFERROR(VLOOKUP($A180,'Budget &amp; Revenue'!$A:$AM,21,FALSE)," ")</f>
        <v>0</v>
      </c>
      <c r="L180" s="204">
        <f>IFERROR(VLOOKUP($A180,'Budget &amp; Revenue'!$A:$AM,23,FALSE)," ")</f>
        <v>0</v>
      </c>
      <c r="M180" s="204">
        <f>IFERROR(VLOOKUP($A180,'Budget &amp; Revenue'!$A:$AM,25,FALSE)," ")</f>
        <v>0</v>
      </c>
      <c r="N180" s="204">
        <f>IFERROR(VLOOKUP($A180,'Budget &amp; Revenue'!$A:$AM,27,FALSE)," ")</f>
        <v>0</v>
      </c>
      <c r="O180" s="204">
        <f>IFERROR(VLOOKUP($A180,'Budget &amp; Revenue'!$A:$AM,29,FALSE)," ")</f>
        <v>0</v>
      </c>
      <c r="P180" s="204">
        <f>IFERROR(VLOOKUP($A180,'Budget &amp; Revenue'!$A:$AM,31,FALSE)," ")</f>
        <v>0</v>
      </c>
      <c r="Q180" s="204">
        <f>IFERROR(VLOOKUP($A180,'Budget &amp; Revenue'!$A:$AM,33,FALSE)," ")</f>
        <v>0.4</v>
      </c>
      <c r="R180" s="204">
        <f>IFERROR(VLOOKUP($A180,'Budget &amp; Revenue'!$A:$AM,35,FALSE)," ")</f>
        <v>1</v>
      </c>
      <c r="S180" s="204">
        <f>IFERROR(VLOOKUP($A180,'Budget &amp; Revenue'!$A:$AM,37,FALSE)," ")</f>
        <v>1</v>
      </c>
      <c r="T180" s="204">
        <f>IFERROR(VLOOKUP($A180,'Budget &amp; Revenue'!$A:$AM,39,FALSE)," ")</f>
        <v>1</v>
      </c>
    </row>
    <row r="181" spans="1:20" s="10" customFormat="1" x14ac:dyDescent="0.25">
      <c r="A181" s="92">
        <v>800</v>
      </c>
      <c r="B181" s="212" t="str">
        <f>VLOOKUP(A181,Estimate!A:C,3,FALSE)</f>
        <v>JUPP STREET</v>
      </c>
      <c r="C181" s="92">
        <f>VLOOKUP(A181,Estimate!A:L,12,FALSE)</f>
        <v>0</v>
      </c>
      <c r="D181" s="234" t="s">
        <v>3083</v>
      </c>
      <c r="E181" s="234" t="s">
        <v>3109</v>
      </c>
      <c r="F181" s="235">
        <f>IFERROR(VLOOKUP(A181,Estimate!A:Q,17,FALSE)," ")</f>
        <v>0</v>
      </c>
      <c r="G181" s="204" t="str">
        <f>IFERROR(VLOOKUP($A181,'Budget &amp; Revenue'!$A:$AM,13,FALSE)," ")</f>
        <v xml:space="preserve"> </v>
      </c>
      <c r="H181" s="204" t="str">
        <f>IFERROR(VLOOKUP($A181,'Budget &amp; Revenue'!$A:$AM,15,FALSE)," ")</f>
        <v xml:space="preserve"> </v>
      </c>
      <c r="I181" s="204" t="str">
        <f>IFERROR(VLOOKUP($A181,'Budget &amp; Revenue'!$A:$AM,17,FALSE)," ")</f>
        <v xml:space="preserve"> </v>
      </c>
      <c r="J181" s="204" t="str">
        <f>IFERROR(VLOOKUP($A181,'Budget &amp; Revenue'!$A:$AM,19,FALSE)," ")</f>
        <v xml:space="preserve"> </v>
      </c>
      <c r="K181" s="204" t="str">
        <f>IFERROR(VLOOKUP($A181,'Budget &amp; Revenue'!$A:$AM,21,FALSE)," ")</f>
        <v xml:space="preserve"> </v>
      </c>
      <c r="L181" s="204" t="str">
        <f>IFERROR(VLOOKUP($A181,'Budget &amp; Revenue'!$A:$AM,23,FALSE)," ")</f>
        <v xml:space="preserve"> </v>
      </c>
      <c r="M181" s="204" t="str">
        <f>IFERROR(VLOOKUP($A181,'Budget &amp; Revenue'!$A:$AM,25,FALSE)," ")</f>
        <v xml:space="preserve"> </v>
      </c>
      <c r="N181" s="204" t="str">
        <f>IFERROR(VLOOKUP($A181,'Budget &amp; Revenue'!$A:$AM,27,FALSE)," ")</f>
        <v xml:space="preserve"> </v>
      </c>
      <c r="O181" s="204" t="str">
        <f>IFERROR(VLOOKUP($A181,'Budget &amp; Revenue'!$A:$AM,29,FALSE)," ")</f>
        <v xml:space="preserve"> </v>
      </c>
      <c r="P181" s="204" t="str">
        <f>IFERROR(VLOOKUP($A181,'Budget &amp; Revenue'!$A:$AM,31,FALSE)," ")</f>
        <v xml:space="preserve"> </v>
      </c>
      <c r="Q181" s="204" t="str">
        <f>IFERROR(VLOOKUP($A181,'Budget &amp; Revenue'!$A:$AM,33,FALSE)," ")</f>
        <v xml:space="preserve"> </v>
      </c>
      <c r="R181" s="204" t="str">
        <f>IFERROR(VLOOKUP($A181,'Budget &amp; Revenue'!$A:$AM,35,FALSE)," ")</f>
        <v xml:space="preserve"> </v>
      </c>
      <c r="S181" s="204" t="str">
        <f>IFERROR(VLOOKUP($A181,'Budget &amp; Revenue'!$A:$AM,37,FALSE)," ")</f>
        <v xml:space="preserve"> </v>
      </c>
      <c r="T181" s="204" t="str">
        <f>IFERROR(VLOOKUP($A181,'Budget &amp; Revenue'!$A:$AM,39,FALSE)," ")</f>
        <v xml:space="preserve"> </v>
      </c>
    </row>
    <row r="182" spans="1:20" x14ac:dyDescent="0.25">
      <c r="A182" s="80">
        <v>176</v>
      </c>
      <c r="B182" s="201" t="str">
        <f>VLOOKUP(A182,Estimate!A:C,3,FALSE)</f>
        <v>Quality Verification &amp; Control</v>
      </c>
      <c r="C182" s="80">
        <f>VLOOKUP(A182,Estimate!A:L,12,FALSE)</f>
        <v>0</v>
      </c>
      <c r="D182" s="234">
        <v>181</v>
      </c>
      <c r="E182" s="234">
        <v>183</v>
      </c>
      <c r="F182" s="235">
        <f>IFERROR(VLOOKUP(A182,Estimate!A:Q,17,FALSE)," ")</f>
        <v>9860</v>
      </c>
      <c r="G182" s="204">
        <f>IFERROR(VLOOKUP($A182,'Budget &amp; Revenue'!$A:$AM,13,FALSE)," ")</f>
        <v>0.25</v>
      </c>
      <c r="H182" s="204">
        <f>IFERROR(VLOOKUP($A182,'Budget &amp; Revenue'!$A:$AM,15,FALSE)," ")</f>
        <v>0.5</v>
      </c>
      <c r="I182" s="204">
        <f>IFERROR(VLOOKUP($A182,'Budget &amp; Revenue'!$A:$AM,17,FALSE)," ")</f>
        <v>0.5</v>
      </c>
      <c r="J182" s="204">
        <f>IFERROR(VLOOKUP($A182,'Budget &amp; Revenue'!$A:$AM,19,FALSE)," ")</f>
        <v>0.6</v>
      </c>
      <c r="K182" s="204">
        <f>IFERROR(VLOOKUP($A182,'Budget &amp; Revenue'!$A:$AM,21,FALSE)," ")</f>
        <v>0.75</v>
      </c>
      <c r="L182" s="204">
        <f>IFERROR(VLOOKUP($A182,'Budget &amp; Revenue'!$A:$AM,23,FALSE)," ")</f>
        <v>0.8</v>
      </c>
      <c r="M182" s="204">
        <f>IFERROR(VLOOKUP($A182,'Budget &amp; Revenue'!$A:$AM,25,FALSE)," ")</f>
        <v>0.9</v>
      </c>
      <c r="N182" s="204">
        <f>IFERROR(VLOOKUP($A182,'Budget &amp; Revenue'!$A:$AM,27,FALSE)," ")</f>
        <v>1</v>
      </c>
      <c r="O182" s="204">
        <f>IFERROR(VLOOKUP($A182,'Budget &amp; Revenue'!$A:$AM,29,FALSE)," ")</f>
        <v>1</v>
      </c>
      <c r="P182" s="204">
        <f>IFERROR(VLOOKUP($A182,'Budget &amp; Revenue'!$A:$AM,31,FALSE)," ")</f>
        <v>1</v>
      </c>
      <c r="Q182" s="204">
        <f>IFERROR(VLOOKUP($A182,'Budget &amp; Revenue'!$A:$AM,33,FALSE)," ")</f>
        <v>1</v>
      </c>
      <c r="R182" s="204">
        <f>IFERROR(VLOOKUP($A182,'Budget &amp; Revenue'!$A:$AM,35,FALSE)," ")</f>
        <v>1</v>
      </c>
      <c r="S182" s="204">
        <f>IFERROR(VLOOKUP($A182,'Budget &amp; Revenue'!$A:$AM,37,FALSE)," ")</f>
        <v>1</v>
      </c>
      <c r="T182" s="204">
        <f>IFERROR(VLOOKUP($A182,'Budget &amp; Revenue'!$A:$AM,39,FALSE)," ")</f>
        <v>1</v>
      </c>
    </row>
    <row r="183" spans="1:20" x14ac:dyDescent="0.25">
      <c r="A183" s="80">
        <v>177</v>
      </c>
      <c r="B183" s="201" t="str">
        <f>VLOOKUP(A183,Estimate!A:C,3,FALSE)</f>
        <v>Control of Traffic</v>
      </c>
      <c r="C183" s="80">
        <f>VLOOKUP(A183,Estimate!A:L,12,FALSE)</f>
        <v>20</v>
      </c>
      <c r="D183" s="234">
        <v>182</v>
      </c>
      <c r="E183" s="234" t="s">
        <v>3059</v>
      </c>
      <c r="F183" s="235">
        <f>IFERROR(VLOOKUP(A183,Estimate!A:Q,17,FALSE)," ")</f>
        <v>23292.48</v>
      </c>
      <c r="G183" s="204">
        <f>IFERROR(VLOOKUP($A183,'Budget &amp; Revenue'!$A:$AM,13,FALSE)," ")</f>
        <v>0.2</v>
      </c>
      <c r="H183" s="204">
        <f>IFERROR(VLOOKUP($A183,'Budget &amp; Revenue'!$A:$AM,15,FALSE)," ")</f>
        <v>0.6</v>
      </c>
      <c r="I183" s="204">
        <f>IFERROR(VLOOKUP($A183,'Budget &amp; Revenue'!$A:$AM,17,FALSE)," ")</f>
        <v>0.6</v>
      </c>
      <c r="J183" s="204">
        <f>IFERROR(VLOOKUP($A183,'Budget &amp; Revenue'!$A:$AM,19,FALSE)," ")</f>
        <v>0.7</v>
      </c>
      <c r="K183" s="204">
        <f>IFERROR(VLOOKUP($A183,'Budget &amp; Revenue'!$A:$AM,21,FALSE)," ")</f>
        <v>0.75</v>
      </c>
      <c r="L183" s="204">
        <f>IFERROR(VLOOKUP($A183,'Budget &amp; Revenue'!$A:$AM,23,FALSE)," ")</f>
        <v>0.8</v>
      </c>
      <c r="M183" s="204">
        <f>IFERROR(VLOOKUP($A183,'Budget &amp; Revenue'!$A:$AM,25,FALSE)," ")</f>
        <v>0.9</v>
      </c>
      <c r="N183" s="204">
        <f>IFERROR(VLOOKUP($A183,'Budget &amp; Revenue'!$A:$AM,27,FALSE)," ")</f>
        <v>1</v>
      </c>
      <c r="O183" s="204">
        <f>IFERROR(VLOOKUP($A183,'Budget &amp; Revenue'!$A:$AM,29,FALSE)," ")</f>
        <v>1</v>
      </c>
      <c r="P183" s="204">
        <f>IFERROR(VLOOKUP($A183,'Budget &amp; Revenue'!$A:$AM,31,FALSE)," ")</f>
        <v>1</v>
      </c>
      <c r="Q183" s="204">
        <f>IFERROR(VLOOKUP($A183,'Budget &amp; Revenue'!$A:$AM,33,FALSE)," ")</f>
        <v>1</v>
      </c>
      <c r="R183" s="204">
        <f>IFERROR(VLOOKUP($A183,'Budget &amp; Revenue'!$A:$AM,35,FALSE)," ")</f>
        <v>1</v>
      </c>
      <c r="S183" s="204">
        <f>IFERROR(VLOOKUP($A183,'Budget &amp; Revenue'!$A:$AM,37,FALSE)," ")</f>
        <v>1</v>
      </c>
      <c r="T183" s="204">
        <f>IFERROR(VLOOKUP($A183,'Budget &amp; Revenue'!$A:$AM,39,FALSE)," ")</f>
        <v>1</v>
      </c>
    </row>
    <row r="184" spans="1:20" ht="30" x14ac:dyDescent="0.25">
      <c r="A184" s="80">
        <v>178</v>
      </c>
      <c r="B184" s="201" t="str">
        <f>VLOOKUP(A184,Estimate!A:C,3,FALSE)</f>
        <v>Temporary Erosion &amp; Sedimentation Control (includes supply and installation of all components)</v>
      </c>
      <c r="C184" s="80">
        <f>VLOOKUP(A184,Estimate!A:L,12,FALSE)</f>
        <v>6</v>
      </c>
      <c r="D184" s="234" t="s">
        <v>3060</v>
      </c>
      <c r="E184" s="236">
        <v>185186</v>
      </c>
      <c r="F184" s="235">
        <f>IFERROR(VLOOKUP(A184,Estimate!A:Q,17,FALSE)," ")</f>
        <v>11050</v>
      </c>
      <c r="G184" s="204">
        <f>IFERROR(VLOOKUP($A184,'Budget &amp; Revenue'!$A:$AM,13,FALSE)," ")</f>
        <v>0.2</v>
      </c>
      <c r="H184" s="204">
        <f>IFERROR(VLOOKUP($A184,'Budget &amp; Revenue'!$A:$AM,15,FALSE)," ")</f>
        <v>0.6</v>
      </c>
      <c r="I184" s="204">
        <f>IFERROR(VLOOKUP($A184,'Budget &amp; Revenue'!$A:$AM,17,FALSE)," ")</f>
        <v>0.6</v>
      </c>
      <c r="J184" s="204">
        <f>IFERROR(VLOOKUP($A184,'Budget &amp; Revenue'!$A:$AM,19,FALSE)," ")</f>
        <v>0.7</v>
      </c>
      <c r="K184" s="204">
        <f>IFERROR(VLOOKUP($A184,'Budget &amp; Revenue'!$A:$AM,21,FALSE)," ")</f>
        <v>0.75</v>
      </c>
      <c r="L184" s="204">
        <f>IFERROR(VLOOKUP($A184,'Budget &amp; Revenue'!$A:$AM,23,FALSE)," ")</f>
        <v>0.8</v>
      </c>
      <c r="M184" s="204">
        <f>IFERROR(VLOOKUP($A184,'Budget &amp; Revenue'!$A:$AM,25,FALSE)," ")</f>
        <v>0.9</v>
      </c>
      <c r="N184" s="204">
        <f>IFERROR(VLOOKUP($A184,'Budget &amp; Revenue'!$A:$AM,27,FALSE)," ")</f>
        <v>1</v>
      </c>
      <c r="O184" s="204">
        <f>IFERROR(VLOOKUP($A184,'Budget &amp; Revenue'!$A:$AM,29,FALSE)," ")</f>
        <v>1</v>
      </c>
      <c r="P184" s="204">
        <f>IFERROR(VLOOKUP($A184,'Budget &amp; Revenue'!$A:$AM,31,FALSE)," ")</f>
        <v>1</v>
      </c>
      <c r="Q184" s="204">
        <f>IFERROR(VLOOKUP($A184,'Budget &amp; Revenue'!$A:$AM,33,FALSE)," ")</f>
        <v>1</v>
      </c>
      <c r="R184" s="204">
        <f>IFERROR(VLOOKUP($A184,'Budget &amp; Revenue'!$A:$AM,35,FALSE)," ")</f>
        <v>1</v>
      </c>
      <c r="S184" s="204">
        <f>IFERROR(VLOOKUP($A184,'Budget &amp; Revenue'!$A:$AM,37,FALSE)," ")</f>
        <v>1</v>
      </c>
      <c r="T184" s="204">
        <f>IFERROR(VLOOKUP($A184,'Budget &amp; Revenue'!$A:$AM,39,FALSE)," ")</f>
        <v>1</v>
      </c>
    </row>
    <row r="185" spans="1:20" ht="30" x14ac:dyDescent="0.25">
      <c r="A185" s="80">
        <v>179</v>
      </c>
      <c r="B185" s="201" t="str">
        <f>VLOOKUP(A185,Estimate!A:C,3,FALSE)</f>
        <v>Special Item - Demolition of Structure (concrete slabs, culverts, pipes etc)</v>
      </c>
      <c r="C185" s="80">
        <f>VLOOKUP(A185,Estimate!A:L,12,FALSE)</f>
        <v>2</v>
      </c>
      <c r="D185" s="234">
        <v>184</v>
      </c>
      <c r="E185" s="234">
        <v>190</v>
      </c>
      <c r="F185" s="235">
        <f>IFERROR(VLOOKUP(A185,Estimate!A:Q,17,FALSE)," ")</f>
        <v>10066.666666666666</v>
      </c>
      <c r="G185" s="204">
        <f>IFERROR(VLOOKUP($A185,'Budget &amp; Revenue'!$A:$AM,13,FALSE)," ")</f>
        <v>0.6</v>
      </c>
      <c r="H185" s="204">
        <f>IFERROR(VLOOKUP($A185,'Budget &amp; Revenue'!$A:$AM,15,FALSE)," ")</f>
        <v>0.6</v>
      </c>
      <c r="I185" s="204">
        <f>IFERROR(VLOOKUP($A185,'Budget &amp; Revenue'!$A:$AM,17,FALSE)," ")</f>
        <v>0.6</v>
      </c>
      <c r="J185" s="204">
        <f>IFERROR(VLOOKUP($A185,'Budget &amp; Revenue'!$A:$AM,19,FALSE)," ")</f>
        <v>0.8</v>
      </c>
      <c r="K185" s="204">
        <f>IFERROR(VLOOKUP($A185,'Budget &amp; Revenue'!$A:$AM,21,FALSE)," ")</f>
        <v>1</v>
      </c>
      <c r="L185" s="204">
        <f>IFERROR(VLOOKUP($A185,'Budget &amp; Revenue'!$A:$AM,23,FALSE)," ")</f>
        <v>1</v>
      </c>
      <c r="M185" s="204">
        <f>IFERROR(VLOOKUP($A185,'Budget &amp; Revenue'!$A:$AM,25,FALSE)," ")</f>
        <v>1</v>
      </c>
      <c r="N185" s="204">
        <f>IFERROR(VLOOKUP($A185,'Budget &amp; Revenue'!$A:$AM,27,FALSE)," ")</f>
        <v>1</v>
      </c>
      <c r="O185" s="204">
        <f>IFERROR(VLOOKUP($A185,'Budget &amp; Revenue'!$A:$AM,29,FALSE)," ")</f>
        <v>1</v>
      </c>
      <c r="P185" s="204">
        <f>IFERROR(VLOOKUP($A185,'Budget &amp; Revenue'!$A:$AM,31,FALSE)," ")</f>
        <v>1</v>
      </c>
      <c r="Q185" s="204">
        <f>IFERROR(VLOOKUP($A185,'Budget &amp; Revenue'!$A:$AM,33,FALSE)," ")</f>
        <v>1</v>
      </c>
      <c r="R185" s="204">
        <f>IFERROR(VLOOKUP($A185,'Budget &amp; Revenue'!$A:$AM,35,FALSE)," ")</f>
        <v>1</v>
      </c>
      <c r="S185" s="204">
        <f>IFERROR(VLOOKUP($A185,'Budget &amp; Revenue'!$A:$AM,37,FALSE)," ")</f>
        <v>1</v>
      </c>
      <c r="T185" s="204">
        <f>IFERROR(VLOOKUP($A185,'Budget &amp; Revenue'!$A:$AM,39,FALSE)," ")</f>
        <v>1</v>
      </c>
    </row>
    <row r="186" spans="1:20" ht="30" x14ac:dyDescent="0.25">
      <c r="A186" s="80">
        <v>180</v>
      </c>
      <c r="B186" s="201" t="str">
        <f>VLOOKUP(A186,Estimate!A:C,3,FALSE)</f>
        <v>Removal &amp; Stockpiling of  Topsoil for reuse (100mm thick nom.)</v>
      </c>
      <c r="C186" s="80">
        <f>VLOOKUP(A186,Estimate!A:L,12,FALSE)</f>
        <v>1</v>
      </c>
      <c r="D186" s="234">
        <v>184</v>
      </c>
      <c r="E186" s="234">
        <v>187</v>
      </c>
      <c r="F186" s="235">
        <f>IFERROR(VLOOKUP(A186,Estimate!A:Q,17,FALSE)," ")</f>
        <v>2613.5613561356136</v>
      </c>
      <c r="G186" s="204">
        <f>IFERROR(VLOOKUP($A186,'Budget &amp; Revenue'!$A:$AM,13,FALSE)," ")</f>
        <v>0</v>
      </c>
      <c r="H186" s="204">
        <f>IFERROR(VLOOKUP($A186,'Budget &amp; Revenue'!$A:$AM,15,FALSE)," ")</f>
        <v>0.24516129032258063</v>
      </c>
      <c r="I186" s="204">
        <f>IFERROR(VLOOKUP($A186,'Budget &amp; Revenue'!$A:$AM,17,FALSE)," ")</f>
        <v>0.24516129032258063</v>
      </c>
      <c r="J186" s="204">
        <f>IFERROR(VLOOKUP($A186,'Budget &amp; Revenue'!$A:$AM,19,FALSE)," ")</f>
        <v>0.89032258064516134</v>
      </c>
      <c r="K186" s="204">
        <f>IFERROR(VLOOKUP($A186,'Budget &amp; Revenue'!$A:$AM,21,FALSE)," ")</f>
        <v>1</v>
      </c>
      <c r="L186" s="204">
        <f>IFERROR(VLOOKUP($A186,'Budget &amp; Revenue'!$A:$AM,23,FALSE)," ")</f>
        <v>1</v>
      </c>
      <c r="M186" s="204">
        <f>IFERROR(VLOOKUP($A186,'Budget &amp; Revenue'!$A:$AM,25,FALSE)," ")</f>
        <v>1</v>
      </c>
      <c r="N186" s="204">
        <f>IFERROR(VLOOKUP($A186,'Budget &amp; Revenue'!$A:$AM,27,FALSE)," ")</f>
        <v>1</v>
      </c>
      <c r="O186" s="204">
        <f>IFERROR(VLOOKUP($A186,'Budget &amp; Revenue'!$A:$AM,29,FALSE)," ")</f>
        <v>1</v>
      </c>
      <c r="P186" s="204">
        <f>IFERROR(VLOOKUP($A186,'Budget &amp; Revenue'!$A:$AM,31,FALSE)," ")</f>
        <v>1</v>
      </c>
      <c r="Q186" s="204">
        <f>IFERROR(VLOOKUP($A186,'Budget &amp; Revenue'!$A:$AM,33,FALSE)," ")</f>
        <v>1</v>
      </c>
      <c r="R186" s="204">
        <f>IFERROR(VLOOKUP($A186,'Budget &amp; Revenue'!$A:$AM,35,FALSE)," ")</f>
        <v>1</v>
      </c>
      <c r="S186" s="204">
        <f>IFERROR(VLOOKUP($A186,'Budget &amp; Revenue'!$A:$AM,37,FALSE)," ")</f>
        <v>1</v>
      </c>
      <c r="T186" s="204">
        <f>IFERROR(VLOOKUP($A186,'Budget &amp; Revenue'!$A:$AM,39,FALSE)," ")</f>
        <v>1</v>
      </c>
    </row>
    <row r="187" spans="1:20" x14ac:dyDescent="0.25">
      <c r="A187" s="80">
        <v>181</v>
      </c>
      <c r="B187" s="201" t="str">
        <f>VLOOKUP(A187,Estimate!A:C,3,FALSE)</f>
        <v>General Earthworks Cut</v>
      </c>
      <c r="C187" s="80">
        <f>VLOOKUP(A187,Estimate!A:L,12,FALSE)</f>
        <v>3</v>
      </c>
      <c r="D187" s="234">
        <v>186</v>
      </c>
      <c r="E187" s="234">
        <v>188</v>
      </c>
      <c r="F187" s="235">
        <f>IFERROR(VLOOKUP(A187,Estimate!A:Q,17,FALSE)," ")</f>
        <v>15596.637107776265</v>
      </c>
      <c r="G187" s="204">
        <f>IFERROR(VLOOKUP($A187,'Budget &amp; Revenue'!$A:$AM,13,FALSE)," ")</f>
        <v>0.41806451612903228</v>
      </c>
      <c r="H187" s="204">
        <f>IFERROR(VLOOKUP($A187,'Budget &amp; Revenue'!$A:$AM,15,FALSE)," ")</f>
        <v>0.41806451612903228</v>
      </c>
      <c r="I187" s="204">
        <f>IFERROR(VLOOKUP($A187,'Budget &amp; Revenue'!$A:$AM,17,FALSE)," ")</f>
        <v>0.41806451612903228</v>
      </c>
      <c r="J187" s="204">
        <f>IFERROR(VLOOKUP($A187,'Budget &amp; Revenue'!$A:$AM,19,FALSE)," ")</f>
        <v>0.93419354838709678</v>
      </c>
      <c r="K187" s="204">
        <f>IFERROR(VLOOKUP($A187,'Budget &amp; Revenue'!$A:$AM,21,FALSE)," ")</f>
        <v>1</v>
      </c>
      <c r="L187" s="204">
        <f>IFERROR(VLOOKUP($A187,'Budget &amp; Revenue'!$A:$AM,23,FALSE)," ")</f>
        <v>1</v>
      </c>
      <c r="M187" s="204">
        <f>IFERROR(VLOOKUP($A187,'Budget &amp; Revenue'!$A:$AM,25,FALSE)," ")</f>
        <v>1</v>
      </c>
      <c r="N187" s="204">
        <f>IFERROR(VLOOKUP($A187,'Budget &amp; Revenue'!$A:$AM,27,FALSE)," ")</f>
        <v>1</v>
      </c>
      <c r="O187" s="204">
        <f>IFERROR(VLOOKUP($A187,'Budget &amp; Revenue'!$A:$AM,29,FALSE)," ")</f>
        <v>1</v>
      </c>
      <c r="P187" s="204">
        <f>IFERROR(VLOOKUP($A187,'Budget &amp; Revenue'!$A:$AM,31,FALSE)," ")</f>
        <v>1</v>
      </c>
      <c r="Q187" s="204">
        <f>IFERROR(VLOOKUP($A187,'Budget &amp; Revenue'!$A:$AM,33,FALSE)," ")</f>
        <v>1</v>
      </c>
      <c r="R187" s="204">
        <f>IFERROR(VLOOKUP($A187,'Budget &amp; Revenue'!$A:$AM,35,FALSE)," ")</f>
        <v>1</v>
      </c>
      <c r="S187" s="204">
        <f>IFERROR(VLOOKUP($A187,'Budget &amp; Revenue'!$A:$AM,37,FALSE)," ")</f>
        <v>1</v>
      </c>
      <c r="T187" s="204">
        <f>IFERROR(VLOOKUP($A187,'Budget &amp; Revenue'!$A:$AM,39,FALSE)," ")</f>
        <v>1</v>
      </c>
    </row>
    <row r="188" spans="1:20" x14ac:dyDescent="0.25">
      <c r="A188" s="80">
        <v>182</v>
      </c>
      <c r="B188" s="201" t="str">
        <f>VLOOKUP(A188,Estimate!A:C,3,FALSE)</f>
        <v>General Earthworks Fill</v>
      </c>
      <c r="C188" s="80">
        <f>VLOOKUP(A188,Estimate!A:L,12,FALSE)</f>
        <v>1</v>
      </c>
      <c r="D188" s="234">
        <v>187</v>
      </c>
      <c r="E188" s="234">
        <v>189</v>
      </c>
      <c r="F188" s="235">
        <f>IFERROR(VLOOKUP(A188,Estimate!A:Q,17,FALSE)," ")</f>
        <v>757.35</v>
      </c>
      <c r="G188" s="204">
        <f>IFERROR(VLOOKUP($A188,'Budget &amp; Revenue'!$A:$AM,13,FALSE)," ")</f>
        <v>0</v>
      </c>
      <c r="H188" s="204">
        <f>IFERROR(VLOOKUP($A188,'Budget &amp; Revenue'!$A:$AM,15,FALSE)," ")</f>
        <v>0</v>
      </c>
      <c r="I188" s="204">
        <f>IFERROR(VLOOKUP($A188,'Budget &amp; Revenue'!$A:$AM,17,FALSE)," ")</f>
        <v>0</v>
      </c>
      <c r="J188" s="204">
        <f>IFERROR(VLOOKUP($A188,'Budget &amp; Revenue'!$A:$AM,19,FALSE)," ")</f>
        <v>0.7407407407407407</v>
      </c>
      <c r="K188" s="204">
        <f>IFERROR(VLOOKUP($A188,'Budget &amp; Revenue'!$A:$AM,21,FALSE)," ")</f>
        <v>1</v>
      </c>
      <c r="L188" s="204">
        <f>IFERROR(VLOOKUP($A188,'Budget &amp; Revenue'!$A:$AM,23,FALSE)," ")</f>
        <v>1</v>
      </c>
      <c r="M188" s="204">
        <f>IFERROR(VLOOKUP($A188,'Budget &amp; Revenue'!$A:$AM,25,FALSE)," ")</f>
        <v>1</v>
      </c>
      <c r="N188" s="204">
        <f>IFERROR(VLOOKUP($A188,'Budget &amp; Revenue'!$A:$AM,27,FALSE)," ")</f>
        <v>1</v>
      </c>
      <c r="O188" s="204">
        <f>IFERROR(VLOOKUP($A188,'Budget &amp; Revenue'!$A:$AM,29,FALSE)," ")</f>
        <v>1</v>
      </c>
      <c r="P188" s="204">
        <f>IFERROR(VLOOKUP($A188,'Budget &amp; Revenue'!$A:$AM,31,FALSE)," ")</f>
        <v>1</v>
      </c>
      <c r="Q188" s="204">
        <f>IFERROR(VLOOKUP($A188,'Budget &amp; Revenue'!$A:$AM,33,FALSE)," ")</f>
        <v>1</v>
      </c>
      <c r="R188" s="204">
        <f>IFERROR(VLOOKUP($A188,'Budget &amp; Revenue'!$A:$AM,35,FALSE)," ")</f>
        <v>1</v>
      </c>
      <c r="S188" s="204">
        <f>IFERROR(VLOOKUP($A188,'Budget &amp; Revenue'!$A:$AM,37,FALSE)," ")</f>
        <v>1</v>
      </c>
      <c r="T188" s="204">
        <f>IFERROR(VLOOKUP($A188,'Budget &amp; Revenue'!$A:$AM,39,FALSE)," ")</f>
        <v>1</v>
      </c>
    </row>
    <row r="189" spans="1:20" ht="30" x14ac:dyDescent="0.25">
      <c r="A189" s="80">
        <v>183</v>
      </c>
      <c r="B189" s="201" t="str">
        <f>VLOOKUP(A189,Estimate!A:C,3,FALSE)</f>
        <v>Replace unsuitable material below sub grade with select material complete (PROVISIONAL)</v>
      </c>
      <c r="C189" s="80">
        <f>VLOOKUP(A189,Estimate!A:L,12,FALSE)</f>
        <v>1</v>
      </c>
      <c r="D189" s="234">
        <v>188</v>
      </c>
      <c r="E189" s="234">
        <v>197</v>
      </c>
      <c r="F189" s="235">
        <f>IFERROR(VLOOKUP(A189,Estimate!A:Q,17,FALSE)," ")</f>
        <v>1310.6666666666667</v>
      </c>
      <c r="G189" s="204">
        <f>IFERROR(VLOOKUP($A189,'Budget &amp; Revenue'!$A:$AM,13,FALSE)," ")</f>
        <v>0</v>
      </c>
      <c r="H189" s="204">
        <f>IFERROR(VLOOKUP($A189,'Budget &amp; Revenue'!$A:$AM,15,FALSE)," ")</f>
        <v>0</v>
      </c>
      <c r="I189" s="204">
        <f>IFERROR(VLOOKUP($A189,'Budget &amp; Revenue'!$A:$AM,17,FALSE)," ")</f>
        <v>0</v>
      </c>
      <c r="J189" s="204">
        <f>IFERROR(VLOOKUP($A189,'Budget &amp; Revenue'!$A:$AM,19,FALSE)," ")</f>
        <v>0</v>
      </c>
      <c r="K189" s="204">
        <f>IFERROR(VLOOKUP($A189,'Budget &amp; Revenue'!$A:$AM,21,FALSE)," ")</f>
        <v>1</v>
      </c>
      <c r="L189" s="204">
        <f>IFERROR(VLOOKUP($A189,'Budget &amp; Revenue'!$A:$AM,23,FALSE)," ")</f>
        <v>1</v>
      </c>
      <c r="M189" s="204">
        <f>IFERROR(VLOOKUP($A189,'Budget &amp; Revenue'!$A:$AM,25,FALSE)," ")</f>
        <v>1</v>
      </c>
      <c r="N189" s="204">
        <f>IFERROR(VLOOKUP($A189,'Budget &amp; Revenue'!$A:$AM,27,FALSE)," ")</f>
        <v>1</v>
      </c>
      <c r="O189" s="204">
        <f>IFERROR(VLOOKUP($A189,'Budget &amp; Revenue'!$A:$AM,29,FALSE)," ")</f>
        <v>1</v>
      </c>
      <c r="P189" s="204">
        <f>IFERROR(VLOOKUP($A189,'Budget &amp; Revenue'!$A:$AM,31,FALSE)," ")</f>
        <v>1</v>
      </c>
      <c r="Q189" s="204">
        <f>IFERROR(VLOOKUP($A189,'Budget &amp; Revenue'!$A:$AM,33,FALSE)," ")</f>
        <v>1</v>
      </c>
      <c r="R189" s="204">
        <f>IFERROR(VLOOKUP($A189,'Budget &amp; Revenue'!$A:$AM,35,FALSE)," ")</f>
        <v>1</v>
      </c>
      <c r="S189" s="204">
        <f>IFERROR(VLOOKUP($A189,'Budget &amp; Revenue'!$A:$AM,37,FALSE)," ")</f>
        <v>1</v>
      </c>
      <c r="T189" s="204">
        <f>IFERROR(VLOOKUP($A189,'Budget &amp; Revenue'!$A:$AM,39,FALSE)," ")</f>
        <v>1</v>
      </c>
    </row>
    <row r="190" spans="1:20" x14ac:dyDescent="0.25">
      <c r="A190" s="80">
        <v>184</v>
      </c>
      <c r="B190" s="201" t="str">
        <f>VLOOKUP(A190,Estimate!A:C,3,FALSE)</f>
        <v xml:space="preserve"> Removal / Demolition of Drainage Components complete</v>
      </c>
      <c r="C190" s="80">
        <f>VLOOKUP(A190,Estimate!A:L,12,FALSE)</f>
        <v>2</v>
      </c>
      <c r="D190" s="234">
        <v>185</v>
      </c>
      <c r="E190" s="234">
        <v>192</v>
      </c>
      <c r="F190" s="235">
        <f>IFERROR(VLOOKUP(A190,Estimate!A:Q,17,FALSE)," ")</f>
        <v>5490.9090909090919</v>
      </c>
      <c r="G190" s="204">
        <f>IFERROR(VLOOKUP($A190,'Budget &amp; Revenue'!$A:$AM,13,FALSE)," ")</f>
        <v>0.8</v>
      </c>
      <c r="H190" s="204">
        <f>IFERROR(VLOOKUP($A190,'Budget &amp; Revenue'!$A:$AM,15,FALSE)," ")</f>
        <v>0.8</v>
      </c>
      <c r="I190" s="204">
        <f>IFERROR(VLOOKUP($A190,'Budget &amp; Revenue'!$A:$AM,17,FALSE)," ")</f>
        <v>0.8</v>
      </c>
      <c r="J190" s="204">
        <f>IFERROR(VLOOKUP($A190,'Budget &amp; Revenue'!$A:$AM,19,FALSE)," ")</f>
        <v>0.9</v>
      </c>
      <c r="K190" s="204">
        <f>IFERROR(VLOOKUP($A190,'Budget &amp; Revenue'!$A:$AM,21,FALSE)," ")</f>
        <v>1</v>
      </c>
      <c r="L190" s="204">
        <f>IFERROR(VLOOKUP($A190,'Budget &amp; Revenue'!$A:$AM,23,FALSE)," ")</f>
        <v>1</v>
      </c>
      <c r="M190" s="204">
        <f>IFERROR(VLOOKUP($A190,'Budget &amp; Revenue'!$A:$AM,25,FALSE)," ")</f>
        <v>1</v>
      </c>
      <c r="N190" s="204">
        <f>IFERROR(VLOOKUP($A190,'Budget &amp; Revenue'!$A:$AM,27,FALSE)," ")</f>
        <v>1</v>
      </c>
      <c r="O190" s="204">
        <f>IFERROR(VLOOKUP($A190,'Budget &amp; Revenue'!$A:$AM,29,FALSE)," ")</f>
        <v>1</v>
      </c>
      <c r="P190" s="204">
        <f>IFERROR(VLOOKUP($A190,'Budget &amp; Revenue'!$A:$AM,31,FALSE)," ")</f>
        <v>1</v>
      </c>
      <c r="Q190" s="204">
        <f>IFERROR(VLOOKUP($A190,'Budget &amp; Revenue'!$A:$AM,33,FALSE)," ")</f>
        <v>1</v>
      </c>
      <c r="R190" s="204">
        <f>IFERROR(VLOOKUP($A190,'Budget &amp; Revenue'!$A:$AM,35,FALSE)," ")</f>
        <v>1</v>
      </c>
      <c r="S190" s="204">
        <f>IFERROR(VLOOKUP($A190,'Budget &amp; Revenue'!$A:$AM,37,FALSE)," ")</f>
        <v>1</v>
      </c>
      <c r="T190" s="204">
        <f>IFERROR(VLOOKUP($A190,'Budget &amp; Revenue'!$A:$AM,39,FALSE)," ")</f>
        <v>1</v>
      </c>
    </row>
    <row r="191" spans="1:20" x14ac:dyDescent="0.25">
      <c r="A191" s="80">
        <v>185</v>
      </c>
      <c r="B191" s="201" t="str">
        <f>VLOOKUP(A191,Estimate!A:C,3,FALSE)</f>
        <v>Connect property drainage pipes ( 7 No.)</v>
      </c>
      <c r="C191" s="80">
        <f>VLOOKUP(A191,Estimate!A:L,12,FALSE)</f>
        <v>2</v>
      </c>
      <c r="D191" s="234">
        <v>194</v>
      </c>
      <c r="E191" s="236">
        <v>200275</v>
      </c>
      <c r="F191" s="235">
        <f>IFERROR(VLOOKUP(A191,Estimate!A:Q,17,FALSE)," ")</f>
        <v>2765</v>
      </c>
      <c r="G191" s="204">
        <f>IFERROR(VLOOKUP($A191,'Budget &amp; Revenue'!$A:$AM,13,FALSE)," ")</f>
        <v>0</v>
      </c>
      <c r="H191" s="204">
        <f>IFERROR(VLOOKUP($A191,'Budget &amp; Revenue'!$A:$AM,15,FALSE)," ")</f>
        <v>0.7</v>
      </c>
      <c r="I191" s="204">
        <f>IFERROR(VLOOKUP($A191,'Budget &amp; Revenue'!$A:$AM,17,FALSE)," ")</f>
        <v>1</v>
      </c>
      <c r="J191" s="204">
        <f>IFERROR(VLOOKUP($A191,'Budget &amp; Revenue'!$A:$AM,19,FALSE)," ")</f>
        <v>1</v>
      </c>
      <c r="K191" s="204">
        <f>IFERROR(VLOOKUP($A191,'Budget &amp; Revenue'!$A:$AM,21,FALSE)," ")</f>
        <v>1</v>
      </c>
      <c r="L191" s="204">
        <f>IFERROR(VLOOKUP($A191,'Budget &amp; Revenue'!$A:$AM,23,FALSE)," ")</f>
        <v>1</v>
      </c>
      <c r="M191" s="204">
        <f>IFERROR(VLOOKUP($A191,'Budget &amp; Revenue'!$A:$AM,25,FALSE)," ")</f>
        <v>1</v>
      </c>
      <c r="N191" s="204">
        <f>IFERROR(VLOOKUP($A191,'Budget &amp; Revenue'!$A:$AM,27,FALSE)," ")</f>
        <v>1</v>
      </c>
      <c r="O191" s="204">
        <f>IFERROR(VLOOKUP($A191,'Budget &amp; Revenue'!$A:$AM,29,FALSE)," ")</f>
        <v>1</v>
      </c>
      <c r="P191" s="204">
        <f>IFERROR(VLOOKUP($A191,'Budget &amp; Revenue'!$A:$AM,31,FALSE)," ")</f>
        <v>1</v>
      </c>
      <c r="Q191" s="204">
        <f>IFERROR(VLOOKUP($A191,'Budget &amp; Revenue'!$A:$AM,33,FALSE)," ")</f>
        <v>1</v>
      </c>
      <c r="R191" s="204">
        <f>IFERROR(VLOOKUP($A191,'Budget &amp; Revenue'!$A:$AM,35,FALSE)," ")</f>
        <v>1</v>
      </c>
      <c r="S191" s="204">
        <f>IFERROR(VLOOKUP($A191,'Budget &amp; Revenue'!$A:$AM,37,FALSE)," ")</f>
        <v>1</v>
      </c>
      <c r="T191" s="204">
        <f>IFERROR(VLOOKUP($A191,'Budget &amp; Revenue'!$A:$AM,39,FALSE)," ")</f>
        <v>1</v>
      </c>
    </row>
    <row r="192" spans="1:20" x14ac:dyDescent="0.25">
      <c r="A192" s="80">
        <v>186</v>
      </c>
      <c r="B192" s="201" t="str">
        <f>VLOOKUP(A192,Estimate!A:C,3,FALSE)</f>
        <v>In-Situ reinforced concrete Base Slab for culverts complete</v>
      </c>
      <c r="C192" s="80">
        <f>VLOOKUP(A192,Estimate!A:L,12,FALSE)</f>
        <v>2</v>
      </c>
      <c r="D192" s="234">
        <v>190</v>
      </c>
      <c r="E192" s="234">
        <v>193</v>
      </c>
      <c r="F192" s="235">
        <f>IFERROR(VLOOKUP(A192,Estimate!A:Q,17,FALSE)," ")</f>
        <v>1692.7155555555555</v>
      </c>
      <c r="G192" s="204">
        <f>IFERROR(VLOOKUP($A192,'Budget &amp; Revenue'!$A:$AM,13,FALSE)," ")</f>
        <v>0</v>
      </c>
      <c r="H192" s="204">
        <f>IFERROR(VLOOKUP($A192,'Budget &amp; Revenue'!$A:$AM,15,FALSE)," ")</f>
        <v>0.5</v>
      </c>
      <c r="I192" s="204">
        <f>IFERROR(VLOOKUP($A192,'Budget &amp; Revenue'!$A:$AM,17,FALSE)," ")</f>
        <v>1</v>
      </c>
      <c r="J192" s="204">
        <f>IFERROR(VLOOKUP($A192,'Budget &amp; Revenue'!$A:$AM,19,FALSE)," ")</f>
        <v>1</v>
      </c>
      <c r="K192" s="204">
        <f>IFERROR(VLOOKUP($A192,'Budget &amp; Revenue'!$A:$AM,21,FALSE)," ")</f>
        <v>1</v>
      </c>
      <c r="L192" s="204">
        <f>IFERROR(VLOOKUP($A192,'Budget &amp; Revenue'!$A:$AM,23,FALSE)," ")</f>
        <v>1</v>
      </c>
      <c r="M192" s="204">
        <f>IFERROR(VLOOKUP($A192,'Budget &amp; Revenue'!$A:$AM,25,FALSE)," ")</f>
        <v>1</v>
      </c>
      <c r="N192" s="204">
        <f>IFERROR(VLOOKUP($A192,'Budget &amp; Revenue'!$A:$AM,27,FALSE)," ")</f>
        <v>1</v>
      </c>
      <c r="O192" s="204">
        <f>IFERROR(VLOOKUP($A192,'Budget &amp; Revenue'!$A:$AM,29,FALSE)," ")</f>
        <v>1</v>
      </c>
      <c r="P192" s="204">
        <f>IFERROR(VLOOKUP($A192,'Budget &amp; Revenue'!$A:$AM,31,FALSE)," ")</f>
        <v>1</v>
      </c>
      <c r="Q192" s="204">
        <f>IFERROR(VLOOKUP($A192,'Budget &amp; Revenue'!$A:$AM,33,FALSE)," ")</f>
        <v>1</v>
      </c>
      <c r="R192" s="204">
        <f>IFERROR(VLOOKUP($A192,'Budget &amp; Revenue'!$A:$AM,35,FALSE)," ")</f>
        <v>1</v>
      </c>
      <c r="S192" s="204">
        <f>IFERROR(VLOOKUP($A192,'Budget &amp; Revenue'!$A:$AM,37,FALSE)," ")</f>
        <v>1</v>
      </c>
      <c r="T192" s="204">
        <f>IFERROR(VLOOKUP($A192,'Budget &amp; Revenue'!$A:$AM,39,FALSE)," ")</f>
        <v>1</v>
      </c>
    </row>
    <row r="193" spans="1:20" x14ac:dyDescent="0.25">
      <c r="A193" s="80">
        <v>187</v>
      </c>
      <c r="B193" s="201" t="str">
        <f>VLOOKUP(A193,Estimate!A:C,3,FALSE)</f>
        <v>750 x 300</v>
      </c>
      <c r="C193" s="80">
        <f>VLOOKUP(A193,Estimate!A:L,12,FALSE)</f>
        <v>2</v>
      </c>
      <c r="D193" s="234">
        <v>192</v>
      </c>
      <c r="E193" s="236">
        <v>194209</v>
      </c>
      <c r="F193" s="235">
        <f>IFERROR(VLOOKUP(A193,Estimate!A:Q,17,FALSE)," ")</f>
        <v>8530.5</v>
      </c>
      <c r="G193" s="204">
        <f>IFERROR(VLOOKUP($A193,'Budget &amp; Revenue'!$A:$AM,13,FALSE)," ")</f>
        <v>0</v>
      </c>
      <c r="H193" s="204">
        <f>IFERROR(VLOOKUP($A193,'Budget &amp; Revenue'!$A:$AM,15,FALSE)," ")</f>
        <v>0.5</v>
      </c>
      <c r="I193" s="204">
        <f>IFERROR(VLOOKUP($A193,'Budget &amp; Revenue'!$A:$AM,17,FALSE)," ")</f>
        <v>1</v>
      </c>
      <c r="J193" s="204">
        <f>IFERROR(VLOOKUP($A193,'Budget &amp; Revenue'!$A:$AM,19,FALSE)," ")</f>
        <v>1</v>
      </c>
      <c r="K193" s="204">
        <f>IFERROR(VLOOKUP($A193,'Budget &amp; Revenue'!$A:$AM,21,FALSE)," ")</f>
        <v>1</v>
      </c>
      <c r="L193" s="204">
        <f>IFERROR(VLOOKUP($A193,'Budget &amp; Revenue'!$A:$AM,23,FALSE)," ")</f>
        <v>1</v>
      </c>
      <c r="M193" s="204">
        <f>IFERROR(VLOOKUP($A193,'Budget &amp; Revenue'!$A:$AM,25,FALSE)," ")</f>
        <v>1</v>
      </c>
      <c r="N193" s="204">
        <f>IFERROR(VLOOKUP($A193,'Budget &amp; Revenue'!$A:$AM,27,FALSE)," ")</f>
        <v>1</v>
      </c>
      <c r="O193" s="204">
        <f>IFERROR(VLOOKUP($A193,'Budget &amp; Revenue'!$A:$AM,29,FALSE)," ")</f>
        <v>1</v>
      </c>
      <c r="P193" s="204">
        <f>IFERROR(VLOOKUP($A193,'Budget &amp; Revenue'!$A:$AM,31,FALSE)," ")</f>
        <v>1</v>
      </c>
      <c r="Q193" s="204">
        <f>IFERROR(VLOOKUP($A193,'Budget &amp; Revenue'!$A:$AM,33,FALSE)," ")</f>
        <v>1</v>
      </c>
      <c r="R193" s="204">
        <f>IFERROR(VLOOKUP($A193,'Budget &amp; Revenue'!$A:$AM,35,FALSE)," ")</f>
        <v>1</v>
      </c>
      <c r="S193" s="204">
        <f>IFERROR(VLOOKUP($A193,'Budget &amp; Revenue'!$A:$AM,37,FALSE)," ")</f>
        <v>1</v>
      </c>
      <c r="T193" s="204">
        <f>IFERROR(VLOOKUP($A193,'Budget &amp; Revenue'!$A:$AM,39,FALSE)," ")</f>
        <v>1</v>
      </c>
    </row>
    <row r="194" spans="1:20" x14ac:dyDescent="0.25">
      <c r="A194" s="80">
        <v>188</v>
      </c>
      <c r="B194" s="201" t="str">
        <f>VLOOKUP(A194,Estimate!A:C,3,FALSE)</f>
        <v>MCC Type A Gully Pit (including chamber)</v>
      </c>
      <c r="C194" s="80">
        <f>VLOOKUP(A194,Estimate!A:L,12,FALSE)</f>
        <v>2</v>
      </c>
      <c r="D194" s="234">
        <v>193</v>
      </c>
      <c r="E194" s="236">
        <v>191195</v>
      </c>
      <c r="F194" s="235">
        <f>IFERROR(VLOOKUP(A194,Estimate!A:Q,17,FALSE)," ")</f>
        <v>3505</v>
      </c>
      <c r="G194" s="204">
        <f>IFERROR(VLOOKUP($A194,'Budget &amp; Revenue'!$A:$AM,13,FALSE)," ")</f>
        <v>0</v>
      </c>
      <c r="H194" s="204">
        <f>IFERROR(VLOOKUP($A194,'Budget &amp; Revenue'!$A:$AM,15,FALSE)," ")</f>
        <v>0</v>
      </c>
      <c r="I194" s="204">
        <f>IFERROR(VLOOKUP($A194,'Budget &amp; Revenue'!$A:$AM,17,FALSE)," ")</f>
        <v>0.9</v>
      </c>
      <c r="J194" s="204">
        <f>IFERROR(VLOOKUP($A194,'Budget &amp; Revenue'!$A:$AM,19,FALSE)," ")</f>
        <v>0.9</v>
      </c>
      <c r="K194" s="204">
        <f>IFERROR(VLOOKUP($A194,'Budget &amp; Revenue'!$A:$AM,21,FALSE)," ")</f>
        <v>0.9</v>
      </c>
      <c r="L194" s="204">
        <f>IFERROR(VLOOKUP($A194,'Budget &amp; Revenue'!$A:$AM,23,FALSE)," ")</f>
        <v>0.9</v>
      </c>
      <c r="M194" s="204">
        <f>IFERROR(VLOOKUP($A194,'Budget &amp; Revenue'!$A:$AM,25,FALSE)," ")</f>
        <v>1</v>
      </c>
      <c r="N194" s="204">
        <f>IFERROR(VLOOKUP($A194,'Budget &amp; Revenue'!$A:$AM,27,FALSE)," ")</f>
        <v>1</v>
      </c>
      <c r="O194" s="204">
        <f>IFERROR(VLOOKUP($A194,'Budget &amp; Revenue'!$A:$AM,29,FALSE)," ")</f>
        <v>1</v>
      </c>
      <c r="P194" s="204">
        <f>IFERROR(VLOOKUP($A194,'Budget &amp; Revenue'!$A:$AM,31,FALSE)," ")</f>
        <v>1</v>
      </c>
      <c r="Q194" s="204">
        <f>IFERROR(VLOOKUP($A194,'Budget &amp; Revenue'!$A:$AM,33,FALSE)," ")</f>
        <v>1</v>
      </c>
      <c r="R194" s="204">
        <f>IFERROR(VLOOKUP($A194,'Budget &amp; Revenue'!$A:$AM,35,FALSE)," ")</f>
        <v>1</v>
      </c>
      <c r="S194" s="204">
        <f>IFERROR(VLOOKUP($A194,'Budget &amp; Revenue'!$A:$AM,37,FALSE)," ")</f>
        <v>1</v>
      </c>
      <c r="T194" s="204">
        <f>IFERROR(VLOOKUP($A194,'Budget &amp; Revenue'!$A:$AM,39,FALSE)," ")</f>
        <v>1</v>
      </c>
    </row>
    <row r="195" spans="1:20" x14ac:dyDescent="0.25">
      <c r="A195" s="80">
        <v>189</v>
      </c>
      <c r="B195" s="201" t="str">
        <f>VLOOKUP(A195,Estimate!A:C,3,FALSE)</f>
        <v>(i)  Concrete Barrier Kerb &amp; Channel B1 complete</v>
      </c>
      <c r="C195" s="80">
        <f>VLOOKUP(A195,Estimate!A:L,12,FALSE)</f>
        <v>2</v>
      </c>
      <c r="D195" s="236">
        <v>194200209276277</v>
      </c>
      <c r="E195" s="236">
        <v>196278</v>
      </c>
      <c r="F195" s="235">
        <f>IFERROR(VLOOKUP(A195,Estimate!A:Q,17,FALSE)," ")</f>
        <v>16640.026279069767</v>
      </c>
      <c r="G195" s="204">
        <f>IFERROR(VLOOKUP($A195,'Budget &amp; Revenue'!$A:$AM,13,FALSE)," ")</f>
        <v>0</v>
      </c>
      <c r="H195" s="204">
        <f>IFERROR(VLOOKUP($A195,'Budget &amp; Revenue'!$A:$AM,15,FALSE)," ")</f>
        <v>0.79872204472843455</v>
      </c>
      <c r="I195" s="204">
        <f>IFERROR(VLOOKUP($A195,'Budget &amp; Revenue'!$A:$AM,17,FALSE)," ")</f>
        <v>0.79872204472843455</v>
      </c>
      <c r="J195" s="204">
        <f>IFERROR(VLOOKUP($A195,'Budget &amp; Revenue'!$A:$AM,19,FALSE)," ")</f>
        <v>0.79872204472843455</v>
      </c>
      <c r="K195" s="204">
        <f>IFERROR(VLOOKUP($A195,'Budget &amp; Revenue'!$A:$AM,21,FALSE)," ")</f>
        <v>0.79872204472843455</v>
      </c>
      <c r="L195" s="204">
        <f>IFERROR(VLOOKUP($A195,'Budget &amp; Revenue'!$A:$AM,23,FALSE)," ")</f>
        <v>1</v>
      </c>
      <c r="M195" s="204">
        <f>IFERROR(VLOOKUP($A195,'Budget &amp; Revenue'!$A:$AM,25,FALSE)," ")</f>
        <v>1</v>
      </c>
      <c r="N195" s="204">
        <f>IFERROR(VLOOKUP($A195,'Budget &amp; Revenue'!$A:$AM,27,FALSE)," ")</f>
        <v>1</v>
      </c>
      <c r="O195" s="204">
        <f>IFERROR(VLOOKUP($A195,'Budget &amp; Revenue'!$A:$AM,29,FALSE)," ")</f>
        <v>1</v>
      </c>
      <c r="P195" s="204">
        <f>IFERROR(VLOOKUP($A195,'Budget &amp; Revenue'!$A:$AM,31,FALSE)," ")</f>
        <v>1</v>
      </c>
      <c r="Q195" s="204">
        <f>IFERROR(VLOOKUP($A195,'Budget &amp; Revenue'!$A:$AM,33,FALSE)," ")</f>
        <v>1</v>
      </c>
      <c r="R195" s="204">
        <f>IFERROR(VLOOKUP($A195,'Budget &amp; Revenue'!$A:$AM,35,FALSE)," ")</f>
        <v>1</v>
      </c>
      <c r="S195" s="204">
        <f>IFERROR(VLOOKUP($A195,'Budget &amp; Revenue'!$A:$AM,37,FALSE)," ")</f>
        <v>1</v>
      </c>
      <c r="T195" s="204">
        <f>IFERROR(VLOOKUP($A195,'Budget &amp; Revenue'!$A:$AM,39,FALSE)," ")</f>
        <v>1</v>
      </c>
    </row>
    <row r="196" spans="1:20" x14ac:dyDescent="0.25">
      <c r="A196" s="80">
        <v>190</v>
      </c>
      <c r="B196" s="201" t="str">
        <f>VLOOKUP(A196,Estimate!A:C,3,FALSE)</f>
        <v>(iv)  Concrete Dish Drain (600 wide) complete</v>
      </c>
      <c r="C196" s="80">
        <f>VLOOKUP(A196,Estimate!A:L,12,FALSE)</f>
        <v>1</v>
      </c>
      <c r="D196" s="236">
        <v>195279</v>
      </c>
      <c r="E196" s="234">
        <v>201</v>
      </c>
      <c r="F196" s="235">
        <f>IFERROR(VLOOKUP(A196,Estimate!A:Q,17,FALSE)," ")</f>
        <v>1690.9099999999999</v>
      </c>
      <c r="G196" s="204">
        <f>IFERROR(VLOOKUP($A196,'Budget &amp; Revenue'!$A:$AM,13,FALSE)," ")</f>
        <v>0</v>
      </c>
      <c r="H196" s="204">
        <f>IFERROR(VLOOKUP($A196,'Budget &amp; Revenue'!$A:$AM,15,FALSE)," ")</f>
        <v>0</v>
      </c>
      <c r="I196" s="204">
        <f>IFERROR(VLOOKUP($A196,'Budget &amp; Revenue'!$A:$AM,17,FALSE)," ")</f>
        <v>0</v>
      </c>
      <c r="J196" s="204">
        <f>IFERROR(VLOOKUP($A196,'Budget &amp; Revenue'!$A:$AM,19,FALSE)," ")</f>
        <v>0</v>
      </c>
      <c r="K196" s="204">
        <f>IFERROR(VLOOKUP($A196,'Budget &amp; Revenue'!$A:$AM,21,FALSE)," ")</f>
        <v>0</v>
      </c>
      <c r="L196" s="204">
        <f>IFERROR(VLOOKUP($A196,'Budget &amp; Revenue'!$A:$AM,23,FALSE)," ")</f>
        <v>1</v>
      </c>
      <c r="M196" s="204">
        <f>IFERROR(VLOOKUP($A196,'Budget &amp; Revenue'!$A:$AM,25,FALSE)," ")</f>
        <v>1</v>
      </c>
      <c r="N196" s="204">
        <f>IFERROR(VLOOKUP($A196,'Budget &amp; Revenue'!$A:$AM,27,FALSE)," ")</f>
        <v>1</v>
      </c>
      <c r="O196" s="204">
        <f>IFERROR(VLOOKUP($A196,'Budget &amp; Revenue'!$A:$AM,29,FALSE)," ")</f>
        <v>1</v>
      </c>
      <c r="P196" s="204">
        <f>IFERROR(VLOOKUP($A196,'Budget &amp; Revenue'!$A:$AM,31,FALSE)," ")</f>
        <v>1</v>
      </c>
      <c r="Q196" s="204">
        <f>IFERROR(VLOOKUP($A196,'Budget &amp; Revenue'!$A:$AM,33,FALSE)," ")</f>
        <v>1</v>
      </c>
      <c r="R196" s="204">
        <f>IFERROR(VLOOKUP($A196,'Budget &amp; Revenue'!$A:$AM,35,FALSE)," ")</f>
        <v>1</v>
      </c>
      <c r="S196" s="204">
        <f>IFERROR(VLOOKUP($A196,'Budget &amp; Revenue'!$A:$AM,37,FALSE)," ")</f>
        <v>1</v>
      </c>
      <c r="T196" s="204">
        <f>IFERROR(VLOOKUP($A196,'Budget &amp; Revenue'!$A:$AM,39,FALSE)," ")</f>
        <v>1</v>
      </c>
    </row>
    <row r="197" spans="1:20" ht="30" x14ac:dyDescent="0.25">
      <c r="A197" s="80">
        <v>191</v>
      </c>
      <c r="B197" s="201" t="str">
        <f>VLOOKUP(A197,Estimate!A:C,3,FALSE)</f>
        <v>Subsoil Drain Pipe - 100mm dia Slotted Corrugated Plastic Pipe complete</v>
      </c>
      <c r="C197" s="80">
        <f>VLOOKUP(A197,Estimate!A:L,12,FALSE)</f>
        <v>4</v>
      </c>
      <c r="D197" s="234">
        <v>189</v>
      </c>
      <c r="E197" s="234">
        <v>198</v>
      </c>
      <c r="F197" s="235">
        <f>IFERROR(VLOOKUP(A197,Estimate!A:Q,17,FALSE)," ")</f>
        <v>11600.308266426644</v>
      </c>
      <c r="G197" s="204">
        <f>IFERROR(VLOOKUP($A197,'Budget &amp; Revenue'!$A:$AM,13,FALSE)," ")</f>
        <v>0</v>
      </c>
      <c r="H197" s="204">
        <f>IFERROR(VLOOKUP($A197,'Budget &amp; Revenue'!$A:$AM,15,FALSE)," ")</f>
        <v>0.87188612099644125</v>
      </c>
      <c r="I197" s="204">
        <f>IFERROR(VLOOKUP($A197,'Budget &amp; Revenue'!$A:$AM,17,FALSE)," ")</f>
        <v>0.87188612099644125</v>
      </c>
      <c r="J197" s="204">
        <f>IFERROR(VLOOKUP($A197,'Budget &amp; Revenue'!$A:$AM,19,FALSE)," ")</f>
        <v>1</v>
      </c>
      <c r="K197" s="204">
        <f>IFERROR(VLOOKUP($A197,'Budget &amp; Revenue'!$A:$AM,21,FALSE)," ")</f>
        <v>1</v>
      </c>
      <c r="L197" s="204">
        <f>IFERROR(VLOOKUP($A197,'Budget &amp; Revenue'!$A:$AM,23,FALSE)," ")</f>
        <v>1</v>
      </c>
      <c r="M197" s="204">
        <f>IFERROR(VLOOKUP($A197,'Budget &amp; Revenue'!$A:$AM,25,FALSE)," ")</f>
        <v>1</v>
      </c>
      <c r="N197" s="204">
        <f>IFERROR(VLOOKUP($A197,'Budget &amp; Revenue'!$A:$AM,27,FALSE)," ")</f>
        <v>1</v>
      </c>
      <c r="O197" s="204">
        <f>IFERROR(VLOOKUP($A197,'Budget &amp; Revenue'!$A:$AM,29,FALSE)," ")</f>
        <v>1</v>
      </c>
      <c r="P197" s="204">
        <f>IFERROR(VLOOKUP($A197,'Budget &amp; Revenue'!$A:$AM,31,FALSE)," ")</f>
        <v>1</v>
      </c>
      <c r="Q197" s="204">
        <f>IFERROR(VLOOKUP($A197,'Budget &amp; Revenue'!$A:$AM,33,FALSE)," ")</f>
        <v>1</v>
      </c>
      <c r="R197" s="204">
        <f>IFERROR(VLOOKUP($A197,'Budget &amp; Revenue'!$A:$AM,35,FALSE)," ")</f>
        <v>1</v>
      </c>
      <c r="S197" s="204">
        <f>IFERROR(VLOOKUP($A197,'Budget &amp; Revenue'!$A:$AM,37,FALSE)," ")</f>
        <v>1</v>
      </c>
      <c r="T197" s="204">
        <f>IFERROR(VLOOKUP($A197,'Budget &amp; Revenue'!$A:$AM,39,FALSE)," ")</f>
        <v>1</v>
      </c>
    </row>
    <row r="198" spans="1:20" ht="45" x14ac:dyDescent="0.25">
      <c r="A198" s="80">
        <v>192</v>
      </c>
      <c r="B198" s="201" t="str">
        <f>VLOOKUP(A198,Estimate!A:C,3,FALSE)</f>
        <v>Special Item -Subsoil Drain Pipe - 100mm dia Slotted Corrugated Plastic Pipe encased in no fines concrete complete as shown on drawings</v>
      </c>
      <c r="C198" s="80">
        <f>VLOOKUP(A198,Estimate!A:L,12,FALSE)</f>
        <v>3</v>
      </c>
      <c r="D198" s="234">
        <v>197</v>
      </c>
      <c r="E198" s="234" t="s">
        <v>3061</v>
      </c>
      <c r="F198" s="235">
        <f>IFERROR(VLOOKUP(A198,Estimate!A:Q,17,FALSE)," ")</f>
        <v>16027.717069306931</v>
      </c>
      <c r="G198" s="204">
        <f>IFERROR(VLOOKUP($A198,'Budget &amp; Revenue'!$A:$AM,13,FALSE)," ")</f>
        <v>0</v>
      </c>
      <c r="H198" s="204">
        <f>IFERROR(VLOOKUP($A198,'Budget &amp; Revenue'!$A:$AM,15,FALSE)," ")</f>
        <v>1</v>
      </c>
      <c r="I198" s="204">
        <f>IFERROR(VLOOKUP($A198,'Budget &amp; Revenue'!$A:$AM,17,FALSE)," ")</f>
        <v>1</v>
      </c>
      <c r="J198" s="204">
        <f>IFERROR(VLOOKUP($A198,'Budget &amp; Revenue'!$A:$AM,19,FALSE)," ")</f>
        <v>1</v>
      </c>
      <c r="K198" s="204">
        <f>IFERROR(VLOOKUP($A198,'Budget &amp; Revenue'!$A:$AM,21,FALSE)," ")</f>
        <v>1</v>
      </c>
      <c r="L198" s="204">
        <f>IFERROR(VLOOKUP($A198,'Budget &amp; Revenue'!$A:$AM,23,FALSE)," ")</f>
        <v>1</v>
      </c>
      <c r="M198" s="204">
        <f>IFERROR(VLOOKUP($A198,'Budget &amp; Revenue'!$A:$AM,25,FALSE)," ")</f>
        <v>1</v>
      </c>
      <c r="N198" s="204">
        <f>IFERROR(VLOOKUP($A198,'Budget &amp; Revenue'!$A:$AM,27,FALSE)," ")</f>
        <v>1</v>
      </c>
      <c r="O198" s="204">
        <f>IFERROR(VLOOKUP($A198,'Budget &amp; Revenue'!$A:$AM,29,FALSE)," ")</f>
        <v>1</v>
      </c>
      <c r="P198" s="204">
        <f>IFERROR(VLOOKUP($A198,'Budget &amp; Revenue'!$A:$AM,31,FALSE)," ")</f>
        <v>1</v>
      </c>
      <c r="Q198" s="204">
        <f>IFERROR(VLOOKUP($A198,'Budget &amp; Revenue'!$A:$AM,33,FALSE)," ")</f>
        <v>1</v>
      </c>
      <c r="R198" s="204">
        <f>IFERROR(VLOOKUP($A198,'Budget &amp; Revenue'!$A:$AM,35,FALSE)," ")</f>
        <v>1</v>
      </c>
      <c r="S198" s="204">
        <f>IFERROR(VLOOKUP($A198,'Budget &amp; Revenue'!$A:$AM,37,FALSE)," ")</f>
        <v>1</v>
      </c>
      <c r="T198" s="204">
        <f>IFERROR(VLOOKUP($A198,'Budget &amp; Revenue'!$A:$AM,39,FALSE)," ")</f>
        <v>1</v>
      </c>
    </row>
    <row r="199" spans="1:20" x14ac:dyDescent="0.25">
      <c r="A199" s="80">
        <v>193</v>
      </c>
      <c r="B199" s="201" t="str">
        <f>VLOOKUP(A199,Estimate!A:C,3,FALSE)</f>
        <v>Cleanout Structures</v>
      </c>
      <c r="C199" s="80">
        <f>VLOOKUP(A199,Estimate!A:L,12,FALSE)</f>
        <v>2</v>
      </c>
      <c r="D199" s="234" t="s">
        <v>3062</v>
      </c>
      <c r="E199" s="233"/>
      <c r="F199" s="235">
        <f>IFERROR(VLOOKUP(A199,Estimate!A:Q,17,FALSE)," ")</f>
        <v>1859</v>
      </c>
      <c r="G199" s="204">
        <f>IFERROR(VLOOKUP($A199,'Budget &amp; Revenue'!$A:$AM,13,FALSE)," ")</f>
        <v>0</v>
      </c>
      <c r="H199" s="204">
        <f>IFERROR(VLOOKUP($A199,'Budget &amp; Revenue'!$A:$AM,15,FALSE)," ")</f>
        <v>0.5</v>
      </c>
      <c r="I199" s="204">
        <f>IFERROR(VLOOKUP($A199,'Budget &amp; Revenue'!$A:$AM,17,FALSE)," ")</f>
        <v>0.5</v>
      </c>
      <c r="J199" s="204">
        <f>IFERROR(VLOOKUP($A199,'Budget &amp; Revenue'!$A:$AM,19,FALSE)," ")</f>
        <v>0.76923076923076927</v>
      </c>
      <c r="K199" s="204">
        <f>IFERROR(VLOOKUP($A199,'Budget &amp; Revenue'!$A:$AM,21,FALSE)," ")</f>
        <v>0.76923076923076927</v>
      </c>
      <c r="L199" s="204">
        <f>IFERROR(VLOOKUP($A199,'Budget &amp; Revenue'!$A:$AM,23,FALSE)," ")</f>
        <v>1</v>
      </c>
      <c r="M199" s="204">
        <f>IFERROR(VLOOKUP($A199,'Budget &amp; Revenue'!$A:$AM,25,FALSE)," ")</f>
        <v>1</v>
      </c>
      <c r="N199" s="204">
        <f>IFERROR(VLOOKUP($A199,'Budget &amp; Revenue'!$A:$AM,27,FALSE)," ")</f>
        <v>1</v>
      </c>
      <c r="O199" s="204">
        <f>IFERROR(VLOOKUP($A199,'Budget &amp; Revenue'!$A:$AM,29,FALSE)," ")</f>
        <v>1</v>
      </c>
      <c r="P199" s="204">
        <f>IFERROR(VLOOKUP($A199,'Budget &amp; Revenue'!$A:$AM,31,FALSE)," ")</f>
        <v>1</v>
      </c>
      <c r="Q199" s="204">
        <f>IFERROR(VLOOKUP($A199,'Budget &amp; Revenue'!$A:$AM,33,FALSE)," ")</f>
        <v>1</v>
      </c>
      <c r="R199" s="204">
        <f>IFERROR(VLOOKUP($A199,'Budget &amp; Revenue'!$A:$AM,35,FALSE)," ")</f>
        <v>1</v>
      </c>
      <c r="S199" s="204">
        <f>IFERROR(VLOOKUP($A199,'Budget &amp; Revenue'!$A:$AM,37,FALSE)," ")</f>
        <v>1</v>
      </c>
      <c r="T199" s="204">
        <f>IFERROR(VLOOKUP($A199,'Budget &amp; Revenue'!$A:$AM,39,FALSE)," ")</f>
        <v>1</v>
      </c>
    </row>
    <row r="200" spans="1:20" x14ac:dyDescent="0.25">
      <c r="A200" s="80">
        <v>194</v>
      </c>
      <c r="B200" s="201" t="str">
        <f>VLOOKUP(A200,Estimate!A:C,3,FALSE)</f>
        <v>Place only Type 2.3 (cement modified)</v>
      </c>
      <c r="C200" s="80">
        <f>VLOOKUP(A200,Estimate!A:L,12,FALSE)</f>
        <v>4</v>
      </c>
      <c r="D200" s="236">
        <v>191202275</v>
      </c>
      <c r="E200" s="236">
        <v>195206276</v>
      </c>
      <c r="F200" s="235">
        <f>IFERROR(VLOOKUP(A200,Estimate!A:Q,17,FALSE)," ")</f>
        <v>21403.515508307584</v>
      </c>
      <c r="G200" s="204">
        <f>IFERROR(VLOOKUP($A200,'Budget &amp; Revenue'!$A:$AM,13,FALSE)," ")</f>
        <v>0.27513227513227512</v>
      </c>
      <c r="H200" s="204">
        <f>IFERROR(VLOOKUP($A200,'Budget &amp; Revenue'!$A:$AM,15,FALSE)," ")</f>
        <v>0.66137566137566139</v>
      </c>
      <c r="I200" s="204">
        <f>IFERROR(VLOOKUP($A200,'Budget &amp; Revenue'!$A:$AM,17,FALSE)," ")</f>
        <v>0.66137566137566139</v>
      </c>
      <c r="J200" s="204">
        <f>IFERROR(VLOOKUP($A200,'Budget &amp; Revenue'!$A:$AM,19,FALSE)," ")</f>
        <v>0.93650793650793651</v>
      </c>
      <c r="K200" s="204">
        <f>IFERROR(VLOOKUP($A200,'Budget &amp; Revenue'!$A:$AM,21,FALSE)," ")</f>
        <v>0.93650793650793651</v>
      </c>
      <c r="L200" s="204">
        <f>IFERROR(VLOOKUP($A200,'Budget &amp; Revenue'!$A:$AM,23,FALSE)," ")</f>
        <v>0.94973544973544977</v>
      </c>
      <c r="M200" s="204">
        <f>IFERROR(VLOOKUP($A200,'Budget &amp; Revenue'!$A:$AM,25,FALSE)," ")</f>
        <v>1</v>
      </c>
      <c r="N200" s="204">
        <f>IFERROR(VLOOKUP($A200,'Budget &amp; Revenue'!$A:$AM,27,FALSE)," ")</f>
        <v>1</v>
      </c>
      <c r="O200" s="204">
        <f>IFERROR(VLOOKUP($A200,'Budget &amp; Revenue'!$A:$AM,29,FALSE)," ")</f>
        <v>1</v>
      </c>
      <c r="P200" s="204">
        <f>IFERROR(VLOOKUP($A200,'Budget &amp; Revenue'!$A:$AM,31,FALSE)," ")</f>
        <v>1</v>
      </c>
      <c r="Q200" s="204">
        <f>IFERROR(VLOOKUP($A200,'Budget &amp; Revenue'!$A:$AM,33,FALSE)," ")</f>
        <v>1</v>
      </c>
      <c r="R200" s="204">
        <f>IFERROR(VLOOKUP($A200,'Budget &amp; Revenue'!$A:$AM,35,FALSE)," ")</f>
        <v>1</v>
      </c>
      <c r="S200" s="204">
        <f>IFERROR(VLOOKUP($A200,'Budget &amp; Revenue'!$A:$AM,37,FALSE)," ")</f>
        <v>1</v>
      </c>
      <c r="T200" s="204">
        <f>IFERROR(VLOOKUP($A200,'Budget &amp; Revenue'!$A:$AM,39,FALSE)," ")</f>
        <v>1</v>
      </c>
    </row>
    <row r="201" spans="1:20" x14ac:dyDescent="0.25">
      <c r="A201" s="80">
        <v>195</v>
      </c>
      <c r="B201" s="201" t="str">
        <f>VLOOKUP(A201,Estimate!A:C,3,FALSE)</f>
        <v>Place only Type 2.1 (cement modified)</v>
      </c>
      <c r="C201" s="80">
        <f>VLOOKUP(A201,Estimate!A:L,12,FALSE)</f>
        <v>3</v>
      </c>
      <c r="D201" s="234" t="s">
        <v>3110</v>
      </c>
      <c r="E201" s="234" t="s">
        <v>3111</v>
      </c>
      <c r="F201" s="235">
        <f>IFERROR(VLOOKUP(A201,Estimate!A:Q,17,FALSE)," ")</f>
        <v>10584.850448558371</v>
      </c>
      <c r="G201" s="204">
        <f>IFERROR(VLOOKUP($A201,'Budget &amp; Revenue'!$A:$AM,13,FALSE)," ")</f>
        <v>0</v>
      </c>
      <c r="H201" s="204">
        <f>IFERROR(VLOOKUP($A201,'Budget &amp; Revenue'!$A:$AM,15,FALSE)," ")</f>
        <v>0.61417322834645671</v>
      </c>
      <c r="I201" s="204">
        <f>IFERROR(VLOOKUP($A201,'Budget &amp; Revenue'!$A:$AM,17,FALSE)," ")</f>
        <v>0.61417322834645671</v>
      </c>
      <c r="J201" s="204">
        <f>IFERROR(VLOOKUP($A201,'Budget &amp; Revenue'!$A:$AM,19,FALSE)," ")</f>
        <v>0.61417322834645671</v>
      </c>
      <c r="K201" s="204">
        <f>IFERROR(VLOOKUP($A201,'Budget &amp; Revenue'!$A:$AM,21,FALSE)," ")</f>
        <v>0.61417322834645671</v>
      </c>
      <c r="L201" s="204">
        <f>IFERROR(VLOOKUP($A201,'Budget &amp; Revenue'!$A:$AM,23,FALSE)," ")</f>
        <v>0.85039370078740162</v>
      </c>
      <c r="M201" s="204">
        <f>IFERROR(VLOOKUP($A201,'Budget &amp; Revenue'!$A:$AM,25,FALSE)," ")</f>
        <v>1</v>
      </c>
      <c r="N201" s="204">
        <f>IFERROR(VLOOKUP($A201,'Budget &amp; Revenue'!$A:$AM,27,FALSE)," ")</f>
        <v>1</v>
      </c>
      <c r="O201" s="204">
        <f>IFERROR(VLOOKUP($A201,'Budget &amp; Revenue'!$A:$AM,29,FALSE)," ")</f>
        <v>1</v>
      </c>
      <c r="P201" s="204">
        <f>IFERROR(VLOOKUP($A201,'Budget &amp; Revenue'!$A:$AM,31,FALSE)," ")</f>
        <v>1</v>
      </c>
      <c r="Q201" s="204">
        <f>IFERROR(VLOOKUP($A201,'Budget &amp; Revenue'!$A:$AM,33,FALSE)," ")</f>
        <v>1</v>
      </c>
      <c r="R201" s="204">
        <f>IFERROR(VLOOKUP($A201,'Budget &amp; Revenue'!$A:$AM,35,FALSE)," ")</f>
        <v>1</v>
      </c>
      <c r="S201" s="204">
        <f>IFERROR(VLOOKUP($A201,'Budget &amp; Revenue'!$A:$AM,37,FALSE)," ")</f>
        <v>1</v>
      </c>
      <c r="T201" s="204">
        <f>IFERROR(VLOOKUP($A201,'Budget &amp; Revenue'!$A:$AM,39,FALSE)," ")</f>
        <v>1</v>
      </c>
    </row>
    <row r="202" spans="1:20" x14ac:dyDescent="0.25">
      <c r="A202" s="80">
        <v>196</v>
      </c>
      <c r="B202" s="201" t="str">
        <f>VLOOKUP(A202,Estimate!A:C,3,FALSE)</f>
        <v>Special Item - Geogrid layer (PROVISIONAL)</v>
      </c>
      <c r="C202" s="80">
        <f>VLOOKUP(A202,Estimate!A:L,12,FALSE)</f>
        <v>1</v>
      </c>
      <c r="D202" s="236">
        <v>198274</v>
      </c>
      <c r="E202" s="234" t="s">
        <v>3112</v>
      </c>
      <c r="F202" s="235">
        <f>IFERROR(VLOOKUP(A202,Estimate!A:Q,17,FALSE)," ")</f>
        <v>7508.9589473684209</v>
      </c>
      <c r="G202" s="204">
        <f>IFERROR(VLOOKUP($A202,'Budget &amp; Revenue'!$A:$AM,13,FALSE)," ")</f>
        <v>0.55952380952380953</v>
      </c>
      <c r="H202" s="204">
        <f>IFERROR(VLOOKUP($A202,'Budget &amp; Revenue'!$A:$AM,15,FALSE)," ")</f>
        <v>0.55952380952380953</v>
      </c>
      <c r="I202" s="204">
        <f>IFERROR(VLOOKUP($A202,'Budget &amp; Revenue'!$A:$AM,17,FALSE)," ")</f>
        <v>0.55952380952380953</v>
      </c>
      <c r="J202" s="204">
        <f>IFERROR(VLOOKUP($A202,'Budget &amp; Revenue'!$A:$AM,19,FALSE)," ")</f>
        <v>0.71825396825396826</v>
      </c>
      <c r="K202" s="204">
        <f>IFERROR(VLOOKUP($A202,'Budget &amp; Revenue'!$A:$AM,21,FALSE)," ")</f>
        <v>0.85</v>
      </c>
      <c r="L202" s="204">
        <f>IFERROR(VLOOKUP($A202,'Budget &amp; Revenue'!$A:$AM,23,FALSE)," ")</f>
        <v>0.9</v>
      </c>
      <c r="M202" s="204">
        <f>IFERROR(VLOOKUP($A202,'Budget &amp; Revenue'!$A:$AM,25,FALSE)," ")</f>
        <v>1</v>
      </c>
      <c r="N202" s="204">
        <f>IFERROR(VLOOKUP($A202,'Budget &amp; Revenue'!$A:$AM,27,FALSE)," ")</f>
        <v>1</v>
      </c>
      <c r="O202" s="204">
        <f>IFERROR(VLOOKUP($A202,'Budget &amp; Revenue'!$A:$AM,29,FALSE)," ")</f>
        <v>1</v>
      </c>
      <c r="P202" s="204">
        <f>IFERROR(VLOOKUP($A202,'Budget &amp; Revenue'!$A:$AM,31,FALSE)," ")</f>
        <v>1</v>
      </c>
      <c r="Q202" s="204">
        <f>IFERROR(VLOOKUP($A202,'Budget &amp; Revenue'!$A:$AM,33,FALSE)," ")</f>
        <v>1</v>
      </c>
      <c r="R202" s="204">
        <f>IFERROR(VLOOKUP($A202,'Budget &amp; Revenue'!$A:$AM,35,FALSE)," ")</f>
        <v>1</v>
      </c>
      <c r="S202" s="204">
        <f>IFERROR(VLOOKUP($A202,'Budget &amp; Revenue'!$A:$AM,37,FALSE)," ")</f>
        <v>1</v>
      </c>
      <c r="T202" s="204">
        <f>IFERROR(VLOOKUP($A202,'Budget &amp; Revenue'!$A:$AM,39,FALSE)," ")</f>
        <v>1</v>
      </c>
    </row>
    <row r="203" spans="1:20" x14ac:dyDescent="0.25">
      <c r="A203" s="80">
        <v>197</v>
      </c>
      <c r="B203" s="201" t="str">
        <f>VLOOKUP(A203,Estimate!A:C,3,FALSE)</f>
        <v>Special Item -Geotextile layer (PROVISIONAL)</v>
      </c>
      <c r="C203" s="80">
        <f>VLOOKUP(A203,Estimate!A:L,12,FALSE)</f>
        <v>1</v>
      </c>
      <c r="D203" s="234" t="s">
        <v>3063</v>
      </c>
      <c r="E203" s="233"/>
      <c r="F203" s="235">
        <f>IFERROR(VLOOKUP(A203,Estimate!A:Q,17,FALSE)," ")</f>
        <v>1992.6789473684209</v>
      </c>
      <c r="G203" s="204">
        <f>IFERROR(VLOOKUP($A203,'Budget &amp; Revenue'!$A:$AM,13,FALSE)," ")</f>
        <v>0.55952380952380953</v>
      </c>
      <c r="H203" s="204">
        <f>IFERROR(VLOOKUP($A203,'Budget &amp; Revenue'!$A:$AM,15,FALSE)," ")</f>
        <v>0.55952380952380953</v>
      </c>
      <c r="I203" s="204">
        <f>IFERROR(VLOOKUP($A203,'Budget &amp; Revenue'!$A:$AM,17,FALSE)," ")</f>
        <v>0.55952380952380953</v>
      </c>
      <c r="J203" s="204">
        <f>IFERROR(VLOOKUP($A203,'Budget &amp; Revenue'!$A:$AM,19,FALSE)," ")</f>
        <v>0.71825396825396826</v>
      </c>
      <c r="K203" s="204">
        <f>IFERROR(VLOOKUP($A203,'Budget &amp; Revenue'!$A:$AM,21,FALSE)," ")</f>
        <v>0.85</v>
      </c>
      <c r="L203" s="204">
        <f>IFERROR(VLOOKUP($A203,'Budget &amp; Revenue'!$A:$AM,23,FALSE)," ")</f>
        <v>0.9</v>
      </c>
      <c r="M203" s="204">
        <f>IFERROR(VLOOKUP($A203,'Budget &amp; Revenue'!$A:$AM,25,FALSE)," ")</f>
        <v>1</v>
      </c>
      <c r="N203" s="204">
        <f>IFERROR(VLOOKUP($A203,'Budget &amp; Revenue'!$A:$AM,27,FALSE)," ")</f>
        <v>1</v>
      </c>
      <c r="O203" s="204">
        <f>IFERROR(VLOOKUP($A203,'Budget &amp; Revenue'!$A:$AM,29,FALSE)," ")</f>
        <v>1</v>
      </c>
      <c r="P203" s="204">
        <f>IFERROR(VLOOKUP($A203,'Budget &amp; Revenue'!$A:$AM,31,FALSE)," ")</f>
        <v>1</v>
      </c>
      <c r="Q203" s="204">
        <f>IFERROR(VLOOKUP($A203,'Budget &amp; Revenue'!$A:$AM,33,FALSE)," ")</f>
        <v>1</v>
      </c>
      <c r="R203" s="204">
        <f>IFERROR(VLOOKUP($A203,'Budget &amp; Revenue'!$A:$AM,35,FALSE)," ")</f>
        <v>1</v>
      </c>
      <c r="S203" s="204">
        <f>IFERROR(VLOOKUP($A203,'Budget &amp; Revenue'!$A:$AM,37,FALSE)," ")</f>
        <v>1</v>
      </c>
      <c r="T203" s="204">
        <f>IFERROR(VLOOKUP($A203,'Budget &amp; Revenue'!$A:$AM,39,FALSE)," ")</f>
        <v>1</v>
      </c>
    </row>
    <row r="204" spans="1:20" x14ac:dyDescent="0.25">
      <c r="A204" s="80">
        <v>198</v>
      </c>
      <c r="B204" s="201" t="str">
        <f>VLOOKUP(A204,Estimate!A:C,3,FALSE)</f>
        <v>(vi)  AMC4</v>
      </c>
      <c r="C204" s="80">
        <f>VLOOKUP(A204,Estimate!A:L,12,FALSE)</f>
        <v>1</v>
      </c>
      <c r="D204" s="234" t="s">
        <v>3064</v>
      </c>
      <c r="E204" s="234" t="s">
        <v>3065</v>
      </c>
      <c r="F204" s="235">
        <f>IFERROR(VLOOKUP(A204,Estimate!A:Q,17,FALSE)," ")</f>
        <v>14172.784500000002</v>
      </c>
      <c r="G204" s="204">
        <f>IFERROR(VLOOKUP($A204,'Budget &amp; Revenue'!$A:$AM,13,FALSE)," ")</f>
        <v>0</v>
      </c>
      <c r="H204" s="204">
        <f>IFERROR(VLOOKUP($A204,'Budget &amp; Revenue'!$A:$AM,15,FALSE)," ")</f>
        <v>0</v>
      </c>
      <c r="I204" s="204">
        <f>IFERROR(VLOOKUP($A204,'Budget &amp; Revenue'!$A:$AM,17,FALSE)," ")</f>
        <v>0.69536423841059603</v>
      </c>
      <c r="J204" s="204">
        <f>IFERROR(VLOOKUP($A204,'Budget &amp; Revenue'!$A:$AM,19,FALSE)," ")</f>
        <v>0.69536423841059603</v>
      </c>
      <c r="K204" s="204">
        <f>IFERROR(VLOOKUP($A204,'Budget &amp; Revenue'!$A:$AM,21,FALSE)," ")</f>
        <v>0.69536423841059603</v>
      </c>
      <c r="L204" s="204">
        <f>IFERROR(VLOOKUP($A204,'Budget &amp; Revenue'!$A:$AM,23,FALSE)," ")</f>
        <v>0.69536423841059603</v>
      </c>
      <c r="M204" s="204">
        <f>IFERROR(VLOOKUP($A204,'Budget &amp; Revenue'!$A:$AM,25,FALSE)," ")</f>
        <v>1</v>
      </c>
      <c r="N204" s="204">
        <f>IFERROR(VLOOKUP($A204,'Budget &amp; Revenue'!$A:$AM,27,FALSE)," ")</f>
        <v>1</v>
      </c>
      <c r="O204" s="204">
        <f>IFERROR(VLOOKUP($A204,'Budget &amp; Revenue'!$A:$AM,29,FALSE)," ")</f>
        <v>1</v>
      </c>
      <c r="P204" s="204">
        <f>IFERROR(VLOOKUP($A204,'Budget &amp; Revenue'!$A:$AM,31,FALSE)," ")</f>
        <v>1</v>
      </c>
      <c r="Q204" s="204">
        <f>IFERROR(VLOOKUP($A204,'Budget &amp; Revenue'!$A:$AM,33,FALSE)," ")</f>
        <v>1</v>
      </c>
      <c r="R204" s="204">
        <f>IFERROR(VLOOKUP($A204,'Budget &amp; Revenue'!$A:$AM,35,FALSE)," ")</f>
        <v>1</v>
      </c>
      <c r="S204" s="204">
        <f>IFERROR(VLOOKUP($A204,'Budget &amp; Revenue'!$A:$AM,37,FALSE)," ")</f>
        <v>1</v>
      </c>
      <c r="T204" s="204">
        <f>IFERROR(VLOOKUP($A204,'Budget &amp; Revenue'!$A:$AM,39,FALSE)," ")</f>
        <v>1</v>
      </c>
    </row>
    <row r="205" spans="1:20" x14ac:dyDescent="0.25">
      <c r="A205" s="80">
        <v>199</v>
      </c>
      <c r="B205" s="201" t="str">
        <f>VLOOKUP(A205,Estimate!A:C,3,FALSE)</f>
        <v>(ii)  14mm Nominal Size</v>
      </c>
      <c r="C205" s="80">
        <f>VLOOKUP(A205,Estimate!A:L,12,FALSE)</f>
        <v>1</v>
      </c>
      <c r="D205" s="234" t="s">
        <v>3066</v>
      </c>
      <c r="E205" s="234">
        <v>210</v>
      </c>
      <c r="F205" s="235">
        <f>IFERROR(VLOOKUP(A205,Estimate!A:Q,17,FALSE)," ")</f>
        <v>34057.800000000003</v>
      </c>
      <c r="G205" s="204">
        <f>IFERROR(VLOOKUP($A205,'Budget &amp; Revenue'!$A:$AM,13,FALSE)," ")</f>
        <v>0</v>
      </c>
      <c r="H205" s="204">
        <f>IFERROR(VLOOKUP($A205,'Budget &amp; Revenue'!$A:$AM,15,FALSE)," ")</f>
        <v>0</v>
      </c>
      <c r="I205" s="204">
        <f>IFERROR(VLOOKUP($A205,'Budget &amp; Revenue'!$A:$AM,17,FALSE)," ")</f>
        <v>0</v>
      </c>
      <c r="J205" s="204">
        <f>IFERROR(VLOOKUP($A205,'Budget &amp; Revenue'!$A:$AM,19,FALSE)," ")</f>
        <v>0</v>
      </c>
      <c r="K205" s="204">
        <f>IFERROR(VLOOKUP($A205,'Budget &amp; Revenue'!$A:$AM,21,FALSE)," ")</f>
        <v>0</v>
      </c>
      <c r="L205" s="204">
        <f>IFERROR(VLOOKUP($A205,'Budget &amp; Revenue'!$A:$AM,23,FALSE)," ")</f>
        <v>0</v>
      </c>
      <c r="M205" s="204">
        <f>IFERROR(VLOOKUP($A205,'Budget &amp; Revenue'!$A:$AM,25,FALSE)," ")</f>
        <v>0</v>
      </c>
      <c r="N205" s="204">
        <f>IFERROR(VLOOKUP($A205,'Budget &amp; Revenue'!$A:$AM,27,FALSE)," ")</f>
        <v>1</v>
      </c>
      <c r="O205" s="204">
        <f>IFERROR(VLOOKUP($A205,'Budget &amp; Revenue'!$A:$AM,29,FALSE)," ")</f>
        <v>1</v>
      </c>
      <c r="P205" s="204">
        <f>IFERROR(VLOOKUP($A205,'Budget &amp; Revenue'!$A:$AM,31,FALSE)," ")</f>
        <v>1</v>
      </c>
      <c r="Q205" s="204">
        <f>IFERROR(VLOOKUP($A205,'Budget &amp; Revenue'!$A:$AM,33,FALSE)," ")</f>
        <v>1</v>
      </c>
      <c r="R205" s="204">
        <f>IFERROR(VLOOKUP($A205,'Budget &amp; Revenue'!$A:$AM,35,FALSE)," ")</f>
        <v>1</v>
      </c>
      <c r="S205" s="204">
        <f>IFERROR(VLOOKUP($A205,'Budget &amp; Revenue'!$A:$AM,37,FALSE)," ")</f>
        <v>1</v>
      </c>
      <c r="T205" s="204">
        <f>IFERROR(VLOOKUP($A205,'Budget &amp; Revenue'!$A:$AM,39,FALSE)," ")</f>
        <v>1</v>
      </c>
    </row>
    <row r="206" spans="1:20" x14ac:dyDescent="0.25">
      <c r="A206" s="80">
        <v>200</v>
      </c>
      <c r="B206" s="201" t="str">
        <f>VLOOKUP(A206,Estimate!A:C,3,FALSE)</f>
        <v>(iv)  Residential Invert Crossing (3.1m to 4.5m)</v>
      </c>
      <c r="C206" s="80">
        <f>VLOOKUP(A206,Estimate!A:L,12,FALSE)</f>
        <v>8</v>
      </c>
      <c r="D206" s="236">
        <v>200276</v>
      </c>
      <c r="E206" s="234" t="s">
        <v>3067</v>
      </c>
      <c r="F206" s="235">
        <f>IFERROR(VLOOKUP(A206,Estimate!A:Q,17,FALSE)," ")</f>
        <v>5192.9866666666667</v>
      </c>
      <c r="G206" s="204">
        <f>IFERROR(VLOOKUP($A206,'Budget &amp; Revenue'!$A:$AM,13,FALSE)," ")</f>
        <v>0</v>
      </c>
      <c r="H206" s="204">
        <f>IFERROR(VLOOKUP($A206,'Budget &amp; Revenue'!$A:$AM,15,FALSE)," ")</f>
        <v>0.72727272727272729</v>
      </c>
      <c r="I206" s="204">
        <f>IFERROR(VLOOKUP($A206,'Budget &amp; Revenue'!$A:$AM,17,FALSE)," ")</f>
        <v>1</v>
      </c>
      <c r="J206" s="204">
        <f>IFERROR(VLOOKUP($A206,'Budget &amp; Revenue'!$A:$AM,19,FALSE)," ")</f>
        <v>1</v>
      </c>
      <c r="K206" s="204">
        <f>IFERROR(VLOOKUP($A206,'Budget &amp; Revenue'!$A:$AM,21,FALSE)," ")</f>
        <v>1</v>
      </c>
      <c r="L206" s="204">
        <f>IFERROR(VLOOKUP($A206,'Budget &amp; Revenue'!$A:$AM,23,FALSE)," ")</f>
        <v>1</v>
      </c>
      <c r="M206" s="204">
        <f>IFERROR(VLOOKUP($A206,'Budget &amp; Revenue'!$A:$AM,25,FALSE)," ")</f>
        <v>1</v>
      </c>
      <c r="N206" s="204">
        <f>IFERROR(VLOOKUP($A206,'Budget &amp; Revenue'!$A:$AM,27,FALSE)," ")</f>
        <v>1</v>
      </c>
      <c r="O206" s="204">
        <f>IFERROR(VLOOKUP($A206,'Budget &amp; Revenue'!$A:$AM,29,FALSE)," ")</f>
        <v>1</v>
      </c>
      <c r="P206" s="204">
        <f>IFERROR(VLOOKUP($A206,'Budget &amp; Revenue'!$A:$AM,31,FALSE)," ")</f>
        <v>1</v>
      </c>
      <c r="Q206" s="204">
        <f>IFERROR(VLOOKUP($A206,'Budget &amp; Revenue'!$A:$AM,33,FALSE)," ")</f>
        <v>1</v>
      </c>
      <c r="R206" s="204">
        <f>IFERROR(VLOOKUP($A206,'Budget &amp; Revenue'!$A:$AM,35,FALSE)," ")</f>
        <v>1</v>
      </c>
      <c r="S206" s="204">
        <f>IFERROR(VLOOKUP($A206,'Budget &amp; Revenue'!$A:$AM,37,FALSE)," ")</f>
        <v>1</v>
      </c>
      <c r="T206" s="204">
        <f>IFERROR(VLOOKUP($A206,'Budget &amp; Revenue'!$A:$AM,39,FALSE)," ")</f>
        <v>1</v>
      </c>
    </row>
    <row r="207" spans="1:20" x14ac:dyDescent="0.25">
      <c r="A207" s="80">
        <v>201</v>
      </c>
      <c r="B207" s="201" t="str">
        <f>VLOOKUP(A207,Estimate!A:C,3,FALSE)</f>
        <v>(viii) Hand Placed Concrete Paving (Footpath / Bikeway)</v>
      </c>
      <c r="C207" s="80">
        <f>VLOOKUP(A207,Estimate!A:L,12,FALSE)</f>
        <v>4</v>
      </c>
      <c r="D207" s="234">
        <v>206</v>
      </c>
      <c r="E207" s="234">
        <v>208</v>
      </c>
      <c r="F207" s="235">
        <f>IFERROR(VLOOKUP(A207,Estimate!A:Q,17,FALSE)," ")</f>
        <v>6624.2866666666669</v>
      </c>
      <c r="G207" s="204">
        <f>IFERROR(VLOOKUP($A207,'Budget &amp; Revenue'!$A:$AM,13,FALSE)," ")</f>
        <v>0</v>
      </c>
      <c r="H207" s="204">
        <f>IFERROR(VLOOKUP($A207,'Budget &amp; Revenue'!$A:$AM,15,FALSE)," ")</f>
        <v>0</v>
      </c>
      <c r="I207" s="204">
        <f>IFERROR(VLOOKUP($A207,'Budget &amp; Revenue'!$A:$AM,17,FALSE)," ")</f>
        <v>0</v>
      </c>
      <c r="J207" s="204">
        <f>IFERROR(VLOOKUP($A207,'Budget &amp; Revenue'!$A:$AM,19,FALSE)," ")</f>
        <v>1</v>
      </c>
      <c r="K207" s="204">
        <f>IFERROR(VLOOKUP($A207,'Budget &amp; Revenue'!$A:$AM,21,FALSE)," ")</f>
        <v>1</v>
      </c>
      <c r="L207" s="204">
        <f>IFERROR(VLOOKUP($A207,'Budget &amp; Revenue'!$A:$AM,23,FALSE)," ")</f>
        <v>1</v>
      </c>
      <c r="M207" s="204">
        <f>IFERROR(VLOOKUP($A207,'Budget &amp; Revenue'!$A:$AM,25,FALSE)," ")</f>
        <v>1</v>
      </c>
      <c r="N207" s="204">
        <f>IFERROR(VLOOKUP($A207,'Budget &amp; Revenue'!$A:$AM,27,FALSE)," ")</f>
        <v>1</v>
      </c>
      <c r="O207" s="204">
        <f>IFERROR(VLOOKUP($A207,'Budget &amp; Revenue'!$A:$AM,29,FALSE)," ")</f>
        <v>1</v>
      </c>
      <c r="P207" s="204">
        <f>IFERROR(VLOOKUP($A207,'Budget &amp; Revenue'!$A:$AM,31,FALSE)," ")</f>
        <v>1</v>
      </c>
      <c r="Q207" s="204">
        <f>IFERROR(VLOOKUP($A207,'Budget &amp; Revenue'!$A:$AM,33,FALSE)," ")</f>
        <v>1</v>
      </c>
      <c r="R207" s="204">
        <f>IFERROR(VLOOKUP($A207,'Budget &amp; Revenue'!$A:$AM,35,FALSE)," ")</f>
        <v>1</v>
      </c>
      <c r="S207" s="204">
        <f>IFERROR(VLOOKUP($A207,'Budget &amp; Revenue'!$A:$AM,37,FALSE)," ")</f>
        <v>1</v>
      </c>
      <c r="T207" s="204">
        <f>IFERROR(VLOOKUP($A207,'Budget &amp; Revenue'!$A:$AM,39,FALSE)," ")</f>
        <v>1</v>
      </c>
    </row>
    <row r="208" spans="1:20" x14ac:dyDescent="0.25">
      <c r="A208" s="80">
        <v>202</v>
      </c>
      <c r="B208" s="201" t="str">
        <f>VLOOKUP(A208,Estimate!A:C,3,FALSE)</f>
        <v>(i)  Grass Seeding</v>
      </c>
      <c r="C208" s="80">
        <f>VLOOKUP(A208,Estimate!A:L,12,FALSE)</f>
        <v>1</v>
      </c>
      <c r="D208" s="234">
        <v>207</v>
      </c>
      <c r="E208" s="234">
        <v>210</v>
      </c>
      <c r="F208" s="235">
        <f>IFERROR(VLOOKUP(A208,Estimate!A:Q,17,FALSE)," ")</f>
        <v>2438.9750000000004</v>
      </c>
      <c r="G208" s="204">
        <f>IFERROR(VLOOKUP($A208,'Budget &amp; Revenue'!$A:$AM,13,FALSE)," ")</f>
        <v>0</v>
      </c>
      <c r="H208" s="204">
        <f>IFERROR(VLOOKUP($A208,'Budget &amp; Revenue'!$A:$AM,15,FALSE)," ")</f>
        <v>0</v>
      </c>
      <c r="I208" s="204">
        <f>IFERROR(VLOOKUP($A208,'Budget &amp; Revenue'!$A:$AM,17,FALSE)," ")</f>
        <v>0</v>
      </c>
      <c r="J208" s="204">
        <f>IFERROR(VLOOKUP($A208,'Budget &amp; Revenue'!$A:$AM,19,FALSE)," ")</f>
        <v>1</v>
      </c>
      <c r="K208" s="204">
        <f>IFERROR(VLOOKUP($A208,'Budget &amp; Revenue'!$A:$AM,21,FALSE)," ")</f>
        <v>0.1</v>
      </c>
      <c r="L208" s="204">
        <f>IFERROR(VLOOKUP($A208,'Budget &amp; Revenue'!$A:$AM,23,FALSE)," ")</f>
        <v>0.5</v>
      </c>
      <c r="M208" s="204">
        <f>IFERROR(VLOOKUP($A208,'Budget &amp; Revenue'!$A:$AM,25,FALSE)," ")</f>
        <v>0.7497237569060774</v>
      </c>
      <c r="N208" s="204">
        <f>IFERROR(VLOOKUP($A208,'Budget &amp; Revenue'!$A:$AM,27,FALSE)," ")</f>
        <v>1</v>
      </c>
      <c r="O208" s="204">
        <f>IFERROR(VLOOKUP($A208,'Budget &amp; Revenue'!$A:$AM,29,FALSE)," ")</f>
        <v>1</v>
      </c>
      <c r="P208" s="204">
        <f>IFERROR(VLOOKUP($A208,'Budget &amp; Revenue'!$A:$AM,31,FALSE)," ")</f>
        <v>1</v>
      </c>
      <c r="Q208" s="204">
        <f>IFERROR(VLOOKUP($A208,'Budget &amp; Revenue'!$A:$AM,33,FALSE)," ")</f>
        <v>1</v>
      </c>
      <c r="R208" s="204">
        <f>IFERROR(VLOOKUP($A208,'Budget &amp; Revenue'!$A:$AM,35,FALSE)," ")</f>
        <v>1</v>
      </c>
      <c r="S208" s="204">
        <f>IFERROR(VLOOKUP($A208,'Budget &amp; Revenue'!$A:$AM,37,FALSE)," ")</f>
        <v>1</v>
      </c>
      <c r="T208" s="204">
        <f>IFERROR(VLOOKUP($A208,'Budget &amp; Revenue'!$A:$AM,39,FALSE)," ")</f>
        <v>1</v>
      </c>
    </row>
    <row r="209" spans="1:20" x14ac:dyDescent="0.25">
      <c r="A209" s="80">
        <v>203</v>
      </c>
      <c r="B209" s="201" t="str">
        <f>VLOOKUP(A209,Estimate!A:C,3,FALSE)</f>
        <v>Supply and install mains and reticulation</v>
      </c>
      <c r="C209" s="80">
        <f>VLOOKUP(A209,Estimate!A:L,12,FALSE)</f>
        <v>2</v>
      </c>
      <c r="D209" s="234">
        <v>193</v>
      </c>
      <c r="E209" s="236">
        <v>195277</v>
      </c>
      <c r="F209" s="235">
        <f>IFERROR(VLOOKUP(A209,Estimate!A:Q,17,FALSE)," ")</f>
        <v>9200</v>
      </c>
      <c r="G209" s="204">
        <f>IFERROR(VLOOKUP($A209,'Budget &amp; Revenue'!$A:$AM,13,FALSE)," ")</f>
        <v>0</v>
      </c>
      <c r="H209" s="204">
        <f>IFERROR(VLOOKUP($A209,'Budget &amp; Revenue'!$A:$AM,15,FALSE)," ")</f>
        <v>0</v>
      </c>
      <c r="I209" s="204">
        <f>IFERROR(VLOOKUP($A209,'Budget &amp; Revenue'!$A:$AM,17,FALSE)," ")</f>
        <v>0</v>
      </c>
      <c r="J209" s="204">
        <f>IFERROR(VLOOKUP($A209,'Budget &amp; Revenue'!$A:$AM,19,FALSE)," ")</f>
        <v>1</v>
      </c>
      <c r="K209" s="204">
        <f>IFERROR(VLOOKUP($A209,'Budget &amp; Revenue'!$A:$AM,21,FALSE)," ")</f>
        <v>1</v>
      </c>
      <c r="L209" s="204">
        <f>IFERROR(VLOOKUP($A209,'Budget &amp; Revenue'!$A:$AM,23,FALSE)," ")</f>
        <v>1</v>
      </c>
      <c r="M209" s="204">
        <f>IFERROR(VLOOKUP($A209,'Budget &amp; Revenue'!$A:$AM,25,FALSE)," ")</f>
        <v>1</v>
      </c>
      <c r="N209" s="204">
        <f>IFERROR(VLOOKUP($A209,'Budget &amp; Revenue'!$A:$AM,27,FALSE)," ")</f>
        <v>1</v>
      </c>
      <c r="O209" s="204">
        <f>IFERROR(VLOOKUP($A209,'Budget &amp; Revenue'!$A:$AM,29,FALSE)," ")</f>
        <v>1</v>
      </c>
      <c r="P209" s="204">
        <f>IFERROR(VLOOKUP($A209,'Budget &amp; Revenue'!$A:$AM,31,FALSE)," ")</f>
        <v>1</v>
      </c>
      <c r="Q209" s="204">
        <f>IFERROR(VLOOKUP($A209,'Budget &amp; Revenue'!$A:$AM,33,FALSE)," ")</f>
        <v>1</v>
      </c>
      <c r="R209" s="204">
        <f>IFERROR(VLOOKUP($A209,'Budget &amp; Revenue'!$A:$AM,35,FALSE)," ")</f>
        <v>1</v>
      </c>
      <c r="S209" s="204">
        <f>IFERROR(VLOOKUP($A209,'Budget &amp; Revenue'!$A:$AM,37,FALSE)," ")</f>
        <v>1</v>
      </c>
      <c r="T209" s="204">
        <f>IFERROR(VLOOKUP($A209,'Budget &amp; Revenue'!$A:$AM,39,FALSE)," ")</f>
        <v>1</v>
      </c>
    </row>
    <row r="210" spans="1:20" x14ac:dyDescent="0.25">
      <c r="A210" s="80">
        <v>204</v>
      </c>
      <c r="B210" s="201" t="str">
        <f>VLOOKUP(A210,Estimate!A:C,3,FALSE)</f>
        <v>Special Item - As Constructed Survey and Plans</v>
      </c>
      <c r="C210" s="80">
        <f>VLOOKUP(A210,Estimate!A:L,12,FALSE)</f>
        <v>3</v>
      </c>
      <c r="D210" s="236">
        <v>183205208</v>
      </c>
      <c r="E210" s="234">
        <v>3</v>
      </c>
      <c r="F210" s="235">
        <f>IFERROR(VLOOKUP(A210,Estimate!A:Q,17,FALSE)," ")</f>
        <v>2400</v>
      </c>
      <c r="G210" s="204">
        <f>IFERROR(VLOOKUP($A210,'Budget &amp; Revenue'!$A:$AM,13,FALSE)," ")</f>
        <v>0</v>
      </c>
      <c r="H210" s="204">
        <f>IFERROR(VLOOKUP($A210,'Budget &amp; Revenue'!$A:$AM,15,FALSE)," ")</f>
        <v>0</v>
      </c>
      <c r="I210" s="204">
        <f>IFERROR(VLOOKUP($A210,'Budget &amp; Revenue'!$A:$AM,17,FALSE)," ")</f>
        <v>0</v>
      </c>
      <c r="J210" s="204">
        <f>IFERROR(VLOOKUP($A210,'Budget &amp; Revenue'!$A:$AM,19,FALSE)," ")</f>
        <v>0</v>
      </c>
      <c r="K210" s="204">
        <f>IFERROR(VLOOKUP($A210,'Budget &amp; Revenue'!$A:$AM,21,FALSE)," ")</f>
        <v>0</v>
      </c>
      <c r="L210" s="204">
        <f>IFERROR(VLOOKUP($A210,'Budget &amp; Revenue'!$A:$AM,23,FALSE)," ")</f>
        <v>0</v>
      </c>
      <c r="M210" s="204">
        <f>IFERROR(VLOOKUP($A210,'Budget &amp; Revenue'!$A:$AM,25,FALSE)," ")</f>
        <v>0.8</v>
      </c>
      <c r="N210" s="204">
        <f>IFERROR(VLOOKUP($A210,'Budget &amp; Revenue'!$A:$AM,27,FALSE)," ")</f>
        <v>0.8</v>
      </c>
      <c r="O210" s="204">
        <f>IFERROR(VLOOKUP($A210,'Budget &amp; Revenue'!$A:$AM,29,FALSE)," ")</f>
        <v>0.8</v>
      </c>
      <c r="P210" s="204">
        <f>IFERROR(VLOOKUP($A210,'Budget &amp; Revenue'!$A:$AM,31,FALSE)," ")</f>
        <v>0.95</v>
      </c>
      <c r="Q210" s="204">
        <f>IFERROR(VLOOKUP($A210,'Budget &amp; Revenue'!$A:$AM,33,FALSE)," ")</f>
        <v>1</v>
      </c>
      <c r="R210" s="204">
        <f>IFERROR(VLOOKUP($A210,'Budget &amp; Revenue'!$A:$AM,35,FALSE)," ")</f>
        <v>1</v>
      </c>
      <c r="S210" s="204">
        <f>IFERROR(VLOOKUP($A210,'Budget &amp; Revenue'!$A:$AM,37,FALSE)," ")</f>
        <v>1</v>
      </c>
      <c r="T210" s="204">
        <f>IFERROR(VLOOKUP($A210,'Budget &amp; Revenue'!$A:$AM,39,FALSE)," ")</f>
        <v>1</v>
      </c>
    </row>
    <row r="211" spans="1:20" s="10" customFormat="1" x14ac:dyDescent="0.25">
      <c r="A211" s="92">
        <v>900</v>
      </c>
      <c r="B211" s="212" t="str">
        <f>VLOOKUP(A211,Estimate!A:C,3,FALSE)</f>
        <v>STERRY STREET</v>
      </c>
      <c r="C211" s="92">
        <f>VLOOKUP(A211,Estimate!A:L,12,FALSE)</f>
        <v>0</v>
      </c>
      <c r="D211" s="234" t="s">
        <v>3084</v>
      </c>
      <c r="E211" s="234" t="s">
        <v>3113</v>
      </c>
      <c r="F211" s="235">
        <f>IFERROR(VLOOKUP(A211,Estimate!A:Q,17,FALSE)," ")</f>
        <v>0</v>
      </c>
      <c r="G211" s="204" t="str">
        <f>IFERROR(VLOOKUP($A211,'Budget &amp; Revenue'!$A:$AM,13,FALSE)," ")</f>
        <v xml:space="preserve"> </v>
      </c>
      <c r="H211" s="204" t="str">
        <f>IFERROR(VLOOKUP($A211,'Budget &amp; Revenue'!$A:$AM,15,FALSE)," ")</f>
        <v xml:space="preserve"> </v>
      </c>
      <c r="I211" s="204" t="str">
        <f>IFERROR(VLOOKUP($A211,'Budget &amp; Revenue'!$A:$AM,17,FALSE)," ")</f>
        <v xml:space="preserve"> </v>
      </c>
      <c r="J211" s="204" t="str">
        <f>IFERROR(VLOOKUP($A211,'Budget &amp; Revenue'!$A:$AM,19,FALSE)," ")</f>
        <v xml:space="preserve"> </v>
      </c>
      <c r="K211" s="204" t="str">
        <f>IFERROR(VLOOKUP($A211,'Budget &amp; Revenue'!$A:$AM,21,FALSE)," ")</f>
        <v xml:space="preserve"> </v>
      </c>
      <c r="L211" s="204" t="str">
        <f>IFERROR(VLOOKUP($A211,'Budget &amp; Revenue'!$A:$AM,23,FALSE)," ")</f>
        <v xml:space="preserve"> </v>
      </c>
      <c r="M211" s="204" t="str">
        <f>IFERROR(VLOOKUP($A211,'Budget &amp; Revenue'!$A:$AM,25,FALSE)," ")</f>
        <v xml:space="preserve"> </v>
      </c>
      <c r="N211" s="204" t="str">
        <f>IFERROR(VLOOKUP($A211,'Budget &amp; Revenue'!$A:$AM,27,FALSE)," ")</f>
        <v xml:space="preserve"> </v>
      </c>
      <c r="O211" s="204" t="str">
        <f>IFERROR(VLOOKUP($A211,'Budget &amp; Revenue'!$A:$AM,29,FALSE)," ")</f>
        <v xml:space="preserve"> </v>
      </c>
      <c r="P211" s="204" t="str">
        <f>IFERROR(VLOOKUP($A211,'Budget &amp; Revenue'!$A:$AM,31,FALSE)," ")</f>
        <v xml:space="preserve"> </v>
      </c>
      <c r="Q211" s="204" t="str">
        <f>IFERROR(VLOOKUP($A211,'Budget &amp; Revenue'!$A:$AM,33,FALSE)," ")</f>
        <v xml:space="preserve"> </v>
      </c>
      <c r="R211" s="204" t="str">
        <f>IFERROR(VLOOKUP($A211,'Budget &amp; Revenue'!$A:$AM,35,FALSE)," ")</f>
        <v xml:space="preserve"> </v>
      </c>
      <c r="S211" s="204" t="str">
        <f>IFERROR(VLOOKUP($A211,'Budget &amp; Revenue'!$A:$AM,37,FALSE)," ")</f>
        <v xml:space="preserve"> </v>
      </c>
      <c r="T211" s="204" t="str">
        <f>IFERROR(VLOOKUP($A211,'Budget &amp; Revenue'!$A:$AM,39,FALSE)," ")</f>
        <v xml:space="preserve"> </v>
      </c>
    </row>
    <row r="212" spans="1:20" x14ac:dyDescent="0.25">
      <c r="A212" s="80">
        <v>205</v>
      </c>
      <c r="B212" s="201" t="str">
        <f>VLOOKUP(A212,Estimate!A:C,3,FALSE)</f>
        <v>Quality Verification &amp; Control</v>
      </c>
      <c r="C212" s="80">
        <f>VLOOKUP(A212,Estimate!A:L,12,FALSE)</f>
        <v>0</v>
      </c>
      <c r="D212" s="234">
        <v>211</v>
      </c>
      <c r="E212" s="234">
        <v>213</v>
      </c>
      <c r="F212" s="235">
        <f>IFERROR(VLOOKUP(A212,Estimate!A:Q,17,FALSE)," ")</f>
        <v>10350</v>
      </c>
      <c r="G212" s="204">
        <f>IFERROR(VLOOKUP($A212,'Budget &amp; Revenue'!$A:$AM,13,FALSE)," ")</f>
        <v>0</v>
      </c>
      <c r="H212" s="204">
        <f>IFERROR(VLOOKUP($A212,'Budget &amp; Revenue'!$A:$AM,15,FALSE)," ")</f>
        <v>0</v>
      </c>
      <c r="I212" s="204">
        <f>IFERROR(VLOOKUP($A212,'Budget &amp; Revenue'!$A:$AM,17,FALSE)," ")</f>
        <v>0</v>
      </c>
      <c r="J212" s="204">
        <f>IFERROR(VLOOKUP($A212,'Budget &amp; Revenue'!$A:$AM,19,FALSE)," ")</f>
        <v>0</v>
      </c>
      <c r="K212" s="204">
        <f>IFERROR(VLOOKUP($A212,'Budget &amp; Revenue'!$A:$AM,21,FALSE)," ")</f>
        <v>0.1</v>
      </c>
      <c r="L212" s="204">
        <f>IFERROR(VLOOKUP($A212,'Budget &amp; Revenue'!$A:$AM,23,FALSE)," ")</f>
        <v>0.1</v>
      </c>
      <c r="M212" s="204">
        <f>IFERROR(VLOOKUP($A212,'Budget &amp; Revenue'!$A:$AM,25,FALSE)," ")</f>
        <v>0.8</v>
      </c>
      <c r="N212" s="204">
        <f>IFERROR(VLOOKUP($A212,'Budget &amp; Revenue'!$A:$AM,27,FALSE)," ")</f>
        <v>0.9</v>
      </c>
      <c r="O212" s="204">
        <f>IFERROR(VLOOKUP($A212,'Budget &amp; Revenue'!$A:$AM,29,FALSE)," ")</f>
        <v>0.95</v>
      </c>
      <c r="P212" s="204">
        <f>IFERROR(VLOOKUP($A212,'Budget &amp; Revenue'!$A:$AM,31,FALSE)," ")</f>
        <v>1</v>
      </c>
      <c r="Q212" s="204">
        <f>IFERROR(VLOOKUP($A212,'Budget &amp; Revenue'!$A:$AM,33,FALSE)," ")</f>
        <v>1</v>
      </c>
      <c r="R212" s="204">
        <f>IFERROR(VLOOKUP($A212,'Budget &amp; Revenue'!$A:$AM,35,FALSE)," ")</f>
        <v>1</v>
      </c>
      <c r="S212" s="204">
        <f>IFERROR(VLOOKUP($A212,'Budget &amp; Revenue'!$A:$AM,37,FALSE)," ")</f>
        <v>1</v>
      </c>
      <c r="T212" s="204">
        <f>IFERROR(VLOOKUP($A212,'Budget &amp; Revenue'!$A:$AM,39,FALSE)," ")</f>
        <v>1</v>
      </c>
    </row>
    <row r="213" spans="1:20" x14ac:dyDescent="0.25">
      <c r="A213" s="80">
        <v>206</v>
      </c>
      <c r="B213" s="201" t="str">
        <f>VLOOKUP(A213,Estimate!A:C,3,FALSE)</f>
        <v>Control of Traffic</v>
      </c>
      <c r="C213" s="80">
        <f>VLOOKUP(A213,Estimate!A:L,12,FALSE)</f>
        <v>25</v>
      </c>
      <c r="D213" s="234">
        <v>212</v>
      </c>
      <c r="E213" s="234" t="s">
        <v>3068</v>
      </c>
      <c r="F213" s="235">
        <f>IFERROR(VLOOKUP(A213,Estimate!A:Q,17,FALSE)," ")</f>
        <v>29115.599999999999</v>
      </c>
      <c r="G213" s="204">
        <f>IFERROR(VLOOKUP($A213,'Budget &amp; Revenue'!$A:$AM,13,FALSE)," ")</f>
        <v>0</v>
      </c>
      <c r="H213" s="204">
        <f>IFERROR(VLOOKUP($A213,'Budget &amp; Revenue'!$A:$AM,15,FALSE)," ")</f>
        <v>0</v>
      </c>
      <c r="I213" s="204">
        <f>IFERROR(VLOOKUP($A213,'Budget &amp; Revenue'!$A:$AM,17,FALSE)," ")</f>
        <v>0</v>
      </c>
      <c r="J213" s="204">
        <f>IFERROR(VLOOKUP($A213,'Budget &amp; Revenue'!$A:$AM,19,FALSE)," ")</f>
        <v>0</v>
      </c>
      <c r="K213" s="204">
        <f>IFERROR(VLOOKUP($A213,'Budget &amp; Revenue'!$A:$AM,21,FALSE)," ")</f>
        <v>0.1</v>
      </c>
      <c r="L213" s="204">
        <f>IFERROR(VLOOKUP($A213,'Budget &amp; Revenue'!$A:$AM,23,FALSE)," ")</f>
        <v>0.1</v>
      </c>
      <c r="M213" s="204">
        <f>IFERROR(VLOOKUP($A213,'Budget &amp; Revenue'!$A:$AM,25,FALSE)," ")</f>
        <v>0.8</v>
      </c>
      <c r="N213" s="204">
        <f>IFERROR(VLOOKUP($A213,'Budget &amp; Revenue'!$A:$AM,27,FALSE)," ")</f>
        <v>0.9</v>
      </c>
      <c r="O213" s="204">
        <f>IFERROR(VLOOKUP($A213,'Budget &amp; Revenue'!$A:$AM,29,FALSE)," ")</f>
        <v>0.95</v>
      </c>
      <c r="P213" s="204">
        <f>IFERROR(VLOOKUP($A213,'Budget &amp; Revenue'!$A:$AM,31,FALSE)," ")</f>
        <v>1</v>
      </c>
      <c r="Q213" s="204">
        <f>IFERROR(VLOOKUP($A213,'Budget &amp; Revenue'!$A:$AM,33,FALSE)," ")</f>
        <v>1</v>
      </c>
      <c r="R213" s="204">
        <f>IFERROR(VLOOKUP($A213,'Budget &amp; Revenue'!$A:$AM,35,FALSE)," ")</f>
        <v>1</v>
      </c>
      <c r="S213" s="204">
        <f>IFERROR(VLOOKUP($A213,'Budget &amp; Revenue'!$A:$AM,37,FALSE)," ")</f>
        <v>1</v>
      </c>
      <c r="T213" s="204">
        <f>IFERROR(VLOOKUP($A213,'Budget &amp; Revenue'!$A:$AM,39,FALSE)," ")</f>
        <v>1</v>
      </c>
    </row>
    <row r="214" spans="1:20" ht="30" x14ac:dyDescent="0.25">
      <c r="A214" s="80">
        <v>207</v>
      </c>
      <c r="B214" s="201" t="str">
        <f>VLOOKUP(A214,Estimate!A:C,3,FALSE)</f>
        <v>Temporary Erosion &amp; Sedimentation Control (includes supply and installation of all components)</v>
      </c>
      <c r="C214" s="80">
        <f>VLOOKUP(A214,Estimate!A:L,12,FALSE)</f>
        <v>6</v>
      </c>
      <c r="D214" s="234" t="s">
        <v>3069</v>
      </c>
      <c r="E214" s="236">
        <v>215216</v>
      </c>
      <c r="F214" s="235">
        <f>IFERROR(VLOOKUP(A214,Estimate!A:Q,17,FALSE)," ")</f>
        <v>11050</v>
      </c>
      <c r="G214" s="204">
        <f>IFERROR(VLOOKUP($A214,'Budget &amp; Revenue'!$A:$AM,13,FALSE)," ")</f>
        <v>0</v>
      </c>
      <c r="H214" s="204">
        <f>IFERROR(VLOOKUP($A214,'Budget &amp; Revenue'!$A:$AM,15,FALSE)," ")</f>
        <v>0</v>
      </c>
      <c r="I214" s="204">
        <f>IFERROR(VLOOKUP($A214,'Budget &amp; Revenue'!$A:$AM,17,FALSE)," ")</f>
        <v>0</v>
      </c>
      <c r="J214" s="204">
        <f>IFERROR(VLOOKUP($A214,'Budget &amp; Revenue'!$A:$AM,19,FALSE)," ")</f>
        <v>0</v>
      </c>
      <c r="K214" s="204">
        <f>IFERROR(VLOOKUP($A214,'Budget &amp; Revenue'!$A:$AM,21,FALSE)," ")</f>
        <v>0.1</v>
      </c>
      <c r="L214" s="204">
        <f>IFERROR(VLOOKUP($A214,'Budget &amp; Revenue'!$A:$AM,23,FALSE)," ")</f>
        <v>0.1</v>
      </c>
      <c r="M214" s="204">
        <f>IFERROR(VLOOKUP($A214,'Budget &amp; Revenue'!$A:$AM,25,FALSE)," ")</f>
        <v>0.8</v>
      </c>
      <c r="N214" s="204">
        <f>IFERROR(VLOOKUP($A214,'Budget &amp; Revenue'!$A:$AM,27,FALSE)," ")</f>
        <v>0.9</v>
      </c>
      <c r="O214" s="204">
        <f>IFERROR(VLOOKUP($A214,'Budget &amp; Revenue'!$A:$AM,29,FALSE)," ")</f>
        <v>0.95</v>
      </c>
      <c r="P214" s="204">
        <f>IFERROR(VLOOKUP($A214,'Budget &amp; Revenue'!$A:$AM,31,FALSE)," ")</f>
        <v>1</v>
      </c>
      <c r="Q214" s="204">
        <f>IFERROR(VLOOKUP($A214,'Budget &amp; Revenue'!$A:$AM,33,FALSE)," ")</f>
        <v>1</v>
      </c>
      <c r="R214" s="204">
        <f>IFERROR(VLOOKUP($A214,'Budget &amp; Revenue'!$A:$AM,35,FALSE)," ")</f>
        <v>1</v>
      </c>
      <c r="S214" s="204">
        <f>IFERROR(VLOOKUP($A214,'Budget &amp; Revenue'!$A:$AM,37,FALSE)," ")</f>
        <v>1</v>
      </c>
      <c r="T214" s="204">
        <f>IFERROR(VLOOKUP($A214,'Budget &amp; Revenue'!$A:$AM,39,FALSE)," ")</f>
        <v>1</v>
      </c>
    </row>
    <row r="215" spans="1:20" ht="30" x14ac:dyDescent="0.25">
      <c r="A215" s="80">
        <v>208</v>
      </c>
      <c r="B215" s="201" t="str">
        <f>VLOOKUP(A215,Estimate!A:C,3,FALSE)</f>
        <v>Special Item - Demolition of Structure (concrete slabs, culverts, pipes etc)</v>
      </c>
      <c r="C215" s="80">
        <f>VLOOKUP(A215,Estimate!A:L,12,FALSE)</f>
        <v>2</v>
      </c>
      <c r="D215" s="234">
        <v>214</v>
      </c>
      <c r="E215" s="236">
        <v>217285</v>
      </c>
      <c r="F215" s="235">
        <f>IFERROR(VLOOKUP(A215,Estimate!A:Q,17,FALSE)," ")</f>
        <v>10066.666666666666</v>
      </c>
      <c r="G215" s="204">
        <f>IFERROR(VLOOKUP($A215,'Budget &amp; Revenue'!$A:$AM,13,FALSE)," ")</f>
        <v>0</v>
      </c>
      <c r="H215" s="204">
        <f>IFERROR(VLOOKUP($A215,'Budget &amp; Revenue'!$A:$AM,15,FALSE)," ")</f>
        <v>0</v>
      </c>
      <c r="I215" s="204">
        <f>IFERROR(VLOOKUP($A215,'Budget &amp; Revenue'!$A:$AM,17,FALSE)," ")</f>
        <v>0</v>
      </c>
      <c r="J215" s="204">
        <f>IFERROR(VLOOKUP($A215,'Budget &amp; Revenue'!$A:$AM,19,FALSE)," ")</f>
        <v>0</v>
      </c>
      <c r="K215" s="204">
        <f>IFERROR(VLOOKUP($A215,'Budget &amp; Revenue'!$A:$AM,21,FALSE)," ")</f>
        <v>0</v>
      </c>
      <c r="L215" s="204">
        <f>IFERROR(VLOOKUP($A215,'Budget &amp; Revenue'!$A:$AM,23,FALSE)," ")</f>
        <v>0</v>
      </c>
      <c r="M215" s="204">
        <f>IFERROR(VLOOKUP($A215,'Budget &amp; Revenue'!$A:$AM,25,FALSE)," ")</f>
        <v>0.8</v>
      </c>
      <c r="N215" s="204">
        <f>IFERROR(VLOOKUP($A215,'Budget &amp; Revenue'!$A:$AM,27,FALSE)," ")</f>
        <v>1</v>
      </c>
      <c r="O215" s="204">
        <f>IFERROR(VLOOKUP($A215,'Budget &amp; Revenue'!$A:$AM,29,FALSE)," ")</f>
        <v>1</v>
      </c>
      <c r="P215" s="204">
        <f>IFERROR(VLOOKUP($A215,'Budget &amp; Revenue'!$A:$AM,31,FALSE)," ")</f>
        <v>1</v>
      </c>
      <c r="Q215" s="204">
        <f>IFERROR(VLOOKUP($A215,'Budget &amp; Revenue'!$A:$AM,33,FALSE)," ")</f>
        <v>1</v>
      </c>
      <c r="R215" s="204">
        <f>IFERROR(VLOOKUP($A215,'Budget &amp; Revenue'!$A:$AM,35,FALSE)," ")</f>
        <v>1</v>
      </c>
      <c r="S215" s="204">
        <f>IFERROR(VLOOKUP($A215,'Budget &amp; Revenue'!$A:$AM,37,FALSE)," ")</f>
        <v>1</v>
      </c>
      <c r="T215" s="204">
        <f>IFERROR(VLOOKUP($A215,'Budget &amp; Revenue'!$A:$AM,39,FALSE)," ")</f>
        <v>1</v>
      </c>
    </row>
    <row r="216" spans="1:20" x14ac:dyDescent="0.25">
      <c r="A216" s="80">
        <v>209</v>
      </c>
      <c r="B216" s="201" t="str">
        <f>VLOOKUP(A216,Estimate!A:C,3,FALSE)</f>
        <v>General Earthworks Cut</v>
      </c>
      <c r="C216" s="80">
        <f>VLOOKUP(A216,Estimate!A:L,12,FALSE)</f>
        <v>6</v>
      </c>
      <c r="D216" s="234">
        <v>214</v>
      </c>
      <c r="E216" s="234">
        <v>224</v>
      </c>
      <c r="F216" s="235">
        <f>IFERROR(VLOOKUP(A216,Estimate!A:Q,17,FALSE)," ")</f>
        <v>34970.243902439026</v>
      </c>
      <c r="G216" s="204">
        <f>IFERROR(VLOOKUP($A216,'Budget &amp; Revenue'!$A:$AM,13,FALSE)," ")</f>
        <v>0</v>
      </c>
      <c r="H216" s="204">
        <f>IFERROR(VLOOKUP($A216,'Budget &amp; Revenue'!$A:$AM,15,FALSE)," ")</f>
        <v>0</v>
      </c>
      <c r="I216" s="204">
        <f>IFERROR(VLOOKUP($A216,'Budget &amp; Revenue'!$A:$AM,17,FALSE)," ")</f>
        <v>0</v>
      </c>
      <c r="J216" s="204">
        <f>IFERROR(VLOOKUP($A216,'Budget &amp; Revenue'!$A:$AM,19,FALSE)," ")</f>
        <v>0</v>
      </c>
      <c r="K216" s="204">
        <f>IFERROR(VLOOKUP($A216,'Budget &amp; Revenue'!$A:$AM,21,FALSE)," ")</f>
        <v>0</v>
      </c>
      <c r="L216" s="204">
        <f>IFERROR(VLOOKUP($A216,'Budget &amp; Revenue'!$A:$AM,23,FALSE)," ")</f>
        <v>0</v>
      </c>
      <c r="M216" s="204">
        <f>IFERROR(VLOOKUP($A216,'Budget &amp; Revenue'!$A:$AM,25,FALSE)," ")</f>
        <v>4.7058823529411766E-4</v>
      </c>
      <c r="N216" s="204">
        <f>IFERROR(VLOOKUP($A216,'Budget &amp; Revenue'!$A:$AM,27,FALSE)," ")</f>
        <v>1</v>
      </c>
      <c r="O216" s="204">
        <f>IFERROR(VLOOKUP($A216,'Budget &amp; Revenue'!$A:$AM,29,FALSE)," ")</f>
        <v>1</v>
      </c>
      <c r="P216" s="204">
        <f>IFERROR(VLOOKUP($A216,'Budget &amp; Revenue'!$A:$AM,31,FALSE)," ")</f>
        <v>1</v>
      </c>
      <c r="Q216" s="204">
        <f>IFERROR(VLOOKUP($A216,'Budget &amp; Revenue'!$A:$AM,33,FALSE)," ")</f>
        <v>1</v>
      </c>
      <c r="R216" s="204">
        <f>IFERROR(VLOOKUP($A216,'Budget &amp; Revenue'!$A:$AM,35,FALSE)," ")</f>
        <v>1</v>
      </c>
      <c r="S216" s="204">
        <f>IFERROR(VLOOKUP($A216,'Budget &amp; Revenue'!$A:$AM,37,FALSE)," ")</f>
        <v>1</v>
      </c>
      <c r="T216" s="204">
        <f>IFERROR(VLOOKUP($A216,'Budget &amp; Revenue'!$A:$AM,39,FALSE)," ")</f>
        <v>1</v>
      </c>
    </row>
    <row r="217" spans="1:20" x14ac:dyDescent="0.25">
      <c r="A217" s="80">
        <v>210</v>
      </c>
      <c r="B217" s="201" t="str">
        <f>VLOOKUP(A217,Estimate!A:C,3,FALSE)</f>
        <v xml:space="preserve"> Removal / Demolition of Drainage Components complete</v>
      </c>
      <c r="C217" s="80">
        <f>VLOOKUP(A217,Estimate!A:L,12,FALSE)</f>
        <v>2</v>
      </c>
      <c r="D217" s="234">
        <v>215</v>
      </c>
      <c r="E217" s="236">
        <v>218280283</v>
      </c>
      <c r="F217" s="235">
        <f>IFERROR(VLOOKUP(A217,Estimate!A:Q,17,FALSE)," ")</f>
        <v>5490.9090909090919</v>
      </c>
      <c r="G217" s="204">
        <f>IFERROR(VLOOKUP($A217,'Budget &amp; Revenue'!$A:$AM,13,FALSE)," ")</f>
        <v>0</v>
      </c>
      <c r="H217" s="204">
        <f>IFERROR(VLOOKUP($A217,'Budget &amp; Revenue'!$A:$AM,15,FALSE)," ")</f>
        <v>0</v>
      </c>
      <c r="I217" s="204">
        <f>IFERROR(VLOOKUP($A217,'Budget &amp; Revenue'!$A:$AM,17,FALSE)," ")</f>
        <v>0</v>
      </c>
      <c r="J217" s="204">
        <f>IFERROR(VLOOKUP($A217,'Budget &amp; Revenue'!$A:$AM,19,FALSE)," ")</f>
        <v>0</v>
      </c>
      <c r="K217" s="204">
        <f>IFERROR(VLOOKUP($A217,'Budget &amp; Revenue'!$A:$AM,21,FALSE)," ")</f>
        <v>1</v>
      </c>
      <c r="L217" s="204">
        <f>IFERROR(VLOOKUP($A217,'Budget &amp; Revenue'!$A:$AM,23,FALSE)," ")</f>
        <v>1</v>
      </c>
      <c r="M217" s="204">
        <f>IFERROR(VLOOKUP($A217,'Budget &amp; Revenue'!$A:$AM,25,FALSE)," ")</f>
        <v>1</v>
      </c>
      <c r="N217" s="204">
        <f>IFERROR(VLOOKUP($A217,'Budget &amp; Revenue'!$A:$AM,27,FALSE)," ")</f>
        <v>1</v>
      </c>
      <c r="O217" s="204">
        <f>IFERROR(VLOOKUP($A217,'Budget &amp; Revenue'!$A:$AM,29,FALSE)," ")</f>
        <v>1</v>
      </c>
      <c r="P217" s="204">
        <f>IFERROR(VLOOKUP($A217,'Budget &amp; Revenue'!$A:$AM,31,FALSE)," ")</f>
        <v>1</v>
      </c>
      <c r="Q217" s="204">
        <f>IFERROR(VLOOKUP($A217,'Budget &amp; Revenue'!$A:$AM,33,FALSE)," ")</f>
        <v>1</v>
      </c>
      <c r="R217" s="204">
        <f>IFERROR(VLOOKUP($A217,'Budget &amp; Revenue'!$A:$AM,35,FALSE)," ")</f>
        <v>1</v>
      </c>
      <c r="S217" s="204">
        <f>IFERROR(VLOOKUP($A217,'Budget &amp; Revenue'!$A:$AM,37,FALSE)," ")</f>
        <v>1</v>
      </c>
      <c r="T217" s="204">
        <f>IFERROR(VLOOKUP($A217,'Budget &amp; Revenue'!$A:$AM,39,FALSE)," ")</f>
        <v>1</v>
      </c>
    </row>
    <row r="218" spans="1:20" x14ac:dyDescent="0.25">
      <c r="A218" s="80">
        <v>211</v>
      </c>
      <c r="B218" s="201" t="str">
        <f>VLOOKUP(A218,Estimate!A:C,3,FALSE)</f>
        <v>Alteration to Existing Stormwater Structures</v>
      </c>
      <c r="C218" s="80">
        <f>VLOOKUP(A218,Estimate!A:L,12,FALSE)</f>
        <v>6</v>
      </c>
      <c r="D218" s="236">
        <v>217284286</v>
      </c>
      <c r="E218" s="234">
        <v>220</v>
      </c>
      <c r="F218" s="235">
        <f>IFERROR(VLOOKUP(A218,Estimate!A:Q,17,FALSE)," ")</f>
        <v>7860</v>
      </c>
      <c r="G218" s="204">
        <f>IFERROR(VLOOKUP($A218,'Budget &amp; Revenue'!$A:$AM,13,FALSE)," ")</f>
        <v>0</v>
      </c>
      <c r="H218" s="204">
        <f>IFERROR(VLOOKUP($A218,'Budget &amp; Revenue'!$A:$AM,15,FALSE)," ")</f>
        <v>0</v>
      </c>
      <c r="I218" s="204">
        <f>IFERROR(VLOOKUP($A218,'Budget &amp; Revenue'!$A:$AM,17,FALSE)," ")</f>
        <v>0</v>
      </c>
      <c r="J218" s="204">
        <f>IFERROR(VLOOKUP($A218,'Budget &amp; Revenue'!$A:$AM,19,FALSE)," ")</f>
        <v>0</v>
      </c>
      <c r="K218" s="204">
        <f>IFERROR(VLOOKUP($A218,'Budget &amp; Revenue'!$A:$AM,21,FALSE)," ")</f>
        <v>0</v>
      </c>
      <c r="L218" s="204">
        <f>IFERROR(VLOOKUP($A218,'Budget &amp; Revenue'!$A:$AM,23,FALSE)," ")</f>
        <v>0</v>
      </c>
      <c r="M218" s="204">
        <f>IFERROR(VLOOKUP($A218,'Budget &amp; Revenue'!$A:$AM,25,FALSE)," ")</f>
        <v>1</v>
      </c>
      <c r="N218" s="204">
        <f>IFERROR(VLOOKUP($A218,'Budget &amp; Revenue'!$A:$AM,27,FALSE)," ")</f>
        <v>1</v>
      </c>
      <c r="O218" s="204">
        <f>IFERROR(VLOOKUP($A218,'Budget &amp; Revenue'!$A:$AM,29,FALSE)," ")</f>
        <v>1</v>
      </c>
      <c r="P218" s="204">
        <f>IFERROR(VLOOKUP($A218,'Budget &amp; Revenue'!$A:$AM,31,FALSE)," ")</f>
        <v>1</v>
      </c>
      <c r="Q218" s="204">
        <f>IFERROR(VLOOKUP($A218,'Budget &amp; Revenue'!$A:$AM,33,FALSE)," ")</f>
        <v>1</v>
      </c>
      <c r="R218" s="204">
        <f>IFERROR(VLOOKUP($A218,'Budget &amp; Revenue'!$A:$AM,35,FALSE)," ")</f>
        <v>1</v>
      </c>
      <c r="S218" s="204">
        <f>IFERROR(VLOOKUP($A218,'Budget &amp; Revenue'!$A:$AM,37,FALSE)," ")</f>
        <v>1</v>
      </c>
      <c r="T218" s="204">
        <f>IFERROR(VLOOKUP($A218,'Budget &amp; Revenue'!$A:$AM,39,FALSE)," ")</f>
        <v>1</v>
      </c>
    </row>
    <row r="219" spans="1:20" x14ac:dyDescent="0.25">
      <c r="A219" s="80">
        <v>212</v>
      </c>
      <c r="B219" s="201" t="str">
        <f>VLOOKUP(A219,Estimate!A:C,3,FALSE)</f>
        <v>Connect property drainage pipes</v>
      </c>
      <c r="C219" s="80">
        <f>VLOOKUP(A219,Estimate!A:L,12,FALSE)</f>
        <v>4</v>
      </c>
      <c r="D219" s="234">
        <v>222</v>
      </c>
      <c r="E219" s="234">
        <v>242</v>
      </c>
      <c r="F219" s="235">
        <f>IFERROR(VLOOKUP(A219,Estimate!A:Q,17,FALSE)," ")</f>
        <v>6715</v>
      </c>
      <c r="G219" s="204">
        <f>IFERROR(VLOOKUP($A219,'Budget &amp; Revenue'!$A:$AM,13,FALSE)," ")</f>
        <v>0</v>
      </c>
      <c r="H219" s="204">
        <f>IFERROR(VLOOKUP($A219,'Budget &amp; Revenue'!$A:$AM,15,FALSE)," ")</f>
        <v>0</v>
      </c>
      <c r="I219" s="204">
        <f>IFERROR(VLOOKUP($A219,'Budget &amp; Revenue'!$A:$AM,17,FALSE)," ")</f>
        <v>0</v>
      </c>
      <c r="J219" s="204">
        <f>IFERROR(VLOOKUP($A219,'Budget &amp; Revenue'!$A:$AM,19,FALSE)," ")</f>
        <v>0</v>
      </c>
      <c r="K219" s="204">
        <f>IFERROR(VLOOKUP($A219,'Budget &amp; Revenue'!$A:$AM,21,FALSE)," ")</f>
        <v>0</v>
      </c>
      <c r="L219" s="204">
        <f>IFERROR(VLOOKUP($A219,'Budget &amp; Revenue'!$A:$AM,23,FALSE)," ")</f>
        <v>0</v>
      </c>
      <c r="M219" s="204">
        <f>IFERROR(VLOOKUP($A219,'Budget &amp; Revenue'!$A:$AM,25,FALSE)," ")</f>
        <v>0.5</v>
      </c>
      <c r="N219" s="204">
        <f>IFERROR(VLOOKUP($A219,'Budget &amp; Revenue'!$A:$AM,27,FALSE)," ")</f>
        <v>1</v>
      </c>
      <c r="O219" s="204">
        <f>IFERROR(VLOOKUP($A219,'Budget &amp; Revenue'!$A:$AM,29,FALSE)," ")</f>
        <v>1</v>
      </c>
      <c r="P219" s="204">
        <f>IFERROR(VLOOKUP($A219,'Budget &amp; Revenue'!$A:$AM,31,FALSE)," ")</f>
        <v>1</v>
      </c>
      <c r="Q219" s="204">
        <f>IFERROR(VLOOKUP($A219,'Budget &amp; Revenue'!$A:$AM,33,FALSE)," ")</f>
        <v>1</v>
      </c>
      <c r="R219" s="204">
        <f>IFERROR(VLOOKUP($A219,'Budget &amp; Revenue'!$A:$AM,35,FALSE)," ")</f>
        <v>1</v>
      </c>
      <c r="S219" s="204">
        <f>IFERROR(VLOOKUP($A219,'Budget &amp; Revenue'!$A:$AM,37,FALSE)," ")</f>
        <v>1</v>
      </c>
      <c r="T219" s="204">
        <f>IFERROR(VLOOKUP($A219,'Budget &amp; Revenue'!$A:$AM,39,FALSE)," ")</f>
        <v>1</v>
      </c>
    </row>
    <row r="220" spans="1:20" x14ac:dyDescent="0.25">
      <c r="A220" s="80">
        <v>213</v>
      </c>
      <c r="B220" s="201" t="str">
        <f>VLOOKUP(A220,Estimate!A:C,3,FALSE)</f>
        <v>In-Situ reinforced concrete Base Slab for culverts complete</v>
      </c>
      <c r="C220" s="80">
        <f>VLOOKUP(A220,Estimate!A:L,12,FALSE)</f>
        <v>3</v>
      </c>
      <c r="D220" s="234">
        <v>218</v>
      </c>
      <c r="E220" s="234">
        <v>221</v>
      </c>
      <c r="F220" s="235">
        <f>IFERROR(VLOOKUP(A220,Estimate!A:Q,17,FALSE)," ")</f>
        <v>4557.3111111111111</v>
      </c>
      <c r="G220" s="204">
        <f>IFERROR(VLOOKUP($A220,'Budget &amp; Revenue'!$A:$AM,13,FALSE)," ")</f>
        <v>0</v>
      </c>
      <c r="H220" s="204">
        <f>IFERROR(VLOOKUP($A220,'Budget &amp; Revenue'!$A:$AM,15,FALSE)," ")</f>
        <v>0</v>
      </c>
      <c r="I220" s="204">
        <f>IFERROR(VLOOKUP($A220,'Budget &amp; Revenue'!$A:$AM,17,FALSE)," ")</f>
        <v>0</v>
      </c>
      <c r="J220" s="204">
        <f>IFERROR(VLOOKUP($A220,'Budget &amp; Revenue'!$A:$AM,19,FALSE)," ")</f>
        <v>0</v>
      </c>
      <c r="K220" s="204">
        <f>IFERROR(VLOOKUP($A220,'Budget &amp; Revenue'!$A:$AM,21,FALSE)," ")</f>
        <v>0</v>
      </c>
      <c r="L220" s="204">
        <f>IFERROR(VLOOKUP($A220,'Budget &amp; Revenue'!$A:$AM,23,FALSE)," ")</f>
        <v>0</v>
      </c>
      <c r="M220" s="204">
        <f>IFERROR(VLOOKUP($A220,'Budget &amp; Revenue'!$A:$AM,25,FALSE)," ")</f>
        <v>0</v>
      </c>
      <c r="N220" s="204">
        <f>IFERROR(VLOOKUP($A220,'Budget &amp; Revenue'!$A:$AM,27,FALSE)," ")</f>
        <v>1</v>
      </c>
      <c r="O220" s="204">
        <f>IFERROR(VLOOKUP($A220,'Budget &amp; Revenue'!$A:$AM,29,FALSE)," ")</f>
        <v>1</v>
      </c>
      <c r="P220" s="204">
        <f>IFERROR(VLOOKUP($A220,'Budget &amp; Revenue'!$A:$AM,31,FALSE)," ")</f>
        <v>1</v>
      </c>
      <c r="Q220" s="204">
        <f>IFERROR(VLOOKUP($A220,'Budget &amp; Revenue'!$A:$AM,33,FALSE)," ")</f>
        <v>1</v>
      </c>
      <c r="R220" s="204">
        <f>IFERROR(VLOOKUP($A220,'Budget &amp; Revenue'!$A:$AM,35,FALSE)," ")</f>
        <v>1</v>
      </c>
      <c r="S220" s="204">
        <f>IFERROR(VLOOKUP($A220,'Budget &amp; Revenue'!$A:$AM,37,FALSE)," ")</f>
        <v>1</v>
      </c>
      <c r="T220" s="204">
        <f>IFERROR(VLOOKUP($A220,'Budget &amp; Revenue'!$A:$AM,39,FALSE)," ")</f>
        <v>1</v>
      </c>
    </row>
    <row r="221" spans="1:20" x14ac:dyDescent="0.25">
      <c r="A221" s="80">
        <v>214</v>
      </c>
      <c r="B221" s="201" t="str">
        <f>VLOOKUP(A221,Estimate!A:C,3,FALSE)</f>
        <v>750 x 300</v>
      </c>
      <c r="C221" s="80">
        <f>VLOOKUP(A221,Estimate!A:L,12,FALSE)</f>
        <v>3</v>
      </c>
      <c r="D221" s="234">
        <v>220</v>
      </c>
      <c r="E221" s="234">
        <v>222</v>
      </c>
      <c r="F221" s="235">
        <f>IFERROR(VLOOKUP(A221,Estimate!A:Q,17,FALSE)," ")</f>
        <v>12883.646666666666</v>
      </c>
      <c r="G221" s="204">
        <f>IFERROR(VLOOKUP($A221,'Budget &amp; Revenue'!$A:$AM,13,FALSE)," ")</f>
        <v>0</v>
      </c>
      <c r="H221" s="204">
        <f>IFERROR(VLOOKUP($A221,'Budget &amp; Revenue'!$A:$AM,15,FALSE)," ")</f>
        <v>0</v>
      </c>
      <c r="I221" s="204">
        <f>IFERROR(VLOOKUP($A221,'Budget &amp; Revenue'!$A:$AM,17,FALSE)," ")</f>
        <v>0</v>
      </c>
      <c r="J221" s="204">
        <f>IFERROR(VLOOKUP($A221,'Budget &amp; Revenue'!$A:$AM,19,FALSE)," ")</f>
        <v>0</v>
      </c>
      <c r="K221" s="204">
        <f>IFERROR(VLOOKUP($A221,'Budget &amp; Revenue'!$A:$AM,21,FALSE)," ")</f>
        <v>1</v>
      </c>
      <c r="L221" s="204">
        <f>IFERROR(VLOOKUP($A221,'Budget &amp; Revenue'!$A:$AM,23,FALSE)," ")</f>
        <v>1</v>
      </c>
      <c r="M221" s="204">
        <f>IFERROR(VLOOKUP($A221,'Budget &amp; Revenue'!$A:$AM,25,FALSE)," ")</f>
        <v>1</v>
      </c>
      <c r="N221" s="204">
        <f>IFERROR(VLOOKUP($A221,'Budget &amp; Revenue'!$A:$AM,27,FALSE)," ")</f>
        <v>1</v>
      </c>
      <c r="O221" s="204">
        <f>IFERROR(VLOOKUP($A221,'Budget &amp; Revenue'!$A:$AM,29,FALSE)," ")</f>
        <v>1</v>
      </c>
      <c r="P221" s="204">
        <f>IFERROR(VLOOKUP($A221,'Budget &amp; Revenue'!$A:$AM,31,FALSE)," ")</f>
        <v>1</v>
      </c>
      <c r="Q221" s="204">
        <f>IFERROR(VLOOKUP($A221,'Budget &amp; Revenue'!$A:$AM,33,FALSE)," ")</f>
        <v>1</v>
      </c>
      <c r="R221" s="204">
        <f>IFERROR(VLOOKUP($A221,'Budget &amp; Revenue'!$A:$AM,35,FALSE)," ")</f>
        <v>1</v>
      </c>
      <c r="S221" s="204">
        <f>IFERROR(VLOOKUP($A221,'Budget &amp; Revenue'!$A:$AM,37,FALSE)," ")</f>
        <v>1</v>
      </c>
      <c r="T221" s="204">
        <f>IFERROR(VLOOKUP($A221,'Budget &amp; Revenue'!$A:$AM,39,FALSE)," ")</f>
        <v>1</v>
      </c>
    </row>
    <row r="222" spans="1:20" x14ac:dyDescent="0.25">
      <c r="A222" s="80">
        <v>215</v>
      </c>
      <c r="B222" s="201" t="str">
        <f>VLOOKUP(A222,Estimate!A:C,3,FALSE)</f>
        <v>MCC Type A Gully Pit</v>
      </c>
      <c r="C222" s="80">
        <f>VLOOKUP(A222,Estimate!A:L,12,FALSE)</f>
        <v>2</v>
      </c>
      <c r="D222" s="234">
        <v>221</v>
      </c>
      <c r="E222" s="234">
        <v>219</v>
      </c>
      <c r="F222" s="235">
        <f>IFERROR(VLOOKUP(A222,Estimate!A:Q,17,FALSE)," ")</f>
        <v>3505</v>
      </c>
      <c r="G222" s="204">
        <f>IFERROR(VLOOKUP($A222,'Budget &amp; Revenue'!$A:$AM,13,FALSE)," ")</f>
        <v>0</v>
      </c>
      <c r="H222" s="204">
        <f>IFERROR(VLOOKUP($A222,'Budget &amp; Revenue'!$A:$AM,15,FALSE)," ")</f>
        <v>0</v>
      </c>
      <c r="I222" s="204">
        <f>IFERROR(VLOOKUP($A222,'Budget &amp; Revenue'!$A:$AM,17,FALSE)," ")</f>
        <v>0</v>
      </c>
      <c r="J222" s="204">
        <f>IFERROR(VLOOKUP($A222,'Budget &amp; Revenue'!$A:$AM,19,FALSE)," ")</f>
        <v>0</v>
      </c>
      <c r="K222" s="204">
        <f>IFERROR(VLOOKUP($A222,'Budget &amp; Revenue'!$A:$AM,21,FALSE)," ")</f>
        <v>0</v>
      </c>
      <c r="L222" s="204">
        <f>IFERROR(VLOOKUP($A222,'Budget &amp; Revenue'!$A:$AM,23,FALSE)," ")</f>
        <v>0</v>
      </c>
      <c r="M222" s="204">
        <f>IFERROR(VLOOKUP($A222,'Budget &amp; Revenue'!$A:$AM,25,FALSE)," ")</f>
        <v>0.5</v>
      </c>
      <c r="N222" s="204">
        <f>IFERROR(VLOOKUP($A222,'Budget &amp; Revenue'!$A:$AM,27,FALSE)," ")</f>
        <v>1</v>
      </c>
      <c r="O222" s="204">
        <f>IFERROR(VLOOKUP($A222,'Budget &amp; Revenue'!$A:$AM,29,FALSE)," ")</f>
        <v>1</v>
      </c>
      <c r="P222" s="204">
        <f>IFERROR(VLOOKUP($A222,'Budget &amp; Revenue'!$A:$AM,31,FALSE)," ")</f>
        <v>1</v>
      </c>
      <c r="Q222" s="204">
        <f>IFERROR(VLOOKUP($A222,'Budget &amp; Revenue'!$A:$AM,33,FALSE)," ")</f>
        <v>1</v>
      </c>
      <c r="R222" s="204">
        <f>IFERROR(VLOOKUP($A222,'Budget &amp; Revenue'!$A:$AM,35,FALSE)," ")</f>
        <v>1</v>
      </c>
      <c r="S222" s="204">
        <f>IFERROR(VLOOKUP($A222,'Budget &amp; Revenue'!$A:$AM,37,FALSE)," ")</f>
        <v>1</v>
      </c>
      <c r="T222" s="204">
        <f>IFERROR(VLOOKUP($A222,'Budget &amp; Revenue'!$A:$AM,39,FALSE)," ")</f>
        <v>1</v>
      </c>
    </row>
    <row r="223" spans="1:20" x14ac:dyDescent="0.25">
      <c r="A223" s="80">
        <v>216</v>
      </c>
      <c r="B223" s="201" t="str">
        <f>VLOOKUP(A223,Estimate!A:C,3,FALSE)</f>
        <v>(i)  Concrete Barrier Kerb &amp; Channel B1 complete</v>
      </c>
      <c r="C223" s="80">
        <f>VLOOKUP(A223,Estimate!A:L,12,FALSE)</f>
        <v>1</v>
      </c>
      <c r="D223" s="236">
        <v>226241282</v>
      </c>
      <c r="E223" s="236">
        <v>228236</v>
      </c>
      <c r="F223" s="235">
        <f>IFERROR(VLOOKUP(A223,Estimate!A:Q,17,FALSE)," ")</f>
        <v>7442.8232558139534</v>
      </c>
      <c r="G223" s="204">
        <f>IFERROR(VLOOKUP($A223,'Budget &amp; Revenue'!$A:$AM,13,FALSE)," ")</f>
        <v>0</v>
      </c>
      <c r="H223" s="204">
        <f>IFERROR(VLOOKUP($A223,'Budget &amp; Revenue'!$A:$AM,15,FALSE)," ")</f>
        <v>0</v>
      </c>
      <c r="I223" s="204">
        <f>IFERROR(VLOOKUP($A223,'Budget &amp; Revenue'!$A:$AM,17,FALSE)," ")</f>
        <v>0</v>
      </c>
      <c r="J223" s="204">
        <f>IFERROR(VLOOKUP($A223,'Budget &amp; Revenue'!$A:$AM,19,FALSE)," ")</f>
        <v>0</v>
      </c>
      <c r="K223" s="204">
        <f>IFERROR(VLOOKUP($A223,'Budget &amp; Revenue'!$A:$AM,21,FALSE)," ")</f>
        <v>0</v>
      </c>
      <c r="L223" s="204">
        <f>IFERROR(VLOOKUP($A223,'Budget &amp; Revenue'!$A:$AM,23,FALSE)," ")</f>
        <v>0</v>
      </c>
      <c r="M223" s="204">
        <f>IFERROR(VLOOKUP($A223,'Budget &amp; Revenue'!$A:$AM,25,FALSE)," ")</f>
        <v>1</v>
      </c>
      <c r="N223" s="204">
        <f>IFERROR(VLOOKUP($A223,'Budget &amp; Revenue'!$A:$AM,27,FALSE)," ")</f>
        <v>1</v>
      </c>
      <c r="O223" s="204">
        <f>IFERROR(VLOOKUP($A223,'Budget &amp; Revenue'!$A:$AM,29,FALSE)," ")</f>
        <v>1</v>
      </c>
      <c r="P223" s="204">
        <f>IFERROR(VLOOKUP($A223,'Budget &amp; Revenue'!$A:$AM,31,FALSE)," ")</f>
        <v>1</v>
      </c>
      <c r="Q223" s="204">
        <f>IFERROR(VLOOKUP($A223,'Budget &amp; Revenue'!$A:$AM,33,FALSE)," ")</f>
        <v>1</v>
      </c>
      <c r="R223" s="204">
        <f>IFERROR(VLOOKUP($A223,'Budget &amp; Revenue'!$A:$AM,35,FALSE)," ")</f>
        <v>1</v>
      </c>
      <c r="S223" s="204">
        <f>IFERROR(VLOOKUP($A223,'Budget &amp; Revenue'!$A:$AM,37,FALSE)," ")</f>
        <v>1</v>
      </c>
      <c r="T223" s="204">
        <f>IFERROR(VLOOKUP($A223,'Budget &amp; Revenue'!$A:$AM,39,FALSE)," ")</f>
        <v>1</v>
      </c>
    </row>
    <row r="224" spans="1:20" ht="30" x14ac:dyDescent="0.25">
      <c r="A224" s="80">
        <v>217</v>
      </c>
      <c r="B224" s="201" t="str">
        <f>VLOOKUP(A224,Estimate!A:C,3,FALSE)</f>
        <v>Subsoil Drain Pipe - 100mm dia Slotted Corrugated Plastic Pipe complete (provisional quantity)</v>
      </c>
      <c r="C224" s="80">
        <f>VLOOKUP(A224,Estimate!A:L,12,FALSE)</f>
        <v>6</v>
      </c>
      <c r="D224" s="234">
        <v>216</v>
      </c>
      <c r="E224" s="234" t="s">
        <v>3070</v>
      </c>
      <c r="F224" s="235">
        <f>IFERROR(VLOOKUP(A224,Estimate!A:Q,17,FALSE)," ")</f>
        <v>17338.539045904588</v>
      </c>
      <c r="G224" s="204">
        <f>IFERROR(VLOOKUP($A224,'Budget &amp; Revenue'!$A:$AM,13,FALSE)," ")</f>
        <v>0</v>
      </c>
      <c r="H224" s="204">
        <f>IFERROR(VLOOKUP($A224,'Budget &amp; Revenue'!$A:$AM,15,FALSE)," ")</f>
        <v>0</v>
      </c>
      <c r="I224" s="204">
        <f>IFERROR(VLOOKUP($A224,'Budget &amp; Revenue'!$A:$AM,17,FALSE)," ")</f>
        <v>0</v>
      </c>
      <c r="J224" s="204">
        <f>IFERROR(VLOOKUP($A224,'Budget &amp; Revenue'!$A:$AM,19,FALSE)," ")</f>
        <v>0</v>
      </c>
      <c r="K224" s="204">
        <f>IFERROR(VLOOKUP($A224,'Budget &amp; Revenue'!$A:$AM,21,FALSE)," ")</f>
        <v>0</v>
      </c>
      <c r="L224" s="204">
        <f>IFERROR(VLOOKUP($A224,'Budget &amp; Revenue'!$A:$AM,23,FALSE)," ")</f>
        <v>0</v>
      </c>
      <c r="M224" s="204">
        <f>IFERROR(VLOOKUP($A224,'Budget &amp; Revenue'!$A:$AM,25,FALSE)," ")</f>
        <v>0.05</v>
      </c>
      <c r="N224" s="204">
        <f>IFERROR(VLOOKUP($A224,'Budget &amp; Revenue'!$A:$AM,27,FALSE)," ")</f>
        <v>1</v>
      </c>
      <c r="O224" s="204">
        <f>IFERROR(VLOOKUP($A224,'Budget &amp; Revenue'!$A:$AM,29,FALSE)," ")</f>
        <v>1</v>
      </c>
      <c r="P224" s="204">
        <f>IFERROR(VLOOKUP($A224,'Budget &amp; Revenue'!$A:$AM,31,FALSE)," ")</f>
        <v>1</v>
      </c>
      <c r="Q224" s="204">
        <f>IFERROR(VLOOKUP($A224,'Budget &amp; Revenue'!$A:$AM,33,FALSE)," ")</f>
        <v>1</v>
      </c>
      <c r="R224" s="204">
        <f>IFERROR(VLOOKUP($A224,'Budget &amp; Revenue'!$A:$AM,35,FALSE)," ")</f>
        <v>1</v>
      </c>
      <c r="S224" s="204">
        <f>IFERROR(VLOOKUP($A224,'Budget &amp; Revenue'!$A:$AM,37,FALSE)," ")</f>
        <v>1</v>
      </c>
      <c r="T224" s="204">
        <f>IFERROR(VLOOKUP($A224,'Budget &amp; Revenue'!$A:$AM,39,FALSE)," ")</f>
        <v>1</v>
      </c>
    </row>
    <row r="225" spans="1:20" x14ac:dyDescent="0.25">
      <c r="A225" s="80">
        <v>218</v>
      </c>
      <c r="B225" s="201" t="str">
        <f>VLOOKUP(A225,Estimate!A:C,3,FALSE)</f>
        <v>Cleanout Structures</v>
      </c>
      <c r="C225" s="80">
        <f>VLOOKUP(A225,Estimate!A:L,12,FALSE)</f>
        <v>2</v>
      </c>
      <c r="D225" s="234" t="s">
        <v>3071</v>
      </c>
      <c r="E225" s="233"/>
      <c r="F225" s="235">
        <f>IFERROR(VLOOKUP(A225,Estimate!A:Q,17,FALSE)," ")</f>
        <v>1716</v>
      </c>
      <c r="G225" s="204">
        <f>IFERROR(VLOOKUP($A225,'Budget &amp; Revenue'!$A:$AM,13,FALSE)," ")</f>
        <v>0</v>
      </c>
      <c r="H225" s="204">
        <f>IFERROR(VLOOKUP($A225,'Budget &amp; Revenue'!$A:$AM,15,FALSE)," ")</f>
        <v>0</v>
      </c>
      <c r="I225" s="204">
        <f>IFERROR(VLOOKUP($A225,'Budget &amp; Revenue'!$A:$AM,17,FALSE)," ")</f>
        <v>0</v>
      </c>
      <c r="J225" s="204">
        <f>IFERROR(VLOOKUP($A225,'Budget &amp; Revenue'!$A:$AM,19,FALSE)," ")</f>
        <v>0</v>
      </c>
      <c r="K225" s="204">
        <f>IFERROR(VLOOKUP($A225,'Budget &amp; Revenue'!$A:$AM,21,FALSE)," ")</f>
        <v>0</v>
      </c>
      <c r="L225" s="204">
        <f>IFERROR(VLOOKUP($A225,'Budget &amp; Revenue'!$A:$AM,23,FALSE)," ")</f>
        <v>0</v>
      </c>
      <c r="M225" s="204">
        <f>IFERROR(VLOOKUP($A225,'Budget &amp; Revenue'!$A:$AM,25,FALSE)," ")</f>
        <v>9.9999999999999992E-2</v>
      </c>
      <c r="N225" s="204">
        <f>IFERROR(VLOOKUP($A225,'Budget &amp; Revenue'!$A:$AM,27,FALSE)," ")</f>
        <v>1</v>
      </c>
      <c r="O225" s="204">
        <f>IFERROR(VLOOKUP($A225,'Budget &amp; Revenue'!$A:$AM,29,FALSE)," ")</f>
        <v>1</v>
      </c>
      <c r="P225" s="204">
        <f>IFERROR(VLOOKUP($A225,'Budget &amp; Revenue'!$A:$AM,31,FALSE)," ")</f>
        <v>1</v>
      </c>
      <c r="Q225" s="204">
        <f>IFERROR(VLOOKUP($A225,'Budget &amp; Revenue'!$A:$AM,33,FALSE)," ")</f>
        <v>1</v>
      </c>
      <c r="R225" s="204">
        <f>IFERROR(VLOOKUP($A225,'Budget &amp; Revenue'!$A:$AM,35,FALSE)," ")</f>
        <v>1</v>
      </c>
      <c r="S225" s="204">
        <f>IFERROR(VLOOKUP($A225,'Budget &amp; Revenue'!$A:$AM,37,FALSE)," ")</f>
        <v>1</v>
      </c>
      <c r="T225" s="204">
        <f>IFERROR(VLOOKUP($A225,'Budget &amp; Revenue'!$A:$AM,39,FALSE)," ")</f>
        <v>1</v>
      </c>
    </row>
    <row r="226" spans="1:20" x14ac:dyDescent="0.25">
      <c r="A226" s="80">
        <v>219</v>
      </c>
      <c r="B226" s="201" t="str">
        <f>VLOOKUP(A226,Estimate!A:C,3,FALSE)</f>
        <v>Place only Type 2.3</v>
      </c>
      <c r="C226" s="80">
        <f>VLOOKUP(A226,Estimate!A:L,12,FALSE)</f>
        <v>4</v>
      </c>
      <c r="D226" s="234">
        <v>227</v>
      </c>
      <c r="E226" s="234">
        <v>223</v>
      </c>
      <c r="F226" s="235">
        <f>IFERROR(VLOOKUP(A226,Estimate!A:Q,17,FALSE)," ")</f>
        <v>23498.568613618118</v>
      </c>
      <c r="G226" s="204">
        <f>IFERROR(VLOOKUP($A226,'Budget &amp; Revenue'!$A:$AM,13,FALSE)," ")</f>
        <v>0</v>
      </c>
      <c r="H226" s="204">
        <f>IFERROR(VLOOKUP($A226,'Budget &amp; Revenue'!$A:$AM,15,FALSE)," ")</f>
        <v>0</v>
      </c>
      <c r="I226" s="204">
        <f>IFERROR(VLOOKUP($A226,'Budget &amp; Revenue'!$A:$AM,17,FALSE)," ")</f>
        <v>0</v>
      </c>
      <c r="J226" s="204">
        <f>IFERROR(VLOOKUP($A226,'Budget &amp; Revenue'!$A:$AM,19,FALSE)," ")</f>
        <v>0</v>
      </c>
      <c r="K226" s="204">
        <f>IFERROR(VLOOKUP($A226,'Budget &amp; Revenue'!$A:$AM,21,FALSE)," ")</f>
        <v>0</v>
      </c>
      <c r="L226" s="204">
        <f>IFERROR(VLOOKUP($A226,'Budget &amp; Revenue'!$A:$AM,23,FALSE)," ")</f>
        <v>0</v>
      </c>
      <c r="M226" s="204">
        <f>IFERROR(VLOOKUP($A226,'Budget &amp; Revenue'!$A:$AM,25,FALSE)," ")</f>
        <v>1</v>
      </c>
      <c r="N226" s="204">
        <f>IFERROR(VLOOKUP($A226,'Budget &amp; Revenue'!$A:$AM,27,FALSE)," ")</f>
        <v>1</v>
      </c>
      <c r="O226" s="204">
        <f>IFERROR(VLOOKUP($A226,'Budget &amp; Revenue'!$A:$AM,29,FALSE)," ")</f>
        <v>1</v>
      </c>
      <c r="P226" s="204">
        <f>IFERROR(VLOOKUP($A226,'Budget &amp; Revenue'!$A:$AM,31,FALSE)," ")</f>
        <v>1</v>
      </c>
      <c r="Q226" s="204">
        <f>IFERROR(VLOOKUP($A226,'Budget &amp; Revenue'!$A:$AM,33,FALSE)," ")</f>
        <v>1</v>
      </c>
      <c r="R226" s="204">
        <f>IFERROR(VLOOKUP($A226,'Budget &amp; Revenue'!$A:$AM,35,FALSE)," ")</f>
        <v>1</v>
      </c>
      <c r="S226" s="204">
        <f>IFERROR(VLOOKUP($A226,'Budget &amp; Revenue'!$A:$AM,37,FALSE)," ")</f>
        <v>1</v>
      </c>
      <c r="T226" s="204">
        <f>IFERROR(VLOOKUP($A226,'Budget &amp; Revenue'!$A:$AM,39,FALSE)," ")</f>
        <v>1</v>
      </c>
    </row>
    <row r="227" spans="1:20" x14ac:dyDescent="0.25">
      <c r="A227" s="80">
        <v>220</v>
      </c>
      <c r="B227" s="201" t="str">
        <f>VLOOKUP(A227,Estimate!A:C,3,FALSE)</f>
        <v>Place only Type 2.5 (cement modified)</v>
      </c>
      <c r="C227" s="80">
        <f>VLOOKUP(A227,Estimate!A:L,12,FALSE)</f>
        <v>5</v>
      </c>
      <c r="D227" s="236">
        <v>224229</v>
      </c>
      <c r="E227" s="236">
        <v>226241240</v>
      </c>
      <c r="F227" s="235">
        <f>IFERROR(VLOOKUP(A227,Estimate!A:Q,17,FALSE)," ")</f>
        <v>31425.796579657967</v>
      </c>
      <c r="G227" s="204">
        <f>IFERROR(VLOOKUP($A227,'Budget &amp; Revenue'!$A:$AM,13,FALSE)," ")</f>
        <v>0</v>
      </c>
      <c r="H227" s="204">
        <f>IFERROR(VLOOKUP($A227,'Budget &amp; Revenue'!$A:$AM,15,FALSE)," ")</f>
        <v>0</v>
      </c>
      <c r="I227" s="204">
        <f>IFERROR(VLOOKUP($A227,'Budget &amp; Revenue'!$A:$AM,17,FALSE)," ")</f>
        <v>0</v>
      </c>
      <c r="J227" s="204">
        <f>IFERROR(VLOOKUP($A227,'Budget &amp; Revenue'!$A:$AM,19,FALSE)," ")</f>
        <v>0</v>
      </c>
      <c r="K227" s="204">
        <f>IFERROR(VLOOKUP($A227,'Budget &amp; Revenue'!$A:$AM,21,FALSE)," ")</f>
        <v>0</v>
      </c>
      <c r="L227" s="204">
        <f>IFERROR(VLOOKUP($A227,'Budget &amp; Revenue'!$A:$AM,23,FALSE)," ")</f>
        <v>0</v>
      </c>
      <c r="M227" s="204">
        <f>IFERROR(VLOOKUP($A227,'Budget &amp; Revenue'!$A:$AM,25,FALSE)," ")</f>
        <v>0.32432432432432434</v>
      </c>
      <c r="N227" s="204">
        <f>IFERROR(VLOOKUP($A227,'Budget &amp; Revenue'!$A:$AM,27,FALSE)," ")</f>
        <v>0.32432432432432434</v>
      </c>
      <c r="O227" s="204">
        <f>IFERROR(VLOOKUP($A227,'Budget &amp; Revenue'!$A:$AM,29,FALSE)," ")</f>
        <v>0.32432432432432434</v>
      </c>
      <c r="P227" s="204">
        <f>IFERROR(VLOOKUP($A227,'Budget &amp; Revenue'!$A:$AM,31,FALSE)," ")</f>
        <v>0.32432432432432434</v>
      </c>
      <c r="Q227" s="204">
        <f>IFERROR(VLOOKUP($A227,'Budget &amp; Revenue'!$A:$AM,33,FALSE)," ")</f>
        <v>0.32432432432432434</v>
      </c>
      <c r="R227" s="204">
        <f>IFERROR(VLOOKUP($A227,'Budget &amp; Revenue'!$A:$AM,35,FALSE)," ")</f>
        <v>0.32432432432432434</v>
      </c>
      <c r="S227" s="204">
        <f>IFERROR(VLOOKUP($A227,'Budget &amp; Revenue'!$A:$AM,37,FALSE)," ")</f>
        <v>0.32432432432432434</v>
      </c>
      <c r="T227" s="204">
        <f>IFERROR(VLOOKUP($A227,'Budget &amp; Revenue'!$A:$AM,39,FALSE)," ")</f>
        <v>0.32432432432432434</v>
      </c>
    </row>
    <row r="228" spans="1:20" x14ac:dyDescent="0.25">
      <c r="A228" s="80">
        <v>221</v>
      </c>
      <c r="B228" s="201" t="str">
        <f>VLOOKUP(A228,Estimate!A:C,3,FALSE)</f>
        <v>Place only Type 2.1</v>
      </c>
      <c r="C228" s="80">
        <f>VLOOKUP(A228,Estimate!A:L,12,FALSE)</f>
        <v>8</v>
      </c>
      <c r="D228" s="234" t="s">
        <v>3072</v>
      </c>
      <c r="E228" s="236">
        <v>231235287</v>
      </c>
      <c r="F228" s="235">
        <f>IFERROR(VLOOKUP(A228,Estimate!A:Q,17,FALSE)," ")</f>
        <v>31590.338044615273</v>
      </c>
      <c r="G228" s="204">
        <f>IFERROR(VLOOKUP($A228,'Budget &amp; Revenue'!$A:$AM,13,FALSE)," ")</f>
        <v>0</v>
      </c>
      <c r="H228" s="204">
        <f>IFERROR(VLOOKUP($A228,'Budget &amp; Revenue'!$A:$AM,15,FALSE)," ")</f>
        <v>0</v>
      </c>
      <c r="I228" s="204">
        <f>IFERROR(VLOOKUP($A228,'Budget &amp; Revenue'!$A:$AM,17,FALSE)," ")</f>
        <v>0</v>
      </c>
      <c r="J228" s="204">
        <f>IFERROR(VLOOKUP($A228,'Budget &amp; Revenue'!$A:$AM,19,FALSE)," ")</f>
        <v>0</v>
      </c>
      <c r="K228" s="204">
        <f>IFERROR(VLOOKUP($A228,'Budget &amp; Revenue'!$A:$AM,21,FALSE)," ")</f>
        <v>0</v>
      </c>
      <c r="L228" s="204">
        <f>IFERROR(VLOOKUP($A228,'Budget &amp; Revenue'!$A:$AM,23,FALSE)," ")</f>
        <v>0</v>
      </c>
      <c r="M228" s="204">
        <f>IFERROR(VLOOKUP($A228,'Budget &amp; Revenue'!$A:$AM,25,FALSE)," ")</f>
        <v>0</v>
      </c>
      <c r="N228" s="204">
        <f>IFERROR(VLOOKUP($A228,'Budget &amp; Revenue'!$A:$AM,27,FALSE)," ")</f>
        <v>1</v>
      </c>
      <c r="O228" s="204">
        <f>IFERROR(VLOOKUP($A228,'Budget &amp; Revenue'!$A:$AM,29,FALSE)," ")</f>
        <v>1</v>
      </c>
      <c r="P228" s="204">
        <f>IFERROR(VLOOKUP($A228,'Budget &amp; Revenue'!$A:$AM,31,FALSE)," ")</f>
        <v>1</v>
      </c>
      <c r="Q228" s="204">
        <f>IFERROR(VLOOKUP($A228,'Budget &amp; Revenue'!$A:$AM,33,FALSE)," ")</f>
        <v>1</v>
      </c>
      <c r="R228" s="204">
        <f>IFERROR(VLOOKUP($A228,'Budget &amp; Revenue'!$A:$AM,35,FALSE)," ")</f>
        <v>1</v>
      </c>
      <c r="S228" s="204">
        <f>IFERROR(VLOOKUP($A228,'Budget &amp; Revenue'!$A:$AM,37,FALSE)," ")</f>
        <v>1</v>
      </c>
      <c r="T228" s="204">
        <f>IFERROR(VLOOKUP($A228,'Budget &amp; Revenue'!$A:$AM,39,FALSE)," ")</f>
        <v>1</v>
      </c>
    </row>
    <row r="229" spans="1:20" x14ac:dyDescent="0.25">
      <c r="A229" s="80">
        <v>222</v>
      </c>
      <c r="B229" s="201" t="str">
        <f>VLOOKUP(A229,Estimate!A:C,3,FALSE)</f>
        <v>Special Item - Geogrid layer</v>
      </c>
      <c r="C229" s="80">
        <f>VLOOKUP(A229,Estimate!A:L,12,FALSE)</f>
        <v>1</v>
      </c>
      <c r="D229" s="234">
        <v>224</v>
      </c>
      <c r="E229" s="234" t="s">
        <v>3114</v>
      </c>
      <c r="F229" s="235">
        <f>IFERROR(VLOOKUP(A229,Estimate!A:Q,17,FALSE)," ")</f>
        <v>16477.993245614038</v>
      </c>
      <c r="G229" s="204">
        <f>IFERROR(VLOOKUP($A229,'Budget &amp; Revenue'!$A:$AM,13,FALSE)," ")</f>
        <v>0</v>
      </c>
      <c r="H229" s="204">
        <f>IFERROR(VLOOKUP($A229,'Budget &amp; Revenue'!$A:$AM,15,FALSE)," ")</f>
        <v>0</v>
      </c>
      <c r="I229" s="204">
        <f>IFERROR(VLOOKUP($A229,'Budget &amp; Revenue'!$A:$AM,17,FALSE)," ")</f>
        <v>0</v>
      </c>
      <c r="J229" s="204">
        <f>IFERROR(VLOOKUP($A229,'Budget &amp; Revenue'!$A:$AM,19,FALSE)," ")</f>
        <v>0</v>
      </c>
      <c r="K229" s="204">
        <f>IFERROR(VLOOKUP($A229,'Budget &amp; Revenue'!$A:$AM,21,FALSE)," ")</f>
        <v>0</v>
      </c>
      <c r="L229" s="204">
        <f>IFERROR(VLOOKUP($A229,'Budget &amp; Revenue'!$A:$AM,23,FALSE)," ")</f>
        <v>0</v>
      </c>
      <c r="M229" s="204">
        <f>IFERROR(VLOOKUP($A229,'Budget &amp; Revenue'!$A:$AM,25,FALSE)," ")</f>
        <v>1</v>
      </c>
      <c r="N229" s="204">
        <f>IFERROR(VLOOKUP($A229,'Budget &amp; Revenue'!$A:$AM,27,FALSE)," ")</f>
        <v>1</v>
      </c>
      <c r="O229" s="204">
        <f>IFERROR(VLOOKUP($A229,'Budget &amp; Revenue'!$A:$AM,29,FALSE)," ")</f>
        <v>1</v>
      </c>
      <c r="P229" s="204">
        <f>IFERROR(VLOOKUP($A229,'Budget &amp; Revenue'!$A:$AM,31,FALSE)," ")</f>
        <v>1</v>
      </c>
      <c r="Q229" s="204">
        <f>IFERROR(VLOOKUP($A229,'Budget &amp; Revenue'!$A:$AM,33,FALSE)," ")</f>
        <v>1</v>
      </c>
      <c r="R229" s="204">
        <f>IFERROR(VLOOKUP($A229,'Budget &amp; Revenue'!$A:$AM,35,FALSE)," ")</f>
        <v>1</v>
      </c>
      <c r="S229" s="204">
        <f>IFERROR(VLOOKUP($A229,'Budget &amp; Revenue'!$A:$AM,37,FALSE)," ")</f>
        <v>1</v>
      </c>
      <c r="T229" s="204">
        <f>IFERROR(VLOOKUP($A229,'Budget &amp; Revenue'!$A:$AM,39,FALSE)," ")</f>
        <v>1</v>
      </c>
    </row>
    <row r="230" spans="1:20" x14ac:dyDescent="0.25">
      <c r="A230" s="80">
        <v>223</v>
      </c>
      <c r="B230" s="201" t="str">
        <f>VLOOKUP(A230,Estimate!A:C,3,FALSE)</f>
        <v>Special Item - Geotextile layer</v>
      </c>
      <c r="C230" s="80">
        <f>VLOOKUP(A230,Estimate!A:L,12,FALSE)</f>
        <v>1</v>
      </c>
      <c r="D230" s="234" t="s">
        <v>3073</v>
      </c>
      <c r="E230" s="233"/>
      <c r="F230" s="235">
        <f>IFERROR(VLOOKUP(A230,Estimate!A:Q,17,FALSE)," ")</f>
        <v>4372.8232456140358</v>
      </c>
      <c r="G230" s="204">
        <f>IFERROR(VLOOKUP($A230,'Budget &amp; Revenue'!$A:$AM,13,FALSE)," ")</f>
        <v>0</v>
      </c>
      <c r="H230" s="204">
        <f>IFERROR(VLOOKUP($A230,'Budget &amp; Revenue'!$A:$AM,15,FALSE)," ")</f>
        <v>0</v>
      </c>
      <c r="I230" s="204">
        <f>IFERROR(VLOOKUP($A230,'Budget &amp; Revenue'!$A:$AM,17,FALSE)," ")</f>
        <v>0</v>
      </c>
      <c r="J230" s="204">
        <f>IFERROR(VLOOKUP($A230,'Budget &amp; Revenue'!$A:$AM,19,FALSE)," ")</f>
        <v>0</v>
      </c>
      <c r="K230" s="204">
        <f>IFERROR(VLOOKUP($A230,'Budget &amp; Revenue'!$A:$AM,21,FALSE)," ")</f>
        <v>0</v>
      </c>
      <c r="L230" s="204">
        <f>IFERROR(VLOOKUP($A230,'Budget &amp; Revenue'!$A:$AM,23,FALSE)," ")</f>
        <v>0</v>
      </c>
      <c r="M230" s="204">
        <f>IFERROR(VLOOKUP($A230,'Budget &amp; Revenue'!$A:$AM,25,FALSE)," ")</f>
        <v>1</v>
      </c>
      <c r="N230" s="204">
        <f>IFERROR(VLOOKUP($A230,'Budget &amp; Revenue'!$A:$AM,27,FALSE)," ")</f>
        <v>1</v>
      </c>
      <c r="O230" s="204">
        <f>IFERROR(VLOOKUP($A230,'Budget &amp; Revenue'!$A:$AM,29,FALSE)," ")</f>
        <v>1</v>
      </c>
      <c r="P230" s="204">
        <f>IFERROR(VLOOKUP($A230,'Budget &amp; Revenue'!$A:$AM,31,FALSE)," ")</f>
        <v>1</v>
      </c>
      <c r="Q230" s="204">
        <f>IFERROR(VLOOKUP($A230,'Budget &amp; Revenue'!$A:$AM,33,FALSE)," ")</f>
        <v>1</v>
      </c>
      <c r="R230" s="204">
        <f>IFERROR(VLOOKUP($A230,'Budget &amp; Revenue'!$A:$AM,35,FALSE)," ")</f>
        <v>1</v>
      </c>
      <c r="S230" s="204">
        <f>IFERROR(VLOOKUP($A230,'Budget &amp; Revenue'!$A:$AM,37,FALSE)," ")</f>
        <v>1</v>
      </c>
      <c r="T230" s="204">
        <f>IFERROR(VLOOKUP($A230,'Budget &amp; Revenue'!$A:$AM,39,FALSE)," ")</f>
        <v>1</v>
      </c>
    </row>
    <row r="231" spans="1:20" x14ac:dyDescent="0.25">
      <c r="A231" s="80">
        <v>224</v>
      </c>
      <c r="B231" s="201" t="str">
        <f>VLOOKUP(A231,Estimate!A:C,3,FALSE)</f>
        <v>(ii)  14mm Nominal Size</v>
      </c>
      <c r="C231" s="80">
        <f>VLOOKUP(A231,Estimate!A:L,12,FALSE)</f>
        <v>3</v>
      </c>
      <c r="D231" s="234" t="s">
        <v>3074</v>
      </c>
      <c r="E231" s="234" t="s">
        <v>3075</v>
      </c>
      <c r="F231" s="235">
        <f>IFERROR(VLOOKUP(A231,Estimate!A:Q,17,FALSE)," ")</f>
        <v>100970.1</v>
      </c>
      <c r="G231" s="204">
        <f>IFERROR(VLOOKUP($A231,'Budget &amp; Revenue'!$A:$AM,13,FALSE)," ")</f>
        <v>0</v>
      </c>
      <c r="H231" s="204">
        <f>IFERROR(VLOOKUP($A231,'Budget &amp; Revenue'!$A:$AM,15,FALSE)," ")</f>
        <v>0</v>
      </c>
      <c r="I231" s="204">
        <f>IFERROR(VLOOKUP($A231,'Budget &amp; Revenue'!$A:$AM,17,FALSE)," ")</f>
        <v>0</v>
      </c>
      <c r="J231" s="204">
        <f>IFERROR(VLOOKUP($A231,'Budget &amp; Revenue'!$A:$AM,19,FALSE)," ")</f>
        <v>0</v>
      </c>
      <c r="K231" s="204">
        <f>IFERROR(VLOOKUP($A231,'Budget &amp; Revenue'!$A:$AM,21,FALSE)," ")</f>
        <v>0</v>
      </c>
      <c r="L231" s="204">
        <f>IFERROR(VLOOKUP($A231,'Budget &amp; Revenue'!$A:$AM,23,FALSE)," ")</f>
        <v>0</v>
      </c>
      <c r="M231" s="204">
        <f>IFERROR(VLOOKUP($A231,'Budget &amp; Revenue'!$A:$AM,25,FALSE)," ")</f>
        <v>0</v>
      </c>
      <c r="N231" s="204">
        <f>IFERROR(VLOOKUP($A231,'Budget &amp; Revenue'!$A:$AM,27,FALSE)," ")</f>
        <v>0</v>
      </c>
      <c r="O231" s="204">
        <f>IFERROR(VLOOKUP($A231,'Budget &amp; Revenue'!$A:$AM,29,FALSE)," ")</f>
        <v>0</v>
      </c>
      <c r="P231" s="204">
        <f>IFERROR(VLOOKUP($A231,'Budget &amp; Revenue'!$A:$AM,31,FALSE)," ")</f>
        <v>1</v>
      </c>
      <c r="Q231" s="204">
        <f>IFERROR(VLOOKUP($A231,'Budget &amp; Revenue'!$A:$AM,33,FALSE)," ")</f>
        <v>1</v>
      </c>
      <c r="R231" s="204">
        <f>IFERROR(VLOOKUP($A231,'Budget &amp; Revenue'!$A:$AM,35,FALSE)," ")</f>
        <v>1</v>
      </c>
      <c r="S231" s="204">
        <f>IFERROR(VLOOKUP($A231,'Budget &amp; Revenue'!$A:$AM,37,FALSE)," ")</f>
        <v>1</v>
      </c>
      <c r="T231" s="204">
        <f>IFERROR(VLOOKUP($A231,'Budget &amp; Revenue'!$A:$AM,39,FALSE)," ")</f>
        <v>1</v>
      </c>
    </row>
    <row r="232" spans="1:20" ht="30" x14ac:dyDescent="0.25">
      <c r="A232" s="80">
        <v>225</v>
      </c>
      <c r="B232" s="201" t="str">
        <f>VLOOKUP(A232,Estimate!A:C,3,FALSE)</f>
        <v>Pavement Marking Paint - Longitudinal Lines including car parking bays</v>
      </c>
      <c r="C232" s="80">
        <f>VLOOKUP(A232,Estimate!A:L,12,FALSE)</f>
        <v>1</v>
      </c>
      <c r="D232" s="234" t="s">
        <v>3076</v>
      </c>
      <c r="E232" s="234">
        <v>233</v>
      </c>
      <c r="F232" s="235">
        <f>IFERROR(VLOOKUP(A232,Estimate!A:Q,17,FALSE)," ")</f>
        <v>5000</v>
      </c>
      <c r="G232" s="204">
        <f>IFERROR(VLOOKUP($A232,'Budget &amp; Revenue'!$A:$AM,13,FALSE)," ")</f>
        <v>0</v>
      </c>
      <c r="H232" s="204">
        <f>IFERROR(VLOOKUP($A232,'Budget &amp; Revenue'!$A:$AM,15,FALSE)," ")</f>
        <v>0</v>
      </c>
      <c r="I232" s="204">
        <f>IFERROR(VLOOKUP($A232,'Budget &amp; Revenue'!$A:$AM,17,FALSE)," ")</f>
        <v>0</v>
      </c>
      <c r="J232" s="204">
        <f>IFERROR(VLOOKUP($A232,'Budget &amp; Revenue'!$A:$AM,19,FALSE)," ")</f>
        <v>0</v>
      </c>
      <c r="K232" s="204">
        <f>IFERROR(VLOOKUP($A232,'Budget &amp; Revenue'!$A:$AM,21,FALSE)," ")</f>
        <v>0</v>
      </c>
      <c r="L232" s="204">
        <f>IFERROR(VLOOKUP($A232,'Budget &amp; Revenue'!$A:$AM,23,FALSE)," ")</f>
        <v>0</v>
      </c>
      <c r="M232" s="204">
        <f>IFERROR(VLOOKUP($A232,'Budget &amp; Revenue'!$A:$AM,25,FALSE)," ")</f>
        <v>0</v>
      </c>
      <c r="N232" s="204">
        <f>IFERROR(VLOOKUP($A232,'Budget &amp; Revenue'!$A:$AM,27,FALSE)," ")</f>
        <v>0</v>
      </c>
      <c r="O232" s="204">
        <f>IFERROR(VLOOKUP($A232,'Budget &amp; Revenue'!$A:$AM,29,FALSE)," ")</f>
        <v>0</v>
      </c>
      <c r="P232" s="204">
        <f>IFERROR(VLOOKUP($A232,'Budget &amp; Revenue'!$A:$AM,31,FALSE)," ")</f>
        <v>0</v>
      </c>
      <c r="Q232" s="204">
        <f>IFERROR(VLOOKUP($A232,'Budget &amp; Revenue'!$A:$AM,33,FALSE)," ")</f>
        <v>0</v>
      </c>
      <c r="R232" s="204">
        <f>IFERROR(VLOOKUP($A232,'Budget &amp; Revenue'!$A:$AM,35,FALSE)," ")</f>
        <v>1</v>
      </c>
      <c r="S232" s="204">
        <f>IFERROR(VLOOKUP($A232,'Budget &amp; Revenue'!$A:$AM,37,FALSE)," ")</f>
        <v>1</v>
      </c>
      <c r="T232" s="204">
        <f>IFERROR(VLOOKUP($A232,'Budget &amp; Revenue'!$A:$AM,39,FALSE)," ")</f>
        <v>1</v>
      </c>
    </row>
    <row r="233" spans="1:20" ht="30" x14ac:dyDescent="0.25">
      <c r="A233" s="80">
        <v>226</v>
      </c>
      <c r="B233" s="201" t="str">
        <f>VLOOKUP(A233,Estimate!A:C,3,FALSE)</f>
        <v>Pavement Marking Paint - Transverse Lines, Symbols, Legends, Arrows, Chevrons, Traffic Islands &amp; Kerbs</v>
      </c>
      <c r="C233" s="80">
        <f>VLOOKUP(A233,Estimate!A:L,12,FALSE)</f>
        <v>1</v>
      </c>
      <c r="D233" s="234">
        <v>232</v>
      </c>
      <c r="E233" s="234">
        <v>242</v>
      </c>
      <c r="F233" s="235">
        <f>IFERROR(VLOOKUP(A233,Estimate!A:Q,17,FALSE)," ")</f>
        <v>2000</v>
      </c>
      <c r="G233" s="204">
        <f>IFERROR(VLOOKUP($A233,'Budget &amp; Revenue'!$A:$AM,13,FALSE)," ")</f>
        <v>0</v>
      </c>
      <c r="H233" s="204">
        <f>IFERROR(VLOOKUP($A233,'Budget &amp; Revenue'!$A:$AM,15,FALSE)," ")</f>
        <v>0</v>
      </c>
      <c r="I233" s="204">
        <f>IFERROR(VLOOKUP($A233,'Budget &amp; Revenue'!$A:$AM,17,FALSE)," ")</f>
        <v>0</v>
      </c>
      <c r="J233" s="204">
        <f>IFERROR(VLOOKUP($A233,'Budget &amp; Revenue'!$A:$AM,19,FALSE)," ")</f>
        <v>0</v>
      </c>
      <c r="K233" s="204">
        <f>IFERROR(VLOOKUP($A233,'Budget &amp; Revenue'!$A:$AM,21,FALSE)," ")</f>
        <v>0</v>
      </c>
      <c r="L233" s="204">
        <f>IFERROR(VLOOKUP($A233,'Budget &amp; Revenue'!$A:$AM,23,FALSE)," ")</f>
        <v>0</v>
      </c>
      <c r="M233" s="204">
        <f>IFERROR(VLOOKUP($A233,'Budget &amp; Revenue'!$A:$AM,25,FALSE)," ")</f>
        <v>0</v>
      </c>
      <c r="N233" s="204">
        <f>IFERROR(VLOOKUP($A233,'Budget &amp; Revenue'!$A:$AM,27,FALSE)," ")</f>
        <v>0</v>
      </c>
      <c r="O233" s="204">
        <f>IFERROR(VLOOKUP($A233,'Budget &amp; Revenue'!$A:$AM,29,FALSE)," ")</f>
        <v>0</v>
      </c>
      <c r="P233" s="204">
        <f>IFERROR(VLOOKUP($A233,'Budget &amp; Revenue'!$A:$AM,31,FALSE)," ")</f>
        <v>0</v>
      </c>
      <c r="Q233" s="204">
        <f>IFERROR(VLOOKUP($A233,'Budget &amp; Revenue'!$A:$AM,33,FALSE)," ")</f>
        <v>0</v>
      </c>
      <c r="R233" s="204">
        <f>IFERROR(VLOOKUP($A233,'Budget &amp; Revenue'!$A:$AM,35,FALSE)," ")</f>
        <v>1</v>
      </c>
      <c r="S233" s="204">
        <f>IFERROR(VLOOKUP($A233,'Budget &amp; Revenue'!$A:$AM,37,FALSE)," ")</f>
        <v>1</v>
      </c>
      <c r="T233" s="204">
        <f>IFERROR(VLOOKUP($A233,'Budget &amp; Revenue'!$A:$AM,39,FALSE)," ")</f>
        <v>1</v>
      </c>
    </row>
    <row r="234" spans="1:20" x14ac:dyDescent="0.25">
      <c r="A234" s="80">
        <v>227</v>
      </c>
      <c r="B234" s="201" t="str">
        <f>VLOOKUP(A234,Estimate!A:C,3,FALSE)</f>
        <v>Remove and reinstate Existing Signs &amp; Support Structures</v>
      </c>
      <c r="C234" s="80">
        <f>VLOOKUP(A234,Estimate!A:L,12,FALSE)</f>
        <v>2</v>
      </c>
      <c r="D234" s="234" t="s">
        <v>3069</v>
      </c>
      <c r="E234" s="234">
        <v>242</v>
      </c>
      <c r="F234" s="235">
        <f>IFERROR(VLOOKUP(A234,Estimate!A:Q,17,FALSE)," ")</f>
        <v>1652</v>
      </c>
      <c r="G234" s="204">
        <f>IFERROR(VLOOKUP($A234,'Budget &amp; Revenue'!$A:$AM,13,FALSE)," ")</f>
        <v>0</v>
      </c>
      <c r="H234" s="204">
        <f>IFERROR(VLOOKUP($A234,'Budget &amp; Revenue'!$A:$AM,15,FALSE)," ")</f>
        <v>0</v>
      </c>
      <c r="I234" s="204">
        <f>IFERROR(VLOOKUP($A234,'Budget &amp; Revenue'!$A:$AM,17,FALSE)," ")</f>
        <v>0</v>
      </c>
      <c r="J234" s="204">
        <f>IFERROR(VLOOKUP($A234,'Budget &amp; Revenue'!$A:$AM,19,FALSE)," ")</f>
        <v>0</v>
      </c>
      <c r="K234" s="204">
        <f>IFERROR(VLOOKUP($A234,'Budget &amp; Revenue'!$A:$AM,21,FALSE)," ")</f>
        <v>0</v>
      </c>
      <c r="L234" s="204">
        <f>IFERROR(VLOOKUP($A234,'Budget &amp; Revenue'!$A:$AM,23,FALSE)," ")</f>
        <v>0</v>
      </c>
      <c r="M234" s="204">
        <f>IFERROR(VLOOKUP($A234,'Budget &amp; Revenue'!$A:$AM,25,FALSE)," ")</f>
        <v>0.5</v>
      </c>
      <c r="N234" s="204">
        <f>IFERROR(VLOOKUP($A234,'Budget &amp; Revenue'!$A:$AM,27,FALSE)," ")</f>
        <v>0.5</v>
      </c>
      <c r="O234" s="204">
        <f>IFERROR(VLOOKUP($A234,'Budget &amp; Revenue'!$A:$AM,29,FALSE)," ")</f>
        <v>0.5</v>
      </c>
      <c r="P234" s="204">
        <f>IFERROR(VLOOKUP($A234,'Budget &amp; Revenue'!$A:$AM,31,FALSE)," ")</f>
        <v>1</v>
      </c>
      <c r="Q234" s="204">
        <f>IFERROR(VLOOKUP($A234,'Budget &amp; Revenue'!$A:$AM,33,FALSE)," ")</f>
        <v>1</v>
      </c>
      <c r="R234" s="204">
        <f>IFERROR(VLOOKUP($A234,'Budget &amp; Revenue'!$A:$AM,35,FALSE)," ")</f>
        <v>1</v>
      </c>
      <c r="S234" s="204">
        <f>IFERROR(VLOOKUP($A234,'Budget &amp; Revenue'!$A:$AM,37,FALSE)," ")</f>
        <v>1</v>
      </c>
      <c r="T234" s="204">
        <f>IFERROR(VLOOKUP($A234,'Budget &amp; Revenue'!$A:$AM,39,FALSE)," ")</f>
        <v>1</v>
      </c>
    </row>
    <row r="235" spans="1:20" x14ac:dyDescent="0.25">
      <c r="A235" s="80">
        <v>228</v>
      </c>
      <c r="B235" s="201" t="str">
        <f>VLOOKUP(A235,Estimate!A:C,3,FALSE)</f>
        <v>Supply &amp; Installation of all Signs (complete)</v>
      </c>
      <c r="C235" s="80">
        <f>VLOOKUP(A235,Estimate!A:L,12,FALSE)</f>
        <v>1</v>
      </c>
      <c r="D235" s="234">
        <v>228</v>
      </c>
      <c r="E235" s="236">
        <v>242151</v>
      </c>
      <c r="F235" s="235">
        <f>IFERROR(VLOOKUP(A235,Estimate!A:Q,17,FALSE)," ")</f>
        <v>4215</v>
      </c>
      <c r="G235" s="204">
        <f>IFERROR(VLOOKUP($A235,'Budget &amp; Revenue'!$A:$AM,13,FALSE)," ")</f>
        <v>0</v>
      </c>
      <c r="H235" s="204">
        <f>IFERROR(VLOOKUP($A235,'Budget &amp; Revenue'!$A:$AM,15,FALSE)," ")</f>
        <v>0</v>
      </c>
      <c r="I235" s="204">
        <f>IFERROR(VLOOKUP($A235,'Budget &amp; Revenue'!$A:$AM,17,FALSE)," ")</f>
        <v>0</v>
      </c>
      <c r="J235" s="204">
        <f>IFERROR(VLOOKUP($A235,'Budget &amp; Revenue'!$A:$AM,19,FALSE)," ")</f>
        <v>0</v>
      </c>
      <c r="K235" s="204">
        <f>IFERROR(VLOOKUP($A235,'Budget &amp; Revenue'!$A:$AM,21,FALSE)," ")</f>
        <v>0</v>
      </c>
      <c r="L235" s="204">
        <f>IFERROR(VLOOKUP($A235,'Budget &amp; Revenue'!$A:$AM,23,FALSE)," ")</f>
        <v>0</v>
      </c>
      <c r="M235" s="204">
        <f>IFERROR(VLOOKUP($A235,'Budget &amp; Revenue'!$A:$AM,25,FALSE)," ")</f>
        <v>0</v>
      </c>
      <c r="N235" s="204">
        <f>IFERROR(VLOOKUP($A235,'Budget &amp; Revenue'!$A:$AM,27,FALSE)," ")</f>
        <v>0</v>
      </c>
      <c r="O235" s="204">
        <f>IFERROR(VLOOKUP($A235,'Budget &amp; Revenue'!$A:$AM,29,FALSE)," ")</f>
        <v>0</v>
      </c>
      <c r="P235" s="204">
        <f>IFERROR(VLOOKUP($A235,'Budget &amp; Revenue'!$A:$AM,31,FALSE)," ")</f>
        <v>1</v>
      </c>
      <c r="Q235" s="204">
        <f>IFERROR(VLOOKUP($A235,'Budget &amp; Revenue'!$A:$AM,33,FALSE)," ")</f>
        <v>1</v>
      </c>
      <c r="R235" s="204">
        <f>IFERROR(VLOOKUP($A235,'Budget &amp; Revenue'!$A:$AM,35,FALSE)," ")</f>
        <v>1</v>
      </c>
      <c r="S235" s="204">
        <f>IFERROR(VLOOKUP($A235,'Budget &amp; Revenue'!$A:$AM,37,FALSE)," ")</f>
        <v>1</v>
      </c>
      <c r="T235" s="204">
        <f>IFERROR(VLOOKUP($A235,'Budget &amp; Revenue'!$A:$AM,39,FALSE)," ")</f>
        <v>1</v>
      </c>
    </row>
    <row r="236" spans="1:20" x14ac:dyDescent="0.25">
      <c r="A236" s="80">
        <v>229</v>
      </c>
      <c r="B236" s="201" t="str">
        <f>VLOOKUP(A236,Estimate!A:C,3,FALSE)</f>
        <v>(ii)  Concrete Kerb Ramp (1 No)</v>
      </c>
      <c r="C236" s="80">
        <f>VLOOKUP(A236,Estimate!A:L,12,FALSE)</f>
        <v>2</v>
      </c>
      <c r="D236" s="234">
        <v>223</v>
      </c>
      <c r="E236" s="234">
        <v>237</v>
      </c>
      <c r="F236" s="235">
        <f>IFERROR(VLOOKUP(A236,Estimate!A:Q,17,FALSE)," ")</f>
        <v>785</v>
      </c>
      <c r="G236" s="204">
        <f>IFERROR(VLOOKUP($A236,'Budget &amp; Revenue'!$A:$AM,13,FALSE)," ")</f>
        <v>0</v>
      </c>
      <c r="H236" s="204">
        <f>IFERROR(VLOOKUP($A236,'Budget &amp; Revenue'!$A:$AM,15,FALSE)," ")</f>
        <v>0</v>
      </c>
      <c r="I236" s="204">
        <f>IFERROR(VLOOKUP($A236,'Budget &amp; Revenue'!$A:$AM,17,FALSE)," ")</f>
        <v>0</v>
      </c>
      <c r="J236" s="204">
        <f>IFERROR(VLOOKUP($A236,'Budget &amp; Revenue'!$A:$AM,19,FALSE)," ")</f>
        <v>0</v>
      </c>
      <c r="K236" s="204">
        <f>IFERROR(VLOOKUP($A236,'Budget &amp; Revenue'!$A:$AM,21,FALSE)," ")</f>
        <v>0</v>
      </c>
      <c r="L236" s="204">
        <f>IFERROR(VLOOKUP($A236,'Budget &amp; Revenue'!$A:$AM,23,FALSE)," ")</f>
        <v>0</v>
      </c>
      <c r="M236" s="204">
        <f>IFERROR(VLOOKUP($A236,'Budget &amp; Revenue'!$A:$AM,25,FALSE)," ")</f>
        <v>0</v>
      </c>
      <c r="N236" s="204">
        <f>IFERROR(VLOOKUP($A236,'Budget &amp; Revenue'!$A:$AM,27,FALSE)," ")</f>
        <v>1</v>
      </c>
      <c r="O236" s="204">
        <f>IFERROR(VLOOKUP($A236,'Budget &amp; Revenue'!$A:$AM,29,FALSE)," ")</f>
        <v>1</v>
      </c>
      <c r="P236" s="204">
        <f>IFERROR(VLOOKUP($A236,'Budget &amp; Revenue'!$A:$AM,31,FALSE)," ")</f>
        <v>1</v>
      </c>
      <c r="Q236" s="204">
        <f>IFERROR(VLOOKUP($A236,'Budget &amp; Revenue'!$A:$AM,33,FALSE)," ")</f>
        <v>1</v>
      </c>
      <c r="R236" s="204">
        <f>IFERROR(VLOOKUP($A236,'Budget &amp; Revenue'!$A:$AM,35,FALSE)," ")</f>
        <v>1</v>
      </c>
      <c r="S236" s="204">
        <f>IFERROR(VLOOKUP($A236,'Budget &amp; Revenue'!$A:$AM,37,FALSE)," ")</f>
        <v>1</v>
      </c>
      <c r="T236" s="204">
        <f>IFERROR(VLOOKUP($A236,'Budget &amp; Revenue'!$A:$AM,39,FALSE)," ")</f>
        <v>1</v>
      </c>
    </row>
    <row r="237" spans="1:20" x14ac:dyDescent="0.25">
      <c r="A237" s="80">
        <v>230</v>
      </c>
      <c r="B237" s="201" t="str">
        <f>VLOOKUP(A237,Estimate!A:C,3,FALSE)</f>
        <v>(iv)  Residential Invert Crossing (10.5 m)</v>
      </c>
      <c r="C237" s="80">
        <f>VLOOKUP(A237,Estimate!A:L,12,FALSE)</f>
        <v>4</v>
      </c>
      <c r="D237" s="234">
        <v>236</v>
      </c>
      <c r="E237" s="234" t="s">
        <v>3115</v>
      </c>
      <c r="F237" s="235">
        <f>IFERROR(VLOOKUP(A237,Estimate!A:Q,17,FALSE)," ")</f>
        <v>2493.92</v>
      </c>
      <c r="G237" s="204">
        <f>IFERROR(VLOOKUP($A237,'Budget &amp; Revenue'!$A:$AM,13,FALSE)," ")</f>
        <v>0</v>
      </c>
      <c r="H237" s="204">
        <f>IFERROR(VLOOKUP($A237,'Budget &amp; Revenue'!$A:$AM,15,FALSE)," ")</f>
        <v>0</v>
      </c>
      <c r="I237" s="204">
        <f>IFERROR(VLOOKUP($A237,'Budget &amp; Revenue'!$A:$AM,17,FALSE)," ")</f>
        <v>0</v>
      </c>
      <c r="J237" s="204">
        <f>IFERROR(VLOOKUP($A237,'Budget &amp; Revenue'!$A:$AM,19,FALSE)," ")</f>
        <v>0</v>
      </c>
      <c r="K237" s="204">
        <f>IFERROR(VLOOKUP($A237,'Budget &amp; Revenue'!$A:$AM,21,FALSE)," ")</f>
        <v>0</v>
      </c>
      <c r="L237" s="204">
        <f>IFERROR(VLOOKUP($A237,'Budget &amp; Revenue'!$A:$AM,23,FALSE)," ")</f>
        <v>0</v>
      </c>
      <c r="M237" s="204">
        <f>IFERROR(VLOOKUP($A237,'Budget &amp; Revenue'!$A:$AM,25,FALSE)," ")</f>
        <v>0</v>
      </c>
      <c r="N237" s="204">
        <f>IFERROR(VLOOKUP($A237,'Budget &amp; Revenue'!$A:$AM,27,FALSE)," ")</f>
        <v>1</v>
      </c>
      <c r="O237" s="204">
        <f>IFERROR(VLOOKUP($A237,'Budget &amp; Revenue'!$A:$AM,29,FALSE)," ")</f>
        <v>1</v>
      </c>
      <c r="P237" s="204">
        <f>IFERROR(VLOOKUP($A237,'Budget &amp; Revenue'!$A:$AM,31,FALSE)," ")</f>
        <v>1</v>
      </c>
      <c r="Q237" s="204">
        <f>IFERROR(VLOOKUP($A237,'Budget &amp; Revenue'!$A:$AM,33,FALSE)," ")</f>
        <v>1</v>
      </c>
      <c r="R237" s="204">
        <f>IFERROR(VLOOKUP($A237,'Budget &amp; Revenue'!$A:$AM,35,FALSE)," ")</f>
        <v>1</v>
      </c>
      <c r="S237" s="204">
        <f>IFERROR(VLOOKUP($A237,'Budget &amp; Revenue'!$A:$AM,37,FALSE)," ")</f>
        <v>1</v>
      </c>
      <c r="T237" s="204">
        <f>IFERROR(VLOOKUP($A237,'Budget &amp; Revenue'!$A:$AM,39,FALSE)," ")</f>
        <v>1</v>
      </c>
    </row>
    <row r="238" spans="1:20" x14ac:dyDescent="0.25">
      <c r="A238" s="80">
        <v>231</v>
      </c>
      <c r="B238" s="201" t="str">
        <f>VLOOKUP(A238,Estimate!A:C,3,FALSE)</f>
        <v>(viii) Hand Placed Concrete Paving (Footpath / Bikeway)</v>
      </c>
      <c r="C238" s="80">
        <f>VLOOKUP(A238,Estimate!A:L,12,FALSE)</f>
        <v>3</v>
      </c>
      <c r="D238" s="236">
        <v>237289</v>
      </c>
      <c r="E238" s="234">
        <v>239</v>
      </c>
      <c r="F238" s="235">
        <f>IFERROR(VLOOKUP(A238,Estimate!A:Q,17,FALSE)," ")</f>
        <v>1282.1199999999999</v>
      </c>
      <c r="G238" s="204">
        <f>IFERROR(VLOOKUP($A238,'Budget &amp; Revenue'!$A:$AM,13,FALSE)," ")</f>
        <v>0</v>
      </c>
      <c r="H238" s="204">
        <f>IFERROR(VLOOKUP($A238,'Budget &amp; Revenue'!$A:$AM,15,FALSE)," ")</f>
        <v>0</v>
      </c>
      <c r="I238" s="204">
        <f>IFERROR(VLOOKUP($A238,'Budget &amp; Revenue'!$A:$AM,17,FALSE)," ")</f>
        <v>0</v>
      </c>
      <c r="J238" s="204">
        <f>IFERROR(VLOOKUP($A238,'Budget &amp; Revenue'!$A:$AM,19,FALSE)," ")</f>
        <v>0</v>
      </c>
      <c r="K238" s="204">
        <f>IFERROR(VLOOKUP($A238,'Budget &amp; Revenue'!$A:$AM,21,FALSE)," ")</f>
        <v>0</v>
      </c>
      <c r="L238" s="204">
        <f>IFERROR(VLOOKUP($A238,'Budget &amp; Revenue'!$A:$AM,23,FALSE)," ")</f>
        <v>0</v>
      </c>
      <c r="M238" s="204">
        <f>IFERROR(VLOOKUP($A238,'Budget &amp; Revenue'!$A:$AM,25,FALSE)," ")</f>
        <v>0</v>
      </c>
      <c r="N238" s="204">
        <f>IFERROR(VLOOKUP($A238,'Budget &amp; Revenue'!$A:$AM,27,FALSE)," ")</f>
        <v>1</v>
      </c>
      <c r="O238" s="204">
        <f>IFERROR(VLOOKUP($A238,'Budget &amp; Revenue'!$A:$AM,29,FALSE)," ")</f>
        <v>1</v>
      </c>
      <c r="P238" s="204">
        <f>IFERROR(VLOOKUP($A238,'Budget &amp; Revenue'!$A:$AM,31,FALSE)," ")</f>
        <v>1</v>
      </c>
      <c r="Q238" s="204">
        <f>IFERROR(VLOOKUP($A238,'Budget &amp; Revenue'!$A:$AM,33,FALSE)," ")</f>
        <v>1</v>
      </c>
      <c r="R238" s="204">
        <f>IFERROR(VLOOKUP($A238,'Budget &amp; Revenue'!$A:$AM,35,FALSE)," ")</f>
        <v>1</v>
      </c>
      <c r="S238" s="204">
        <f>IFERROR(VLOOKUP($A238,'Budget &amp; Revenue'!$A:$AM,37,FALSE)," ")</f>
        <v>1</v>
      </c>
      <c r="T238" s="204">
        <f>IFERROR(VLOOKUP($A238,'Budget &amp; Revenue'!$A:$AM,39,FALSE)," ")</f>
        <v>1</v>
      </c>
    </row>
    <row r="239" spans="1:20" x14ac:dyDescent="0.25">
      <c r="A239" s="80">
        <v>232</v>
      </c>
      <c r="B239" s="201" t="str">
        <f>VLOOKUP(A239,Estimate!A:C,3,FALSE)</f>
        <v>(ii)  Turfing</v>
      </c>
      <c r="C239" s="80">
        <f>VLOOKUP(A239,Estimate!A:L,12,FALSE)</f>
        <v>1</v>
      </c>
      <c r="D239" s="234">
        <v>238</v>
      </c>
      <c r="E239" s="234">
        <v>242</v>
      </c>
      <c r="F239" s="235">
        <f>IFERROR(VLOOKUP(A239,Estimate!A:Q,17,FALSE)," ")</f>
        <v>892.5</v>
      </c>
      <c r="G239" s="204">
        <f>IFERROR(VLOOKUP($A239,'Budget &amp; Revenue'!$A:$AM,13,FALSE)," ")</f>
        <v>0</v>
      </c>
      <c r="H239" s="204">
        <f>IFERROR(VLOOKUP($A239,'Budget &amp; Revenue'!$A:$AM,15,FALSE)," ")</f>
        <v>0</v>
      </c>
      <c r="I239" s="204">
        <f>IFERROR(VLOOKUP($A239,'Budget &amp; Revenue'!$A:$AM,17,FALSE)," ")</f>
        <v>0</v>
      </c>
      <c r="J239" s="204">
        <f>IFERROR(VLOOKUP($A239,'Budget &amp; Revenue'!$A:$AM,19,FALSE)," ")</f>
        <v>0</v>
      </c>
      <c r="K239" s="204">
        <f>IFERROR(VLOOKUP($A239,'Budget &amp; Revenue'!$A:$AM,21,FALSE)," ")</f>
        <v>0</v>
      </c>
      <c r="L239" s="204">
        <f>IFERROR(VLOOKUP($A239,'Budget &amp; Revenue'!$A:$AM,23,FALSE)," ")</f>
        <v>0</v>
      </c>
      <c r="M239" s="204">
        <f>IFERROR(VLOOKUP($A239,'Budget &amp; Revenue'!$A:$AM,25,FALSE)," ")</f>
        <v>0</v>
      </c>
      <c r="N239" s="204">
        <f>IFERROR(VLOOKUP($A239,'Budget &amp; Revenue'!$A:$AM,27,FALSE)," ")</f>
        <v>0</v>
      </c>
      <c r="O239" s="204">
        <f>IFERROR(VLOOKUP($A239,'Budget &amp; Revenue'!$A:$AM,29,FALSE)," ")</f>
        <v>0</v>
      </c>
      <c r="P239" s="204">
        <f>IFERROR(VLOOKUP($A239,'Budget &amp; Revenue'!$A:$AM,31,FALSE)," ")</f>
        <v>0</v>
      </c>
      <c r="Q239" s="204">
        <f>IFERROR(VLOOKUP($A239,'Budget &amp; Revenue'!$A:$AM,33,FALSE)," ")</f>
        <v>1</v>
      </c>
      <c r="R239" s="204">
        <f>IFERROR(VLOOKUP($A239,'Budget &amp; Revenue'!$A:$AM,35,FALSE)," ")</f>
        <v>1</v>
      </c>
      <c r="S239" s="204">
        <f>IFERROR(VLOOKUP($A239,'Budget &amp; Revenue'!$A:$AM,37,FALSE)," ")</f>
        <v>1</v>
      </c>
      <c r="T239" s="204">
        <f>IFERROR(VLOOKUP($A239,'Budget &amp; Revenue'!$A:$AM,39,FALSE)," ")</f>
        <v>1</v>
      </c>
    </row>
    <row r="240" spans="1:20" x14ac:dyDescent="0.25">
      <c r="A240" s="80">
        <v>233</v>
      </c>
      <c r="B240" s="201" t="str">
        <f>VLOOKUP(A240,Estimate!A:C,3,FALSE)</f>
        <v>Supply and install mains and reticulation</v>
      </c>
      <c r="C240" s="80">
        <f>VLOOKUP(A240,Estimate!A:L,12,FALSE)</f>
        <v>2</v>
      </c>
      <c r="D240" s="234">
        <v>227</v>
      </c>
      <c r="E240" s="234">
        <v>241</v>
      </c>
      <c r="F240" s="235">
        <f>IFERROR(VLOOKUP(A240,Estimate!A:Q,17,FALSE)," ")</f>
        <v>8000</v>
      </c>
      <c r="G240" s="204">
        <f>IFERROR(VLOOKUP($A240,'Budget &amp; Revenue'!$A:$AM,13,FALSE)," ")</f>
        <v>0</v>
      </c>
      <c r="H240" s="204">
        <f>IFERROR(VLOOKUP($A240,'Budget &amp; Revenue'!$A:$AM,15,FALSE)," ")</f>
        <v>0</v>
      </c>
      <c r="I240" s="204">
        <f>IFERROR(VLOOKUP($A240,'Budget &amp; Revenue'!$A:$AM,17,FALSE)," ")</f>
        <v>0</v>
      </c>
      <c r="J240" s="204">
        <f>IFERROR(VLOOKUP($A240,'Budget &amp; Revenue'!$A:$AM,19,FALSE)," ")</f>
        <v>0</v>
      </c>
      <c r="K240" s="204">
        <f>IFERROR(VLOOKUP($A240,'Budget &amp; Revenue'!$A:$AM,21,FALSE)," ")</f>
        <v>0</v>
      </c>
      <c r="L240" s="204">
        <f>IFERROR(VLOOKUP($A240,'Budget &amp; Revenue'!$A:$AM,23,FALSE)," ")</f>
        <v>0</v>
      </c>
      <c r="M240" s="204">
        <f>IFERROR(VLOOKUP($A240,'Budget &amp; Revenue'!$A:$AM,25,FALSE)," ")</f>
        <v>1</v>
      </c>
      <c r="N240" s="204">
        <f>IFERROR(VLOOKUP($A240,'Budget &amp; Revenue'!$A:$AM,27,FALSE)," ")</f>
        <v>1</v>
      </c>
      <c r="O240" s="204">
        <f>IFERROR(VLOOKUP($A240,'Budget &amp; Revenue'!$A:$AM,29,FALSE)," ")</f>
        <v>1</v>
      </c>
      <c r="P240" s="204">
        <f>IFERROR(VLOOKUP($A240,'Budget &amp; Revenue'!$A:$AM,31,FALSE)," ")</f>
        <v>1</v>
      </c>
      <c r="Q240" s="204">
        <f>IFERROR(VLOOKUP($A240,'Budget &amp; Revenue'!$A:$AM,33,FALSE)," ")</f>
        <v>1</v>
      </c>
      <c r="R240" s="204">
        <f>IFERROR(VLOOKUP($A240,'Budget &amp; Revenue'!$A:$AM,35,FALSE)," ")</f>
        <v>1</v>
      </c>
      <c r="S240" s="204">
        <f>IFERROR(VLOOKUP($A240,'Budget &amp; Revenue'!$A:$AM,37,FALSE)," ")</f>
        <v>1</v>
      </c>
      <c r="T240" s="204">
        <f>IFERROR(VLOOKUP($A240,'Budget &amp; Revenue'!$A:$AM,39,FALSE)," ")</f>
        <v>1</v>
      </c>
    </row>
    <row r="241" spans="1:20" x14ac:dyDescent="0.25">
      <c r="A241" s="80">
        <v>234</v>
      </c>
      <c r="B241" s="201" t="str">
        <f>VLOOKUP(A241,Estimate!A:C,3,FALSE)</f>
        <v>Service connections</v>
      </c>
      <c r="C241" s="80">
        <f>VLOOKUP(A241,Estimate!A:L,12,FALSE)</f>
        <v>3</v>
      </c>
      <c r="D241" s="236">
        <v>227240280288290</v>
      </c>
      <c r="E241" s="236">
        <v>223282</v>
      </c>
      <c r="F241" s="235">
        <f>IFERROR(VLOOKUP(A241,Estimate!A:Q,17,FALSE)," ")</f>
        <v>10980</v>
      </c>
      <c r="G241" s="204">
        <f>IFERROR(VLOOKUP($A241,'Budget &amp; Revenue'!$A:$AM,13,FALSE)," ")</f>
        <v>0</v>
      </c>
      <c r="H241" s="204">
        <f>IFERROR(VLOOKUP($A241,'Budget &amp; Revenue'!$A:$AM,15,FALSE)," ")</f>
        <v>0</v>
      </c>
      <c r="I241" s="204">
        <f>IFERROR(VLOOKUP($A241,'Budget &amp; Revenue'!$A:$AM,17,FALSE)," ")</f>
        <v>0</v>
      </c>
      <c r="J241" s="204">
        <f>IFERROR(VLOOKUP($A241,'Budget &amp; Revenue'!$A:$AM,19,FALSE)," ")</f>
        <v>0</v>
      </c>
      <c r="K241" s="204">
        <f>IFERROR(VLOOKUP($A241,'Budget &amp; Revenue'!$A:$AM,21,FALSE)," ")</f>
        <v>0</v>
      </c>
      <c r="L241" s="204">
        <f>IFERROR(VLOOKUP($A241,'Budget &amp; Revenue'!$A:$AM,23,FALSE)," ")</f>
        <v>0</v>
      </c>
      <c r="M241" s="204">
        <f>IFERROR(VLOOKUP($A241,'Budget &amp; Revenue'!$A:$AM,25,FALSE)," ")</f>
        <v>1</v>
      </c>
      <c r="N241" s="204">
        <f>IFERROR(VLOOKUP($A241,'Budget &amp; Revenue'!$A:$AM,27,FALSE)," ")</f>
        <v>1</v>
      </c>
      <c r="O241" s="204">
        <f>IFERROR(VLOOKUP($A241,'Budget &amp; Revenue'!$A:$AM,29,FALSE)," ")</f>
        <v>1</v>
      </c>
      <c r="P241" s="204">
        <f>IFERROR(VLOOKUP($A241,'Budget &amp; Revenue'!$A:$AM,31,FALSE)," ")</f>
        <v>1</v>
      </c>
      <c r="Q241" s="204">
        <f>IFERROR(VLOOKUP($A241,'Budget &amp; Revenue'!$A:$AM,33,FALSE)," ")</f>
        <v>1</v>
      </c>
      <c r="R241" s="204">
        <f>IFERROR(VLOOKUP($A241,'Budget &amp; Revenue'!$A:$AM,35,FALSE)," ")</f>
        <v>1</v>
      </c>
      <c r="S241" s="204">
        <f>IFERROR(VLOOKUP($A241,'Budget &amp; Revenue'!$A:$AM,37,FALSE)," ")</f>
        <v>1</v>
      </c>
      <c r="T241" s="204">
        <f>IFERROR(VLOOKUP($A241,'Budget &amp; Revenue'!$A:$AM,39,FALSE)," ")</f>
        <v>1</v>
      </c>
    </row>
    <row r="242" spans="1:20" x14ac:dyDescent="0.25">
      <c r="A242" s="80">
        <v>235</v>
      </c>
      <c r="B242" s="201" t="str">
        <f>VLOOKUP(A242,Estimate!A:C,3,FALSE)</f>
        <v>Special Item - As Constructed Survey and Plans</v>
      </c>
      <c r="C242" s="80">
        <f>VLOOKUP(A242,Estimate!A:L,12,FALSE)</f>
        <v>3</v>
      </c>
      <c r="D242" s="236">
        <v>239233219235234</v>
      </c>
      <c r="E242" s="234">
        <v>3</v>
      </c>
      <c r="F242" s="235">
        <f>IFERROR(VLOOKUP(A242,Estimate!A:Q,17,FALSE)," ")</f>
        <v>2400</v>
      </c>
      <c r="G242" s="204">
        <f>IFERROR(VLOOKUP($A242,'Budget &amp; Revenue'!$A:$AM,13,FALSE)," ")</f>
        <v>0</v>
      </c>
      <c r="H242" s="204">
        <f>IFERROR(VLOOKUP($A242,'Budget &amp; Revenue'!$A:$AM,15,FALSE)," ")</f>
        <v>0</v>
      </c>
      <c r="I242" s="204">
        <f>IFERROR(VLOOKUP($A242,'Budget &amp; Revenue'!$A:$AM,17,FALSE)," ")</f>
        <v>0</v>
      </c>
      <c r="J242" s="204">
        <f>IFERROR(VLOOKUP($A242,'Budget &amp; Revenue'!$A:$AM,19,FALSE)," ")</f>
        <v>0</v>
      </c>
      <c r="K242" s="204">
        <f>IFERROR(VLOOKUP($A242,'Budget &amp; Revenue'!$A:$AM,21,FALSE)," ")</f>
        <v>0</v>
      </c>
      <c r="L242" s="204">
        <f>IFERROR(VLOOKUP($A242,'Budget &amp; Revenue'!$A:$AM,23,FALSE)," ")</f>
        <v>0</v>
      </c>
      <c r="M242" s="204">
        <f>IFERROR(VLOOKUP($A242,'Budget &amp; Revenue'!$A:$AM,25,FALSE)," ")</f>
        <v>0.5</v>
      </c>
      <c r="N242" s="204">
        <f>IFERROR(VLOOKUP($A242,'Budget &amp; Revenue'!$A:$AM,27,FALSE)," ")</f>
        <v>0.7</v>
      </c>
      <c r="O242" s="204">
        <f>IFERROR(VLOOKUP($A242,'Budget &amp; Revenue'!$A:$AM,29,FALSE)," ")</f>
        <v>0.7</v>
      </c>
      <c r="P242" s="204">
        <f>IFERROR(VLOOKUP($A242,'Budget &amp; Revenue'!$A:$AM,31,FALSE)," ")</f>
        <v>0.95</v>
      </c>
      <c r="Q242" s="204">
        <f>IFERROR(VLOOKUP($A242,'Budget &amp; Revenue'!$A:$AM,33,FALSE)," ")</f>
        <v>1</v>
      </c>
      <c r="R242" s="204">
        <f>IFERROR(VLOOKUP($A242,'Budget &amp; Revenue'!$A:$AM,35,FALSE)," ")</f>
        <v>1</v>
      </c>
      <c r="S242" s="204">
        <f>IFERROR(VLOOKUP($A242,'Budget &amp; Revenue'!$A:$AM,37,FALSE)," ")</f>
        <v>1</v>
      </c>
      <c r="T242" s="204">
        <f>IFERROR(VLOOKUP($A242,'Budget &amp; Revenue'!$A:$AM,39,FALSE)," ")</f>
        <v>1</v>
      </c>
    </row>
    <row r="243" spans="1:20" x14ac:dyDescent="0.25">
      <c r="A243" s="80"/>
      <c r="B243" s="201" t="s">
        <v>2979</v>
      </c>
      <c r="C243" s="80"/>
      <c r="D243" s="233"/>
      <c r="E243" s="233"/>
      <c r="F243" s="235" t="str">
        <f>IFERROR(VLOOKUP(A243,Estimate!A:Q,17,FALSE)," ")</f>
        <v xml:space="preserve"> </v>
      </c>
      <c r="G243" s="204" t="str">
        <f>IFERROR(VLOOKUP($A243,'Budget &amp; Revenue'!$A:$AM,13,FALSE)," ")</f>
        <v xml:space="preserve"> </v>
      </c>
      <c r="H243" s="204" t="str">
        <f>IFERROR(VLOOKUP($A243,'Budget &amp; Revenue'!$A:$AM,15,FALSE)," ")</f>
        <v xml:space="preserve"> </v>
      </c>
      <c r="I243" s="204" t="str">
        <f>IFERROR(VLOOKUP($A243,'Budget &amp; Revenue'!$A:$AM,17,FALSE)," ")</f>
        <v xml:space="preserve"> </v>
      </c>
      <c r="J243" s="204" t="str">
        <f>IFERROR(VLOOKUP($A243,'Budget &amp; Revenue'!$A:$AM,19,FALSE)," ")</f>
        <v xml:space="preserve"> </v>
      </c>
      <c r="K243" s="204" t="str">
        <f>IFERROR(VLOOKUP($A243,'Budget &amp; Revenue'!$A:$AM,21,FALSE)," ")</f>
        <v xml:space="preserve"> </v>
      </c>
      <c r="L243" s="204" t="str">
        <f>IFERROR(VLOOKUP($A243,'Budget &amp; Revenue'!$A:$AM,23,FALSE)," ")</f>
        <v xml:space="preserve"> </v>
      </c>
      <c r="M243" s="204" t="str">
        <f>IFERROR(VLOOKUP($A243,'Budget &amp; Revenue'!$A:$AM,25,FALSE)," ")</f>
        <v xml:space="preserve"> </v>
      </c>
      <c r="N243" s="204" t="str">
        <f>IFERROR(VLOOKUP($A243,'Budget &amp; Revenue'!$A:$AM,27,FALSE)," ")</f>
        <v xml:space="preserve"> </v>
      </c>
      <c r="O243" s="204" t="str">
        <f>IFERROR(VLOOKUP($A243,'Budget &amp; Revenue'!$A:$AM,29,FALSE)," ")</f>
        <v xml:space="preserve"> </v>
      </c>
      <c r="P243" s="204" t="str">
        <f>IFERROR(VLOOKUP($A243,'Budget &amp; Revenue'!$A:$AM,31,FALSE)," ")</f>
        <v xml:space="preserve"> </v>
      </c>
      <c r="Q243" s="204" t="str">
        <f>IFERROR(VLOOKUP($A243,'Budget &amp; Revenue'!$A:$AM,33,FALSE)," ")</f>
        <v xml:space="preserve"> </v>
      </c>
      <c r="R243" s="204" t="str">
        <f>IFERROR(VLOOKUP($A243,'Budget &amp; Revenue'!$A:$AM,35,FALSE)," ")</f>
        <v xml:space="preserve"> </v>
      </c>
      <c r="S243" s="204" t="str">
        <f>IFERROR(VLOOKUP($A243,'Budget &amp; Revenue'!$A:$AM,37,FALSE)," ")</f>
        <v xml:space="preserve"> </v>
      </c>
      <c r="T243" s="204" t="str">
        <f>IFERROR(VLOOKUP($A243,'Budget &amp; Revenue'!$A:$AM,39,FALSE)," ")</f>
        <v xml:space="preserve"> </v>
      </c>
    </row>
    <row r="244" spans="1:20" ht="30" x14ac:dyDescent="0.25">
      <c r="A244" s="80" t="s">
        <v>2598</v>
      </c>
      <c r="B244" s="201" t="str">
        <f>VLOOKUP(A244,Estimate!A:C,3,FALSE)</f>
        <v xml:space="preserve">CCC_PV01 - Remove and Replace New kerbiing and traffic Islands </v>
      </c>
      <c r="C244" s="80">
        <f>VLOOKUP(A244,Estimate!A:L,12,FALSE)</f>
        <v>3</v>
      </c>
      <c r="D244" s="234">
        <v>63</v>
      </c>
      <c r="E244" s="234">
        <v>245</v>
      </c>
      <c r="F244" s="235">
        <f>IFERROR(VLOOKUP(A244,Estimate!A:Q,17,FALSE)," ")</f>
        <v>2308.0209302325584</v>
      </c>
      <c r="G244" s="204">
        <f>IFERROR(VLOOKUP($A244,'Budget &amp; Revenue'!$A:$AM,13,FALSE)," ")</f>
        <v>0</v>
      </c>
      <c r="H244" s="204">
        <f>IFERROR(VLOOKUP($A244,'Budget &amp; Revenue'!$A:$AM,15,FALSE)," ")</f>
        <v>0</v>
      </c>
      <c r="I244" s="204">
        <f>IFERROR(VLOOKUP($A244,'Budget &amp; Revenue'!$A:$AM,17,FALSE)," ")</f>
        <v>0</v>
      </c>
      <c r="J244" s="204">
        <f>IFERROR(VLOOKUP($A244,'Budget &amp; Revenue'!$A:$AM,19,FALSE)," ")</f>
        <v>0</v>
      </c>
      <c r="K244" s="204">
        <f>IFERROR(VLOOKUP($A244,'Budget &amp; Revenue'!$A:$AM,21,FALSE)," ")</f>
        <v>0</v>
      </c>
      <c r="L244" s="204">
        <f>IFERROR(VLOOKUP($A244,'Budget &amp; Revenue'!$A:$AM,23,FALSE)," ")</f>
        <v>0.49180000000000001</v>
      </c>
      <c r="M244" s="204">
        <f>IFERROR(VLOOKUP($A244,'Budget &amp; Revenue'!$A:$AM,25,FALSE)," ")</f>
        <v>0.49180000000000001</v>
      </c>
      <c r="N244" s="204">
        <f>IFERROR(VLOOKUP($A244,'Budget &amp; Revenue'!$A:$AM,27,FALSE)," ")</f>
        <v>0.49180000000000001</v>
      </c>
      <c r="O244" s="204">
        <f>IFERROR(VLOOKUP($A244,'Budget &amp; Revenue'!$A:$AM,29,FALSE)," ")</f>
        <v>0.49180000000000001</v>
      </c>
      <c r="P244" s="204">
        <f>IFERROR(VLOOKUP($A244,'Budget &amp; Revenue'!$A:$AM,31,FALSE)," ")</f>
        <v>1</v>
      </c>
      <c r="Q244" s="204">
        <f>IFERROR(VLOOKUP($A244,'Budget &amp; Revenue'!$A:$AM,33,FALSE)," ")</f>
        <v>1</v>
      </c>
      <c r="R244" s="204">
        <f>IFERROR(VLOOKUP($A244,'Budget &amp; Revenue'!$A:$AM,35,FALSE)," ")</f>
        <v>1</v>
      </c>
      <c r="S244" s="204">
        <f>IFERROR(VLOOKUP($A244,'Budget &amp; Revenue'!$A:$AM,37,FALSE)," ")</f>
        <v>1</v>
      </c>
      <c r="T244" s="204">
        <f>IFERROR(VLOOKUP($A244,'Budget &amp; Revenue'!$A:$AM,39,FALSE)," ")</f>
        <v>1</v>
      </c>
    </row>
    <row r="245" spans="1:20" x14ac:dyDescent="0.25">
      <c r="A245" s="80" t="s">
        <v>2604</v>
      </c>
      <c r="B245" s="201" t="str">
        <f>VLOOKUP(A245,Estimate!A:C,3,FALSE)</f>
        <v xml:space="preserve">CCC_PV02 - Cultrual Centre Carpark - Install 600m dish Drain </v>
      </c>
      <c r="C245" s="80">
        <f>VLOOKUP(A245,Estimate!A:L,12,FALSE)</f>
        <v>2</v>
      </c>
      <c r="D245" s="234">
        <v>244</v>
      </c>
      <c r="E245" s="234">
        <v>66</v>
      </c>
      <c r="F245" s="235">
        <f>IFERROR(VLOOKUP(A245,Estimate!A:Q,17,FALSE)," ")</f>
        <v>5723.08</v>
      </c>
      <c r="G245" s="204">
        <f>IFERROR(VLOOKUP($A245,'Budget &amp; Revenue'!$A:$AM,13,FALSE)," ")</f>
        <v>0</v>
      </c>
      <c r="H245" s="204">
        <f>IFERROR(VLOOKUP($A245,'Budget &amp; Revenue'!$A:$AM,15,FALSE)," ")</f>
        <v>0</v>
      </c>
      <c r="I245" s="204">
        <f>IFERROR(VLOOKUP($A245,'Budget &amp; Revenue'!$A:$AM,17,FALSE)," ")</f>
        <v>0</v>
      </c>
      <c r="J245" s="204">
        <f>IFERROR(VLOOKUP($A245,'Budget &amp; Revenue'!$A:$AM,19,FALSE)," ")</f>
        <v>0</v>
      </c>
      <c r="K245" s="204">
        <f>IFERROR(VLOOKUP($A245,'Budget &amp; Revenue'!$A:$AM,21,FALSE)," ")</f>
        <v>0</v>
      </c>
      <c r="L245" s="204">
        <f>IFERROR(VLOOKUP($A245,'Budget &amp; Revenue'!$A:$AM,23,FALSE)," ")</f>
        <v>0</v>
      </c>
      <c r="M245" s="204">
        <f>IFERROR(VLOOKUP($A245,'Budget &amp; Revenue'!$A:$AM,25,FALSE)," ")</f>
        <v>0</v>
      </c>
      <c r="N245" s="204">
        <f>IFERROR(VLOOKUP($A245,'Budget &amp; Revenue'!$A:$AM,27,FALSE)," ")</f>
        <v>1</v>
      </c>
      <c r="O245" s="204">
        <f>IFERROR(VLOOKUP($A245,'Budget &amp; Revenue'!$A:$AM,29,FALSE)," ")</f>
        <v>1</v>
      </c>
      <c r="P245" s="204">
        <f>IFERROR(VLOOKUP($A245,'Budget &amp; Revenue'!$A:$AM,31,FALSE)," ")</f>
        <v>1</v>
      </c>
      <c r="Q245" s="204">
        <f>IFERROR(VLOOKUP($A245,'Budget &amp; Revenue'!$A:$AM,33,FALSE)," ")</f>
        <v>1</v>
      </c>
      <c r="R245" s="204">
        <f>IFERROR(VLOOKUP($A245,'Budget &amp; Revenue'!$A:$AM,35,FALSE)," ")</f>
        <v>1</v>
      </c>
      <c r="S245" s="204">
        <f>IFERROR(VLOOKUP($A245,'Budget &amp; Revenue'!$A:$AM,37,FALSE)," ")</f>
        <v>1</v>
      </c>
      <c r="T245" s="204">
        <f>IFERROR(VLOOKUP($A245,'Budget &amp; Revenue'!$A:$AM,39,FALSE)," ")</f>
        <v>1</v>
      </c>
    </row>
    <row r="246" spans="1:20" ht="30" x14ac:dyDescent="0.25">
      <c r="A246" s="80" t="s">
        <v>2607</v>
      </c>
      <c r="B246" s="201" t="str">
        <f>VLOOKUP(A246,Estimate!A:C,3,FALSE)</f>
        <v>CCC_PV03   Cultrual Centre Carpark Insitu Stabilising Carpark  -  400m2</v>
      </c>
      <c r="C246" s="80">
        <f>VLOOKUP(A246,Estimate!A:L,12,FALSE)</f>
        <v>2</v>
      </c>
      <c r="D246" s="234">
        <v>247</v>
      </c>
      <c r="E246" s="234" t="s">
        <v>3077</v>
      </c>
      <c r="F246" s="235">
        <f>IFERROR(VLOOKUP(A246,Estimate!A:Q,17,FALSE)," ")</f>
        <v>5486.63</v>
      </c>
      <c r="G246" s="204">
        <f>IFERROR(VLOOKUP($A246,'Budget &amp; Revenue'!$A:$AM,13,FALSE)," ")</f>
        <v>0</v>
      </c>
      <c r="H246" s="204">
        <f>IFERROR(VLOOKUP($A246,'Budget &amp; Revenue'!$A:$AM,15,FALSE)," ")</f>
        <v>0</v>
      </c>
      <c r="I246" s="204">
        <f>IFERROR(VLOOKUP($A246,'Budget &amp; Revenue'!$A:$AM,17,FALSE)," ")</f>
        <v>0</v>
      </c>
      <c r="J246" s="204">
        <f>IFERROR(VLOOKUP($A246,'Budget &amp; Revenue'!$A:$AM,19,FALSE)," ")</f>
        <v>0</v>
      </c>
      <c r="K246" s="204">
        <f>IFERROR(VLOOKUP($A246,'Budget &amp; Revenue'!$A:$AM,21,FALSE)," ")</f>
        <v>0</v>
      </c>
      <c r="L246" s="204">
        <f>IFERROR(VLOOKUP($A246,'Budget &amp; Revenue'!$A:$AM,23,FALSE)," ")</f>
        <v>0</v>
      </c>
      <c r="M246" s="204">
        <f>IFERROR(VLOOKUP($A246,'Budget &amp; Revenue'!$A:$AM,25,FALSE)," ")</f>
        <v>1</v>
      </c>
      <c r="N246" s="204">
        <f>IFERROR(VLOOKUP($A246,'Budget &amp; Revenue'!$A:$AM,27,FALSE)," ")</f>
        <v>1</v>
      </c>
      <c r="O246" s="204">
        <f>IFERROR(VLOOKUP($A246,'Budget &amp; Revenue'!$A:$AM,29,FALSE)," ")</f>
        <v>1</v>
      </c>
      <c r="P246" s="204">
        <f>IFERROR(VLOOKUP($A246,'Budget &amp; Revenue'!$A:$AM,31,FALSE)," ")</f>
        <v>1</v>
      </c>
      <c r="Q246" s="204">
        <f>IFERROR(VLOOKUP($A246,'Budget &amp; Revenue'!$A:$AM,33,FALSE)," ")</f>
        <v>1</v>
      </c>
      <c r="R246" s="204">
        <f>IFERROR(VLOOKUP($A246,'Budget &amp; Revenue'!$A:$AM,35,FALSE)," ")</f>
        <v>1</v>
      </c>
      <c r="S246" s="204">
        <f>IFERROR(VLOOKUP($A246,'Budget &amp; Revenue'!$A:$AM,37,FALSE)," ")</f>
        <v>1</v>
      </c>
      <c r="T246" s="204">
        <f>IFERROR(VLOOKUP($A246,'Budget &amp; Revenue'!$A:$AM,39,FALSE)," ")</f>
        <v>1</v>
      </c>
    </row>
    <row r="247" spans="1:20" x14ac:dyDescent="0.25">
      <c r="A247" s="80" t="s">
        <v>2611</v>
      </c>
      <c r="B247" s="201" t="str">
        <f>VLOOKUP(A247,Estimate!A:C,3,FALSE)</f>
        <v xml:space="preserve">Unsuitable Subgrade replacement Iron Stone Rock Mattress </v>
      </c>
      <c r="C247" s="80">
        <f>VLOOKUP(A247,Estimate!A:L,12,FALSE)</f>
        <v>6</v>
      </c>
      <c r="D247" s="234">
        <v>56</v>
      </c>
      <c r="E247" s="234">
        <v>246</v>
      </c>
      <c r="F247" s="235">
        <f>IFERROR(VLOOKUP(A247,Estimate!A:Q,17,FALSE)," ")</f>
        <v>45538.59986842105</v>
      </c>
      <c r="G247" s="204">
        <f>IFERROR(VLOOKUP($A247,'Budget &amp; Revenue'!$A:$AM,13,FALSE)," ")</f>
        <v>0</v>
      </c>
      <c r="H247" s="204">
        <f>IFERROR(VLOOKUP($A247,'Budget &amp; Revenue'!$A:$AM,15,FALSE)," ")</f>
        <v>0</v>
      </c>
      <c r="I247" s="204">
        <f>IFERROR(VLOOKUP($A247,'Budget &amp; Revenue'!$A:$AM,17,FALSE)," ")</f>
        <v>0</v>
      </c>
      <c r="J247" s="204">
        <f>IFERROR(VLOOKUP($A247,'Budget &amp; Revenue'!$A:$AM,19,FALSE)," ")</f>
        <v>0</v>
      </c>
      <c r="K247" s="204">
        <f>IFERROR(VLOOKUP($A247,'Budget &amp; Revenue'!$A:$AM,21,FALSE)," ")</f>
        <v>0</v>
      </c>
      <c r="L247" s="204">
        <f>IFERROR(VLOOKUP($A247,'Budget &amp; Revenue'!$A:$AM,23,FALSE)," ")</f>
        <v>0</v>
      </c>
      <c r="M247" s="204">
        <f>IFERROR(VLOOKUP($A247,'Budget &amp; Revenue'!$A:$AM,25,FALSE)," ")</f>
        <v>0</v>
      </c>
      <c r="N247" s="204">
        <f>IFERROR(VLOOKUP($A247,'Budget &amp; Revenue'!$A:$AM,27,FALSE)," ")</f>
        <v>1</v>
      </c>
      <c r="O247" s="204">
        <f>IFERROR(VLOOKUP($A247,'Budget &amp; Revenue'!$A:$AM,29,FALSE)," ")</f>
        <v>1</v>
      </c>
      <c r="P247" s="204">
        <f>IFERROR(VLOOKUP($A247,'Budget &amp; Revenue'!$A:$AM,31,FALSE)," ")</f>
        <v>1</v>
      </c>
      <c r="Q247" s="204">
        <f>IFERROR(VLOOKUP($A247,'Budget &amp; Revenue'!$A:$AM,33,FALSE)," ")</f>
        <v>1</v>
      </c>
      <c r="R247" s="204">
        <f>IFERROR(VLOOKUP($A247,'Budget &amp; Revenue'!$A:$AM,35,FALSE)," ")</f>
        <v>1</v>
      </c>
      <c r="S247" s="204">
        <f>IFERROR(VLOOKUP($A247,'Budget &amp; Revenue'!$A:$AM,37,FALSE)," ")</f>
        <v>1</v>
      </c>
      <c r="T247" s="204">
        <f>IFERROR(VLOOKUP($A247,'Budget &amp; Revenue'!$A:$AM,39,FALSE)," ")</f>
        <v>1</v>
      </c>
    </row>
    <row r="248" spans="1:20" x14ac:dyDescent="0.25">
      <c r="A248" s="80" t="s">
        <v>2680</v>
      </c>
      <c r="B248" s="201" t="str">
        <f>VLOOKUP(A248,Estimate!A:C,3,FALSE)</f>
        <v xml:space="preserve">Construct three residential property access Dobbins Lane </v>
      </c>
      <c r="C248" s="80">
        <f>VLOOKUP(A248,Estimate!A:L,12,FALSE)</f>
        <v>4</v>
      </c>
      <c r="D248" s="234">
        <v>47</v>
      </c>
      <c r="E248" s="234">
        <v>49</v>
      </c>
      <c r="F248" s="235">
        <f>IFERROR(VLOOKUP(A248,Estimate!A:Q,17,FALSE)," ")</f>
        <v>2493.92</v>
      </c>
      <c r="G248" s="204">
        <f>IFERROR(VLOOKUP($A248,'Budget &amp; Revenue'!$A:$AM,13,FALSE)," ")</f>
        <v>0</v>
      </c>
      <c r="H248" s="204">
        <f>IFERROR(VLOOKUP($A248,'Budget &amp; Revenue'!$A:$AM,15,FALSE)," ")</f>
        <v>0</v>
      </c>
      <c r="I248" s="204">
        <f>IFERROR(VLOOKUP($A248,'Budget &amp; Revenue'!$A:$AM,17,FALSE)," ")</f>
        <v>0</v>
      </c>
      <c r="J248" s="204">
        <f>IFERROR(VLOOKUP($A248,'Budget &amp; Revenue'!$A:$AM,19,FALSE)," ")</f>
        <v>0</v>
      </c>
      <c r="K248" s="204">
        <f>IFERROR(VLOOKUP($A248,'Budget &amp; Revenue'!$A:$AM,21,FALSE)," ")</f>
        <v>0</v>
      </c>
      <c r="L248" s="204">
        <f>IFERROR(VLOOKUP($A248,'Budget &amp; Revenue'!$A:$AM,23,FALSE)," ")</f>
        <v>0</v>
      </c>
      <c r="M248" s="204">
        <f>IFERROR(VLOOKUP($A248,'Budget &amp; Revenue'!$A:$AM,25,FALSE)," ")</f>
        <v>0</v>
      </c>
      <c r="N248" s="204">
        <f>IFERROR(VLOOKUP($A248,'Budget &amp; Revenue'!$A:$AM,27,FALSE)," ")</f>
        <v>0</v>
      </c>
      <c r="O248" s="204">
        <f>IFERROR(VLOOKUP($A248,'Budget &amp; Revenue'!$A:$AM,29,FALSE)," ")</f>
        <v>1</v>
      </c>
      <c r="P248" s="204">
        <f>IFERROR(VLOOKUP($A248,'Budget &amp; Revenue'!$A:$AM,31,FALSE)," ")</f>
        <v>1</v>
      </c>
      <c r="Q248" s="204">
        <f>IFERROR(VLOOKUP($A248,'Budget &amp; Revenue'!$A:$AM,33,FALSE)," ")</f>
        <v>1</v>
      </c>
      <c r="R248" s="204">
        <f>IFERROR(VLOOKUP($A248,'Budget &amp; Revenue'!$A:$AM,35,FALSE)," ")</f>
        <v>1</v>
      </c>
      <c r="S248" s="204">
        <f>IFERROR(VLOOKUP($A248,'Budget &amp; Revenue'!$A:$AM,37,FALSE)," ")</f>
        <v>1</v>
      </c>
      <c r="T248" s="204">
        <f>IFERROR(VLOOKUP($A248,'Budget &amp; Revenue'!$A:$AM,39,FALSE)," ")</f>
        <v>1</v>
      </c>
    </row>
    <row r="249" spans="1:20" ht="30" x14ac:dyDescent="0.25">
      <c r="A249" s="80" t="s">
        <v>2682</v>
      </c>
      <c r="B249" s="201" t="str">
        <f>VLOOKUP(A249,Estimate!A:C,3,FALSE)</f>
        <v>Variation Direction to place an additional layer of Geogrid dobbins lane  Ch 190 to Ch 230  -  7.5m wide</v>
      </c>
      <c r="C249" s="80">
        <f>VLOOKUP(A249,Estimate!A:L,12,FALSE)</f>
        <v>0</v>
      </c>
      <c r="D249" s="234">
        <v>41</v>
      </c>
      <c r="E249" s="233"/>
      <c r="F249" s="235">
        <f>IFERROR(VLOOKUP(A249,Estimate!A:Q,17,FALSE)," ")</f>
        <v>1787.8473684210528</v>
      </c>
      <c r="G249" s="204">
        <f>IFERROR(VLOOKUP($A249,'Budget &amp; Revenue'!$A:$AM,13,FALSE)," ")</f>
        <v>0</v>
      </c>
      <c r="H249" s="204">
        <f>IFERROR(VLOOKUP($A249,'Budget &amp; Revenue'!$A:$AM,15,FALSE)," ")</f>
        <v>0</v>
      </c>
      <c r="I249" s="204">
        <f>IFERROR(VLOOKUP($A249,'Budget &amp; Revenue'!$A:$AM,17,FALSE)," ")</f>
        <v>0</v>
      </c>
      <c r="J249" s="204">
        <f>IFERROR(VLOOKUP($A249,'Budget &amp; Revenue'!$A:$AM,19,FALSE)," ")</f>
        <v>0</v>
      </c>
      <c r="K249" s="204">
        <f>IFERROR(VLOOKUP($A249,'Budget &amp; Revenue'!$A:$AM,21,FALSE)," ")</f>
        <v>0</v>
      </c>
      <c r="L249" s="204">
        <f>IFERROR(VLOOKUP($A249,'Budget &amp; Revenue'!$A:$AM,23,FALSE)," ")</f>
        <v>0</v>
      </c>
      <c r="M249" s="204">
        <f>IFERROR(VLOOKUP($A249,'Budget &amp; Revenue'!$A:$AM,25,FALSE)," ")</f>
        <v>0</v>
      </c>
      <c r="N249" s="204">
        <f>IFERROR(VLOOKUP($A249,'Budget &amp; Revenue'!$A:$AM,27,FALSE)," ")</f>
        <v>0</v>
      </c>
      <c r="O249" s="204">
        <f>IFERROR(VLOOKUP($A249,'Budget &amp; Revenue'!$A:$AM,29,FALSE)," ")</f>
        <v>1</v>
      </c>
      <c r="P249" s="204">
        <f>IFERROR(VLOOKUP($A249,'Budget &amp; Revenue'!$A:$AM,31,FALSE)," ")</f>
        <v>1</v>
      </c>
      <c r="Q249" s="204">
        <f>IFERROR(VLOOKUP($A249,'Budget &amp; Revenue'!$A:$AM,33,FALSE)," ")</f>
        <v>1</v>
      </c>
      <c r="R249" s="204">
        <f>IFERROR(VLOOKUP($A249,'Budget &amp; Revenue'!$A:$AM,35,FALSE)," ")</f>
        <v>1</v>
      </c>
      <c r="S249" s="204">
        <f>IFERROR(VLOOKUP($A249,'Budget &amp; Revenue'!$A:$AM,37,FALSE)," ")</f>
        <v>1</v>
      </c>
      <c r="T249" s="204">
        <f>IFERROR(VLOOKUP($A249,'Budget &amp; Revenue'!$A:$AM,39,FALSE)," ")</f>
        <v>1</v>
      </c>
    </row>
    <row r="250" spans="1:20" ht="45" x14ac:dyDescent="0.25">
      <c r="A250" s="80" t="s">
        <v>2689</v>
      </c>
      <c r="B250" s="201" t="str">
        <f>VLOOKUP(A250,Estimate!A:C,3,FALSE)</f>
        <v xml:space="preserve">Remove &amp; Replace Subgrade -  Excavate unsutiable  material,  Blended  cement into gravel, import place and compact. </v>
      </c>
      <c r="C250" s="80">
        <f>VLOOKUP(A250,Estimate!A:L,12,FALSE)</f>
        <v>8</v>
      </c>
      <c r="D250" s="234">
        <v>28</v>
      </c>
      <c r="E250" s="234">
        <v>37</v>
      </c>
      <c r="F250" s="235">
        <f>IFERROR(VLOOKUP(A250,Estimate!A:Q,17,FALSE)," ")</f>
        <v>39008.612420000005</v>
      </c>
      <c r="G250" s="204">
        <f>IFERROR(VLOOKUP($A250,'Budget &amp; Revenue'!$A:$AM,13,FALSE)," ")</f>
        <v>0</v>
      </c>
      <c r="H250" s="204">
        <f>IFERROR(VLOOKUP($A250,'Budget &amp; Revenue'!$A:$AM,15,FALSE)," ")</f>
        <v>0</v>
      </c>
      <c r="I250" s="204">
        <f>IFERROR(VLOOKUP($A250,'Budget &amp; Revenue'!$A:$AM,17,FALSE)," ")</f>
        <v>0</v>
      </c>
      <c r="J250" s="204">
        <f>IFERROR(VLOOKUP($A250,'Budget &amp; Revenue'!$A:$AM,19,FALSE)," ")</f>
        <v>0</v>
      </c>
      <c r="K250" s="204">
        <f>IFERROR(VLOOKUP($A250,'Budget &amp; Revenue'!$A:$AM,21,FALSE)," ")</f>
        <v>0</v>
      </c>
      <c r="L250" s="204">
        <f>IFERROR(VLOOKUP($A250,'Budget &amp; Revenue'!$A:$AM,23,FALSE)," ")</f>
        <v>0</v>
      </c>
      <c r="M250" s="204">
        <f>IFERROR(VLOOKUP($A250,'Budget &amp; Revenue'!$A:$AM,25,FALSE)," ")</f>
        <v>0</v>
      </c>
      <c r="N250" s="204">
        <f>IFERROR(VLOOKUP($A250,'Budget &amp; Revenue'!$A:$AM,27,FALSE)," ")</f>
        <v>0</v>
      </c>
      <c r="O250" s="204">
        <f>IFERROR(VLOOKUP($A250,'Budget &amp; Revenue'!$A:$AM,29,FALSE)," ")</f>
        <v>0</v>
      </c>
      <c r="P250" s="204">
        <f>IFERROR(VLOOKUP($A250,'Budget &amp; Revenue'!$A:$AM,31,FALSE)," ")</f>
        <v>0</v>
      </c>
      <c r="Q250" s="204">
        <f>IFERROR(VLOOKUP($A250,'Budget &amp; Revenue'!$A:$AM,33,FALSE)," ")</f>
        <v>1</v>
      </c>
      <c r="R250" s="204">
        <f>IFERROR(VLOOKUP($A250,'Budget &amp; Revenue'!$A:$AM,35,FALSE)," ")</f>
        <v>1</v>
      </c>
      <c r="S250" s="204">
        <f>IFERROR(VLOOKUP($A250,'Budget &amp; Revenue'!$A:$AM,37,FALSE)," ")</f>
        <v>1</v>
      </c>
      <c r="T250" s="204">
        <f>IFERROR(VLOOKUP($A250,'Budget &amp; Revenue'!$A:$AM,39,FALSE)," ")</f>
        <v>1</v>
      </c>
    </row>
    <row r="251" spans="1:20" x14ac:dyDescent="0.25">
      <c r="A251" s="80" t="s">
        <v>2696</v>
      </c>
      <c r="B251" s="201" t="str">
        <f>VLOOKUP(A251,Estimate!A:C,3,FALSE)</f>
        <v xml:space="preserve">Variation to water main Doherty street extra over the BOQ </v>
      </c>
      <c r="C251" s="80">
        <f>VLOOKUP(A251,Estimate!A:L,12,FALSE)</f>
        <v>1</v>
      </c>
      <c r="D251" s="234">
        <v>148</v>
      </c>
      <c r="E251" s="234">
        <v>149</v>
      </c>
      <c r="F251" s="235">
        <f>IFERROR(VLOOKUP(A251,Estimate!A:Q,17,FALSE)," ")</f>
        <v>36365</v>
      </c>
      <c r="G251" s="204">
        <f>IFERROR(VLOOKUP($A251,'Budget &amp; Revenue'!$A:$AM,13,FALSE)," ")</f>
        <v>0</v>
      </c>
      <c r="H251" s="204">
        <f>IFERROR(VLOOKUP($A251,'Budget &amp; Revenue'!$A:$AM,15,FALSE)," ")</f>
        <v>0</v>
      </c>
      <c r="I251" s="204">
        <f>IFERROR(VLOOKUP($A251,'Budget &amp; Revenue'!$A:$AM,17,FALSE)," ")</f>
        <v>0</v>
      </c>
      <c r="J251" s="204">
        <f>IFERROR(VLOOKUP($A251,'Budget &amp; Revenue'!$A:$AM,19,FALSE)," ")</f>
        <v>0</v>
      </c>
      <c r="K251" s="204">
        <f>IFERROR(VLOOKUP($A251,'Budget &amp; Revenue'!$A:$AM,21,FALSE)," ")</f>
        <v>0</v>
      </c>
      <c r="L251" s="204">
        <f>IFERROR(VLOOKUP($A251,'Budget &amp; Revenue'!$A:$AM,23,FALSE)," ")</f>
        <v>0</v>
      </c>
      <c r="M251" s="204">
        <f>IFERROR(VLOOKUP($A251,'Budget &amp; Revenue'!$A:$AM,25,FALSE)," ")</f>
        <v>0</v>
      </c>
      <c r="N251" s="204">
        <f>IFERROR(VLOOKUP($A251,'Budget &amp; Revenue'!$A:$AM,27,FALSE)," ")</f>
        <v>0</v>
      </c>
      <c r="O251" s="204">
        <f>IFERROR(VLOOKUP($A251,'Budget &amp; Revenue'!$A:$AM,29,FALSE)," ")</f>
        <v>0</v>
      </c>
      <c r="P251" s="204">
        <f>IFERROR(VLOOKUP($A251,'Budget &amp; Revenue'!$A:$AM,31,FALSE)," ")</f>
        <v>1</v>
      </c>
      <c r="Q251" s="204">
        <f>IFERROR(VLOOKUP($A251,'Budget &amp; Revenue'!$A:$AM,33,FALSE)," ")</f>
        <v>1</v>
      </c>
      <c r="R251" s="204">
        <f>IFERROR(VLOOKUP($A251,'Budget &amp; Revenue'!$A:$AM,35,FALSE)," ")</f>
        <v>1</v>
      </c>
      <c r="S251" s="204">
        <f>IFERROR(VLOOKUP($A251,'Budget &amp; Revenue'!$A:$AM,37,FALSE)," ")</f>
        <v>1</v>
      </c>
      <c r="T251" s="204">
        <f>IFERROR(VLOOKUP($A251,'Budget &amp; Revenue'!$A:$AM,39,FALSE)," ")</f>
        <v>1</v>
      </c>
    </row>
    <row r="252" spans="1:20" x14ac:dyDescent="0.25">
      <c r="A252" s="80" t="s">
        <v>2698</v>
      </c>
      <c r="B252" s="201" t="str">
        <f>VLOOKUP(A252,Estimate!A:C,3,FALSE)</f>
        <v xml:space="preserve">Pavement Design </v>
      </c>
      <c r="C252" s="80">
        <f>VLOOKUP(A252,Estimate!A:L,12,FALSE)</f>
        <v>3</v>
      </c>
      <c r="D252" s="234">
        <v>123</v>
      </c>
      <c r="E252" s="234">
        <v>126</v>
      </c>
      <c r="F252" s="235">
        <f>IFERROR(VLOOKUP(A252,Estimate!A:Q,17,FALSE)," ")</f>
        <v>22972.428315789475</v>
      </c>
      <c r="G252" s="204">
        <f>IFERROR(VLOOKUP($A252,'Budget &amp; Revenue'!$A:$AM,13,FALSE)," ")</f>
        <v>0</v>
      </c>
      <c r="H252" s="204">
        <f>IFERROR(VLOOKUP($A252,'Budget &amp; Revenue'!$A:$AM,15,FALSE)," ")</f>
        <v>0</v>
      </c>
      <c r="I252" s="204">
        <f>IFERROR(VLOOKUP($A252,'Budget &amp; Revenue'!$A:$AM,17,FALSE)," ")</f>
        <v>0</v>
      </c>
      <c r="J252" s="204">
        <f>IFERROR(VLOOKUP($A252,'Budget &amp; Revenue'!$A:$AM,19,FALSE)," ")</f>
        <v>0</v>
      </c>
      <c r="K252" s="204">
        <f>IFERROR(VLOOKUP($A252,'Budget &amp; Revenue'!$A:$AM,21,FALSE)," ")</f>
        <v>0</v>
      </c>
      <c r="L252" s="204">
        <f>IFERROR(VLOOKUP($A252,'Budget &amp; Revenue'!$A:$AM,23,FALSE)," ")</f>
        <v>0</v>
      </c>
      <c r="M252" s="204">
        <f>IFERROR(VLOOKUP($A252,'Budget &amp; Revenue'!$A:$AM,25,FALSE)," ")</f>
        <v>0</v>
      </c>
      <c r="N252" s="204">
        <f>IFERROR(VLOOKUP($A252,'Budget &amp; Revenue'!$A:$AM,27,FALSE)," ")</f>
        <v>0</v>
      </c>
      <c r="O252" s="204">
        <f>IFERROR(VLOOKUP($A252,'Budget &amp; Revenue'!$A:$AM,29,FALSE)," ")</f>
        <v>0</v>
      </c>
      <c r="P252" s="204">
        <f>IFERROR(VLOOKUP($A252,'Budget &amp; Revenue'!$A:$AM,31,FALSE)," ")</f>
        <v>0</v>
      </c>
      <c r="Q252" s="204">
        <f>IFERROR(VLOOKUP($A252,'Budget &amp; Revenue'!$A:$AM,33,FALSE)," ")</f>
        <v>1</v>
      </c>
      <c r="R252" s="204">
        <f>IFERROR(VLOOKUP($A252,'Budget &amp; Revenue'!$A:$AM,35,FALSE)," ")</f>
        <v>1</v>
      </c>
      <c r="S252" s="204">
        <f>IFERROR(VLOOKUP($A252,'Budget &amp; Revenue'!$A:$AM,37,FALSE)," ")</f>
        <v>1</v>
      </c>
      <c r="T252" s="204">
        <f>IFERROR(VLOOKUP($A252,'Budget &amp; Revenue'!$A:$AM,39,FALSE)," ")</f>
        <v>1</v>
      </c>
    </row>
    <row r="253" spans="1:20" x14ac:dyDescent="0.25">
      <c r="A253" s="80" t="s">
        <v>2697</v>
      </c>
      <c r="B253" s="201" t="str">
        <f>VLOOKUP(A253,Estimate!A:C,3,FALSE)</f>
        <v>Replacement of AC sewer main ch 37</v>
      </c>
      <c r="C253" s="80">
        <f>VLOOKUP(A253,Estimate!A:L,12,FALSE)</f>
        <v>1</v>
      </c>
      <c r="D253" s="234">
        <v>149</v>
      </c>
      <c r="E253" s="234">
        <v>147</v>
      </c>
      <c r="F253" s="235">
        <f>IFERROR(VLOOKUP(A253,Estimate!A:Q,17,FALSE)," ")</f>
        <v>5000</v>
      </c>
      <c r="G253" s="204">
        <f>IFERROR(VLOOKUP($A253,'Budget &amp; Revenue'!$A:$AM,13,FALSE)," ")</f>
        <v>0</v>
      </c>
      <c r="H253" s="204">
        <f>IFERROR(VLOOKUP($A253,'Budget &amp; Revenue'!$A:$AM,15,FALSE)," ")</f>
        <v>0</v>
      </c>
      <c r="I253" s="204">
        <f>IFERROR(VLOOKUP($A253,'Budget &amp; Revenue'!$A:$AM,17,FALSE)," ")</f>
        <v>0</v>
      </c>
      <c r="J253" s="204">
        <f>IFERROR(VLOOKUP($A253,'Budget &amp; Revenue'!$A:$AM,19,FALSE)," ")</f>
        <v>0</v>
      </c>
      <c r="K253" s="204">
        <f>IFERROR(VLOOKUP($A253,'Budget &amp; Revenue'!$A:$AM,21,FALSE)," ")</f>
        <v>0</v>
      </c>
      <c r="L253" s="204">
        <f>IFERROR(VLOOKUP($A253,'Budget &amp; Revenue'!$A:$AM,23,FALSE)," ")</f>
        <v>0</v>
      </c>
      <c r="M253" s="204">
        <f>IFERROR(VLOOKUP($A253,'Budget &amp; Revenue'!$A:$AM,25,FALSE)," ")</f>
        <v>0</v>
      </c>
      <c r="N253" s="204">
        <f>IFERROR(VLOOKUP($A253,'Budget &amp; Revenue'!$A:$AM,27,FALSE)," ")</f>
        <v>0</v>
      </c>
      <c r="O253" s="204">
        <f>IFERROR(VLOOKUP($A253,'Budget &amp; Revenue'!$A:$AM,29,FALSE)," ")</f>
        <v>0</v>
      </c>
      <c r="P253" s="204">
        <f>IFERROR(VLOOKUP($A253,'Budget &amp; Revenue'!$A:$AM,31,FALSE)," ")</f>
        <v>0</v>
      </c>
      <c r="Q253" s="204">
        <f>IFERROR(VLOOKUP($A253,'Budget &amp; Revenue'!$A:$AM,33,FALSE)," ")</f>
        <v>1</v>
      </c>
      <c r="R253" s="204">
        <f>IFERROR(VLOOKUP($A253,'Budget &amp; Revenue'!$A:$AM,35,FALSE)," ")</f>
        <v>1</v>
      </c>
      <c r="S253" s="204">
        <f>IFERROR(VLOOKUP($A253,'Budget &amp; Revenue'!$A:$AM,37,FALSE)," ")</f>
        <v>1</v>
      </c>
      <c r="T253" s="204">
        <f>IFERROR(VLOOKUP($A253,'Budget &amp; Revenue'!$A:$AM,39,FALSE)," ")</f>
        <v>1</v>
      </c>
    </row>
    <row r="254" spans="1:20" x14ac:dyDescent="0.25">
      <c r="A254" s="80" t="s">
        <v>2710</v>
      </c>
      <c r="B254" s="201" t="str">
        <f>VLOOKUP(A254,Estimate!A:C,3,FALSE)</f>
        <v xml:space="preserve">Construct Field Inlet Gully Pit Doherty Street </v>
      </c>
      <c r="C254" s="80">
        <f>VLOOKUP(A254,Estimate!A:L,12,FALSE)</f>
        <v>1</v>
      </c>
      <c r="D254" s="234">
        <v>134</v>
      </c>
      <c r="E254" s="234">
        <v>136</v>
      </c>
      <c r="F254" s="235">
        <f>IFERROR(VLOOKUP(A254,Estimate!A:Q,17,FALSE)," ")</f>
        <v>9050</v>
      </c>
      <c r="G254" s="204">
        <f>IFERROR(VLOOKUP($A254,'Budget &amp; Revenue'!$A:$AM,13,FALSE)," ")</f>
        <v>0</v>
      </c>
      <c r="H254" s="204">
        <f>IFERROR(VLOOKUP($A254,'Budget &amp; Revenue'!$A:$AM,15,FALSE)," ")</f>
        <v>0</v>
      </c>
      <c r="I254" s="204">
        <f>IFERROR(VLOOKUP($A254,'Budget &amp; Revenue'!$A:$AM,17,FALSE)," ")</f>
        <v>0</v>
      </c>
      <c r="J254" s="204">
        <f>IFERROR(VLOOKUP($A254,'Budget &amp; Revenue'!$A:$AM,19,FALSE)," ")</f>
        <v>0</v>
      </c>
      <c r="K254" s="204">
        <f>IFERROR(VLOOKUP($A254,'Budget &amp; Revenue'!$A:$AM,21,FALSE)," ")</f>
        <v>0</v>
      </c>
      <c r="L254" s="204">
        <f>IFERROR(VLOOKUP($A254,'Budget &amp; Revenue'!$A:$AM,23,FALSE)," ")</f>
        <v>0</v>
      </c>
      <c r="M254" s="204">
        <f>IFERROR(VLOOKUP($A254,'Budget &amp; Revenue'!$A:$AM,25,FALSE)," ")</f>
        <v>0</v>
      </c>
      <c r="N254" s="204">
        <f>IFERROR(VLOOKUP($A254,'Budget &amp; Revenue'!$A:$AM,27,FALSE)," ")</f>
        <v>0</v>
      </c>
      <c r="O254" s="204">
        <f>IFERROR(VLOOKUP($A254,'Budget &amp; Revenue'!$A:$AM,29,FALSE)," ")</f>
        <v>0</v>
      </c>
      <c r="P254" s="204">
        <f>IFERROR(VLOOKUP($A254,'Budget &amp; Revenue'!$A:$AM,31,FALSE)," ")</f>
        <v>0</v>
      </c>
      <c r="Q254" s="204">
        <f>IFERROR(VLOOKUP($A254,'Budget &amp; Revenue'!$A:$AM,33,FALSE)," ")</f>
        <v>0</v>
      </c>
      <c r="R254" s="204">
        <f>IFERROR(VLOOKUP($A254,'Budget &amp; Revenue'!$A:$AM,35,FALSE)," ")</f>
        <v>1</v>
      </c>
      <c r="S254" s="204">
        <f>IFERROR(VLOOKUP($A254,'Budget &amp; Revenue'!$A:$AM,37,FALSE)," ")</f>
        <v>1</v>
      </c>
      <c r="T254" s="204">
        <f>IFERROR(VLOOKUP($A254,'Budget &amp; Revenue'!$A:$AM,39,FALSE)," ")</f>
        <v>1</v>
      </c>
    </row>
    <row r="255" spans="1:20" x14ac:dyDescent="0.25">
      <c r="A255" s="80" t="s">
        <v>2711</v>
      </c>
      <c r="B255" s="201" t="str">
        <f>VLOOKUP(A255,Estimate!A:C,3,FALSE)</f>
        <v xml:space="preserve">Kerb extension end of Doherty Street </v>
      </c>
      <c r="C255" s="80">
        <f>VLOOKUP(A255,Estimate!A:L,12,FALSE)</f>
        <v>1</v>
      </c>
      <c r="D255" s="234">
        <v>135</v>
      </c>
      <c r="E255" s="236">
        <v>140146</v>
      </c>
      <c r="F255" s="235">
        <f>IFERROR(VLOOKUP(A255,Estimate!A:Q,17,FALSE)," ")</f>
        <v>446</v>
      </c>
      <c r="G255" s="204">
        <f>IFERROR(VLOOKUP($A255,'Budget &amp; Revenue'!$A:$AM,13,FALSE)," ")</f>
        <v>0</v>
      </c>
      <c r="H255" s="204">
        <f>IFERROR(VLOOKUP($A255,'Budget &amp; Revenue'!$A:$AM,15,FALSE)," ")</f>
        <v>0</v>
      </c>
      <c r="I255" s="204">
        <f>IFERROR(VLOOKUP($A255,'Budget &amp; Revenue'!$A:$AM,17,FALSE)," ")</f>
        <v>0</v>
      </c>
      <c r="J255" s="204">
        <f>IFERROR(VLOOKUP($A255,'Budget &amp; Revenue'!$A:$AM,19,FALSE)," ")</f>
        <v>0</v>
      </c>
      <c r="K255" s="204">
        <f>IFERROR(VLOOKUP($A255,'Budget &amp; Revenue'!$A:$AM,21,FALSE)," ")</f>
        <v>0</v>
      </c>
      <c r="L255" s="204">
        <f>IFERROR(VLOOKUP($A255,'Budget &amp; Revenue'!$A:$AM,23,FALSE)," ")</f>
        <v>0</v>
      </c>
      <c r="M255" s="204">
        <f>IFERROR(VLOOKUP($A255,'Budget &amp; Revenue'!$A:$AM,25,FALSE)," ")</f>
        <v>0</v>
      </c>
      <c r="N255" s="204">
        <f>IFERROR(VLOOKUP($A255,'Budget &amp; Revenue'!$A:$AM,27,FALSE)," ")</f>
        <v>0</v>
      </c>
      <c r="O255" s="204">
        <f>IFERROR(VLOOKUP($A255,'Budget &amp; Revenue'!$A:$AM,29,FALSE)," ")</f>
        <v>0</v>
      </c>
      <c r="P255" s="204">
        <f>IFERROR(VLOOKUP($A255,'Budget &amp; Revenue'!$A:$AM,31,FALSE)," ")</f>
        <v>0</v>
      </c>
      <c r="Q255" s="204">
        <f>IFERROR(VLOOKUP($A255,'Budget &amp; Revenue'!$A:$AM,33,FALSE)," ")</f>
        <v>0</v>
      </c>
      <c r="R255" s="204">
        <f>IFERROR(VLOOKUP($A255,'Budget &amp; Revenue'!$A:$AM,35,FALSE)," ")</f>
        <v>1</v>
      </c>
      <c r="S255" s="204">
        <f>IFERROR(VLOOKUP($A255,'Budget &amp; Revenue'!$A:$AM,37,FALSE)," ")</f>
        <v>1</v>
      </c>
      <c r="T255" s="204">
        <f>IFERROR(VLOOKUP($A255,'Budget &amp; Revenue'!$A:$AM,39,FALSE)," ")</f>
        <v>1</v>
      </c>
    </row>
    <row r="256" spans="1:20" x14ac:dyDescent="0.25">
      <c r="A256" s="80" t="s">
        <v>2712</v>
      </c>
      <c r="B256" s="201" t="str">
        <f>VLOOKUP(A256,Estimate!A:C,3,FALSE)</f>
        <v xml:space="preserve">Concrete Driveway  3 Doherty Street </v>
      </c>
      <c r="C256" s="80">
        <f>VLOOKUP(A256,Estimate!A:L,12,FALSE)</f>
        <v>3</v>
      </c>
      <c r="D256" s="234">
        <v>146</v>
      </c>
      <c r="E256" s="234">
        <v>142</v>
      </c>
      <c r="F256" s="235">
        <f>IFERROR(VLOOKUP(A256,Estimate!A:Q,17,FALSE)," ")</f>
        <v>831.3066666666665</v>
      </c>
      <c r="G256" s="204">
        <f>IFERROR(VLOOKUP($A256,'Budget &amp; Revenue'!$A:$AM,13,FALSE)," ")</f>
        <v>0</v>
      </c>
      <c r="H256" s="204">
        <f>IFERROR(VLOOKUP($A256,'Budget &amp; Revenue'!$A:$AM,15,FALSE)," ")</f>
        <v>0</v>
      </c>
      <c r="I256" s="204">
        <f>IFERROR(VLOOKUP($A256,'Budget &amp; Revenue'!$A:$AM,17,FALSE)," ")</f>
        <v>0</v>
      </c>
      <c r="J256" s="204">
        <f>IFERROR(VLOOKUP($A256,'Budget &amp; Revenue'!$A:$AM,19,FALSE)," ")</f>
        <v>0</v>
      </c>
      <c r="K256" s="204">
        <f>IFERROR(VLOOKUP($A256,'Budget &amp; Revenue'!$A:$AM,21,FALSE)," ")</f>
        <v>0</v>
      </c>
      <c r="L256" s="204">
        <f>IFERROR(VLOOKUP($A256,'Budget &amp; Revenue'!$A:$AM,23,FALSE)," ")</f>
        <v>0</v>
      </c>
      <c r="M256" s="204">
        <f>IFERROR(VLOOKUP($A256,'Budget &amp; Revenue'!$A:$AM,25,FALSE)," ")</f>
        <v>0</v>
      </c>
      <c r="N256" s="204">
        <f>IFERROR(VLOOKUP($A256,'Budget &amp; Revenue'!$A:$AM,27,FALSE)," ")</f>
        <v>0</v>
      </c>
      <c r="O256" s="204">
        <f>IFERROR(VLOOKUP($A256,'Budget &amp; Revenue'!$A:$AM,29,FALSE)," ")</f>
        <v>0</v>
      </c>
      <c r="P256" s="204">
        <f>IFERROR(VLOOKUP($A256,'Budget &amp; Revenue'!$A:$AM,31,FALSE)," ")</f>
        <v>0</v>
      </c>
      <c r="Q256" s="204">
        <f>IFERROR(VLOOKUP($A256,'Budget &amp; Revenue'!$A:$AM,33,FALSE)," ")</f>
        <v>0</v>
      </c>
      <c r="R256" s="204">
        <f>IFERROR(VLOOKUP($A256,'Budget &amp; Revenue'!$A:$AM,35,FALSE)," ")</f>
        <v>1</v>
      </c>
      <c r="S256" s="204">
        <f>IFERROR(VLOOKUP($A256,'Budget &amp; Revenue'!$A:$AM,37,FALSE)," ")</f>
        <v>1</v>
      </c>
      <c r="T256" s="204">
        <f>IFERROR(VLOOKUP($A256,'Budget &amp; Revenue'!$A:$AM,39,FALSE)," ")</f>
        <v>1</v>
      </c>
    </row>
    <row r="257" spans="1:20" x14ac:dyDescent="0.25">
      <c r="A257" s="80" t="s">
        <v>2714</v>
      </c>
      <c r="B257" s="201" t="str">
        <f>VLOOKUP(A257,Estimate!A:C,3,FALSE)</f>
        <v xml:space="preserve">Doherty Street  - Hydromulch 1000m2 </v>
      </c>
      <c r="C257" s="80">
        <f>VLOOKUP(A257,Estimate!A:L,12,FALSE)</f>
        <v>1</v>
      </c>
      <c r="D257" s="234">
        <v>122</v>
      </c>
      <c r="E257" s="234">
        <v>150</v>
      </c>
      <c r="F257" s="235">
        <f>IFERROR(VLOOKUP(A257,Estimate!A:Q,17,FALSE)," ")</f>
        <v>2960</v>
      </c>
      <c r="G257" s="204">
        <f>IFERROR(VLOOKUP($A257,'Budget &amp; Revenue'!$A:$AM,13,FALSE)," ")</f>
        <v>0</v>
      </c>
      <c r="H257" s="204">
        <f>IFERROR(VLOOKUP($A257,'Budget &amp; Revenue'!$A:$AM,15,FALSE)," ")</f>
        <v>0</v>
      </c>
      <c r="I257" s="204">
        <f>IFERROR(VLOOKUP($A257,'Budget &amp; Revenue'!$A:$AM,17,FALSE)," ")</f>
        <v>0</v>
      </c>
      <c r="J257" s="204">
        <f>IFERROR(VLOOKUP($A257,'Budget &amp; Revenue'!$A:$AM,19,FALSE)," ")</f>
        <v>0</v>
      </c>
      <c r="K257" s="204">
        <f>IFERROR(VLOOKUP($A257,'Budget &amp; Revenue'!$A:$AM,21,FALSE)," ")</f>
        <v>0</v>
      </c>
      <c r="L257" s="204">
        <f>IFERROR(VLOOKUP($A257,'Budget &amp; Revenue'!$A:$AM,23,FALSE)," ")</f>
        <v>0</v>
      </c>
      <c r="M257" s="204">
        <f>IFERROR(VLOOKUP($A257,'Budget &amp; Revenue'!$A:$AM,25,FALSE)," ")</f>
        <v>0</v>
      </c>
      <c r="N257" s="204">
        <f>IFERROR(VLOOKUP($A257,'Budget &amp; Revenue'!$A:$AM,27,FALSE)," ")</f>
        <v>0</v>
      </c>
      <c r="O257" s="204">
        <f>IFERROR(VLOOKUP($A257,'Budget &amp; Revenue'!$A:$AM,29,FALSE)," ")</f>
        <v>0</v>
      </c>
      <c r="P257" s="204">
        <f>IFERROR(VLOOKUP($A257,'Budget &amp; Revenue'!$A:$AM,31,FALSE)," ")</f>
        <v>0</v>
      </c>
      <c r="Q257" s="204">
        <f>IFERROR(VLOOKUP($A257,'Budget &amp; Revenue'!$A:$AM,33,FALSE)," ")</f>
        <v>0</v>
      </c>
      <c r="R257" s="204">
        <f>IFERROR(VLOOKUP($A257,'Budget &amp; Revenue'!$A:$AM,35,FALSE)," ")</f>
        <v>0</v>
      </c>
      <c r="S257" s="204">
        <f>IFERROR(VLOOKUP($A257,'Budget &amp; Revenue'!$A:$AM,37,FALSE)," ")</f>
        <v>1</v>
      </c>
      <c r="T257" s="204">
        <f>IFERROR(VLOOKUP($A257,'Budget &amp; Revenue'!$A:$AM,39,FALSE)," ")</f>
        <v>1</v>
      </c>
    </row>
    <row r="258" spans="1:20" x14ac:dyDescent="0.25">
      <c r="A258" s="80" t="s">
        <v>2561</v>
      </c>
      <c r="B258" s="201" t="str">
        <f>VLOOKUP(A258,Estimate!A:C,3,FALSE)</f>
        <v>Dodd St - Geogrid layer</v>
      </c>
      <c r="C258" s="80">
        <f>VLOOKUP(A258,Estimate!A:L,12,FALSE)</f>
        <v>1</v>
      </c>
      <c r="D258" s="234">
        <v>111</v>
      </c>
      <c r="E258" s="234">
        <v>109</v>
      </c>
      <c r="F258" s="235">
        <f>IFERROR(VLOOKUP(A258,Estimate!A:Q,17,FALSE)," ")</f>
        <v>16668.696964912284</v>
      </c>
      <c r="G258" s="204">
        <f>IFERROR(VLOOKUP($A258,'Budget &amp; Revenue'!$A:$AM,13,FALSE)," ")</f>
        <v>0</v>
      </c>
      <c r="H258" s="204">
        <f>IFERROR(VLOOKUP($A258,'Budget &amp; Revenue'!$A:$AM,15,FALSE)," ")</f>
        <v>0</v>
      </c>
      <c r="I258" s="204">
        <f>IFERROR(VLOOKUP($A258,'Budget &amp; Revenue'!$A:$AM,17,FALSE)," ")</f>
        <v>0</v>
      </c>
      <c r="J258" s="204">
        <f>IFERROR(VLOOKUP($A258,'Budget &amp; Revenue'!$A:$AM,19,FALSE)," ")</f>
        <v>0.31462281015373617</v>
      </c>
      <c r="K258" s="204">
        <f>IFERROR(VLOOKUP($A258,'Budget &amp; Revenue'!$A:$AM,21,FALSE)," ")</f>
        <v>0.84983911333571682</v>
      </c>
      <c r="L258" s="204">
        <f>IFERROR(VLOOKUP($A258,'Budget &amp; Revenue'!$A:$AM,23,FALSE)," ")</f>
        <v>0.84983911333571682</v>
      </c>
      <c r="M258" s="204">
        <f>IFERROR(VLOOKUP($A258,'Budget &amp; Revenue'!$A:$AM,25,FALSE)," ")</f>
        <v>1</v>
      </c>
      <c r="N258" s="204">
        <f>IFERROR(VLOOKUP($A258,'Budget &amp; Revenue'!$A:$AM,27,FALSE)," ")</f>
        <v>1</v>
      </c>
      <c r="O258" s="204">
        <f>IFERROR(VLOOKUP($A258,'Budget &amp; Revenue'!$A:$AM,29,FALSE)," ")</f>
        <v>1</v>
      </c>
      <c r="P258" s="204">
        <f>IFERROR(VLOOKUP($A258,'Budget &amp; Revenue'!$A:$AM,31,FALSE)," ")</f>
        <v>1</v>
      </c>
      <c r="Q258" s="204">
        <f>IFERROR(VLOOKUP($A258,'Budget &amp; Revenue'!$A:$AM,33,FALSE)," ")</f>
        <v>1</v>
      </c>
      <c r="R258" s="204">
        <f>IFERROR(VLOOKUP($A258,'Budget &amp; Revenue'!$A:$AM,35,FALSE)," ")</f>
        <v>1</v>
      </c>
      <c r="S258" s="204">
        <f>IFERROR(VLOOKUP($A258,'Budget &amp; Revenue'!$A:$AM,37,FALSE)," ")</f>
        <v>1</v>
      </c>
      <c r="T258" s="204">
        <f>IFERROR(VLOOKUP($A258,'Budget &amp; Revenue'!$A:$AM,39,FALSE)," ")</f>
        <v>1</v>
      </c>
    </row>
    <row r="259" spans="1:20" ht="30" x14ac:dyDescent="0.25">
      <c r="A259" s="80" t="s">
        <v>2564</v>
      </c>
      <c r="B259" s="201" t="str">
        <f>VLOOKUP(A259,Estimate!A:C,3,FALSE)</f>
        <v>Dodd Street-PV02 Supply and Install  Entry pits, RCBC and  Concrete Nib Wall and Nib</v>
      </c>
      <c r="C259" s="80">
        <f>VLOOKUP(A259,Estimate!A:L,12,FALSE)</f>
        <v>8</v>
      </c>
      <c r="D259" s="234">
        <v>104</v>
      </c>
      <c r="E259" s="234">
        <v>106</v>
      </c>
      <c r="F259" s="235">
        <f>IFERROR(VLOOKUP(A259,Estimate!A:Q,17,FALSE)," ")</f>
        <v>12004.175999999999</v>
      </c>
      <c r="G259" s="204">
        <f>IFERROR(VLOOKUP($A259,'Budget &amp; Revenue'!$A:$AM,13,FALSE)," ")</f>
        <v>0</v>
      </c>
      <c r="H259" s="204">
        <f>IFERROR(VLOOKUP($A259,'Budget &amp; Revenue'!$A:$AM,15,FALSE)," ")</f>
        <v>0</v>
      </c>
      <c r="I259" s="204">
        <f>IFERROR(VLOOKUP($A259,'Budget &amp; Revenue'!$A:$AM,17,FALSE)," ")</f>
        <v>0</v>
      </c>
      <c r="J259" s="204">
        <f>IFERROR(VLOOKUP($A259,'Budget &amp; Revenue'!$A:$AM,19,FALSE)," ")</f>
        <v>0</v>
      </c>
      <c r="K259" s="204">
        <f>IFERROR(VLOOKUP($A259,'Budget &amp; Revenue'!$A:$AM,21,FALSE)," ")</f>
        <v>0</v>
      </c>
      <c r="L259" s="204">
        <f>IFERROR(VLOOKUP($A259,'Budget &amp; Revenue'!$A:$AM,23,FALSE)," ")</f>
        <v>1</v>
      </c>
      <c r="M259" s="204">
        <f>IFERROR(VLOOKUP($A259,'Budget &amp; Revenue'!$A:$AM,25,FALSE)," ")</f>
        <v>1</v>
      </c>
      <c r="N259" s="204">
        <f>IFERROR(VLOOKUP($A259,'Budget &amp; Revenue'!$A:$AM,27,FALSE)," ")</f>
        <v>1</v>
      </c>
      <c r="O259" s="204">
        <f>IFERROR(VLOOKUP($A259,'Budget &amp; Revenue'!$A:$AM,29,FALSE)," ")</f>
        <v>1</v>
      </c>
      <c r="P259" s="204">
        <f>IFERROR(VLOOKUP($A259,'Budget &amp; Revenue'!$A:$AM,31,FALSE)," ")</f>
        <v>1</v>
      </c>
      <c r="Q259" s="204">
        <f>IFERROR(VLOOKUP($A259,'Budget &amp; Revenue'!$A:$AM,33,FALSE)," ")</f>
        <v>1</v>
      </c>
      <c r="R259" s="204">
        <f>IFERROR(VLOOKUP($A259,'Budget &amp; Revenue'!$A:$AM,35,FALSE)," ")</f>
        <v>1</v>
      </c>
      <c r="S259" s="204">
        <f>IFERROR(VLOOKUP($A259,'Budget &amp; Revenue'!$A:$AM,37,FALSE)," ")</f>
        <v>1</v>
      </c>
      <c r="T259" s="204">
        <f>IFERROR(VLOOKUP($A259,'Budget &amp; Revenue'!$A:$AM,39,FALSE)," ")</f>
        <v>1</v>
      </c>
    </row>
    <row r="260" spans="1:20" ht="30" x14ac:dyDescent="0.25">
      <c r="A260" s="80" t="s">
        <v>2571</v>
      </c>
      <c r="B260" s="201" t="str">
        <f>VLOOKUP(A260,Estimate!A:C,3,FALSE)</f>
        <v>Dodd Street water main replacement Install new 100mm Dia DICL Watermains 3 locations</v>
      </c>
      <c r="C260" s="80">
        <f>VLOOKUP(A260,Estimate!A:L,12,FALSE)</f>
        <v>9</v>
      </c>
      <c r="D260" s="234">
        <v>96</v>
      </c>
      <c r="E260" s="236">
        <v>111265</v>
      </c>
      <c r="F260" s="235">
        <f>IFERROR(VLOOKUP(A260,Estimate!A:Q,17,FALSE)," ")</f>
        <v>42341</v>
      </c>
      <c r="G260" s="204">
        <f>IFERROR(VLOOKUP($A260,'Budget &amp; Revenue'!$A:$AM,13,FALSE)," ")</f>
        <v>0</v>
      </c>
      <c r="H260" s="204">
        <f>IFERROR(VLOOKUP($A260,'Budget &amp; Revenue'!$A:$AM,15,FALSE)," ")</f>
        <v>0</v>
      </c>
      <c r="I260" s="204">
        <f>IFERROR(VLOOKUP($A260,'Budget &amp; Revenue'!$A:$AM,17,FALSE)," ")</f>
        <v>0</v>
      </c>
      <c r="J260" s="204">
        <f>IFERROR(VLOOKUP($A260,'Budget &amp; Revenue'!$A:$AM,19,FALSE)," ")</f>
        <v>0</v>
      </c>
      <c r="K260" s="204">
        <f>IFERROR(VLOOKUP($A260,'Budget &amp; Revenue'!$A:$AM,21,FALSE)," ")</f>
        <v>0</v>
      </c>
      <c r="L260" s="204">
        <f>IFERROR(VLOOKUP($A260,'Budget &amp; Revenue'!$A:$AM,23,FALSE)," ")</f>
        <v>0.97430000000000005</v>
      </c>
      <c r="M260" s="204">
        <f>IFERROR(VLOOKUP($A260,'Budget &amp; Revenue'!$A:$AM,25,FALSE)," ")</f>
        <v>1</v>
      </c>
      <c r="N260" s="204">
        <f>IFERROR(VLOOKUP($A260,'Budget &amp; Revenue'!$A:$AM,27,FALSE)," ")</f>
        <v>1</v>
      </c>
      <c r="O260" s="204">
        <f>IFERROR(VLOOKUP($A260,'Budget &amp; Revenue'!$A:$AM,29,FALSE)," ")</f>
        <v>1</v>
      </c>
      <c r="P260" s="204">
        <f>IFERROR(VLOOKUP($A260,'Budget &amp; Revenue'!$A:$AM,31,FALSE)," ")</f>
        <v>1</v>
      </c>
      <c r="Q260" s="204">
        <f>IFERROR(VLOOKUP($A260,'Budget &amp; Revenue'!$A:$AM,33,FALSE)," ")</f>
        <v>1</v>
      </c>
      <c r="R260" s="204">
        <f>IFERROR(VLOOKUP($A260,'Budget &amp; Revenue'!$A:$AM,35,FALSE)," ")</f>
        <v>1</v>
      </c>
      <c r="S260" s="204">
        <f>IFERROR(VLOOKUP($A260,'Budget &amp; Revenue'!$A:$AM,37,FALSE)," ")</f>
        <v>1</v>
      </c>
      <c r="T260" s="204">
        <f>IFERROR(VLOOKUP($A260,'Budget &amp; Revenue'!$A:$AM,39,FALSE)," ")</f>
        <v>1</v>
      </c>
    </row>
    <row r="261" spans="1:20" ht="30" x14ac:dyDescent="0.25">
      <c r="A261" s="80" t="s">
        <v>2579</v>
      </c>
      <c r="B261" s="201" t="str">
        <f>VLOOKUP(A261,Estimate!A:C,3,FALSE)</f>
        <v>Dodd Street_ PV04 - Extend Deep Lift AC at Culvert Crossing Anzac Drive</v>
      </c>
      <c r="C261" s="80">
        <f>VLOOKUP(A261,Estimate!A:L,12,FALSE)</f>
        <v>1</v>
      </c>
      <c r="D261" s="234">
        <v>113</v>
      </c>
      <c r="E261" s="234">
        <v>117</v>
      </c>
      <c r="F261" s="235">
        <f>IFERROR(VLOOKUP(A261,Estimate!A:Q,17,FALSE)," ")</f>
        <v>891.26100000000008</v>
      </c>
      <c r="G261" s="204">
        <f>IFERROR(VLOOKUP($A261,'Budget &amp; Revenue'!$A:$AM,13,FALSE)," ")</f>
        <v>0</v>
      </c>
      <c r="H261" s="204">
        <f>IFERROR(VLOOKUP($A261,'Budget &amp; Revenue'!$A:$AM,15,FALSE)," ")</f>
        <v>0</v>
      </c>
      <c r="I261" s="204">
        <f>IFERROR(VLOOKUP($A261,'Budget &amp; Revenue'!$A:$AM,17,FALSE)," ")</f>
        <v>0</v>
      </c>
      <c r="J261" s="204">
        <f>IFERROR(VLOOKUP($A261,'Budget &amp; Revenue'!$A:$AM,19,FALSE)," ")</f>
        <v>0</v>
      </c>
      <c r="K261" s="204">
        <f>IFERROR(VLOOKUP($A261,'Budget &amp; Revenue'!$A:$AM,21,FALSE)," ")</f>
        <v>0</v>
      </c>
      <c r="L261" s="204">
        <f>IFERROR(VLOOKUP($A261,'Budget &amp; Revenue'!$A:$AM,23,FALSE)," ")</f>
        <v>0</v>
      </c>
      <c r="M261" s="204">
        <f>IFERROR(VLOOKUP($A261,'Budget &amp; Revenue'!$A:$AM,25,FALSE)," ")</f>
        <v>0</v>
      </c>
      <c r="N261" s="204">
        <f>IFERROR(VLOOKUP($A261,'Budget &amp; Revenue'!$A:$AM,27,FALSE)," ")</f>
        <v>1</v>
      </c>
      <c r="O261" s="204">
        <f>IFERROR(VLOOKUP($A261,'Budget &amp; Revenue'!$A:$AM,29,FALSE)," ")</f>
        <v>1</v>
      </c>
      <c r="P261" s="204">
        <f>IFERROR(VLOOKUP($A261,'Budget &amp; Revenue'!$A:$AM,31,FALSE)," ")</f>
        <v>1</v>
      </c>
      <c r="Q261" s="204">
        <f>IFERROR(VLOOKUP($A261,'Budget &amp; Revenue'!$A:$AM,33,FALSE)," ")</f>
        <v>1</v>
      </c>
      <c r="R261" s="204">
        <f>IFERROR(VLOOKUP($A261,'Budget &amp; Revenue'!$A:$AM,35,FALSE)," ")</f>
        <v>1</v>
      </c>
      <c r="S261" s="204">
        <f>IFERROR(VLOOKUP($A261,'Budget &amp; Revenue'!$A:$AM,37,FALSE)," ")</f>
        <v>1</v>
      </c>
      <c r="T261" s="204">
        <f>IFERROR(VLOOKUP($A261,'Budget &amp; Revenue'!$A:$AM,39,FALSE)," ")</f>
        <v>1</v>
      </c>
    </row>
    <row r="262" spans="1:20" x14ac:dyDescent="0.25">
      <c r="A262" s="80" t="s">
        <v>2580</v>
      </c>
      <c r="B262" s="201" t="str">
        <f>VLOOKUP(A262,Estimate!A:C,3,FALSE)</f>
        <v>Dodd Street_PV05  - New Bropit and RCBC arrangement</v>
      </c>
      <c r="C262" s="80">
        <f>VLOOKUP(A262,Estimate!A:L,12,FALSE)</f>
        <v>4</v>
      </c>
      <c r="D262" s="234">
        <v>104</v>
      </c>
      <c r="E262" s="234">
        <v>263</v>
      </c>
      <c r="F262" s="235">
        <f>IFERROR(VLOOKUP(A262,Estimate!A:Q,17,FALSE)," ")</f>
        <v>5434.4400000000005</v>
      </c>
      <c r="G262" s="204">
        <f>IFERROR(VLOOKUP($A262,'Budget &amp; Revenue'!$A:$AM,13,FALSE)," ")</f>
        <v>0</v>
      </c>
      <c r="H262" s="204">
        <f>IFERROR(VLOOKUP($A262,'Budget &amp; Revenue'!$A:$AM,15,FALSE)," ")</f>
        <v>0</v>
      </c>
      <c r="I262" s="204">
        <f>IFERROR(VLOOKUP($A262,'Budget &amp; Revenue'!$A:$AM,17,FALSE)," ")</f>
        <v>0</v>
      </c>
      <c r="J262" s="204">
        <f>IFERROR(VLOOKUP($A262,'Budget &amp; Revenue'!$A:$AM,19,FALSE)," ")</f>
        <v>0</v>
      </c>
      <c r="K262" s="204">
        <f>IFERROR(VLOOKUP($A262,'Budget &amp; Revenue'!$A:$AM,21,FALSE)," ")</f>
        <v>0</v>
      </c>
      <c r="L262" s="204">
        <f>IFERROR(VLOOKUP($A262,'Budget &amp; Revenue'!$A:$AM,23,FALSE)," ")</f>
        <v>0</v>
      </c>
      <c r="M262" s="204">
        <f>IFERROR(VLOOKUP($A262,'Budget &amp; Revenue'!$A:$AM,25,FALSE)," ")</f>
        <v>1</v>
      </c>
      <c r="N262" s="204">
        <f>IFERROR(VLOOKUP($A262,'Budget &amp; Revenue'!$A:$AM,27,FALSE)," ")</f>
        <v>1</v>
      </c>
      <c r="O262" s="204">
        <f>IFERROR(VLOOKUP($A262,'Budget &amp; Revenue'!$A:$AM,29,FALSE)," ")</f>
        <v>1</v>
      </c>
      <c r="P262" s="204">
        <f>IFERROR(VLOOKUP($A262,'Budget &amp; Revenue'!$A:$AM,31,FALSE)," ")</f>
        <v>1</v>
      </c>
      <c r="Q262" s="204">
        <f>IFERROR(VLOOKUP($A262,'Budget &amp; Revenue'!$A:$AM,33,FALSE)," ")</f>
        <v>1</v>
      </c>
      <c r="R262" s="204">
        <f>IFERROR(VLOOKUP($A262,'Budget &amp; Revenue'!$A:$AM,35,FALSE)," ")</f>
        <v>1</v>
      </c>
      <c r="S262" s="204">
        <f>IFERROR(VLOOKUP($A262,'Budget &amp; Revenue'!$A:$AM,37,FALSE)," ")</f>
        <v>1</v>
      </c>
      <c r="T262" s="204">
        <f>IFERROR(VLOOKUP($A262,'Budget &amp; Revenue'!$A:$AM,39,FALSE)," ")</f>
        <v>1</v>
      </c>
    </row>
    <row r="263" spans="1:20" ht="30" x14ac:dyDescent="0.25">
      <c r="A263" s="80" t="s">
        <v>2581</v>
      </c>
      <c r="B263" s="201" t="str">
        <f>VLOOKUP(A263,Estimate!A:C,3,FALSE)</f>
        <v xml:space="preserve"> Install new Type A  MCC side entry pit, 13m  of 450 RCP  break in to existing drainage line and  install a  flush point. </v>
      </c>
      <c r="C263" s="80">
        <f>VLOOKUP(A263,Estimate!A:L,12,FALSE)</f>
        <v>3</v>
      </c>
      <c r="D263" s="234">
        <v>262</v>
      </c>
      <c r="E263" s="234">
        <v>106</v>
      </c>
      <c r="F263" s="235">
        <f>IFERROR(VLOOKUP(A263,Estimate!A:Q,17,FALSE)," ")</f>
        <v>6552.7400000000007</v>
      </c>
      <c r="G263" s="204">
        <f>IFERROR(VLOOKUP($A263,'Budget &amp; Revenue'!$A:$AM,13,FALSE)," ")</f>
        <v>0</v>
      </c>
      <c r="H263" s="204">
        <f>IFERROR(VLOOKUP($A263,'Budget &amp; Revenue'!$A:$AM,15,FALSE)," ")</f>
        <v>0</v>
      </c>
      <c r="I263" s="204">
        <f>IFERROR(VLOOKUP($A263,'Budget &amp; Revenue'!$A:$AM,17,FALSE)," ")</f>
        <v>0</v>
      </c>
      <c r="J263" s="204">
        <f>IFERROR(VLOOKUP($A263,'Budget &amp; Revenue'!$A:$AM,19,FALSE)," ")</f>
        <v>0</v>
      </c>
      <c r="K263" s="204">
        <f>IFERROR(VLOOKUP($A263,'Budget &amp; Revenue'!$A:$AM,21,FALSE)," ")</f>
        <v>0</v>
      </c>
      <c r="L263" s="204">
        <f>IFERROR(VLOOKUP($A263,'Budget &amp; Revenue'!$A:$AM,23,FALSE)," ")</f>
        <v>1</v>
      </c>
      <c r="M263" s="204">
        <f>IFERROR(VLOOKUP($A263,'Budget &amp; Revenue'!$A:$AM,25,FALSE)," ")</f>
        <v>1</v>
      </c>
      <c r="N263" s="204">
        <f>IFERROR(VLOOKUP($A263,'Budget &amp; Revenue'!$A:$AM,27,FALSE)," ")</f>
        <v>1</v>
      </c>
      <c r="O263" s="204">
        <f>IFERROR(VLOOKUP($A263,'Budget &amp; Revenue'!$A:$AM,29,FALSE)," ")</f>
        <v>1</v>
      </c>
      <c r="P263" s="204">
        <f>IFERROR(VLOOKUP($A263,'Budget &amp; Revenue'!$A:$AM,31,FALSE)," ")</f>
        <v>1</v>
      </c>
      <c r="Q263" s="204">
        <f>IFERROR(VLOOKUP($A263,'Budget &amp; Revenue'!$A:$AM,33,FALSE)," ")</f>
        <v>1</v>
      </c>
      <c r="R263" s="204">
        <f>IFERROR(VLOOKUP($A263,'Budget &amp; Revenue'!$A:$AM,35,FALSE)," ")</f>
        <v>1</v>
      </c>
      <c r="S263" s="204">
        <f>IFERROR(VLOOKUP($A263,'Budget &amp; Revenue'!$A:$AM,37,FALSE)," ")</f>
        <v>1</v>
      </c>
      <c r="T263" s="204">
        <f>IFERROR(VLOOKUP($A263,'Budget &amp; Revenue'!$A:$AM,39,FALSE)," ")</f>
        <v>1</v>
      </c>
    </row>
    <row r="264" spans="1:20" x14ac:dyDescent="0.25">
      <c r="A264" s="80" t="s">
        <v>2584</v>
      </c>
      <c r="B264" s="201" t="str">
        <f>VLOOKUP(A264,Estimate!A:C,3,FALSE)</f>
        <v xml:space="preserve">Installation Pram Ramps Dodd street </v>
      </c>
      <c r="C264" s="80">
        <f>VLOOKUP(A264,Estimate!A:L,12,FALSE)</f>
        <v>4</v>
      </c>
      <c r="D264" s="234">
        <v>116</v>
      </c>
      <c r="E264" s="234">
        <v>112</v>
      </c>
      <c r="F264" s="235">
        <f>IFERROR(VLOOKUP(A264,Estimate!A:Q,17,FALSE)," ")</f>
        <v>15632.44331111111</v>
      </c>
      <c r="G264" s="204">
        <f>IFERROR(VLOOKUP($A264,'Budget &amp; Revenue'!$A:$AM,13,FALSE)," ")</f>
        <v>0</v>
      </c>
      <c r="H264" s="204">
        <f>IFERROR(VLOOKUP($A264,'Budget &amp; Revenue'!$A:$AM,15,FALSE)," ")</f>
        <v>0</v>
      </c>
      <c r="I264" s="204">
        <f>IFERROR(VLOOKUP($A264,'Budget &amp; Revenue'!$A:$AM,17,FALSE)," ")</f>
        <v>0</v>
      </c>
      <c r="J264" s="204">
        <f>IFERROR(VLOOKUP($A264,'Budget &amp; Revenue'!$A:$AM,19,FALSE)," ")</f>
        <v>0</v>
      </c>
      <c r="K264" s="204">
        <f>IFERROR(VLOOKUP($A264,'Budget &amp; Revenue'!$A:$AM,21,FALSE)," ")</f>
        <v>0</v>
      </c>
      <c r="L264" s="204">
        <f>IFERROR(VLOOKUP($A264,'Budget &amp; Revenue'!$A:$AM,23,FALSE)," ")</f>
        <v>0</v>
      </c>
      <c r="M264" s="204">
        <f>IFERROR(VLOOKUP($A264,'Budget &amp; Revenue'!$A:$AM,25,FALSE)," ")</f>
        <v>0</v>
      </c>
      <c r="N264" s="204">
        <f>IFERROR(VLOOKUP($A264,'Budget &amp; Revenue'!$A:$AM,27,FALSE)," ")</f>
        <v>0.92730000000000001</v>
      </c>
      <c r="O264" s="204">
        <f>IFERROR(VLOOKUP($A264,'Budget &amp; Revenue'!$A:$AM,29,FALSE)," ")</f>
        <v>1</v>
      </c>
      <c r="P264" s="204">
        <f>IFERROR(VLOOKUP($A264,'Budget &amp; Revenue'!$A:$AM,31,FALSE)," ")</f>
        <v>1</v>
      </c>
      <c r="Q264" s="204">
        <f>IFERROR(VLOOKUP($A264,'Budget &amp; Revenue'!$A:$AM,33,FALSE)," ")</f>
        <v>1</v>
      </c>
      <c r="R264" s="204">
        <f>IFERROR(VLOOKUP($A264,'Budget &amp; Revenue'!$A:$AM,35,FALSE)," ")</f>
        <v>1</v>
      </c>
      <c r="S264" s="204">
        <f>IFERROR(VLOOKUP($A264,'Budget &amp; Revenue'!$A:$AM,37,FALSE)," ")</f>
        <v>1</v>
      </c>
      <c r="T264" s="204">
        <f>IFERROR(VLOOKUP($A264,'Budget &amp; Revenue'!$A:$AM,39,FALSE)," ")</f>
        <v>1</v>
      </c>
    </row>
    <row r="265" spans="1:20" ht="45" x14ac:dyDescent="0.25">
      <c r="A265" s="80" t="s">
        <v>2596</v>
      </c>
      <c r="B265" s="201" t="str">
        <f>VLOOKUP(A265,Estimate!A:C,3,FALSE)</f>
        <v>Dodd Street - Water main Protection Lurline Street  -  works completed formal vairation to be provided Refer to email 2 May sent</v>
      </c>
      <c r="C265" s="80">
        <f>VLOOKUP(A265,Estimate!A:L,12,FALSE)</f>
        <v>1</v>
      </c>
      <c r="D265" s="234">
        <v>260</v>
      </c>
      <c r="E265" s="234">
        <v>111</v>
      </c>
      <c r="F265" s="235">
        <f>IFERROR(VLOOKUP(A265,Estimate!A:Q,17,FALSE)," ")</f>
        <v>2169.1999999999998</v>
      </c>
      <c r="G265" s="204">
        <f>IFERROR(VLOOKUP($A265,'Budget &amp; Revenue'!$A:$AM,13,FALSE)," ")</f>
        <v>0</v>
      </c>
      <c r="H265" s="204">
        <f>IFERROR(VLOOKUP($A265,'Budget &amp; Revenue'!$A:$AM,15,FALSE)," ")</f>
        <v>0</v>
      </c>
      <c r="I265" s="204">
        <f>IFERROR(VLOOKUP($A265,'Budget &amp; Revenue'!$A:$AM,17,FALSE)," ")</f>
        <v>0</v>
      </c>
      <c r="J265" s="204">
        <f>IFERROR(VLOOKUP($A265,'Budget &amp; Revenue'!$A:$AM,19,FALSE)," ")</f>
        <v>0</v>
      </c>
      <c r="K265" s="204">
        <f>IFERROR(VLOOKUP($A265,'Budget &amp; Revenue'!$A:$AM,21,FALSE)," ")</f>
        <v>0</v>
      </c>
      <c r="L265" s="204">
        <f>IFERROR(VLOOKUP($A265,'Budget &amp; Revenue'!$A:$AM,23,FALSE)," ")</f>
        <v>0</v>
      </c>
      <c r="M265" s="204">
        <f>IFERROR(VLOOKUP($A265,'Budget &amp; Revenue'!$A:$AM,25,FALSE)," ")</f>
        <v>0</v>
      </c>
      <c r="N265" s="204">
        <f>IFERROR(VLOOKUP($A265,'Budget &amp; Revenue'!$A:$AM,27,FALSE)," ")</f>
        <v>1</v>
      </c>
      <c r="O265" s="204">
        <f>IFERROR(VLOOKUP($A265,'Budget &amp; Revenue'!$A:$AM,29,FALSE)," ")</f>
        <v>1</v>
      </c>
      <c r="P265" s="204">
        <f>IFERROR(VLOOKUP($A265,'Budget &amp; Revenue'!$A:$AM,31,FALSE)," ")</f>
        <v>1</v>
      </c>
      <c r="Q265" s="204">
        <f>IFERROR(VLOOKUP($A265,'Budget &amp; Revenue'!$A:$AM,33,FALSE)," ")</f>
        <v>1</v>
      </c>
      <c r="R265" s="204">
        <f>IFERROR(VLOOKUP($A265,'Budget &amp; Revenue'!$A:$AM,35,FALSE)," ")</f>
        <v>1</v>
      </c>
      <c r="S265" s="204">
        <f>IFERROR(VLOOKUP($A265,'Budget &amp; Revenue'!$A:$AM,37,FALSE)," ")</f>
        <v>1</v>
      </c>
      <c r="T265" s="204">
        <f>IFERROR(VLOOKUP($A265,'Budget &amp; Revenue'!$A:$AM,39,FALSE)," ")</f>
        <v>1</v>
      </c>
    </row>
    <row r="266" spans="1:20" ht="30" x14ac:dyDescent="0.25">
      <c r="A266" s="80" t="s">
        <v>2597</v>
      </c>
      <c r="B266" s="201" t="str">
        <f>VLOOKUP(A266,Estimate!A:C,3,FALSE)</f>
        <v xml:space="preserve">Vairation to design levels  mismatch to road surface  -  44m Lurline Street to match levels to existing road surface. </v>
      </c>
      <c r="C266" s="80">
        <f>VLOOKUP(A266,Estimate!A:L,12,FALSE)</f>
        <v>0</v>
      </c>
      <c r="D266" s="234">
        <v>94</v>
      </c>
      <c r="E266" s="233"/>
      <c r="F266" s="235">
        <f>IFERROR(VLOOKUP(A266,Estimate!A:Q,17,FALSE)," ")</f>
        <v>325</v>
      </c>
      <c r="G266" s="204">
        <f>IFERROR(VLOOKUP($A266,'Budget &amp; Revenue'!$A:$AM,13,FALSE)," ")</f>
        <v>0</v>
      </c>
      <c r="H266" s="204">
        <f>IFERROR(VLOOKUP($A266,'Budget &amp; Revenue'!$A:$AM,15,FALSE)," ")</f>
        <v>0</v>
      </c>
      <c r="I266" s="204">
        <f>IFERROR(VLOOKUP($A266,'Budget &amp; Revenue'!$A:$AM,17,FALSE)," ")</f>
        <v>0</v>
      </c>
      <c r="J266" s="204">
        <f>IFERROR(VLOOKUP($A266,'Budget &amp; Revenue'!$A:$AM,19,FALSE)," ")</f>
        <v>0</v>
      </c>
      <c r="K266" s="204">
        <f>IFERROR(VLOOKUP($A266,'Budget &amp; Revenue'!$A:$AM,21,FALSE)," ")</f>
        <v>0</v>
      </c>
      <c r="L266" s="204">
        <f>IFERROR(VLOOKUP($A266,'Budget &amp; Revenue'!$A:$AM,23,FALSE)," ")</f>
        <v>1</v>
      </c>
      <c r="M266" s="204">
        <f>IFERROR(VLOOKUP($A266,'Budget &amp; Revenue'!$A:$AM,25,FALSE)," ")</f>
        <v>1</v>
      </c>
      <c r="N266" s="204">
        <f>IFERROR(VLOOKUP($A266,'Budget &amp; Revenue'!$A:$AM,27,FALSE)," ")</f>
        <v>1</v>
      </c>
      <c r="O266" s="204">
        <f>IFERROR(VLOOKUP($A266,'Budget &amp; Revenue'!$A:$AM,29,FALSE)," ")</f>
        <v>1</v>
      </c>
      <c r="P266" s="204">
        <f>IFERROR(VLOOKUP($A266,'Budget &amp; Revenue'!$A:$AM,31,FALSE)," ")</f>
        <v>1</v>
      </c>
      <c r="Q266" s="204">
        <f>IFERROR(VLOOKUP($A266,'Budget &amp; Revenue'!$A:$AM,33,FALSE)," ")</f>
        <v>1</v>
      </c>
      <c r="R266" s="204">
        <f>IFERROR(VLOOKUP($A266,'Budget &amp; Revenue'!$A:$AM,35,FALSE)," ")</f>
        <v>1</v>
      </c>
      <c r="S266" s="204">
        <f>IFERROR(VLOOKUP($A266,'Budget &amp; Revenue'!$A:$AM,37,FALSE)," ")</f>
        <v>1</v>
      </c>
      <c r="T266" s="204">
        <f>IFERROR(VLOOKUP($A266,'Budget &amp; Revenue'!$A:$AM,39,FALSE)," ")</f>
        <v>1</v>
      </c>
    </row>
    <row r="267" spans="1:20" x14ac:dyDescent="0.25">
      <c r="A267" s="80" t="s">
        <v>2717</v>
      </c>
      <c r="B267" s="201" t="str">
        <f>VLOOKUP(A267,Estimate!A:C,3,FALSE)</f>
        <v>Remove and Replace Unsuitable Subgrade Faust Street</v>
      </c>
      <c r="C267" s="80">
        <f>VLOOKUP(A267,Estimate!A:L,12,FALSE)</f>
        <v>3</v>
      </c>
      <c r="D267" s="234">
        <v>157</v>
      </c>
      <c r="E267" s="234" t="s">
        <v>3078</v>
      </c>
      <c r="F267" s="235">
        <f>IFERROR(VLOOKUP(A267,Estimate!A:Q,17,FALSE)," ")</f>
        <v>14650.582596491231</v>
      </c>
      <c r="G267" s="204">
        <f>IFERROR(VLOOKUP($A267,'Budget &amp; Revenue'!$A:$AM,13,FALSE)," ")</f>
        <v>0</v>
      </c>
      <c r="H267" s="204">
        <f>IFERROR(VLOOKUP($A267,'Budget &amp; Revenue'!$A:$AM,15,FALSE)," ")</f>
        <v>0</v>
      </c>
      <c r="I267" s="204">
        <f>IFERROR(VLOOKUP($A267,'Budget &amp; Revenue'!$A:$AM,17,FALSE)," ")</f>
        <v>0</v>
      </c>
      <c r="J267" s="204">
        <f>IFERROR(VLOOKUP($A267,'Budget &amp; Revenue'!$A:$AM,19,FALSE)," ")</f>
        <v>0</v>
      </c>
      <c r="K267" s="204">
        <f>IFERROR(VLOOKUP($A267,'Budget &amp; Revenue'!$A:$AM,21,FALSE)," ")</f>
        <v>0</v>
      </c>
      <c r="L267" s="204">
        <f>IFERROR(VLOOKUP($A267,'Budget &amp; Revenue'!$A:$AM,23,FALSE)," ")</f>
        <v>0</v>
      </c>
      <c r="M267" s="204">
        <f>IFERROR(VLOOKUP($A267,'Budget &amp; Revenue'!$A:$AM,25,FALSE)," ")</f>
        <v>0</v>
      </c>
      <c r="N267" s="204">
        <f>IFERROR(VLOOKUP($A267,'Budget &amp; Revenue'!$A:$AM,27,FALSE)," ")</f>
        <v>0</v>
      </c>
      <c r="O267" s="204">
        <f>IFERROR(VLOOKUP($A267,'Budget &amp; Revenue'!$A:$AM,29,FALSE)," ")</f>
        <v>0</v>
      </c>
      <c r="P267" s="204">
        <f>IFERROR(VLOOKUP($A267,'Budget &amp; Revenue'!$A:$AM,31,FALSE)," ")</f>
        <v>0</v>
      </c>
      <c r="Q267" s="204">
        <f>IFERROR(VLOOKUP($A267,'Budget &amp; Revenue'!$A:$AM,33,FALSE)," ")</f>
        <v>1</v>
      </c>
      <c r="R267" s="204">
        <f>IFERROR(VLOOKUP($A267,'Budget &amp; Revenue'!$A:$AM,35,FALSE)," ")</f>
        <v>1</v>
      </c>
      <c r="S267" s="204">
        <f>IFERROR(VLOOKUP($A267,'Budget &amp; Revenue'!$A:$AM,37,FALSE)," ")</f>
        <v>1</v>
      </c>
      <c r="T267" s="204">
        <f>IFERROR(VLOOKUP($A267,'Budget &amp; Revenue'!$A:$AM,39,FALSE)," ")</f>
        <v>1</v>
      </c>
    </row>
    <row r="268" spans="1:20" x14ac:dyDescent="0.25">
      <c r="A268" s="80" t="s">
        <v>2737</v>
      </c>
      <c r="B268" s="201" t="str">
        <f>VLOOKUP(A268,Estimate!A:C,3,FALSE)</f>
        <v xml:space="preserve">Excavation of unsuitable subgrade </v>
      </c>
      <c r="C268" s="80">
        <f>VLOOKUP(A268,Estimate!A:L,12,FALSE)</f>
        <v>2</v>
      </c>
      <c r="D268" s="234">
        <v>267</v>
      </c>
      <c r="E268" s="234">
        <v>164</v>
      </c>
      <c r="F268" s="235">
        <f>IFERROR(VLOOKUP(A268,Estimate!A:Q,17,FALSE)," ")</f>
        <v>4757.5499999999993</v>
      </c>
      <c r="G268" s="204">
        <f>IFERROR(VLOOKUP($A268,'Budget &amp; Revenue'!$A:$AM,13,FALSE)," ")</f>
        <v>0</v>
      </c>
      <c r="H268" s="204">
        <f>IFERROR(VLOOKUP($A268,'Budget &amp; Revenue'!$A:$AM,15,FALSE)," ")</f>
        <v>0</v>
      </c>
      <c r="I268" s="204">
        <f>IFERROR(VLOOKUP($A268,'Budget &amp; Revenue'!$A:$AM,17,FALSE)," ")</f>
        <v>0</v>
      </c>
      <c r="J268" s="204">
        <f>IFERROR(VLOOKUP($A268,'Budget &amp; Revenue'!$A:$AM,19,FALSE)," ")</f>
        <v>0</v>
      </c>
      <c r="K268" s="204">
        <f>IFERROR(VLOOKUP($A268,'Budget &amp; Revenue'!$A:$AM,21,FALSE)," ")</f>
        <v>0</v>
      </c>
      <c r="L268" s="204">
        <f>IFERROR(VLOOKUP($A268,'Budget &amp; Revenue'!$A:$AM,23,FALSE)," ")</f>
        <v>0</v>
      </c>
      <c r="M268" s="204">
        <f>IFERROR(VLOOKUP($A268,'Budget &amp; Revenue'!$A:$AM,25,FALSE)," ")</f>
        <v>0</v>
      </c>
      <c r="N268" s="204">
        <f>IFERROR(VLOOKUP($A268,'Budget &amp; Revenue'!$A:$AM,27,FALSE)," ")</f>
        <v>0</v>
      </c>
      <c r="O268" s="204">
        <f>IFERROR(VLOOKUP($A268,'Budget &amp; Revenue'!$A:$AM,29,FALSE)," ")</f>
        <v>0</v>
      </c>
      <c r="P268" s="204">
        <f>IFERROR(VLOOKUP($A268,'Budget &amp; Revenue'!$A:$AM,31,FALSE)," ")</f>
        <v>0</v>
      </c>
      <c r="Q268" s="204">
        <f>IFERROR(VLOOKUP($A268,'Budget &amp; Revenue'!$A:$AM,33,FALSE)," ")</f>
        <v>0.5</v>
      </c>
      <c r="R268" s="204">
        <f>IFERROR(VLOOKUP($A268,'Budget &amp; Revenue'!$A:$AM,35,FALSE)," ")</f>
        <v>1</v>
      </c>
      <c r="S268" s="204">
        <f>IFERROR(VLOOKUP($A268,'Budget &amp; Revenue'!$A:$AM,37,FALSE)," ")</f>
        <v>1</v>
      </c>
      <c r="T268" s="204">
        <f>IFERROR(VLOOKUP($A268,'Budget &amp; Revenue'!$A:$AM,39,FALSE)," ")</f>
        <v>1</v>
      </c>
    </row>
    <row r="269" spans="1:20" x14ac:dyDescent="0.25">
      <c r="A269" s="80" t="s">
        <v>2742</v>
      </c>
      <c r="B269" s="201" t="str">
        <f>VLOOKUP(A269,Estimate!A:C,3,FALSE)</f>
        <v>Additional Asphalt for Variation  Faust _PV01</v>
      </c>
      <c r="C269" s="80">
        <f>VLOOKUP(A269,Estimate!A:L,12,FALSE)</f>
        <v>0</v>
      </c>
      <c r="D269" s="234">
        <v>170</v>
      </c>
      <c r="E269" s="233"/>
      <c r="F269" s="235">
        <f>IFERROR(VLOOKUP(A269,Estimate!A:Q,17,FALSE)," ")</f>
        <v>5117.3490000000002</v>
      </c>
      <c r="G269" s="204">
        <f>IFERROR(VLOOKUP($A269,'Budget &amp; Revenue'!$A:$AM,13,FALSE)," ")</f>
        <v>0</v>
      </c>
      <c r="H269" s="204">
        <f>IFERROR(VLOOKUP($A269,'Budget &amp; Revenue'!$A:$AM,15,FALSE)," ")</f>
        <v>0</v>
      </c>
      <c r="I269" s="204">
        <f>IFERROR(VLOOKUP($A269,'Budget &amp; Revenue'!$A:$AM,17,FALSE)," ")</f>
        <v>0</v>
      </c>
      <c r="J269" s="204">
        <f>IFERROR(VLOOKUP($A269,'Budget &amp; Revenue'!$A:$AM,19,FALSE)," ")</f>
        <v>0</v>
      </c>
      <c r="K269" s="204">
        <f>IFERROR(VLOOKUP($A269,'Budget &amp; Revenue'!$A:$AM,21,FALSE)," ")</f>
        <v>0</v>
      </c>
      <c r="L269" s="204">
        <f>IFERROR(VLOOKUP($A269,'Budget &amp; Revenue'!$A:$AM,23,FALSE)," ")</f>
        <v>0</v>
      </c>
      <c r="M269" s="204">
        <f>IFERROR(VLOOKUP($A269,'Budget &amp; Revenue'!$A:$AM,25,FALSE)," ")</f>
        <v>0</v>
      </c>
      <c r="N269" s="204">
        <f>IFERROR(VLOOKUP($A269,'Budget &amp; Revenue'!$A:$AM,27,FALSE)," ")</f>
        <v>0</v>
      </c>
      <c r="O269" s="204">
        <f>IFERROR(VLOOKUP($A269,'Budget &amp; Revenue'!$A:$AM,29,FALSE)," ")</f>
        <v>0</v>
      </c>
      <c r="P269" s="204">
        <f>IFERROR(VLOOKUP($A269,'Budget &amp; Revenue'!$A:$AM,31,FALSE)," ")</f>
        <v>0</v>
      </c>
      <c r="Q269" s="204">
        <f>IFERROR(VLOOKUP($A269,'Budget &amp; Revenue'!$A:$AM,33,FALSE)," ")</f>
        <v>0</v>
      </c>
      <c r="R269" s="204">
        <f>IFERROR(VLOOKUP($A269,'Budget &amp; Revenue'!$A:$AM,35,FALSE)," ")</f>
        <v>0</v>
      </c>
      <c r="S269" s="204">
        <f>IFERROR(VLOOKUP($A269,'Budget &amp; Revenue'!$A:$AM,37,FALSE)," ")</f>
        <v>1</v>
      </c>
      <c r="T269" s="204">
        <f>IFERROR(VLOOKUP($A269,'Budget &amp; Revenue'!$A:$AM,39,FALSE)," ")</f>
        <v>1</v>
      </c>
    </row>
    <row r="270" spans="1:20" x14ac:dyDescent="0.25">
      <c r="A270" s="80" t="s">
        <v>2731</v>
      </c>
      <c r="B270" s="201" t="str">
        <f>VLOOKUP(A270,Estimate!A:C,3,FALSE)</f>
        <v xml:space="preserve">Additional Testing Requirements </v>
      </c>
      <c r="C270" s="80">
        <f>VLOOKUP(A270,Estimate!A:L,12,FALSE)</f>
        <v>0</v>
      </c>
      <c r="D270" s="234">
        <v>273</v>
      </c>
      <c r="E270" s="233"/>
      <c r="F270" s="235">
        <f>IFERROR(VLOOKUP(A270,Estimate!A:Q,17,FALSE)," ")</f>
        <v>6310</v>
      </c>
      <c r="G270" s="204">
        <f>IFERROR(VLOOKUP($A270,'Budget &amp; Revenue'!$A:$AM,13,FALSE)," ")</f>
        <v>0</v>
      </c>
      <c r="H270" s="204">
        <f>IFERROR(VLOOKUP($A270,'Budget &amp; Revenue'!$A:$AM,15,FALSE)," ")</f>
        <v>0</v>
      </c>
      <c r="I270" s="204">
        <f>IFERROR(VLOOKUP($A270,'Budget &amp; Revenue'!$A:$AM,17,FALSE)," ")</f>
        <v>0</v>
      </c>
      <c r="J270" s="204">
        <f>IFERROR(VLOOKUP($A270,'Budget &amp; Revenue'!$A:$AM,19,FALSE)," ")</f>
        <v>0</v>
      </c>
      <c r="K270" s="204">
        <f>IFERROR(VLOOKUP($A270,'Budget &amp; Revenue'!$A:$AM,21,FALSE)," ")</f>
        <v>0</v>
      </c>
      <c r="L270" s="204">
        <f>IFERROR(VLOOKUP($A270,'Budget &amp; Revenue'!$A:$AM,23,FALSE)," ")</f>
        <v>0</v>
      </c>
      <c r="M270" s="204">
        <f>IFERROR(VLOOKUP($A270,'Budget &amp; Revenue'!$A:$AM,25,FALSE)," ")</f>
        <v>0</v>
      </c>
      <c r="N270" s="204">
        <f>IFERROR(VLOOKUP($A270,'Budget &amp; Revenue'!$A:$AM,27,FALSE)," ")</f>
        <v>0</v>
      </c>
      <c r="O270" s="204">
        <f>IFERROR(VLOOKUP($A270,'Budget &amp; Revenue'!$A:$AM,29,FALSE)," ")</f>
        <v>0</v>
      </c>
      <c r="P270" s="204">
        <f>IFERROR(VLOOKUP($A270,'Budget &amp; Revenue'!$A:$AM,31,FALSE)," ")</f>
        <v>0</v>
      </c>
      <c r="Q270" s="204">
        <f>IFERROR(VLOOKUP($A270,'Budget &amp; Revenue'!$A:$AM,33,FALSE)," ")</f>
        <v>1</v>
      </c>
      <c r="R270" s="204">
        <f>IFERROR(VLOOKUP($A270,'Budget &amp; Revenue'!$A:$AM,35,FALSE)," ")</f>
        <v>1</v>
      </c>
      <c r="S270" s="204">
        <f>IFERROR(VLOOKUP($A270,'Budget &amp; Revenue'!$A:$AM,37,FALSE)," ")</f>
        <v>1</v>
      </c>
      <c r="T270" s="204">
        <f>IFERROR(VLOOKUP($A270,'Budget &amp; Revenue'!$A:$AM,39,FALSE)," ")</f>
        <v>1</v>
      </c>
    </row>
    <row r="271" spans="1:20" x14ac:dyDescent="0.25">
      <c r="A271" s="80" t="s">
        <v>2733</v>
      </c>
      <c r="B271" s="201" t="str">
        <f>VLOOKUP(A271,Estimate!A:C,3,FALSE)</f>
        <v xml:space="preserve">Blend Iron stone with 1% cement to stockpile </v>
      </c>
      <c r="C271" s="80">
        <f>VLOOKUP(A271,Estimate!A:L,12,FALSE)</f>
        <v>1</v>
      </c>
      <c r="D271" s="234" t="s">
        <v>3116</v>
      </c>
      <c r="E271" s="233"/>
      <c r="F271" s="235">
        <f>IFERROR(VLOOKUP(A271,Estimate!A:Q,17,FALSE)," ")</f>
        <v>739.125</v>
      </c>
      <c r="G271" s="204" t="str">
        <f>IFERROR(VLOOKUP($A271,'Budget &amp; Revenue'!$A:$AM,13,FALSE)," ")</f>
        <v xml:space="preserve"> </v>
      </c>
      <c r="H271" s="204" t="str">
        <f>IFERROR(VLOOKUP($A271,'Budget &amp; Revenue'!$A:$AM,15,FALSE)," ")</f>
        <v xml:space="preserve"> </v>
      </c>
      <c r="I271" s="204" t="str">
        <f>IFERROR(VLOOKUP($A271,'Budget &amp; Revenue'!$A:$AM,17,FALSE)," ")</f>
        <v xml:space="preserve"> </v>
      </c>
      <c r="J271" s="204" t="str">
        <f>IFERROR(VLOOKUP($A271,'Budget &amp; Revenue'!$A:$AM,19,FALSE)," ")</f>
        <v xml:space="preserve"> </v>
      </c>
      <c r="K271" s="204" t="str">
        <f>IFERROR(VLOOKUP($A271,'Budget &amp; Revenue'!$A:$AM,21,FALSE)," ")</f>
        <v xml:space="preserve"> </v>
      </c>
      <c r="L271" s="204" t="str">
        <f>IFERROR(VLOOKUP($A271,'Budget &amp; Revenue'!$A:$AM,23,FALSE)," ")</f>
        <v xml:space="preserve"> </v>
      </c>
      <c r="M271" s="204" t="str">
        <f>IFERROR(VLOOKUP($A271,'Budget &amp; Revenue'!$A:$AM,25,FALSE)," ")</f>
        <v xml:space="preserve"> </v>
      </c>
      <c r="N271" s="204" t="str">
        <f>IFERROR(VLOOKUP($A271,'Budget &amp; Revenue'!$A:$AM,27,FALSE)," ")</f>
        <v xml:space="preserve"> </v>
      </c>
      <c r="O271" s="204" t="str">
        <f>IFERROR(VLOOKUP($A271,'Budget &amp; Revenue'!$A:$AM,29,FALSE)," ")</f>
        <v xml:space="preserve"> </v>
      </c>
      <c r="P271" s="204" t="str">
        <f>IFERROR(VLOOKUP($A271,'Budget &amp; Revenue'!$A:$AM,31,FALSE)," ")</f>
        <v xml:space="preserve"> </v>
      </c>
      <c r="Q271" s="204" t="str">
        <f>IFERROR(VLOOKUP($A271,'Budget &amp; Revenue'!$A:$AM,33,FALSE)," ")</f>
        <v xml:space="preserve"> </v>
      </c>
      <c r="R271" s="204" t="str">
        <f>IFERROR(VLOOKUP($A271,'Budget &amp; Revenue'!$A:$AM,35,FALSE)," ")</f>
        <v xml:space="preserve"> </v>
      </c>
      <c r="S271" s="204" t="str">
        <f>IFERROR(VLOOKUP($A271,'Budget &amp; Revenue'!$A:$AM,37,FALSE)," ")</f>
        <v xml:space="preserve"> </v>
      </c>
      <c r="T271" s="204" t="str">
        <f>IFERROR(VLOOKUP($A271,'Budget &amp; Revenue'!$A:$AM,39,FALSE)," ")</f>
        <v xml:space="preserve"> </v>
      </c>
    </row>
    <row r="272" spans="1:20" x14ac:dyDescent="0.25">
      <c r="A272" s="80" t="s">
        <v>2744</v>
      </c>
      <c r="B272" s="201" t="str">
        <f>VLOOKUP(A272,Estimate!A:C,3,FALSE)</f>
        <v xml:space="preserve">Faust Street  - Service Crossing </v>
      </c>
      <c r="C272" s="80">
        <f>VLOOKUP(A272,Estimate!A:L,12,FALSE)</f>
        <v>1</v>
      </c>
      <c r="D272" s="234">
        <v>179</v>
      </c>
      <c r="E272" s="234">
        <v>158</v>
      </c>
      <c r="F272" s="235">
        <f>IFERROR(VLOOKUP(A272,Estimate!A:Q,17,FALSE)," ")</f>
        <v>8000</v>
      </c>
      <c r="G272" s="204">
        <f>IFERROR(VLOOKUP($A272,'Budget &amp; Revenue'!$A:$AM,13,FALSE)," ")</f>
        <v>0</v>
      </c>
      <c r="H272" s="204">
        <f>IFERROR(VLOOKUP($A272,'Budget &amp; Revenue'!$A:$AM,15,FALSE)," ")</f>
        <v>0</v>
      </c>
      <c r="I272" s="204">
        <f>IFERROR(VLOOKUP($A272,'Budget &amp; Revenue'!$A:$AM,17,FALSE)," ")</f>
        <v>0</v>
      </c>
      <c r="J272" s="204">
        <f>IFERROR(VLOOKUP($A272,'Budget &amp; Revenue'!$A:$AM,19,FALSE)," ")</f>
        <v>0</v>
      </c>
      <c r="K272" s="204">
        <f>IFERROR(VLOOKUP($A272,'Budget &amp; Revenue'!$A:$AM,21,FALSE)," ")</f>
        <v>0</v>
      </c>
      <c r="L272" s="204">
        <f>IFERROR(VLOOKUP($A272,'Budget &amp; Revenue'!$A:$AM,23,FALSE)," ")</f>
        <v>0</v>
      </c>
      <c r="M272" s="204">
        <f>IFERROR(VLOOKUP($A272,'Budget &amp; Revenue'!$A:$AM,25,FALSE)," ")</f>
        <v>0</v>
      </c>
      <c r="N272" s="204">
        <f>IFERROR(VLOOKUP($A272,'Budget &amp; Revenue'!$A:$AM,27,FALSE)," ")</f>
        <v>0</v>
      </c>
      <c r="O272" s="204">
        <f>IFERROR(VLOOKUP($A272,'Budget &amp; Revenue'!$A:$AM,29,FALSE)," ")</f>
        <v>0</v>
      </c>
      <c r="P272" s="204">
        <f>IFERROR(VLOOKUP($A272,'Budget &amp; Revenue'!$A:$AM,31,FALSE)," ")</f>
        <v>0</v>
      </c>
      <c r="Q272" s="204">
        <f>IFERROR(VLOOKUP($A272,'Budget &amp; Revenue'!$A:$AM,33,FALSE)," ")</f>
        <v>0</v>
      </c>
      <c r="R272" s="204">
        <f>IFERROR(VLOOKUP($A272,'Budget &amp; Revenue'!$A:$AM,35,FALSE)," ")</f>
        <v>0</v>
      </c>
      <c r="S272" s="204">
        <f>IFERROR(VLOOKUP($A272,'Budget &amp; Revenue'!$A:$AM,37,FALSE)," ")</f>
        <v>0</v>
      </c>
      <c r="T272" s="204">
        <f>IFERROR(VLOOKUP($A272,'Budget &amp; Revenue'!$A:$AM,39,FALSE)," ")</f>
        <v>1</v>
      </c>
    </row>
    <row r="273" spans="1:20" x14ac:dyDescent="0.25">
      <c r="A273" s="80" t="s">
        <v>2741</v>
      </c>
      <c r="B273" s="201" t="str">
        <f>VLOOKUP(A273,Estimate!A:C,3,FALSE)</f>
        <v xml:space="preserve">Faust Street drw FSC 04 extra over the BOQ </v>
      </c>
      <c r="C273" s="80">
        <f>VLOOKUP(A273,Estimate!A:L,12,FALSE)</f>
        <v>0</v>
      </c>
      <c r="D273" s="234">
        <v>152</v>
      </c>
      <c r="E273" s="234">
        <v>270</v>
      </c>
      <c r="F273" s="235">
        <f>IFERROR(VLOOKUP(A273,Estimate!A:Q,17,FALSE)," ")</f>
        <v>0</v>
      </c>
      <c r="G273" s="204" t="str">
        <f>IFERROR(VLOOKUP($A273,'Budget &amp; Revenue'!$A:$AM,13,FALSE)," ")</f>
        <v xml:space="preserve"> </v>
      </c>
      <c r="H273" s="204" t="str">
        <f>IFERROR(VLOOKUP($A273,'Budget &amp; Revenue'!$A:$AM,15,FALSE)," ")</f>
        <v xml:space="preserve"> </v>
      </c>
      <c r="I273" s="204" t="str">
        <f>IFERROR(VLOOKUP($A273,'Budget &amp; Revenue'!$A:$AM,17,FALSE)," ")</f>
        <v xml:space="preserve"> </v>
      </c>
      <c r="J273" s="204" t="str">
        <f>IFERROR(VLOOKUP($A273,'Budget &amp; Revenue'!$A:$AM,19,FALSE)," ")</f>
        <v xml:space="preserve"> </v>
      </c>
      <c r="K273" s="204" t="str">
        <f>IFERROR(VLOOKUP($A273,'Budget &amp; Revenue'!$A:$AM,21,FALSE)," ")</f>
        <v xml:space="preserve"> </v>
      </c>
      <c r="L273" s="204" t="str">
        <f>IFERROR(VLOOKUP($A273,'Budget &amp; Revenue'!$A:$AM,23,FALSE)," ")</f>
        <v xml:space="preserve"> </v>
      </c>
      <c r="M273" s="204" t="str">
        <f>IFERROR(VLOOKUP($A273,'Budget &amp; Revenue'!$A:$AM,25,FALSE)," ")</f>
        <v xml:space="preserve"> </v>
      </c>
      <c r="N273" s="204" t="str">
        <f>IFERROR(VLOOKUP($A273,'Budget &amp; Revenue'!$A:$AM,27,FALSE)," ")</f>
        <v xml:space="preserve"> </v>
      </c>
      <c r="O273" s="204" t="str">
        <f>IFERROR(VLOOKUP($A273,'Budget &amp; Revenue'!$A:$AM,29,FALSE)," ")</f>
        <v xml:space="preserve"> </v>
      </c>
      <c r="P273" s="204" t="str">
        <f>IFERROR(VLOOKUP($A273,'Budget &amp; Revenue'!$A:$AM,31,FALSE)," ")</f>
        <v xml:space="preserve"> </v>
      </c>
      <c r="Q273" s="204" t="str">
        <f>IFERROR(VLOOKUP($A273,'Budget &amp; Revenue'!$A:$AM,33,FALSE)," ")</f>
        <v xml:space="preserve"> </v>
      </c>
      <c r="R273" s="204" t="str">
        <f>IFERROR(VLOOKUP($A273,'Budget &amp; Revenue'!$A:$AM,35,FALSE)," ")</f>
        <v xml:space="preserve"> </v>
      </c>
      <c r="S273" s="204" t="str">
        <f>IFERROR(VLOOKUP($A273,'Budget &amp; Revenue'!$A:$AM,37,FALSE)," ")</f>
        <v xml:space="preserve"> </v>
      </c>
      <c r="T273" s="204" t="str">
        <f>IFERROR(VLOOKUP($A273,'Budget &amp; Revenue'!$A:$AM,39,FALSE)," ")</f>
        <v xml:space="preserve"> </v>
      </c>
    </row>
    <row r="274" spans="1:20" x14ac:dyDescent="0.25">
      <c r="A274" s="80" t="s">
        <v>2549</v>
      </c>
      <c r="B274" s="201" t="str">
        <f>VLOOKUP(A274,Estimate!A:C,3,FALSE)</f>
        <v>Jupp Street Geotextile wrapping around no fines concrete</v>
      </c>
      <c r="C274" s="80">
        <f>VLOOKUP(A274,Estimate!A:L,12,FALSE)</f>
        <v>1</v>
      </c>
      <c r="D274" s="234">
        <v>198</v>
      </c>
      <c r="E274" s="234">
        <v>202</v>
      </c>
      <c r="F274" s="235">
        <f>IFERROR(VLOOKUP(A274,Estimate!A:Q,17,FALSE)," ")</f>
        <v>1137.6074285714285</v>
      </c>
      <c r="G274" s="204">
        <f>IFERROR(VLOOKUP($A274,'Budget &amp; Revenue'!$A:$AM,13,FALSE)," ")</f>
        <v>0</v>
      </c>
      <c r="H274" s="204">
        <f>IFERROR(VLOOKUP($A274,'Budget &amp; Revenue'!$A:$AM,15,FALSE)," ")</f>
        <v>1</v>
      </c>
      <c r="I274" s="204">
        <f>IFERROR(VLOOKUP($A274,'Budget &amp; Revenue'!$A:$AM,17,FALSE)," ")</f>
        <v>1</v>
      </c>
      <c r="J274" s="204">
        <f>IFERROR(VLOOKUP($A274,'Budget &amp; Revenue'!$A:$AM,19,FALSE)," ")</f>
        <v>1</v>
      </c>
      <c r="K274" s="204">
        <f>IFERROR(VLOOKUP($A274,'Budget &amp; Revenue'!$A:$AM,21,FALSE)," ")</f>
        <v>1</v>
      </c>
      <c r="L274" s="204">
        <f>IFERROR(VLOOKUP($A274,'Budget &amp; Revenue'!$A:$AM,23,FALSE)," ")</f>
        <v>1</v>
      </c>
      <c r="M274" s="204">
        <f>IFERROR(VLOOKUP($A274,'Budget &amp; Revenue'!$A:$AM,25,FALSE)," ")</f>
        <v>1</v>
      </c>
      <c r="N274" s="204">
        <f>IFERROR(VLOOKUP($A274,'Budget &amp; Revenue'!$A:$AM,27,FALSE)," ")</f>
        <v>1</v>
      </c>
      <c r="O274" s="204">
        <f>IFERROR(VLOOKUP($A274,'Budget &amp; Revenue'!$A:$AM,29,FALSE)," ")</f>
        <v>1</v>
      </c>
      <c r="P274" s="204">
        <f>IFERROR(VLOOKUP($A274,'Budget &amp; Revenue'!$A:$AM,31,FALSE)," ")</f>
        <v>1</v>
      </c>
      <c r="Q274" s="204">
        <f>IFERROR(VLOOKUP($A274,'Budget &amp; Revenue'!$A:$AM,33,FALSE)," ")</f>
        <v>1</v>
      </c>
      <c r="R274" s="204">
        <f>IFERROR(VLOOKUP($A274,'Budget &amp; Revenue'!$A:$AM,35,FALSE)," ")</f>
        <v>1</v>
      </c>
      <c r="S274" s="204">
        <f>IFERROR(VLOOKUP($A274,'Budget &amp; Revenue'!$A:$AM,37,FALSE)," ")</f>
        <v>1</v>
      </c>
      <c r="T274" s="204">
        <f>IFERROR(VLOOKUP($A274,'Budget &amp; Revenue'!$A:$AM,39,FALSE)," ")</f>
        <v>1</v>
      </c>
    </row>
    <row r="275" spans="1:20" x14ac:dyDescent="0.25">
      <c r="A275" s="80" t="s">
        <v>2551</v>
      </c>
      <c r="B275" s="201" t="str">
        <f>VLOOKUP(A275,Estimate!A:C,3,FALSE)</f>
        <v>Jupp_PV02  -  Boundary Pits &amp; Pipes</v>
      </c>
      <c r="C275" s="80">
        <f>VLOOKUP(A275,Estimate!A:L,12,FALSE)</f>
        <v>2</v>
      </c>
      <c r="D275" s="234">
        <v>191</v>
      </c>
      <c r="E275" s="234">
        <v>200</v>
      </c>
      <c r="F275" s="235">
        <f>IFERROR(VLOOKUP(A275,Estimate!A:Q,17,FALSE)," ")</f>
        <v>2325</v>
      </c>
      <c r="G275" s="204">
        <f>IFERROR(VLOOKUP($A275,'Budget &amp; Revenue'!$A:$AM,13,FALSE)," ")</f>
        <v>0</v>
      </c>
      <c r="H275" s="204">
        <f>IFERROR(VLOOKUP($A275,'Budget &amp; Revenue'!$A:$AM,15,FALSE)," ")</f>
        <v>0</v>
      </c>
      <c r="I275" s="204">
        <f>IFERROR(VLOOKUP($A275,'Budget &amp; Revenue'!$A:$AM,17,FALSE)," ")</f>
        <v>0</v>
      </c>
      <c r="J275" s="204">
        <f>IFERROR(VLOOKUP($A275,'Budget &amp; Revenue'!$A:$AM,19,FALSE)," ")</f>
        <v>1</v>
      </c>
      <c r="K275" s="204">
        <f>IFERROR(VLOOKUP($A275,'Budget &amp; Revenue'!$A:$AM,21,FALSE)," ")</f>
        <v>1</v>
      </c>
      <c r="L275" s="204">
        <f>IFERROR(VLOOKUP($A275,'Budget &amp; Revenue'!$A:$AM,23,FALSE)," ")</f>
        <v>1</v>
      </c>
      <c r="M275" s="204">
        <f>IFERROR(VLOOKUP($A275,'Budget &amp; Revenue'!$A:$AM,25,FALSE)," ")</f>
        <v>1</v>
      </c>
      <c r="N275" s="204">
        <f>IFERROR(VLOOKUP($A275,'Budget &amp; Revenue'!$A:$AM,27,FALSE)," ")</f>
        <v>1</v>
      </c>
      <c r="O275" s="204">
        <f>IFERROR(VLOOKUP($A275,'Budget &amp; Revenue'!$A:$AM,29,FALSE)," ")</f>
        <v>1</v>
      </c>
      <c r="P275" s="204">
        <f>IFERROR(VLOOKUP($A275,'Budget &amp; Revenue'!$A:$AM,31,FALSE)," ")</f>
        <v>1</v>
      </c>
      <c r="Q275" s="204">
        <f>IFERROR(VLOOKUP($A275,'Budget &amp; Revenue'!$A:$AM,33,FALSE)," ")</f>
        <v>1</v>
      </c>
      <c r="R275" s="204">
        <f>IFERROR(VLOOKUP($A275,'Budget &amp; Revenue'!$A:$AM,35,FALSE)," ")</f>
        <v>3</v>
      </c>
      <c r="S275" s="204">
        <f>IFERROR(VLOOKUP($A275,'Budget &amp; Revenue'!$A:$AM,37,FALSE)," ")</f>
        <v>1</v>
      </c>
      <c r="T275" s="204">
        <f>IFERROR(VLOOKUP($A275,'Budget &amp; Revenue'!$A:$AM,39,FALSE)," ")</f>
        <v>1</v>
      </c>
    </row>
    <row r="276" spans="1:20" x14ac:dyDescent="0.25">
      <c r="A276" s="80" t="s">
        <v>2552</v>
      </c>
      <c r="B276" s="201" t="str">
        <f>VLOOKUP(A276,Estimate!A:C,3,FALSE)</f>
        <v>Jupp St - Haul &amp; Place Type 2.3 gravel</v>
      </c>
      <c r="C276" s="80">
        <f>VLOOKUP(A276,Estimate!A:L,12,FALSE)</f>
        <v>1</v>
      </c>
      <c r="D276" s="234">
        <v>200</v>
      </c>
      <c r="E276" s="236">
        <v>195206</v>
      </c>
      <c r="F276" s="235">
        <f>IFERROR(VLOOKUP(A276,Estimate!A:Q,17,FALSE)," ")</f>
        <v>2264.9222760113848</v>
      </c>
      <c r="G276" s="204">
        <f>IFERROR(VLOOKUP($A276,'Budget &amp; Revenue'!$A:$AM,13,FALSE)," ")</f>
        <v>0</v>
      </c>
      <c r="H276" s="204">
        <f>IFERROR(VLOOKUP($A276,'Budget &amp; Revenue'!$A:$AM,15,FALSE)," ")</f>
        <v>0</v>
      </c>
      <c r="I276" s="204">
        <f>IFERROR(VLOOKUP($A276,'Budget &amp; Revenue'!$A:$AM,17,FALSE)," ")</f>
        <v>0</v>
      </c>
      <c r="J276" s="204">
        <f>IFERROR(VLOOKUP($A276,'Budget &amp; Revenue'!$A:$AM,19,FALSE)," ")</f>
        <v>0</v>
      </c>
      <c r="K276" s="204">
        <f>IFERROR(VLOOKUP($A276,'Budget &amp; Revenue'!$A:$AM,21,FALSE)," ")</f>
        <v>0.5</v>
      </c>
      <c r="L276" s="204">
        <f>IFERROR(VLOOKUP($A276,'Budget &amp; Revenue'!$A:$AM,23,FALSE)," ")</f>
        <v>1</v>
      </c>
      <c r="M276" s="204">
        <f>IFERROR(VLOOKUP($A276,'Budget &amp; Revenue'!$A:$AM,25,FALSE)," ")</f>
        <v>1</v>
      </c>
      <c r="N276" s="204">
        <f>IFERROR(VLOOKUP($A276,'Budget &amp; Revenue'!$A:$AM,27,FALSE)," ")</f>
        <v>1</v>
      </c>
      <c r="O276" s="204">
        <f>IFERROR(VLOOKUP($A276,'Budget &amp; Revenue'!$A:$AM,29,FALSE)," ")</f>
        <v>1</v>
      </c>
      <c r="P276" s="204">
        <f>IFERROR(VLOOKUP($A276,'Budget &amp; Revenue'!$A:$AM,31,FALSE)," ")</f>
        <v>1</v>
      </c>
      <c r="Q276" s="204">
        <f>IFERROR(VLOOKUP($A276,'Budget &amp; Revenue'!$A:$AM,33,FALSE)," ")</f>
        <v>1</v>
      </c>
      <c r="R276" s="204">
        <f>IFERROR(VLOOKUP($A276,'Budget &amp; Revenue'!$A:$AM,35,FALSE)," ")</f>
        <v>1</v>
      </c>
      <c r="S276" s="204">
        <f>IFERROR(VLOOKUP($A276,'Budget &amp; Revenue'!$A:$AM,37,FALSE)," ")</f>
        <v>1</v>
      </c>
      <c r="T276" s="204">
        <f>IFERROR(VLOOKUP($A276,'Budget &amp; Revenue'!$A:$AM,39,FALSE)," ")</f>
        <v>1</v>
      </c>
    </row>
    <row r="277" spans="1:20" ht="30" x14ac:dyDescent="0.25">
      <c r="A277" s="80" t="s">
        <v>2556</v>
      </c>
      <c r="B277" s="201" t="str">
        <f>VLOOKUP(A277,Estimate!A:C,3,FALSE)</f>
        <v xml:space="preserve"> Jupp St_PV03 - Replace AC watermain crossing at Jupp and Anzac Rd</v>
      </c>
      <c r="C277" s="80">
        <f>VLOOKUP(A277,Estimate!A:L,12,FALSE)</f>
        <v>6</v>
      </c>
      <c r="D277" s="234">
        <v>209</v>
      </c>
      <c r="E277" s="234">
        <v>195</v>
      </c>
      <c r="F277" s="235">
        <f>IFERROR(VLOOKUP(A277,Estimate!A:Q,17,FALSE)," ")</f>
        <v>23859.346222222226</v>
      </c>
      <c r="G277" s="204">
        <f>IFERROR(VLOOKUP($A277,'Budget &amp; Revenue'!$A:$AM,13,FALSE)," ")</f>
        <v>0</v>
      </c>
      <c r="H277" s="204">
        <f>IFERROR(VLOOKUP($A277,'Budget &amp; Revenue'!$A:$AM,15,FALSE)," ")</f>
        <v>0</v>
      </c>
      <c r="I277" s="204">
        <f>IFERROR(VLOOKUP($A277,'Budget &amp; Revenue'!$A:$AM,17,FALSE)," ")</f>
        <v>0</v>
      </c>
      <c r="J277" s="204">
        <f>IFERROR(VLOOKUP($A277,'Budget &amp; Revenue'!$A:$AM,19,FALSE)," ")</f>
        <v>0</v>
      </c>
      <c r="K277" s="204">
        <f>IFERROR(VLOOKUP($A277,'Budget &amp; Revenue'!$A:$AM,21,FALSE)," ")</f>
        <v>0</v>
      </c>
      <c r="L277" s="204">
        <f>IFERROR(VLOOKUP($A277,'Budget &amp; Revenue'!$A:$AM,23,FALSE)," ")</f>
        <v>0</v>
      </c>
      <c r="M277" s="204">
        <f>IFERROR(VLOOKUP($A277,'Budget &amp; Revenue'!$A:$AM,25,FALSE)," ")</f>
        <v>1</v>
      </c>
      <c r="N277" s="204">
        <f>IFERROR(VLOOKUP($A277,'Budget &amp; Revenue'!$A:$AM,27,FALSE)," ")</f>
        <v>1</v>
      </c>
      <c r="O277" s="204">
        <f>IFERROR(VLOOKUP($A277,'Budget &amp; Revenue'!$A:$AM,29,FALSE)," ")</f>
        <v>1</v>
      </c>
      <c r="P277" s="204">
        <f>IFERROR(VLOOKUP($A277,'Budget &amp; Revenue'!$A:$AM,31,FALSE)," ")</f>
        <v>1</v>
      </c>
      <c r="Q277" s="204">
        <f>IFERROR(VLOOKUP($A277,'Budget &amp; Revenue'!$A:$AM,33,FALSE)," ")</f>
        <v>1</v>
      </c>
      <c r="R277" s="204">
        <f>IFERROR(VLOOKUP($A277,'Budget &amp; Revenue'!$A:$AM,35,FALSE)," ")</f>
        <v>1</v>
      </c>
      <c r="S277" s="204">
        <f>IFERROR(VLOOKUP($A277,'Budget &amp; Revenue'!$A:$AM,37,FALSE)," ")</f>
        <v>1</v>
      </c>
      <c r="T277" s="204">
        <f>IFERROR(VLOOKUP($A277,'Budget &amp; Revenue'!$A:$AM,39,FALSE)," ")</f>
        <v>1</v>
      </c>
    </row>
    <row r="278" spans="1:20" x14ac:dyDescent="0.25">
      <c r="A278" s="80" t="s">
        <v>2557</v>
      </c>
      <c r="B278" s="201" t="str">
        <f>VLOOKUP(A278,Estimate!A:C,3,FALSE)</f>
        <v xml:space="preserve">Jupp_PV04 - Extend Kerb &amp; Channel On Anzac Road </v>
      </c>
      <c r="C278" s="80">
        <f>VLOOKUP(A278,Estimate!A:L,12,FALSE)</f>
        <v>1</v>
      </c>
      <c r="D278" s="234">
        <v>195</v>
      </c>
      <c r="E278" s="234" t="s">
        <v>3079</v>
      </c>
      <c r="F278" s="235">
        <f>IFERROR(VLOOKUP(A278,Estimate!A:Q,17,FALSE)," ")</f>
        <v>691.11930232558143</v>
      </c>
      <c r="G278" s="204">
        <f>IFERROR(VLOOKUP($A278,'Budget &amp; Revenue'!$A:$AM,13,FALSE)," ")</f>
        <v>0</v>
      </c>
      <c r="H278" s="204">
        <f>IFERROR(VLOOKUP($A278,'Budget &amp; Revenue'!$A:$AM,15,FALSE)," ")</f>
        <v>0</v>
      </c>
      <c r="I278" s="204">
        <f>IFERROR(VLOOKUP($A278,'Budget &amp; Revenue'!$A:$AM,17,FALSE)," ")</f>
        <v>0</v>
      </c>
      <c r="J278" s="204">
        <f>IFERROR(VLOOKUP($A278,'Budget &amp; Revenue'!$A:$AM,19,FALSE)," ")</f>
        <v>0</v>
      </c>
      <c r="K278" s="204">
        <f>IFERROR(VLOOKUP($A278,'Budget &amp; Revenue'!$A:$AM,21,FALSE)," ")</f>
        <v>0</v>
      </c>
      <c r="L278" s="204">
        <f>IFERROR(VLOOKUP($A278,'Budget &amp; Revenue'!$A:$AM,23,FALSE)," ")</f>
        <v>0</v>
      </c>
      <c r="M278" s="204">
        <f>IFERROR(VLOOKUP($A278,'Budget &amp; Revenue'!$A:$AM,25,FALSE)," ")</f>
        <v>0.95330000000000004</v>
      </c>
      <c r="N278" s="204">
        <f>IFERROR(VLOOKUP($A278,'Budget &amp; Revenue'!$A:$AM,27,FALSE)," ")</f>
        <v>0.95330000000000004</v>
      </c>
      <c r="O278" s="204">
        <f>IFERROR(VLOOKUP($A278,'Budget &amp; Revenue'!$A:$AM,29,FALSE)," ")</f>
        <v>0.95330000000000004</v>
      </c>
      <c r="P278" s="204">
        <f>IFERROR(VLOOKUP($A278,'Budget &amp; Revenue'!$A:$AM,31,FALSE)," ")</f>
        <v>0.95330000000000004</v>
      </c>
      <c r="Q278" s="204">
        <f>IFERROR(VLOOKUP($A278,'Budget &amp; Revenue'!$A:$AM,33,FALSE)," ")</f>
        <v>0.95330000000000004</v>
      </c>
      <c r="R278" s="204">
        <f>IFERROR(VLOOKUP($A278,'Budget &amp; Revenue'!$A:$AM,35,FALSE)," ")</f>
        <v>0.95330000000000004</v>
      </c>
      <c r="S278" s="204">
        <f>IFERROR(VLOOKUP($A278,'Budget &amp; Revenue'!$A:$AM,37,FALSE)," ")</f>
        <v>0.95330000000000004</v>
      </c>
      <c r="T278" s="204">
        <f>IFERROR(VLOOKUP($A278,'Budget &amp; Revenue'!$A:$AM,39,FALSE)," ")</f>
        <v>0.95330000000000004</v>
      </c>
    </row>
    <row r="279" spans="1:20" x14ac:dyDescent="0.25">
      <c r="A279" s="80" t="s">
        <v>2559</v>
      </c>
      <c r="B279" s="201" t="str">
        <f>VLOOKUP(A279,Estimate!A:C,3,FALSE)</f>
        <v>Jupp_PV05 - Extend Kerb &amp; Channel on Phaff Street</v>
      </c>
      <c r="C279" s="80">
        <f>VLOOKUP(A279,Estimate!A:L,12,FALSE)</f>
        <v>1</v>
      </c>
      <c r="D279" s="234" t="s">
        <v>3080</v>
      </c>
      <c r="E279" s="234">
        <v>196</v>
      </c>
      <c r="F279" s="235">
        <f>IFERROR(VLOOKUP(A279,Estimate!A:Q,17,FALSE)," ")</f>
        <v>1086.1193023255814</v>
      </c>
      <c r="G279" s="204">
        <f>IFERROR(VLOOKUP($A279,'Budget &amp; Revenue'!$A:$AM,13,FALSE)," ")</f>
        <v>0</v>
      </c>
      <c r="H279" s="204">
        <f>IFERROR(VLOOKUP($A279,'Budget &amp; Revenue'!$A:$AM,15,FALSE)," ")</f>
        <v>0</v>
      </c>
      <c r="I279" s="204">
        <f>IFERROR(VLOOKUP($A279,'Budget &amp; Revenue'!$A:$AM,17,FALSE)," ")</f>
        <v>0</v>
      </c>
      <c r="J279" s="204">
        <f>IFERROR(VLOOKUP($A279,'Budget &amp; Revenue'!$A:$AM,19,FALSE)," ")</f>
        <v>0</v>
      </c>
      <c r="K279" s="204">
        <f>IFERROR(VLOOKUP($A279,'Budget &amp; Revenue'!$A:$AM,21,FALSE)," ")</f>
        <v>0</v>
      </c>
      <c r="L279" s="204">
        <f>IFERROR(VLOOKUP($A279,'Budget &amp; Revenue'!$A:$AM,23,FALSE)," ")</f>
        <v>0</v>
      </c>
      <c r="M279" s="204">
        <f>IFERROR(VLOOKUP($A279,'Budget &amp; Revenue'!$A:$AM,25,FALSE)," ")</f>
        <v>1</v>
      </c>
      <c r="N279" s="204">
        <f>IFERROR(VLOOKUP($A279,'Budget &amp; Revenue'!$A:$AM,27,FALSE)," ")</f>
        <v>1</v>
      </c>
      <c r="O279" s="204">
        <f>IFERROR(VLOOKUP($A279,'Budget &amp; Revenue'!$A:$AM,29,FALSE)," ")</f>
        <v>1</v>
      </c>
      <c r="P279" s="204">
        <f>IFERROR(VLOOKUP($A279,'Budget &amp; Revenue'!$A:$AM,31,FALSE)," ")</f>
        <v>1</v>
      </c>
      <c r="Q279" s="204">
        <f>IFERROR(VLOOKUP($A279,'Budget &amp; Revenue'!$A:$AM,33,FALSE)," ")</f>
        <v>1</v>
      </c>
      <c r="R279" s="204">
        <f>IFERROR(VLOOKUP($A279,'Budget &amp; Revenue'!$A:$AM,35,FALSE)," ")</f>
        <v>1</v>
      </c>
      <c r="S279" s="204">
        <f>IFERROR(VLOOKUP($A279,'Budget &amp; Revenue'!$A:$AM,37,FALSE)," ")</f>
        <v>1</v>
      </c>
      <c r="T279" s="204">
        <f>IFERROR(VLOOKUP($A279,'Budget &amp; Revenue'!$A:$AM,39,FALSE)," ")</f>
        <v>1</v>
      </c>
    </row>
    <row r="280" spans="1:20" x14ac:dyDescent="0.25">
      <c r="A280" s="80" t="s">
        <v>2619</v>
      </c>
      <c r="B280" s="201" t="str">
        <f>VLOOKUP(A280,Estimate!A:C,3,FALSE)</f>
        <v>Sterry_PV01 Sterry Street - Chapman Street Works</v>
      </c>
      <c r="C280" s="80">
        <f>VLOOKUP(A280,Estimate!A:L,12,FALSE)</f>
        <v>7</v>
      </c>
      <c r="D280" s="234">
        <v>217</v>
      </c>
      <c r="E280" s="236">
        <v>241288</v>
      </c>
      <c r="F280" s="235">
        <f>IFERROR(VLOOKUP(A280,Estimate!A:Q,17,FALSE)," ")</f>
        <v>21720.472398507034</v>
      </c>
      <c r="G280" s="204">
        <f>IFERROR(VLOOKUP($A280,'Budget &amp; Revenue'!$A:$AM,13,FALSE)," ")</f>
        <v>0</v>
      </c>
      <c r="H280" s="204">
        <f>IFERROR(VLOOKUP($A280,'Budget &amp; Revenue'!$A:$AM,15,FALSE)," ")</f>
        <v>0</v>
      </c>
      <c r="I280" s="204">
        <f>IFERROR(VLOOKUP($A280,'Budget &amp; Revenue'!$A:$AM,17,FALSE)," ")</f>
        <v>0</v>
      </c>
      <c r="J280" s="204">
        <f>IFERROR(VLOOKUP($A280,'Budget &amp; Revenue'!$A:$AM,19,FALSE)," ")</f>
        <v>0</v>
      </c>
      <c r="K280" s="204">
        <f>IFERROR(VLOOKUP($A280,'Budget &amp; Revenue'!$A:$AM,21,FALSE)," ")</f>
        <v>0</v>
      </c>
      <c r="L280" s="204">
        <f>IFERROR(VLOOKUP($A280,'Budget &amp; Revenue'!$A:$AM,23,FALSE)," ")</f>
        <v>0</v>
      </c>
      <c r="M280" s="204">
        <f>IFERROR(VLOOKUP($A280,'Budget &amp; Revenue'!$A:$AM,25,FALSE)," ")</f>
        <v>0.36509999999999998</v>
      </c>
      <c r="N280" s="204">
        <f>IFERROR(VLOOKUP($A280,'Budget &amp; Revenue'!$A:$AM,27,FALSE)," ")</f>
        <v>0.37580000000000002</v>
      </c>
      <c r="O280" s="204">
        <f>IFERROR(VLOOKUP($A280,'Budget &amp; Revenue'!$A:$AM,29,FALSE)," ")</f>
        <v>0.37580000000000002</v>
      </c>
      <c r="P280" s="204">
        <f>IFERROR(VLOOKUP($A280,'Budget &amp; Revenue'!$A:$AM,31,FALSE)," ")</f>
        <v>0.62849999999999995</v>
      </c>
      <c r="Q280" s="204">
        <f>IFERROR(VLOOKUP($A280,'Budget &amp; Revenue'!$A:$AM,33,FALSE)," ")</f>
        <v>0.62849999999999995</v>
      </c>
      <c r="R280" s="204">
        <f>IFERROR(VLOOKUP($A280,'Budget &amp; Revenue'!$A:$AM,35,FALSE)," ")</f>
        <v>0.62849999999999995</v>
      </c>
      <c r="S280" s="204">
        <f>IFERROR(VLOOKUP($A280,'Budget &amp; Revenue'!$A:$AM,37,FALSE)," ")</f>
        <v>0.63929999999999998</v>
      </c>
      <c r="T280" s="204">
        <f>IFERROR(VLOOKUP($A280,'Budget &amp; Revenue'!$A:$AM,39,FALSE)," ")</f>
        <v>0.63929999999999998</v>
      </c>
    </row>
    <row r="281" spans="1:20" ht="30" x14ac:dyDescent="0.25">
      <c r="A281" s="80" t="s">
        <v>2632</v>
      </c>
      <c r="B281" s="201" t="str">
        <f>VLOOKUP(A281,Estimate!A:C,3,FALSE)</f>
        <v xml:space="preserve">Area1 and Area 2  Sterry Street  -  Rock mattress, 2  layers of Geogrid and, geofabric </v>
      </c>
      <c r="C281" s="80">
        <f>VLOOKUP(A281,Estimate!A:L,12,FALSE)</f>
        <v>0</v>
      </c>
      <c r="D281" s="233"/>
      <c r="E281" s="233"/>
      <c r="F281" s="235">
        <f>IFERROR(VLOOKUP(A281,Estimate!A:Q,17,FALSE)," ")</f>
        <v>191104.07029122807</v>
      </c>
      <c r="G281" s="204">
        <f>IFERROR(VLOOKUP($A281,'Budget &amp; Revenue'!$A:$AM,13,FALSE)," ")</f>
        <v>0</v>
      </c>
      <c r="H281" s="204">
        <f>IFERROR(VLOOKUP($A281,'Budget &amp; Revenue'!$A:$AM,15,FALSE)," ")</f>
        <v>0</v>
      </c>
      <c r="I281" s="204">
        <f>IFERROR(VLOOKUP($A281,'Budget &amp; Revenue'!$A:$AM,17,FALSE)," ")</f>
        <v>0</v>
      </c>
      <c r="J281" s="204">
        <f>IFERROR(VLOOKUP($A281,'Budget &amp; Revenue'!$A:$AM,19,FALSE)," ")</f>
        <v>0</v>
      </c>
      <c r="K281" s="204">
        <f>IFERROR(VLOOKUP($A281,'Budget &amp; Revenue'!$A:$AM,21,FALSE)," ")</f>
        <v>0</v>
      </c>
      <c r="L281" s="204">
        <f>IFERROR(VLOOKUP($A281,'Budget &amp; Revenue'!$A:$AM,23,FALSE)," ")</f>
        <v>0</v>
      </c>
      <c r="M281" s="204">
        <f>IFERROR(VLOOKUP($A281,'Budget &amp; Revenue'!$A:$AM,25,FALSE)," ")</f>
        <v>0.87390000000000001</v>
      </c>
      <c r="N281" s="204">
        <f>IFERROR(VLOOKUP($A281,'Budget &amp; Revenue'!$A:$AM,27,FALSE)," ")</f>
        <v>1.1287</v>
      </c>
      <c r="O281" s="204">
        <f>IFERROR(VLOOKUP($A281,'Budget &amp; Revenue'!$A:$AM,29,FALSE)," ")</f>
        <v>1.1654</v>
      </c>
      <c r="P281" s="204">
        <f>IFERROR(VLOOKUP($A281,'Budget &amp; Revenue'!$A:$AM,31,FALSE)," ")</f>
        <v>1</v>
      </c>
      <c r="Q281" s="204">
        <f>IFERROR(VLOOKUP($A281,'Budget &amp; Revenue'!$A:$AM,33,FALSE)," ")</f>
        <v>1</v>
      </c>
      <c r="R281" s="204">
        <f>IFERROR(VLOOKUP($A281,'Budget &amp; Revenue'!$A:$AM,35,FALSE)," ")</f>
        <v>1</v>
      </c>
      <c r="S281" s="204">
        <f>IFERROR(VLOOKUP($A281,'Budget &amp; Revenue'!$A:$AM,37,FALSE)," ")</f>
        <v>1</v>
      </c>
      <c r="T281" s="204">
        <f>IFERROR(VLOOKUP($A281,'Budget &amp; Revenue'!$A:$AM,39,FALSE)," ")</f>
        <v>1</v>
      </c>
    </row>
    <row r="282" spans="1:20" x14ac:dyDescent="0.25">
      <c r="A282" s="80" t="s">
        <v>2666</v>
      </c>
      <c r="B282" s="201" t="str">
        <f>VLOOKUP(A282,Estimate!A:C,3,FALSE)</f>
        <v xml:space="preserve">Area 1 Additional water service connections  (5) </v>
      </c>
      <c r="C282" s="80">
        <f>VLOOKUP(A282,Estimate!A:L,12,FALSE)</f>
        <v>3</v>
      </c>
      <c r="D282" s="234">
        <v>241</v>
      </c>
      <c r="E282" s="234">
        <v>223</v>
      </c>
      <c r="F282" s="235">
        <f>IFERROR(VLOOKUP(A282,Estimate!A:Q,17,FALSE)," ")</f>
        <v>0</v>
      </c>
      <c r="G282" s="204" t="str">
        <f>IFERROR(VLOOKUP($A282,'Budget &amp; Revenue'!$A:$AM,13,FALSE)," ")</f>
        <v xml:space="preserve"> </v>
      </c>
      <c r="H282" s="204" t="str">
        <f>IFERROR(VLOOKUP($A282,'Budget &amp; Revenue'!$A:$AM,15,FALSE)," ")</f>
        <v xml:space="preserve"> </v>
      </c>
      <c r="I282" s="204" t="str">
        <f>IFERROR(VLOOKUP($A282,'Budget &amp; Revenue'!$A:$AM,17,FALSE)," ")</f>
        <v xml:space="preserve"> </v>
      </c>
      <c r="J282" s="204" t="str">
        <f>IFERROR(VLOOKUP($A282,'Budget &amp; Revenue'!$A:$AM,19,FALSE)," ")</f>
        <v xml:space="preserve"> </v>
      </c>
      <c r="K282" s="204" t="str">
        <f>IFERROR(VLOOKUP($A282,'Budget &amp; Revenue'!$A:$AM,21,FALSE)," ")</f>
        <v xml:space="preserve"> </v>
      </c>
      <c r="L282" s="204" t="str">
        <f>IFERROR(VLOOKUP($A282,'Budget &amp; Revenue'!$A:$AM,23,FALSE)," ")</f>
        <v xml:space="preserve"> </v>
      </c>
      <c r="M282" s="204" t="str">
        <f>IFERROR(VLOOKUP($A282,'Budget &amp; Revenue'!$A:$AM,25,FALSE)," ")</f>
        <v xml:space="preserve"> </v>
      </c>
      <c r="N282" s="204" t="str">
        <f>IFERROR(VLOOKUP($A282,'Budget &amp; Revenue'!$A:$AM,27,FALSE)," ")</f>
        <v xml:space="preserve"> </v>
      </c>
      <c r="O282" s="204" t="str">
        <f>IFERROR(VLOOKUP($A282,'Budget &amp; Revenue'!$A:$AM,29,FALSE)," ")</f>
        <v xml:space="preserve"> </v>
      </c>
      <c r="P282" s="204" t="str">
        <f>IFERROR(VLOOKUP($A282,'Budget &amp; Revenue'!$A:$AM,31,FALSE)," ")</f>
        <v xml:space="preserve"> </v>
      </c>
      <c r="Q282" s="204" t="str">
        <f>IFERROR(VLOOKUP($A282,'Budget &amp; Revenue'!$A:$AM,33,FALSE)," ")</f>
        <v xml:space="preserve"> </v>
      </c>
      <c r="R282" s="204" t="str">
        <f>IFERROR(VLOOKUP($A282,'Budget &amp; Revenue'!$A:$AM,35,FALSE)," ")</f>
        <v xml:space="preserve"> </v>
      </c>
      <c r="S282" s="204" t="str">
        <f>IFERROR(VLOOKUP($A282,'Budget &amp; Revenue'!$A:$AM,37,FALSE)," ")</f>
        <v xml:space="preserve"> </v>
      </c>
      <c r="T282" s="204" t="str">
        <f>IFERROR(VLOOKUP($A282,'Budget &amp; Revenue'!$A:$AM,39,FALSE)," ")</f>
        <v xml:space="preserve"> </v>
      </c>
    </row>
    <row r="283" spans="1:20" x14ac:dyDescent="0.25">
      <c r="A283" s="80" t="s">
        <v>2976</v>
      </c>
      <c r="B283" s="201" t="str">
        <f>VLOOKUP(A283,Estimate!A:C,3,FALSE)</f>
        <v>Sterry Street - Area 1 Remove &amp; Replace</v>
      </c>
      <c r="C283" s="80">
        <f>VLOOKUP(A283,Estimate!A:L,12,FALSE)</f>
        <v>12</v>
      </c>
      <c r="D283" s="236">
        <v>217285</v>
      </c>
      <c r="E283" s="234">
        <v>284</v>
      </c>
      <c r="F283" s="235">
        <f>IFERROR(VLOOKUP(A283,Estimate!A:Q,17,FALSE)," ")</f>
        <v>0</v>
      </c>
      <c r="G283" s="204" t="str">
        <f>IFERROR(VLOOKUP($A283,'Budget &amp; Revenue'!$A:$AM,13,FALSE)," ")</f>
        <v xml:space="preserve"> </v>
      </c>
      <c r="H283" s="204" t="str">
        <f>IFERROR(VLOOKUP($A283,'Budget &amp; Revenue'!$A:$AM,15,FALSE)," ")</f>
        <v xml:space="preserve"> </v>
      </c>
      <c r="I283" s="204" t="str">
        <f>IFERROR(VLOOKUP($A283,'Budget &amp; Revenue'!$A:$AM,17,FALSE)," ")</f>
        <v xml:space="preserve"> </v>
      </c>
      <c r="J283" s="204" t="str">
        <f>IFERROR(VLOOKUP($A283,'Budget &amp; Revenue'!$A:$AM,19,FALSE)," ")</f>
        <v xml:space="preserve"> </v>
      </c>
      <c r="K283" s="204" t="str">
        <f>IFERROR(VLOOKUP($A283,'Budget &amp; Revenue'!$A:$AM,21,FALSE)," ")</f>
        <v xml:space="preserve"> </v>
      </c>
      <c r="L283" s="204" t="str">
        <f>IFERROR(VLOOKUP($A283,'Budget &amp; Revenue'!$A:$AM,23,FALSE)," ")</f>
        <v xml:space="preserve"> </v>
      </c>
      <c r="M283" s="204" t="str">
        <f>IFERROR(VLOOKUP($A283,'Budget &amp; Revenue'!$A:$AM,25,FALSE)," ")</f>
        <v xml:space="preserve"> </v>
      </c>
      <c r="N283" s="204" t="str">
        <f>IFERROR(VLOOKUP($A283,'Budget &amp; Revenue'!$A:$AM,27,FALSE)," ")</f>
        <v xml:space="preserve"> </v>
      </c>
      <c r="O283" s="204" t="str">
        <f>IFERROR(VLOOKUP($A283,'Budget &amp; Revenue'!$A:$AM,29,FALSE)," ")</f>
        <v xml:space="preserve"> </v>
      </c>
      <c r="P283" s="204" t="str">
        <f>IFERROR(VLOOKUP($A283,'Budget &amp; Revenue'!$A:$AM,31,FALSE)," ")</f>
        <v xml:space="preserve"> </v>
      </c>
      <c r="Q283" s="204" t="str">
        <f>IFERROR(VLOOKUP($A283,'Budget &amp; Revenue'!$A:$AM,33,FALSE)," ")</f>
        <v xml:space="preserve"> </v>
      </c>
      <c r="R283" s="204" t="str">
        <f>IFERROR(VLOOKUP($A283,'Budget &amp; Revenue'!$A:$AM,35,FALSE)," ")</f>
        <v xml:space="preserve"> </v>
      </c>
      <c r="S283" s="204" t="str">
        <f>IFERROR(VLOOKUP($A283,'Budget &amp; Revenue'!$A:$AM,37,FALSE)," ")</f>
        <v xml:space="preserve"> </v>
      </c>
      <c r="T283" s="204" t="str">
        <f>IFERROR(VLOOKUP($A283,'Budget &amp; Revenue'!$A:$AM,39,FALSE)," ")</f>
        <v xml:space="preserve"> </v>
      </c>
    </row>
    <row r="284" spans="1:20" x14ac:dyDescent="0.25">
      <c r="A284" s="80" t="s">
        <v>2978</v>
      </c>
      <c r="B284" s="201" t="str">
        <f>VLOOKUP(A284,Estimate!A:C,3,FALSE)</f>
        <v>Sterry Street - Area 2 Remove &amp; Replace</v>
      </c>
      <c r="C284" s="80">
        <f>VLOOKUP(A284,Estimate!A:L,12,FALSE)</f>
        <v>3</v>
      </c>
      <c r="D284" s="234">
        <v>283</v>
      </c>
      <c r="E284" s="236">
        <v>218286</v>
      </c>
      <c r="F284" s="235">
        <f>IFERROR(VLOOKUP(A284,Estimate!A:Q,17,FALSE)," ")</f>
        <v>0</v>
      </c>
      <c r="G284" s="204" t="str">
        <f>IFERROR(VLOOKUP($A284,'Budget &amp; Revenue'!$A:$AM,13,FALSE)," ")</f>
        <v xml:space="preserve"> </v>
      </c>
      <c r="H284" s="204" t="str">
        <f>IFERROR(VLOOKUP($A284,'Budget &amp; Revenue'!$A:$AM,15,FALSE)," ")</f>
        <v xml:space="preserve"> </v>
      </c>
      <c r="I284" s="204" t="str">
        <f>IFERROR(VLOOKUP($A284,'Budget &amp; Revenue'!$A:$AM,17,FALSE)," ")</f>
        <v xml:space="preserve"> </v>
      </c>
      <c r="J284" s="204" t="str">
        <f>IFERROR(VLOOKUP($A284,'Budget &amp; Revenue'!$A:$AM,19,FALSE)," ")</f>
        <v xml:space="preserve"> </v>
      </c>
      <c r="K284" s="204" t="str">
        <f>IFERROR(VLOOKUP($A284,'Budget &amp; Revenue'!$A:$AM,21,FALSE)," ")</f>
        <v xml:space="preserve"> </v>
      </c>
      <c r="L284" s="204" t="str">
        <f>IFERROR(VLOOKUP($A284,'Budget &amp; Revenue'!$A:$AM,23,FALSE)," ")</f>
        <v xml:space="preserve"> </v>
      </c>
      <c r="M284" s="204" t="str">
        <f>IFERROR(VLOOKUP($A284,'Budget &amp; Revenue'!$A:$AM,25,FALSE)," ")</f>
        <v xml:space="preserve"> </v>
      </c>
      <c r="N284" s="204" t="str">
        <f>IFERROR(VLOOKUP($A284,'Budget &amp; Revenue'!$A:$AM,27,FALSE)," ")</f>
        <v xml:space="preserve"> </v>
      </c>
      <c r="O284" s="204" t="str">
        <f>IFERROR(VLOOKUP($A284,'Budget &amp; Revenue'!$A:$AM,29,FALSE)," ")</f>
        <v xml:space="preserve"> </v>
      </c>
      <c r="P284" s="204" t="str">
        <f>IFERROR(VLOOKUP($A284,'Budget &amp; Revenue'!$A:$AM,31,FALSE)," ")</f>
        <v xml:space="preserve"> </v>
      </c>
      <c r="Q284" s="204" t="str">
        <f>IFERROR(VLOOKUP($A284,'Budget &amp; Revenue'!$A:$AM,33,FALSE)," ")</f>
        <v xml:space="preserve"> </v>
      </c>
      <c r="R284" s="204" t="str">
        <f>IFERROR(VLOOKUP($A284,'Budget &amp; Revenue'!$A:$AM,35,FALSE)," ")</f>
        <v xml:space="preserve"> </v>
      </c>
      <c r="S284" s="204" t="str">
        <f>IFERROR(VLOOKUP($A284,'Budget &amp; Revenue'!$A:$AM,37,FALSE)," ")</f>
        <v xml:space="preserve"> </v>
      </c>
      <c r="T284" s="204" t="str">
        <f>IFERROR(VLOOKUP($A284,'Budget &amp; Revenue'!$A:$AM,39,FALSE)," ")</f>
        <v xml:space="preserve"> </v>
      </c>
    </row>
    <row r="285" spans="1:20" ht="30" x14ac:dyDescent="0.25">
      <c r="A285" s="80" t="s">
        <v>2673</v>
      </c>
      <c r="B285" s="201" t="str">
        <f>VLOOKUP(A285,Estimate!A:C,3,FALSE)</f>
        <v xml:space="preserve">Vairation direction - Removal and Replacement of 150mm Sewer Main Sterry street </v>
      </c>
      <c r="C285" s="80">
        <f>VLOOKUP(A285,Estimate!A:L,12,FALSE)</f>
        <v>1</v>
      </c>
      <c r="D285" s="234">
        <v>215</v>
      </c>
      <c r="E285" s="234">
        <v>283</v>
      </c>
      <c r="F285" s="235">
        <f>IFERROR(VLOOKUP(A285,Estimate!A:Q,17,FALSE)," ")</f>
        <v>9500</v>
      </c>
      <c r="G285" s="204">
        <f>IFERROR(VLOOKUP($A285,'Budget &amp; Revenue'!$A:$AM,13,FALSE)," ")</f>
        <v>0</v>
      </c>
      <c r="H285" s="204">
        <f>IFERROR(VLOOKUP($A285,'Budget &amp; Revenue'!$A:$AM,15,FALSE)," ")</f>
        <v>0</v>
      </c>
      <c r="I285" s="204">
        <f>IFERROR(VLOOKUP($A285,'Budget &amp; Revenue'!$A:$AM,17,FALSE)," ")</f>
        <v>0</v>
      </c>
      <c r="J285" s="204">
        <f>IFERROR(VLOOKUP($A285,'Budget &amp; Revenue'!$A:$AM,19,FALSE)," ")</f>
        <v>0</v>
      </c>
      <c r="K285" s="204">
        <f>IFERROR(VLOOKUP($A285,'Budget &amp; Revenue'!$A:$AM,21,FALSE)," ")</f>
        <v>0</v>
      </c>
      <c r="L285" s="204">
        <f>IFERROR(VLOOKUP($A285,'Budget &amp; Revenue'!$A:$AM,23,FALSE)," ")</f>
        <v>0</v>
      </c>
      <c r="M285" s="204">
        <f>IFERROR(VLOOKUP($A285,'Budget &amp; Revenue'!$A:$AM,25,FALSE)," ")</f>
        <v>0</v>
      </c>
      <c r="N285" s="204">
        <f>IFERROR(VLOOKUP($A285,'Budget &amp; Revenue'!$A:$AM,27,FALSE)," ")</f>
        <v>0</v>
      </c>
      <c r="O285" s="204">
        <f>IFERROR(VLOOKUP($A285,'Budget &amp; Revenue'!$A:$AM,29,FALSE)," ")</f>
        <v>1</v>
      </c>
      <c r="P285" s="204">
        <f>IFERROR(VLOOKUP($A285,'Budget &amp; Revenue'!$A:$AM,31,FALSE)," ")</f>
        <v>1</v>
      </c>
      <c r="Q285" s="204">
        <f>IFERROR(VLOOKUP($A285,'Budget &amp; Revenue'!$A:$AM,33,FALSE)," ")</f>
        <v>1</v>
      </c>
      <c r="R285" s="204">
        <f>IFERROR(VLOOKUP($A285,'Budget &amp; Revenue'!$A:$AM,35,FALSE)," ")</f>
        <v>1</v>
      </c>
      <c r="S285" s="204">
        <f>IFERROR(VLOOKUP($A285,'Budget &amp; Revenue'!$A:$AM,37,FALSE)," ")</f>
        <v>1</v>
      </c>
      <c r="T285" s="204">
        <f>IFERROR(VLOOKUP($A285,'Budget &amp; Revenue'!$A:$AM,39,FALSE)," ")</f>
        <v>1</v>
      </c>
    </row>
    <row r="286" spans="1:20" x14ac:dyDescent="0.25">
      <c r="A286" s="80" t="s">
        <v>2670</v>
      </c>
      <c r="B286" s="201" t="str">
        <f>VLOOKUP(A286,Estimate!A:C,3,FALSE)</f>
        <v xml:space="preserve">Cement stabilisation - Sterry Street  250mm depth </v>
      </c>
      <c r="C286" s="80">
        <f>VLOOKUP(A286,Estimate!A:L,12,FALSE)</f>
        <v>6</v>
      </c>
      <c r="D286" s="234">
        <v>284</v>
      </c>
      <c r="E286" s="234">
        <v>218</v>
      </c>
      <c r="F286" s="235">
        <f>IFERROR(VLOOKUP(A286,Estimate!A:Q,17,FALSE)," ")</f>
        <v>40195.5239</v>
      </c>
      <c r="G286" s="204">
        <f>IFERROR(VLOOKUP($A286,'Budget &amp; Revenue'!$A:$AM,13,FALSE)," ")</f>
        <v>0</v>
      </c>
      <c r="H286" s="204">
        <f>IFERROR(VLOOKUP($A286,'Budget &amp; Revenue'!$A:$AM,15,FALSE)," ")</f>
        <v>0</v>
      </c>
      <c r="I286" s="204">
        <f>IFERROR(VLOOKUP($A286,'Budget &amp; Revenue'!$A:$AM,17,FALSE)," ")</f>
        <v>0</v>
      </c>
      <c r="J286" s="204">
        <f>IFERROR(VLOOKUP($A286,'Budget &amp; Revenue'!$A:$AM,19,FALSE)," ")</f>
        <v>0</v>
      </c>
      <c r="K286" s="204">
        <f>IFERROR(VLOOKUP($A286,'Budget &amp; Revenue'!$A:$AM,21,FALSE)," ")</f>
        <v>0</v>
      </c>
      <c r="L286" s="204">
        <f>IFERROR(VLOOKUP($A286,'Budget &amp; Revenue'!$A:$AM,23,FALSE)," ")</f>
        <v>0</v>
      </c>
      <c r="M286" s="204">
        <f>IFERROR(VLOOKUP($A286,'Budget &amp; Revenue'!$A:$AM,25,FALSE)," ")</f>
        <v>0</v>
      </c>
      <c r="N286" s="204">
        <f>IFERROR(VLOOKUP($A286,'Budget &amp; Revenue'!$A:$AM,27,FALSE)," ")</f>
        <v>0</v>
      </c>
      <c r="O286" s="204">
        <f>IFERROR(VLOOKUP($A286,'Budget &amp; Revenue'!$A:$AM,29,FALSE)," ")</f>
        <v>1</v>
      </c>
      <c r="P286" s="204">
        <f>IFERROR(VLOOKUP($A286,'Budget &amp; Revenue'!$A:$AM,31,FALSE)," ")</f>
        <v>1</v>
      </c>
      <c r="Q286" s="204">
        <f>IFERROR(VLOOKUP($A286,'Budget &amp; Revenue'!$A:$AM,33,FALSE)," ")</f>
        <v>1</v>
      </c>
      <c r="R286" s="204">
        <f>IFERROR(VLOOKUP($A286,'Budget &amp; Revenue'!$A:$AM,35,FALSE)," ")</f>
        <v>1</v>
      </c>
      <c r="S286" s="204">
        <f>IFERROR(VLOOKUP($A286,'Budget &amp; Revenue'!$A:$AM,37,FALSE)," ")</f>
        <v>1</v>
      </c>
      <c r="T286" s="204">
        <f>IFERROR(VLOOKUP($A286,'Budget &amp; Revenue'!$A:$AM,39,FALSE)," ")</f>
        <v>1</v>
      </c>
    </row>
    <row r="287" spans="1:20" x14ac:dyDescent="0.25">
      <c r="A287" s="80" t="s">
        <v>2674</v>
      </c>
      <c r="B287" s="201" t="str">
        <f>VLOOKUP(A287,Estimate!A:C,3,FALSE)</f>
        <v xml:space="preserve">7 mm Primer Seal Sterry Street </v>
      </c>
      <c r="C287" s="80">
        <f>VLOOKUP(A287,Estimate!A:L,12,FALSE)</f>
        <v>1</v>
      </c>
      <c r="D287" s="234">
        <v>228</v>
      </c>
      <c r="E287" s="234" t="s">
        <v>3076</v>
      </c>
      <c r="F287" s="235">
        <f>IFERROR(VLOOKUP(A287,Estimate!A:Q,17,FALSE)," ")</f>
        <v>17187.240000000002</v>
      </c>
      <c r="G287" s="204">
        <f>IFERROR(VLOOKUP($A287,'Budget &amp; Revenue'!$A:$AM,13,FALSE)," ")</f>
        <v>0</v>
      </c>
      <c r="H287" s="204">
        <f>IFERROR(VLOOKUP($A287,'Budget &amp; Revenue'!$A:$AM,15,FALSE)," ")</f>
        <v>0</v>
      </c>
      <c r="I287" s="204">
        <f>IFERROR(VLOOKUP($A287,'Budget &amp; Revenue'!$A:$AM,17,FALSE)," ")</f>
        <v>0</v>
      </c>
      <c r="J287" s="204">
        <f>IFERROR(VLOOKUP($A287,'Budget &amp; Revenue'!$A:$AM,19,FALSE)," ")</f>
        <v>0</v>
      </c>
      <c r="K287" s="204">
        <f>IFERROR(VLOOKUP($A287,'Budget &amp; Revenue'!$A:$AM,21,FALSE)," ")</f>
        <v>0</v>
      </c>
      <c r="L287" s="204">
        <f>IFERROR(VLOOKUP($A287,'Budget &amp; Revenue'!$A:$AM,23,FALSE)," ")</f>
        <v>0</v>
      </c>
      <c r="M287" s="204">
        <f>IFERROR(VLOOKUP($A287,'Budget &amp; Revenue'!$A:$AM,25,FALSE)," ")</f>
        <v>0</v>
      </c>
      <c r="N287" s="204">
        <f>IFERROR(VLOOKUP($A287,'Budget &amp; Revenue'!$A:$AM,27,FALSE)," ")</f>
        <v>0</v>
      </c>
      <c r="O287" s="204">
        <f>IFERROR(VLOOKUP($A287,'Budget &amp; Revenue'!$A:$AM,29,FALSE)," ")</f>
        <v>1</v>
      </c>
      <c r="P287" s="204">
        <f>IFERROR(VLOOKUP($A287,'Budget &amp; Revenue'!$A:$AM,31,FALSE)," ")</f>
        <v>1</v>
      </c>
      <c r="Q287" s="204">
        <f>IFERROR(VLOOKUP($A287,'Budget &amp; Revenue'!$A:$AM,33,FALSE)," ")</f>
        <v>1</v>
      </c>
      <c r="R287" s="204">
        <f>IFERROR(VLOOKUP($A287,'Budget &amp; Revenue'!$A:$AM,35,FALSE)," ")</f>
        <v>1</v>
      </c>
      <c r="S287" s="204">
        <f>IFERROR(VLOOKUP($A287,'Budget &amp; Revenue'!$A:$AM,37,FALSE)," ")</f>
        <v>1</v>
      </c>
      <c r="T287" s="204">
        <f>IFERROR(VLOOKUP($A287,'Budget &amp; Revenue'!$A:$AM,39,FALSE)," ")</f>
        <v>1</v>
      </c>
    </row>
    <row r="288" spans="1:20" ht="30" x14ac:dyDescent="0.25">
      <c r="A288" s="80" t="s">
        <v>2675</v>
      </c>
      <c r="B288" s="201" t="str">
        <f>VLOOKUP(A288,Estimate!A:C,3,FALSE)</f>
        <v xml:space="preserve">Additional Chapman Street works - Kerbing and Miscellaneous concrete works Chapman </v>
      </c>
      <c r="C288" s="80">
        <f>VLOOKUP(A288,Estimate!A:L,12,FALSE)</f>
        <v>1</v>
      </c>
      <c r="D288" s="234">
        <v>280</v>
      </c>
      <c r="E288" s="236">
        <v>241290</v>
      </c>
      <c r="F288" s="235">
        <f>IFERROR(VLOOKUP(A288,Estimate!A:Q,17,FALSE)," ")</f>
        <v>4460</v>
      </c>
      <c r="G288" s="204">
        <f>IFERROR(VLOOKUP($A288,'Budget &amp; Revenue'!$A:$AM,13,FALSE)," ")</f>
        <v>0</v>
      </c>
      <c r="H288" s="204">
        <f>IFERROR(VLOOKUP($A288,'Budget &amp; Revenue'!$A:$AM,15,FALSE)," ")</f>
        <v>0</v>
      </c>
      <c r="I288" s="204">
        <f>IFERROR(VLOOKUP($A288,'Budget &amp; Revenue'!$A:$AM,17,FALSE)," ")</f>
        <v>0</v>
      </c>
      <c r="J288" s="204">
        <f>IFERROR(VLOOKUP($A288,'Budget &amp; Revenue'!$A:$AM,19,FALSE)," ")</f>
        <v>0</v>
      </c>
      <c r="K288" s="204">
        <f>IFERROR(VLOOKUP($A288,'Budget &amp; Revenue'!$A:$AM,21,FALSE)," ")</f>
        <v>0</v>
      </c>
      <c r="L288" s="204">
        <f>IFERROR(VLOOKUP($A288,'Budget &amp; Revenue'!$A:$AM,23,FALSE)," ")</f>
        <v>0</v>
      </c>
      <c r="M288" s="204">
        <f>IFERROR(VLOOKUP($A288,'Budget &amp; Revenue'!$A:$AM,25,FALSE)," ")</f>
        <v>0</v>
      </c>
      <c r="N288" s="204">
        <f>IFERROR(VLOOKUP($A288,'Budget &amp; Revenue'!$A:$AM,27,FALSE)," ")</f>
        <v>0</v>
      </c>
      <c r="O288" s="204">
        <f>IFERROR(VLOOKUP($A288,'Budget &amp; Revenue'!$A:$AM,29,FALSE)," ")</f>
        <v>1</v>
      </c>
      <c r="P288" s="204">
        <f>IFERROR(VLOOKUP($A288,'Budget &amp; Revenue'!$A:$AM,31,FALSE)," ")</f>
        <v>1</v>
      </c>
      <c r="Q288" s="204">
        <f>IFERROR(VLOOKUP($A288,'Budget &amp; Revenue'!$A:$AM,33,FALSE)," ")</f>
        <v>1</v>
      </c>
      <c r="R288" s="204">
        <f>IFERROR(VLOOKUP($A288,'Budget &amp; Revenue'!$A:$AM,35,FALSE)," ")</f>
        <v>1</v>
      </c>
      <c r="S288" s="204">
        <f>IFERROR(VLOOKUP($A288,'Budget &amp; Revenue'!$A:$AM,37,FALSE)," ")</f>
        <v>1</v>
      </c>
      <c r="T288" s="204">
        <f>IFERROR(VLOOKUP($A288,'Budget &amp; Revenue'!$A:$AM,39,FALSE)," ")</f>
        <v>1</v>
      </c>
    </row>
    <row r="289" spans="1:20" ht="30" x14ac:dyDescent="0.25">
      <c r="A289" s="80" t="s">
        <v>2676</v>
      </c>
      <c r="B289" s="201" t="str">
        <f>VLOOKUP(A289,Estimate!A:C,3,FALSE)</f>
        <v>Construct standard driveway access - Proserpine Secondary School</v>
      </c>
      <c r="C289" s="80">
        <f>VLOOKUP(A289,Estimate!A:L,12,FALSE)</f>
        <v>3</v>
      </c>
      <c r="D289" s="234">
        <v>237</v>
      </c>
      <c r="E289" s="234">
        <v>238</v>
      </c>
      <c r="F289" s="235">
        <f>IFERROR(VLOOKUP(A289,Estimate!A:Q,17,FALSE)," ")</f>
        <v>465.02476190476182</v>
      </c>
      <c r="G289" s="204">
        <f>IFERROR(VLOOKUP($A289,'Budget &amp; Revenue'!$A:$AM,13,FALSE)," ")</f>
        <v>0</v>
      </c>
      <c r="H289" s="204">
        <f>IFERROR(VLOOKUP($A289,'Budget &amp; Revenue'!$A:$AM,15,FALSE)," ")</f>
        <v>0</v>
      </c>
      <c r="I289" s="204">
        <f>IFERROR(VLOOKUP($A289,'Budget &amp; Revenue'!$A:$AM,17,FALSE)," ")</f>
        <v>0</v>
      </c>
      <c r="J289" s="204">
        <f>IFERROR(VLOOKUP($A289,'Budget &amp; Revenue'!$A:$AM,19,FALSE)," ")</f>
        <v>0</v>
      </c>
      <c r="K289" s="204">
        <f>IFERROR(VLOOKUP($A289,'Budget &amp; Revenue'!$A:$AM,21,FALSE)," ")</f>
        <v>0</v>
      </c>
      <c r="L289" s="204">
        <f>IFERROR(VLOOKUP($A289,'Budget &amp; Revenue'!$A:$AM,23,FALSE)," ")</f>
        <v>0</v>
      </c>
      <c r="M289" s="204">
        <f>IFERROR(VLOOKUP($A289,'Budget &amp; Revenue'!$A:$AM,25,FALSE)," ")</f>
        <v>0</v>
      </c>
      <c r="N289" s="204">
        <f>IFERROR(VLOOKUP($A289,'Budget &amp; Revenue'!$A:$AM,27,FALSE)," ")</f>
        <v>0</v>
      </c>
      <c r="O289" s="204">
        <f>IFERROR(VLOOKUP($A289,'Budget &amp; Revenue'!$A:$AM,29,FALSE)," ")</f>
        <v>1</v>
      </c>
      <c r="P289" s="204">
        <f>IFERROR(VLOOKUP($A289,'Budget &amp; Revenue'!$A:$AM,31,FALSE)," ")</f>
        <v>1</v>
      </c>
      <c r="Q289" s="204">
        <f>IFERROR(VLOOKUP($A289,'Budget &amp; Revenue'!$A:$AM,33,FALSE)," ")</f>
        <v>1</v>
      </c>
      <c r="R289" s="204">
        <f>IFERROR(VLOOKUP($A289,'Budget &amp; Revenue'!$A:$AM,35,FALSE)," ")</f>
        <v>1</v>
      </c>
      <c r="S289" s="204">
        <f>IFERROR(VLOOKUP($A289,'Budget &amp; Revenue'!$A:$AM,37,FALSE)," ")</f>
        <v>1</v>
      </c>
      <c r="T289" s="204">
        <f>IFERROR(VLOOKUP($A289,'Budget &amp; Revenue'!$A:$AM,39,FALSE)," ")</f>
        <v>1</v>
      </c>
    </row>
    <row r="290" spans="1:20" ht="30" x14ac:dyDescent="0.25">
      <c r="A290" s="80" t="s">
        <v>2678</v>
      </c>
      <c r="B290" s="201" t="str">
        <f>VLOOKUP(A290,Estimate!A:C,3,FALSE)</f>
        <v xml:space="preserve">Various Concrete works and fencing and gate alterations - day labour rates + materials </v>
      </c>
      <c r="C290" s="80">
        <f>VLOOKUP(A290,Estimate!A:L,12,FALSE)</f>
        <v>1</v>
      </c>
      <c r="D290" s="234">
        <v>288</v>
      </c>
      <c r="E290" s="234">
        <v>241</v>
      </c>
      <c r="F290" s="235">
        <f>IFERROR(VLOOKUP(A290,Estimate!A:Q,17,FALSE)," ")</f>
        <v>2676</v>
      </c>
      <c r="G290" s="204" t="str">
        <f>IFERROR(VLOOKUP($A290,'Budget &amp; Revenue'!$A:$AM,13,FALSE)," ")</f>
        <v xml:space="preserve"> </v>
      </c>
      <c r="H290" s="204" t="str">
        <f>IFERROR(VLOOKUP($A290,'Budget &amp; Revenue'!$A:$AM,15,FALSE)," ")</f>
        <v xml:space="preserve"> </v>
      </c>
      <c r="I290" s="204" t="str">
        <f>IFERROR(VLOOKUP($A290,'Budget &amp; Revenue'!$A:$AM,17,FALSE)," ")</f>
        <v xml:space="preserve"> </v>
      </c>
      <c r="J290" s="204" t="str">
        <f>IFERROR(VLOOKUP($A290,'Budget &amp; Revenue'!$A:$AM,19,FALSE)," ")</f>
        <v xml:space="preserve"> </v>
      </c>
      <c r="K290" s="204" t="str">
        <f>IFERROR(VLOOKUP($A290,'Budget &amp; Revenue'!$A:$AM,21,FALSE)," ")</f>
        <v xml:space="preserve"> </v>
      </c>
      <c r="L290" s="204" t="str">
        <f>IFERROR(VLOOKUP($A290,'Budget &amp; Revenue'!$A:$AM,23,FALSE)," ")</f>
        <v xml:space="preserve"> </v>
      </c>
      <c r="M290" s="204" t="str">
        <f>IFERROR(VLOOKUP($A290,'Budget &amp; Revenue'!$A:$AM,25,FALSE)," ")</f>
        <v xml:space="preserve"> </v>
      </c>
      <c r="N290" s="204" t="str">
        <f>IFERROR(VLOOKUP($A290,'Budget &amp; Revenue'!$A:$AM,27,FALSE)," ")</f>
        <v xml:space="preserve"> </v>
      </c>
      <c r="O290" s="204" t="str">
        <f>IFERROR(VLOOKUP($A290,'Budget &amp; Revenue'!$A:$AM,29,FALSE)," ")</f>
        <v xml:space="preserve"> </v>
      </c>
      <c r="P290" s="204" t="str">
        <f>IFERROR(VLOOKUP($A290,'Budget &amp; Revenue'!$A:$AM,31,FALSE)," ")</f>
        <v xml:space="preserve"> </v>
      </c>
      <c r="Q290" s="204" t="str">
        <f>IFERROR(VLOOKUP($A290,'Budget &amp; Revenue'!$A:$AM,33,FALSE)," ")</f>
        <v xml:space="preserve"> </v>
      </c>
      <c r="R290" s="204" t="str">
        <f>IFERROR(VLOOKUP($A290,'Budget &amp; Revenue'!$A:$AM,35,FALSE)," ")</f>
        <v xml:space="preserve"> </v>
      </c>
      <c r="S290" s="204" t="str">
        <f>IFERROR(VLOOKUP($A290,'Budget &amp; Revenue'!$A:$AM,37,FALSE)," ")</f>
        <v xml:space="preserve"> </v>
      </c>
      <c r="T290" s="204" t="str">
        <f>IFERROR(VLOOKUP($A290,'Budget &amp; Revenue'!$A:$AM,39,FALSE)," ")</f>
        <v xml:space="preserve"> </v>
      </c>
    </row>
    <row r="291" spans="1:20" x14ac:dyDescent="0.25">
      <c r="A291" s="80" t="s">
        <v>2746</v>
      </c>
      <c r="B291" s="201" t="str">
        <f>VLOOKUP(A291,Estimate!A:C,3,FALSE)</f>
        <v xml:space="preserve">Waste Disposal </v>
      </c>
      <c r="C291" s="80">
        <f>VLOOKUP(A291,Estimate!A:L,12,FALSE)</f>
        <v>0</v>
      </c>
      <c r="D291" s="237"/>
      <c r="E291" s="237"/>
      <c r="F291" s="235">
        <f>IFERROR(VLOOKUP(A291,Estimate!A:Q,17,FALSE)," ")</f>
        <v>3115</v>
      </c>
      <c r="G291" s="204">
        <f>IFERROR(VLOOKUP($A291,'Budget &amp; Revenue'!$A:$AM,13,FALSE)," ")</f>
        <v>0</v>
      </c>
      <c r="H291" s="204">
        <f>IFERROR(VLOOKUP($A291,'Budget &amp; Revenue'!$A:$AM,15,FALSE)," ")</f>
        <v>0</v>
      </c>
      <c r="I291" s="204">
        <f>IFERROR(VLOOKUP($A291,'Budget &amp; Revenue'!$A:$AM,17,FALSE)," ")</f>
        <v>0</v>
      </c>
      <c r="J291" s="204">
        <f>IFERROR(VLOOKUP($A291,'Budget &amp; Revenue'!$A:$AM,19,FALSE)," ")</f>
        <v>0</v>
      </c>
      <c r="K291" s="204">
        <f>IFERROR(VLOOKUP($A291,'Budget &amp; Revenue'!$A:$AM,21,FALSE)," ")</f>
        <v>0</v>
      </c>
      <c r="L291" s="204">
        <f>IFERROR(VLOOKUP($A291,'Budget &amp; Revenue'!$A:$AM,23,FALSE)," ")</f>
        <v>0</v>
      </c>
      <c r="M291" s="204">
        <f>IFERROR(VLOOKUP($A291,'Budget &amp; Revenue'!$A:$AM,25,FALSE)," ")</f>
        <v>0</v>
      </c>
      <c r="N291" s="204">
        <f>IFERROR(VLOOKUP($A291,'Budget &amp; Revenue'!$A:$AM,27,FALSE)," ")</f>
        <v>0</v>
      </c>
      <c r="O291" s="204">
        <f>IFERROR(VLOOKUP($A291,'Budget &amp; Revenue'!$A:$AM,29,FALSE)," ")</f>
        <v>0</v>
      </c>
      <c r="P291" s="204">
        <f>IFERROR(VLOOKUP($A291,'Budget &amp; Revenue'!$A:$AM,31,FALSE)," ")</f>
        <v>0</v>
      </c>
      <c r="Q291" s="204">
        <f>IFERROR(VLOOKUP($A291,'Budget &amp; Revenue'!$A:$AM,33,FALSE)," ")</f>
        <v>0</v>
      </c>
      <c r="R291" s="204">
        <f>IFERROR(VLOOKUP($A291,'Budget &amp; Revenue'!$A:$AM,35,FALSE)," ")</f>
        <v>0</v>
      </c>
      <c r="S291" s="204">
        <f>IFERROR(VLOOKUP($A291,'Budget &amp; Revenue'!$A:$AM,37,FALSE)," ")</f>
        <v>1</v>
      </c>
      <c r="T291" s="204">
        <f>IFERROR(VLOOKUP($A291,'Budget &amp; Revenue'!$A:$AM,39,FALSE)," ")</f>
        <v>1</v>
      </c>
    </row>
    <row r="292" spans="1:20" x14ac:dyDescent="0.25">
      <c r="A292" s="132"/>
      <c r="D292" s="230"/>
      <c r="E292" s="230"/>
    </row>
    <row r="293" spans="1:20" s="138" customFormat="1" x14ac:dyDescent="0.25">
      <c r="A293" s="132"/>
      <c r="B293" s="192"/>
      <c r="C293" s="191"/>
      <c r="D293" s="230"/>
      <c r="E293" s="230"/>
      <c r="F293" s="231"/>
    </row>
    <row r="294" spans="1:20" s="138" customFormat="1" x14ac:dyDescent="0.25">
      <c r="A294" s="132"/>
      <c r="B294" s="192"/>
      <c r="C294" s="191"/>
      <c r="D294" s="230"/>
      <c r="E294" s="230"/>
    </row>
    <row r="295" spans="1:20" s="138" customFormat="1" x14ac:dyDescent="0.25">
      <c r="A295" s="132"/>
      <c r="B295" s="192"/>
      <c r="C295" s="191"/>
      <c r="D295" s="230"/>
      <c r="E295" s="230"/>
    </row>
    <row r="296" spans="1:20" s="138" customFormat="1" x14ac:dyDescent="0.25">
      <c r="A296" s="132"/>
      <c r="B296" s="192"/>
      <c r="C296" s="191"/>
      <c r="D296" s="230"/>
      <c r="E296" s="230"/>
    </row>
    <row r="297" spans="1:20" s="138" customFormat="1" x14ac:dyDescent="0.25">
      <c r="A297" s="191"/>
      <c r="B297" s="192"/>
      <c r="C297" s="191"/>
      <c r="D297" s="230"/>
      <c r="E297" s="230"/>
    </row>
    <row r="298" spans="1:20" s="138" customFormat="1" x14ac:dyDescent="0.25">
      <c r="A298" s="132"/>
      <c r="B298" s="192"/>
      <c r="C298" s="191"/>
      <c r="D298" s="230"/>
      <c r="E298" s="230"/>
    </row>
    <row r="299" spans="1:20" s="138" customFormat="1" x14ac:dyDescent="0.25">
      <c r="A299" s="132"/>
      <c r="B299" s="192"/>
      <c r="C299" s="191"/>
      <c r="D299" s="230"/>
      <c r="E299" s="230"/>
    </row>
    <row r="300" spans="1:20" s="138" customFormat="1" x14ac:dyDescent="0.25">
      <c r="A300" s="132"/>
      <c r="B300" s="192"/>
      <c r="C300" s="191"/>
      <c r="D300" s="230"/>
      <c r="E300" s="230"/>
    </row>
    <row r="301" spans="1:20" s="138" customFormat="1" x14ac:dyDescent="0.25">
      <c r="A301" s="132"/>
      <c r="B301" s="192"/>
      <c r="C301" s="191"/>
      <c r="D301" s="230"/>
      <c r="E301" s="230"/>
    </row>
    <row r="302" spans="1:20" s="138" customFormat="1" x14ac:dyDescent="0.25">
      <c r="A302" s="132"/>
      <c r="B302" s="192"/>
      <c r="C302" s="191"/>
      <c r="D302" s="230"/>
      <c r="E302" s="230"/>
    </row>
    <row r="303" spans="1:20" s="138" customFormat="1" x14ac:dyDescent="0.25">
      <c r="A303" s="132"/>
      <c r="B303" s="192"/>
      <c r="C303" s="191"/>
      <c r="D303" s="230"/>
      <c r="E303" s="230"/>
    </row>
    <row r="304" spans="1:20" s="138" customFormat="1" x14ac:dyDescent="0.25">
      <c r="A304" s="132"/>
      <c r="B304" s="192"/>
      <c r="C304" s="191"/>
      <c r="D304" s="230"/>
      <c r="E304" s="230"/>
    </row>
    <row r="305" spans="1:5" s="138" customFormat="1" x14ac:dyDescent="0.25">
      <c r="A305" s="132"/>
      <c r="B305" s="192"/>
      <c r="C305" s="191"/>
      <c r="D305" s="230"/>
      <c r="E305" s="230"/>
    </row>
    <row r="306" spans="1:5" s="138" customFormat="1" x14ac:dyDescent="0.25">
      <c r="A306" s="132"/>
      <c r="B306" s="192"/>
      <c r="C306" s="191"/>
      <c r="D306" s="230"/>
      <c r="E306" s="230"/>
    </row>
    <row r="307" spans="1:5" s="138" customFormat="1" x14ac:dyDescent="0.25">
      <c r="A307" s="132"/>
      <c r="B307" s="192"/>
      <c r="C307" s="191"/>
      <c r="D307" s="230"/>
      <c r="E307" s="230"/>
    </row>
    <row r="308" spans="1:5" s="138" customFormat="1" x14ac:dyDescent="0.25">
      <c r="A308" s="132"/>
      <c r="B308" s="192"/>
      <c r="C308" s="191"/>
      <c r="D308" s="230"/>
      <c r="E308" s="230"/>
    </row>
    <row r="309" spans="1:5" s="138" customFormat="1" x14ac:dyDescent="0.25">
      <c r="A309" s="132"/>
      <c r="B309" s="192"/>
      <c r="C309" s="191"/>
      <c r="D309" s="230"/>
      <c r="E309" s="230"/>
    </row>
    <row r="310" spans="1:5" s="138" customFormat="1" x14ac:dyDescent="0.25">
      <c r="A310" s="132"/>
      <c r="B310" s="192"/>
      <c r="C310" s="191"/>
      <c r="D310" s="230"/>
      <c r="E310" s="230"/>
    </row>
    <row r="311" spans="1:5" s="138" customFormat="1" x14ac:dyDescent="0.25">
      <c r="A311" s="132"/>
      <c r="B311" s="192"/>
      <c r="C311" s="191"/>
      <c r="D311" s="230"/>
      <c r="E311" s="230"/>
    </row>
    <row r="312" spans="1:5" s="138" customFormat="1" x14ac:dyDescent="0.25">
      <c r="A312" s="191"/>
      <c r="B312" s="192"/>
      <c r="C312" s="191"/>
      <c r="D312" s="230"/>
      <c r="E312" s="230"/>
    </row>
    <row r="313" spans="1:5" s="138" customFormat="1" x14ac:dyDescent="0.25">
      <c r="A313" s="191"/>
      <c r="B313" s="192"/>
      <c r="C313" s="191"/>
      <c r="D313" s="230"/>
      <c r="E313" s="230"/>
    </row>
    <row r="314" spans="1:5" s="138" customFormat="1" x14ac:dyDescent="0.25">
      <c r="A314" s="132"/>
      <c r="B314" s="192"/>
      <c r="C314" s="191"/>
      <c r="D314" s="230"/>
      <c r="E314" s="230"/>
    </row>
    <row r="315" spans="1:5" s="138" customFormat="1" x14ac:dyDescent="0.25">
      <c r="A315" s="132"/>
      <c r="B315" s="192"/>
      <c r="C315" s="191"/>
      <c r="D315" s="230"/>
      <c r="E315" s="230"/>
    </row>
    <row r="316" spans="1:5" s="138" customFormat="1" x14ac:dyDescent="0.25">
      <c r="A316" s="132"/>
      <c r="B316" s="192"/>
      <c r="C316" s="191"/>
      <c r="D316" s="230"/>
      <c r="E316" s="230"/>
    </row>
    <row r="317" spans="1:5" s="138" customFormat="1" x14ac:dyDescent="0.25">
      <c r="A317" s="132"/>
      <c r="B317" s="192"/>
      <c r="C317" s="191"/>
      <c r="D317" s="230"/>
      <c r="E317" s="230"/>
    </row>
    <row r="318" spans="1:5" s="138" customFormat="1" x14ac:dyDescent="0.25">
      <c r="A318" s="132"/>
      <c r="B318" s="192"/>
      <c r="C318" s="191"/>
      <c r="D318" s="230"/>
      <c r="E318" s="230"/>
    </row>
    <row r="319" spans="1:5" s="138" customFormat="1" x14ac:dyDescent="0.25">
      <c r="A319" s="132"/>
      <c r="B319" s="192"/>
      <c r="C319" s="191"/>
      <c r="D319" s="230"/>
      <c r="E319" s="230"/>
    </row>
    <row r="320" spans="1:5" s="138" customFormat="1" x14ac:dyDescent="0.25">
      <c r="A320" s="191"/>
      <c r="B320" s="192"/>
      <c r="C320" s="191"/>
      <c r="D320" s="230"/>
      <c r="E320" s="230"/>
    </row>
    <row r="321" spans="1:5" s="138" customFormat="1" x14ac:dyDescent="0.25">
      <c r="A321" s="132"/>
      <c r="B321" s="192"/>
      <c r="C321" s="191"/>
      <c r="D321" s="230"/>
      <c r="E321" s="230"/>
    </row>
    <row r="322" spans="1:5" s="138" customFormat="1" x14ac:dyDescent="0.25">
      <c r="A322" s="132"/>
      <c r="B322" s="192"/>
      <c r="C322" s="191"/>
      <c r="D322" s="230"/>
      <c r="E322" s="230"/>
    </row>
    <row r="323" spans="1:5" s="138" customFormat="1" x14ac:dyDescent="0.25">
      <c r="A323" s="132"/>
      <c r="B323" s="192"/>
      <c r="C323" s="191"/>
      <c r="D323" s="230"/>
      <c r="E323" s="230"/>
    </row>
    <row r="324" spans="1:5" s="138" customFormat="1" x14ac:dyDescent="0.25">
      <c r="A324" s="132"/>
      <c r="B324" s="192"/>
      <c r="C324" s="191"/>
      <c r="D324" s="230"/>
      <c r="E324" s="230"/>
    </row>
    <row r="325" spans="1:5" s="138" customFormat="1" x14ac:dyDescent="0.25">
      <c r="A325" s="132"/>
      <c r="B325" s="192"/>
      <c r="C325" s="191"/>
      <c r="D325" s="230"/>
      <c r="E325" s="230"/>
    </row>
    <row r="326" spans="1:5" s="138" customFormat="1" x14ac:dyDescent="0.25">
      <c r="A326" s="132"/>
      <c r="B326" s="192"/>
      <c r="C326" s="191"/>
      <c r="D326" s="230"/>
      <c r="E326" s="230"/>
    </row>
    <row r="327" spans="1:5" s="138" customFormat="1" x14ac:dyDescent="0.25">
      <c r="A327" s="132"/>
      <c r="B327" s="192"/>
      <c r="C327" s="191"/>
      <c r="D327" s="230"/>
      <c r="E327" s="230"/>
    </row>
    <row r="328" spans="1:5" s="138" customFormat="1" x14ac:dyDescent="0.25">
      <c r="A328" s="132"/>
      <c r="B328" s="192"/>
      <c r="C328" s="191"/>
      <c r="D328" s="230"/>
      <c r="E328" s="230"/>
    </row>
    <row r="329" spans="1:5" s="138" customFormat="1" x14ac:dyDescent="0.25">
      <c r="A329" s="132"/>
      <c r="B329" s="192"/>
      <c r="C329" s="191"/>
      <c r="D329" s="230"/>
      <c r="E329" s="230"/>
    </row>
    <row r="330" spans="1:5" s="138" customFormat="1" x14ac:dyDescent="0.25">
      <c r="A330" s="132"/>
      <c r="B330" s="192"/>
      <c r="C330" s="191"/>
      <c r="D330" s="230"/>
      <c r="E330" s="230"/>
    </row>
    <row r="331" spans="1:5" s="138" customFormat="1" x14ac:dyDescent="0.25">
      <c r="A331" s="132"/>
      <c r="B331" s="192"/>
      <c r="C331" s="191"/>
      <c r="D331" s="230"/>
      <c r="E331" s="230"/>
    </row>
    <row r="332" spans="1:5" s="138" customFormat="1" x14ac:dyDescent="0.25">
      <c r="A332" s="132"/>
      <c r="B332" s="192"/>
      <c r="C332" s="191"/>
      <c r="D332" s="230"/>
      <c r="E332" s="230"/>
    </row>
    <row r="333" spans="1:5" s="138" customFormat="1" x14ac:dyDescent="0.25">
      <c r="A333" s="132"/>
      <c r="B333" s="192"/>
      <c r="C333" s="191"/>
      <c r="D333" s="230"/>
      <c r="E333" s="230"/>
    </row>
    <row r="334" spans="1:5" s="138" customFormat="1" x14ac:dyDescent="0.25">
      <c r="A334" s="142"/>
      <c r="B334" s="192"/>
      <c r="C334" s="191"/>
      <c r="D334" s="230"/>
      <c r="E334" s="230"/>
    </row>
    <row r="335" spans="1:5" s="138" customFormat="1" x14ac:dyDescent="0.25">
      <c r="A335" s="132"/>
      <c r="B335" s="192"/>
      <c r="C335" s="191"/>
      <c r="D335" s="230"/>
      <c r="E335" s="230"/>
    </row>
    <row r="336" spans="1:5" s="138" customFormat="1" x14ac:dyDescent="0.25">
      <c r="A336" s="132"/>
      <c r="B336" s="192"/>
      <c r="C336" s="191"/>
      <c r="D336" s="230"/>
      <c r="E336" s="230"/>
    </row>
    <row r="337" spans="1:5" s="138" customFormat="1" x14ac:dyDescent="0.25">
      <c r="A337" s="132"/>
      <c r="B337" s="192"/>
      <c r="C337" s="191"/>
      <c r="D337" s="230"/>
      <c r="E337" s="230"/>
    </row>
    <row r="338" spans="1:5" s="138" customFormat="1" x14ac:dyDescent="0.25">
      <c r="A338" s="132"/>
      <c r="B338" s="192"/>
      <c r="C338" s="191"/>
      <c r="D338" s="230"/>
      <c r="E338" s="230"/>
    </row>
    <row r="339" spans="1:5" s="138" customFormat="1" x14ac:dyDescent="0.25">
      <c r="A339" s="132"/>
      <c r="B339" s="192"/>
      <c r="C339" s="191"/>
      <c r="D339" s="230"/>
      <c r="E339" s="230"/>
    </row>
    <row r="340" spans="1:5" s="138" customFormat="1" x14ac:dyDescent="0.25">
      <c r="A340" s="132"/>
      <c r="B340" s="192"/>
      <c r="C340" s="191"/>
      <c r="D340" s="230"/>
      <c r="E340" s="230"/>
    </row>
    <row r="341" spans="1:5" s="138" customFormat="1" x14ac:dyDescent="0.25">
      <c r="A341" s="132"/>
      <c r="B341" s="192"/>
      <c r="C341" s="191"/>
      <c r="D341" s="230"/>
      <c r="E341" s="230"/>
    </row>
    <row r="342" spans="1:5" s="138" customFormat="1" x14ac:dyDescent="0.25">
      <c r="A342" s="132"/>
      <c r="B342" s="192"/>
      <c r="C342" s="191"/>
      <c r="D342" s="230"/>
      <c r="E342" s="230"/>
    </row>
    <row r="343" spans="1:5" s="138" customFormat="1" x14ac:dyDescent="0.25">
      <c r="A343" s="132"/>
      <c r="B343" s="192"/>
      <c r="C343" s="191"/>
      <c r="D343" s="230"/>
      <c r="E343" s="230"/>
    </row>
    <row r="344" spans="1:5" s="138" customFormat="1" x14ac:dyDescent="0.25">
      <c r="A344" s="132"/>
      <c r="B344" s="192"/>
      <c r="C344" s="191"/>
      <c r="D344" s="230"/>
      <c r="E344" s="230"/>
    </row>
    <row r="345" spans="1:5" s="138" customFormat="1" x14ac:dyDescent="0.25">
      <c r="A345" s="132"/>
      <c r="B345" s="192"/>
      <c r="C345" s="191"/>
      <c r="D345" s="230"/>
      <c r="E345" s="230"/>
    </row>
    <row r="346" spans="1:5" s="138" customFormat="1" x14ac:dyDescent="0.25">
      <c r="A346" s="191"/>
      <c r="B346" s="192"/>
      <c r="C346" s="191"/>
      <c r="D346" s="230"/>
      <c r="E346" s="230"/>
    </row>
    <row r="347" spans="1:5" s="138" customFormat="1" x14ac:dyDescent="0.25">
      <c r="A347" s="132"/>
      <c r="B347" s="192"/>
      <c r="C347" s="191"/>
      <c r="D347" s="230"/>
      <c r="E347" s="230"/>
    </row>
    <row r="348" spans="1:5" s="138" customFormat="1" x14ac:dyDescent="0.25">
      <c r="A348" s="132"/>
      <c r="B348" s="192"/>
      <c r="C348" s="191"/>
      <c r="D348" s="230"/>
      <c r="E348" s="230"/>
    </row>
    <row r="349" spans="1:5" s="138" customFormat="1" x14ac:dyDescent="0.25">
      <c r="A349" s="142"/>
      <c r="B349" s="192"/>
      <c r="C349" s="191"/>
      <c r="D349" s="230"/>
      <c r="E349" s="230"/>
    </row>
    <row r="350" spans="1:5" s="138" customFormat="1" x14ac:dyDescent="0.25">
      <c r="A350" s="132"/>
      <c r="B350" s="192"/>
      <c r="C350" s="191"/>
      <c r="D350" s="230"/>
      <c r="E350" s="230"/>
    </row>
    <row r="351" spans="1:5" s="138" customFormat="1" x14ac:dyDescent="0.25">
      <c r="A351" s="191"/>
      <c r="B351" s="192"/>
      <c r="C351" s="191"/>
      <c r="D351" s="230"/>
      <c r="E351" s="230"/>
    </row>
    <row r="352" spans="1:5" s="138" customFormat="1" x14ac:dyDescent="0.25">
      <c r="A352" s="132"/>
      <c r="B352" s="192"/>
      <c r="C352" s="191"/>
      <c r="D352" s="230"/>
      <c r="E352" s="230"/>
    </row>
    <row r="353" spans="1:5" s="138" customFormat="1" x14ac:dyDescent="0.25">
      <c r="A353" s="191"/>
      <c r="B353" s="192"/>
      <c r="C353" s="191"/>
      <c r="D353" s="230"/>
      <c r="E353" s="230"/>
    </row>
    <row r="354" spans="1:5" s="138" customFormat="1" x14ac:dyDescent="0.25">
      <c r="A354" s="132"/>
      <c r="B354" s="192"/>
      <c r="C354" s="191"/>
      <c r="D354" s="230"/>
      <c r="E354" s="230"/>
    </row>
    <row r="355" spans="1:5" s="138" customFormat="1" x14ac:dyDescent="0.25">
      <c r="A355" s="132"/>
      <c r="B355" s="192"/>
      <c r="C355" s="191"/>
      <c r="D355" s="230"/>
      <c r="E355" s="230"/>
    </row>
    <row r="356" spans="1:5" s="138" customFormat="1" x14ac:dyDescent="0.25">
      <c r="A356" s="191"/>
      <c r="B356" s="192"/>
      <c r="C356" s="191"/>
      <c r="D356" s="230"/>
      <c r="E356" s="230"/>
    </row>
    <row r="357" spans="1:5" s="138" customFormat="1" x14ac:dyDescent="0.25">
      <c r="A357" s="132"/>
      <c r="B357" s="192"/>
      <c r="C357" s="191"/>
      <c r="D357" s="230"/>
      <c r="E357" s="230"/>
    </row>
    <row r="358" spans="1:5" s="138" customFormat="1" x14ac:dyDescent="0.25">
      <c r="A358" s="132"/>
      <c r="B358" s="192"/>
      <c r="C358" s="191"/>
      <c r="D358" s="230"/>
      <c r="E358" s="230"/>
    </row>
    <row r="359" spans="1:5" s="138" customFormat="1" x14ac:dyDescent="0.25">
      <c r="A359" s="142"/>
      <c r="B359" s="192"/>
      <c r="C359" s="191"/>
      <c r="D359" s="230"/>
      <c r="E359" s="230"/>
    </row>
    <row r="360" spans="1:5" s="138" customFormat="1" x14ac:dyDescent="0.25">
      <c r="A360" s="132"/>
      <c r="B360" s="192"/>
      <c r="C360" s="191"/>
      <c r="D360" s="230"/>
      <c r="E360" s="230"/>
    </row>
    <row r="361" spans="1:5" s="138" customFormat="1" x14ac:dyDescent="0.25">
      <c r="A361" s="132"/>
      <c r="B361" s="192"/>
      <c r="C361" s="191"/>
      <c r="D361" s="230"/>
      <c r="E361" s="230"/>
    </row>
    <row r="362" spans="1:5" s="138" customFormat="1" x14ac:dyDescent="0.25">
      <c r="A362" s="132"/>
      <c r="B362" s="192"/>
      <c r="C362" s="191"/>
      <c r="D362" s="230"/>
      <c r="E362" s="230"/>
    </row>
    <row r="363" spans="1:5" s="138" customFormat="1" x14ac:dyDescent="0.25">
      <c r="A363" s="132"/>
      <c r="B363" s="192"/>
      <c r="C363" s="191"/>
      <c r="D363" s="230"/>
      <c r="E363" s="230"/>
    </row>
    <row r="364" spans="1:5" s="138" customFormat="1" x14ac:dyDescent="0.25">
      <c r="A364" s="132"/>
      <c r="B364" s="192"/>
      <c r="C364" s="191"/>
      <c r="D364" s="230"/>
      <c r="E364" s="230"/>
    </row>
    <row r="365" spans="1:5" s="138" customFormat="1" x14ac:dyDescent="0.25">
      <c r="A365" s="132"/>
      <c r="B365" s="192"/>
      <c r="C365" s="191"/>
      <c r="D365" s="230"/>
      <c r="E365" s="230"/>
    </row>
    <row r="366" spans="1:5" s="138" customFormat="1" x14ac:dyDescent="0.25">
      <c r="A366" s="132"/>
      <c r="B366" s="192"/>
      <c r="C366" s="191"/>
      <c r="D366" s="230"/>
      <c r="E366" s="230"/>
    </row>
    <row r="367" spans="1:5" s="138" customFormat="1" x14ac:dyDescent="0.25">
      <c r="A367" s="132"/>
      <c r="B367" s="192"/>
      <c r="C367" s="191"/>
      <c r="D367" s="230"/>
      <c r="E367" s="230"/>
    </row>
    <row r="368" spans="1:5" s="138" customFormat="1" x14ac:dyDescent="0.25">
      <c r="A368" s="132"/>
      <c r="B368" s="192"/>
      <c r="C368" s="191"/>
      <c r="D368" s="230"/>
      <c r="E368" s="230"/>
    </row>
    <row r="369" spans="1:5" s="138" customFormat="1" x14ac:dyDescent="0.25">
      <c r="A369" s="132"/>
      <c r="B369" s="192"/>
      <c r="C369" s="191"/>
      <c r="D369" s="230"/>
      <c r="E369" s="230"/>
    </row>
    <row r="370" spans="1:5" s="138" customFormat="1" x14ac:dyDescent="0.25">
      <c r="A370" s="132"/>
      <c r="B370" s="192"/>
      <c r="C370" s="191"/>
      <c r="D370" s="230"/>
      <c r="E370" s="230"/>
    </row>
    <row r="371" spans="1:5" s="138" customFormat="1" x14ac:dyDescent="0.25">
      <c r="A371" s="132"/>
      <c r="B371" s="192"/>
      <c r="C371" s="191"/>
      <c r="D371" s="230"/>
      <c r="E371" s="230"/>
    </row>
    <row r="372" spans="1:5" s="138" customFormat="1" x14ac:dyDescent="0.25">
      <c r="A372" s="132"/>
      <c r="B372" s="192"/>
      <c r="C372" s="191"/>
      <c r="D372" s="230"/>
      <c r="E372" s="230"/>
    </row>
    <row r="373" spans="1:5" s="138" customFormat="1" x14ac:dyDescent="0.25">
      <c r="A373" s="132"/>
      <c r="B373" s="192"/>
      <c r="C373" s="191"/>
      <c r="D373" s="230"/>
      <c r="E373" s="230"/>
    </row>
    <row r="374" spans="1:5" s="138" customFormat="1" x14ac:dyDescent="0.25">
      <c r="A374" s="132"/>
      <c r="B374" s="192"/>
      <c r="C374" s="191"/>
      <c r="D374" s="230"/>
      <c r="E374" s="230"/>
    </row>
    <row r="375" spans="1:5" s="138" customFormat="1" x14ac:dyDescent="0.25">
      <c r="A375" s="132"/>
      <c r="B375" s="192"/>
      <c r="C375" s="191"/>
      <c r="D375" s="230"/>
      <c r="E375" s="230"/>
    </row>
    <row r="376" spans="1:5" s="138" customFormat="1" x14ac:dyDescent="0.25">
      <c r="A376" s="132"/>
      <c r="B376" s="192"/>
      <c r="C376" s="191"/>
      <c r="D376" s="230"/>
      <c r="E376" s="230"/>
    </row>
    <row r="377" spans="1:5" s="138" customFormat="1" x14ac:dyDescent="0.25">
      <c r="A377" s="132"/>
      <c r="B377" s="192"/>
      <c r="C377" s="191"/>
      <c r="D377" s="230"/>
      <c r="E377" s="230"/>
    </row>
    <row r="378" spans="1:5" s="138" customFormat="1" x14ac:dyDescent="0.25">
      <c r="A378" s="132"/>
      <c r="B378" s="192"/>
      <c r="C378" s="191"/>
      <c r="D378" s="230"/>
      <c r="E378" s="230"/>
    </row>
    <row r="379" spans="1:5" s="138" customFormat="1" x14ac:dyDescent="0.25">
      <c r="A379" s="132"/>
      <c r="B379" s="192"/>
      <c r="C379" s="191"/>
      <c r="D379" s="230"/>
      <c r="E379" s="230"/>
    </row>
    <row r="380" spans="1:5" s="138" customFormat="1" x14ac:dyDescent="0.25">
      <c r="A380" s="132"/>
      <c r="B380" s="192"/>
      <c r="C380" s="191"/>
      <c r="D380" s="230"/>
      <c r="E380" s="230"/>
    </row>
    <row r="381" spans="1:5" s="138" customFormat="1" x14ac:dyDescent="0.25">
      <c r="A381" s="132"/>
      <c r="B381" s="192"/>
      <c r="C381" s="191"/>
      <c r="D381" s="230"/>
      <c r="E381" s="230"/>
    </row>
    <row r="382" spans="1:5" s="138" customFormat="1" x14ac:dyDescent="0.25">
      <c r="A382" s="132"/>
      <c r="B382" s="192"/>
      <c r="C382" s="191"/>
      <c r="D382" s="230"/>
      <c r="E382" s="230"/>
    </row>
    <row r="383" spans="1:5" s="138" customFormat="1" x14ac:dyDescent="0.25">
      <c r="A383" s="132"/>
      <c r="B383" s="192"/>
      <c r="C383" s="191"/>
      <c r="D383" s="230"/>
      <c r="E383" s="230"/>
    </row>
    <row r="384" spans="1:5" s="138" customFormat="1" x14ac:dyDescent="0.25">
      <c r="A384" s="132"/>
      <c r="B384" s="192"/>
      <c r="C384" s="191"/>
      <c r="D384" s="230"/>
      <c r="E384" s="230"/>
    </row>
    <row r="385" spans="1:5" s="138" customFormat="1" x14ac:dyDescent="0.25">
      <c r="A385" s="132"/>
      <c r="B385" s="192"/>
      <c r="C385" s="191"/>
      <c r="D385" s="230"/>
      <c r="E385" s="230"/>
    </row>
    <row r="386" spans="1:5" s="138" customFormat="1" x14ac:dyDescent="0.25">
      <c r="A386" s="132"/>
      <c r="B386" s="192"/>
      <c r="C386" s="191"/>
      <c r="D386" s="230"/>
      <c r="E386" s="230"/>
    </row>
    <row r="387" spans="1:5" s="138" customFormat="1" x14ac:dyDescent="0.25">
      <c r="A387" s="132"/>
      <c r="B387" s="192"/>
      <c r="C387" s="191"/>
      <c r="D387" s="230"/>
      <c r="E387" s="230"/>
    </row>
    <row r="388" spans="1:5" s="138" customFormat="1" x14ac:dyDescent="0.25">
      <c r="A388" s="132"/>
      <c r="B388" s="192"/>
      <c r="C388" s="191"/>
      <c r="D388" s="230"/>
      <c r="E388" s="230"/>
    </row>
    <row r="389" spans="1:5" s="138" customFormat="1" x14ac:dyDescent="0.25">
      <c r="A389" s="132"/>
      <c r="B389" s="192"/>
      <c r="C389" s="191"/>
      <c r="D389" s="230"/>
      <c r="E389" s="230"/>
    </row>
    <row r="390" spans="1:5" s="138" customFormat="1" x14ac:dyDescent="0.25">
      <c r="A390" s="132"/>
      <c r="B390" s="192"/>
      <c r="C390" s="191"/>
      <c r="D390" s="230"/>
      <c r="E390" s="230"/>
    </row>
    <row r="391" spans="1:5" s="138" customFormat="1" x14ac:dyDescent="0.25">
      <c r="A391" s="132"/>
      <c r="B391" s="192"/>
      <c r="C391" s="191"/>
      <c r="D391" s="230"/>
      <c r="E391" s="230"/>
    </row>
    <row r="392" spans="1:5" s="138" customFormat="1" x14ac:dyDescent="0.25">
      <c r="A392" s="132"/>
      <c r="B392" s="192"/>
      <c r="C392" s="191"/>
      <c r="D392" s="230"/>
      <c r="E392" s="230"/>
    </row>
    <row r="393" spans="1:5" s="138" customFormat="1" x14ac:dyDescent="0.25">
      <c r="A393" s="132"/>
      <c r="B393" s="192"/>
      <c r="C393" s="191"/>
      <c r="D393" s="230"/>
      <c r="E393" s="230"/>
    </row>
    <row r="394" spans="1:5" s="138" customFormat="1" x14ac:dyDescent="0.25">
      <c r="A394" s="132"/>
      <c r="B394" s="192"/>
      <c r="C394" s="191"/>
      <c r="D394" s="230"/>
      <c r="E394" s="230"/>
    </row>
    <row r="395" spans="1:5" s="138" customFormat="1" x14ac:dyDescent="0.25">
      <c r="A395" s="132"/>
      <c r="B395" s="192"/>
      <c r="C395" s="191"/>
      <c r="D395" s="230"/>
      <c r="E395" s="230"/>
    </row>
    <row r="396" spans="1:5" s="138" customFormat="1" x14ac:dyDescent="0.25">
      <c r="A396" s="132"/>
      <c r="B396" s="192"/>
      <c r="C396" s="191"/>
      <c r="D396" s="230"/>
      <c r="E396" s="230"/>
    </row>
    <row r="397" spans="1:5" s="138" customFormat="1" x14ac:dyDescent="0.25">
      <c r="A397" s="132"/>
      <c r="B397" s="192"/>
      <c r="C397" s="191"/>
      <c r="D397" s="230"/>
      <c r="E397" s="230"/>
    </row>
    <row r="398" spans="1:5" s="138" customFormat="1" x14ac:dyDescent="0.25">
      <c r="A398" s="132"/>
      <c r="B398" s="192"/>
      <c r="C398" s="191"/>
      <c r="D398" s="230"/>
      <c r="E398" s="230"/>
    </row>
    <row r="399" spans="1:5" s="138" customFormat="1" x14ac:dyDescent="0.25">
      <c r="A399" s="132"/>
      <c r="B399" s="192"/>
      <c r="C399" s="191"/>
      <c r="D399" s="230"/>
      <c r="E399" s="230"/>
    </row>
    <row r="400" spans="1:5" s="138" customFormat="1" x14ac:dyDescent="0.25">
      <c r="A400" s="132"/>
      <c r="B400" s="192"/>
      <c r="C400" s="191"/>
      <c r="D400" s="230"/>
      <c r="E400" s="230"/>
    </row>
    <row r="401" spans="1:5" s="138" customFormat="1" x14ac:dyDescent="0.25">
      <c r="A401" s="132"/>
      <c r="B401" s="192"/>
      <c r="C401" s="191"/>
      <c r="D401" s="230"/>
      <c r="E401" s="230"/>
    </row>
    <row r="402" spans="1:5" s="138" customFormat="1" x14ac:dyDescent="0.25">
      <c r="A402" s="132"/>
      <c r="B402" s="192"/>
      <c r="C402" s="191"/>
      <c r="D402" s="230"/>
      <c r="E402" s="230"/>
    </row>
    <row r="403" spans="1:5" s="138" customFormat="1" x14ac:dyDescent="0.25">
      <c r="A403" s="132"/>
      <c r="B403" s="192"/>
      <c r="C403" s="191"/>
      <c r="D403" s="230"/>
      <c r="E403" s="23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8F61B-F249-4BB4-9CCE-FD2AB077A343}">
  <dimension ref="A1:BB647"/>
  <sheetViews>
    <sheetView zoomScale="85" zoomScaleNormal="85" workbookViewId="0">
      <pane xSplit="10" ySplit="2" topLeftCell="K498" activePane="bottomRight" state="frozen"/>
      <selection pane="topRight" activeCell="K1" sqref="K1"/>
      <selection pane="bottomLeft" activeCell="A3" sqref="A3"/>
      <selection pane="bottomRight" sqref="A1:M1048576"/>
    </sheetView>
  </sheetViews>
  <sheetFormatPr defaultRowHeight="15" x14ac:dyDescent="0.25"/>
  <cols>
    <col min="1" max="1" width="5.5703125" style="30" customWidth="1"/>
    <col min="2" max="2" width="13.28515625" bestFit="1" customWidth="1"/>
    <col min="3" max="3" width="52.28515625" style="16" bestFit="1" customWidth="1"/>
    <col min="4" max="4" width="5.85546875" style="30" bestFit="1" customWidth="1"/>
    <col min="5" max="5" width="14.28515625" bestFit="1" customWidth="1"/>
    <col min="6" max="6" width="12" customWidth="1"/>
    <col min="7" max="7" width="13" customWidth="1"/>
    <col min="8" max="8" width="11" bestFit="1" customWidth="1"/>
    <col min="9" max="9" width="11.42578125" bestFit="1" customWidth="1"/>
    <col min="10" max="10" width="12.85546875" bestFit="1" customWidth="1"/>
    <col min="11" max="11" width="4.140625" customWidth="1"/>
    <col min="12" max="13" width="11.28515625" customWidth="1"/>
    <col min="15" max="15" width="11.28515625" customWidth="1"/>
    <col min="17" max="17" width="11.28515625" customWidth="1"/>
    <col min="19" max="19" width="11.28515625" customWidth="1"/>
    <col min="21" max="21" width="11.28515625" customWidth="1"/>
    <col min="23" max="23" width="11.28515625" customWidth="1"/>
    <col min="25" max="25" width="11.28515625" customWidth="1"/>
    <col min="27" max="27" width="11.28515625" customWidth="1"/>
    <col min="29" max="29" width="11.28515625" customWidth="1"/>
    <col min="31" max="31" width="11.28515625" customWidth="1"/>
    <col min="33" max="33" width="11.28515625" customWidth="1"/>
    <col min="35" max="35" width="11.28515625" customWidth="1"/>
    <col min="37" max="37" width="11.28515625" customWidth="1"/>
    <col min="39" max="39" width="11.28515625" customWidth="1"/>
    <col min="40" max="40" width="4.42578125" customWidth="1"/>
    <col min="41" max="54" width="16.28515625" customWidth="1"/>
  </cols>
  <sheetData>
    <row r="1" spans="1:54" s="177" customFormat="1" ht="30" x14ac:dyDescent="0.25">
      <c r="A1" s="193" t="s">
        <v>2397</v>
      </c>
      <c r="B1" s="194" t="s">
        <v>2825</v>
      </c>
      <c r="C1" s="194" t="s">
        <v>779</v>
      </c>
      <c r="D1" s="194" t="s">
        <v>3</v>
      </c>
      <c r="E1" s="194" t="s">
        <v>2750</v>
      </c>
      <c r="F1" s="194" t="s">
        <v>2826</v>
      </c>
      <c r="G1" s="194" t="s">
        <v>2827</v>
      </c>
      <c r="H1" s="194" t="s">
        <v>2828</v>
      </c>
      <c r="I1" s="194" t="s">
        <v>2829</v>
      </c>
      <c r="J1" s="194" t="s">
        <v>2830</v>
      </c>
      <c r="K1" s="194"/>
      <c r="L1" s="195">
        <v>40817</v>
      </c>
      <c r="M1" s="195" t="s">
        <v>2947</v>
      </c>
      <c r="N1" s="195">
        <v>40848</v>
      </c>
      <c r="O1" s="195" t="s">
        <v>2948</v>
      </c>
      <c r="P1" s="195">
        <v>40878</v>
      </c>
      <c r="Q1" s="195" t="s">
        <v>2949</v>
      </c>
      <c r="R1" s="195">
        <v>40909</v>
      </c>
      <c r="S1" s="195" t="s">
        <v>2950</v>
      </c>
      <c r="T1" s="195">
        <v>40940</v>
      </c>
      <c r="U1" s="195" t="s">
        <v>2951</v>
      </c>
      <c r="V1" s="195">
        <v>40969</v>
      </c>
      <c r="W1" s="195" t="s">
        <v>2952</v>
      </c>
      <c r="X1" s="195">
        <v>41000</v>
      </c>
      <c r="Y1" s="195" t="s">
        <v>2953</v>
      </c>
      <c r="Z1" s="195">
        <v>41030</v>
      </c>
      <c r="AA1" s="195" t="s">
        <v>2954</v>
      </c>
      <c r="AB1" s="195">
        <v>41061</v>
      </c>
      <c r="AC1" s="195" t="s">
        <v>2955</v>
      </c>
      <c r="AD1" s="195">
        <v>41091</v>
      </c>
      <c r="AE1" s="195" t="s">
        <v>2956</v>
      </c>
      <c r="AF1" s="195">
        <v>41122</v>
      </c>
      <c r="AG1" s="195" t="s">
        <v>2957</v>
      </c>
      <c r="AH1" s="195">
        <v>41153</v>
      </c>
      <c r="AI1" s="195" t="s">
        <v>2958</v>
      </c>
      <c r="AJ1" s="195">
        <v>41183</v>
      </c>
      <c r="AK1" s="195" t="s">
        <v>2959</v>
      </c>
      <c r="AL1" s="195">
        <v>41214</v>
      </c>
      <c r="AM1" s="195" t="s">
        <v>2960</v>
      </c>
      <c r="AN1" s="193"/>
      <c r="AO1" s="195" t="s">
        <v>2961</v>
      </c>
      <c r="AP1" s="195" t="s">
        <v>2962</v>
      </c>
      <c r="AQ1" s="195" t="s">
        <v>2963</v>
      </c>
      <c r="AR1" s="195" t="s">
        <v>2964</v>
      </c>
      <c r="AS1" s="195" t="s">
        <v>2965</v>
      </c>
      <c r="AT1" s="195" t="s">
        <v>2966</v>
      </c>
      <c r="AU1" s="195" t="s">
        <v>2967</v>
      </c>
      <c r="AV1" s="195" t="s">
        <v>2968</v>
      </c>
      <c r="AW1" s="195" t="s">
        <v>2969</v>
      </c>
      <c r="AX1" s="195" t="s">
        <v>2970</v>
      </c>
      <c r="AY1" s="195" t="s">
        <v>2971</v>
      </c>
      <c r="AZ1" s="195" t="s">
        <v>2972</v>
      </c>
      <c r="BA1" s="195" t="s">
        <v>2973</v>
      </c>
      <c r="BB1" s="195" t="s">
        <v>2974</v>
      </c>
    </row>
    <row r="2" spans="1:54" x14ac:dyDescent="0.25">
      <c r="A2" s="196" t="s">
        <v>781</v>
      </c>
      <c r="B2" s="197" t="s">
        <v>781</v>
      </c>
      <c r="C2" s="198" t="s">
        <v>2831</v>
      </c>
      <c r="D2" s="196" t="s">
        <v>781</v>
      </c>
      <c r="E2" s="197"/>
      <c r="F2" s="199" t="s">
        <v>781</v>
      </c>
      <c r="G2" s="199" t="s">
        <v>781</v>
      </c>
      <c r="H2" s="200" t="s">
        <v>781</v>
      </c>
      <c r="I2" s="200" t="s">
        <v>781</v>
      </c>
      <c r="J2" s="200" t="s">
        <v>781</v>
      </c>
      <c r="K2" s="200"/>
      <c r="L2" s="200" t="s">
        <v>781</v>
      </c>
      <c r="M2" s="200" t="s">
        <v>781</v>
      </c>
      <c r="N2" s="200" t="s">
        <v>781</v>
      </c>
      <c r="O2" s="200" t="s">
        <v>781</v>
      </c>
      <c r="P2" s="200" t="s">
        <v>781</v>
      </c>
      <c r="Q2" s="200" t="s">
        <v>781</v>
      </c>
      <c r="R2" s="200" t="s">
        <v>781</v>
      </c>
      <c r="S2" s="200" t="s">
        <v>781</v>
      </c>
      <c r="T2" s="200" t="s">
        <v>781</v>
      </c>
      <c r="U2" s="200" t="s">
        <v>781</v>
      </c>
      <c r="V2" s="200" t="s">
        <v>781</v>
      </c>
      <c r="W2" s="200" t="s">
        <v>781</v>
      </c>
      <c r="X2" s="200" t="s">
        <v>781</v>
      </c>
      <c r="Y2" s="200" t="s">
        <v>781</v>
      </c>
      <c r="Z2" s="200" t="s">
        <v>781</v>
      </c>
      <c r="AA2" s="200" t="s">
        <v>781</v>
      </c>
      <c r="AB2" s="200" t="s">
        <v>781</v>
      </c>
      <c r="AC2" s="200" t="s">
        <v>781</v>
      </c>
      <c r="AD2" s="200" t="s">
        <v>781</v>
      </c>
      <c r="AE2" s="200" t="s">
        <v>781</v>
      </c>
      <c r="AF2" s="200" t="s">
        <v>781</v>
      </c>
      <c r="AG2" s="200" t="s">
        <v>781</v>
      </c>
      <c r="AH2" s="200" t="s">
        <v>781</v>
      </c>
      <c r="AI2" s="200" t="s">
        <v>781</v>
      </c>
      <c r="AJ2" s="200" t="s">
        <v>781</v>
      </c>
      <c r="AK2" s="200" t="s">
        <v>781</v>
      </c>
      <c r="AL2" s="200" t="s">
        <v>781</v>
      </c>
      <c r="AM2" s="200" t="s">
        <v>781</v>
      </c>
      <c r="AN2" s="200" t="s">
        <v>781</v>
      </c>
      <c r="AO2" s="200" t="s">
        <v>781</v>
      </c>
      <c r="AP2" s="200" t="s">
        <v>781</v>
      </c>
      <c r="AQ2" s="200" t="s">
        <v>781</v>
      </c>
      <c r="AR2" s="200" t="s">
        <v>781</v>
      </c>
      <c r="AS2" s="200" t="s">
        <v>781</v>
      </c>
      <c r="AT2" s="200" t="s">
        <v>781</v>
      </c>
      <c r="AU2" s="200" t="s">
        <v>781</v>
      </c>
      <c r="AV2" s="200" t="s">
        <v>781</v>
      </c>
      <c r="AW2" s="200" t="s">
        <v>781</v>
      </c>
      <c r="AX2" s="200" t="s">
        <v>781</v>
      </c>
      <c r="AY2" s="200" t="s">
        <v>781</v>
      </c>
      <c r="AZ2" s="200" t="s">
        <v>781</v>
      </c>
      <c r="BA2" s="200" t="s">
        <v>781</v>
      </c>
      <c r="BB2" s="200" t="s">
        <v>781</v>
      </c>
    </row>
    <row r="3" spans="1:54" x14ac:dyDescent="0.25">
      <c r="A3" s="80"/>
      <c r="B3" s="95" t="s">
        <v>781</v>
      </c>
      <c r="C3" s="201" t="s">
        <v>781</v>
      </c>
      <c r="D3" s="80" t="s">
        <v>781</v>
      </c>
      <c r="E3" s="95"/>
      <c r="F3" s="202" t="s">
        <v>781</v>
      </c>
      <c r="G3" s="202" t="s">
        <v>781</v>
      </c>
      <c r="H3" s="203" t="s">
        <v>781</v>
      </c>
      <c r="I3" s="203" t="s">
        <v>781</v>
      </c>
      <c r="J3" s="203" t="s">
        <v>781</v>
      </c>
      <c r="K3" s="203"/>
      <c r="L3" s="202" t="s">
        <v>781</v>
      </c>
      <c r="M3" s="202"/>
      <c r="N3" s="95" t="s">
        <v>781</v>
      </c>
      <c r="O3" s="202"/>
      <c r="P3" s="95" t="s">
        <v>781</v>
      </c>
      <c r="Q3" s="202"/>
      <c r="R3" s="95" t="s">
        <v>781</v>
      </c>
      <c r="S3" s="202"/>
      <c r="T3" s="95" t="s">
        <v>781</v>
      </c>
      <c r="U3" s="202"/>
      <c r="V3" s="95" t="s">
        <v>781</v>
      </c>
      <c r="W3" s="202"/>
      <c r="X3" s="95" t="s">
        <v>781</v>
      </c>
      <c r="Y3" s="202"/>
      <c r="Z3" s="95" t="s">
        <v>781</v>
      </c>
      <c r="AA3" s="202"/>
      <c r="AB3" s="95" t="s">
        <v>781</v>
      </c>
      <c r="AC3" s="202"/>
      <c r="AD3" s="95" t="s">
        <v>781</v>
      </c>
      <c r="AE3" s="202"/>
      <c r="AF3" s="95" t="s">
        <v>781</v>
      </c>
      <c r="AG3" s="202"/>
      <c r="AH3" s="95" t="s">
        <v>781</v>
      </c>
      <c r="AI3" s="202"/>
      <c r="AJ3" s="95" t="s">
        <v>781</v>
      </c>
      <c r="AK3" s="202"/>
      <c r="AL3" s="95" t="s">
        <v>781</v>
      </c>
      <c r="AM3" s="202"/>
      <c r="AN3" s="95"/>
      <c r="AO3" s="95"/>
      <c r="AP3" s="95"/>
      <c r="AQ3" s="95"/>
      <c r="AR3" s="95"/>
      <c r="AS3" s="95"/>
      <c r="AT3" s="95"/>
      <c r="AU3" s="95"/>
      <c r="AV3" s="95"/>
      <c r="AW3" s="95"/>
      <c r="AX3" s="95"/>
      <c r="AY3" s="95"/>
      <c r="AZ3" s="95"/>
      <c r="BA3" s="95"/>
      <c r="BB3" s="95"/>
    </row>
    <row r="4" spans="1:54" x14ac:dyDescent="0.25">
      <c r="A4" s="80"/>
      <c r="B4" s="95" t="s">
        <v>2417</v>
      </c>
      <c r="C4" s="201" t="s">
        <v>14</v>
      </c>
      <c r="D4" s="80" t="s">
        <v>783</v>
      </c>
      <c r="E4" s="95"/>
      <c r="F4" s="202" t="s">
        <v>781</v>
      </c>
      <c r="G4" s="202" t="s">
        <v>781</v>
      </c>
      <c r="H4" s="203" t="s">
        <v>781</v>
      </c>
      <c r="I4" s="203" t="s">
        <v>781</v>
      </c>
      <c r="J4" s="203" t="s">
        <v>781</v>
      </c>
      <c r="K4" s="203"/>
      <c r="L4" s="202" t="s">
        <v>781</v>
      </c>
      <c r="M4" s="202"/>
      <c r="N4" s="95" t="s">
        <v>781</v>
      </c>
      <c r="O4" s="202"/>
      <c r="P4" s="95" t="s">
        <v>781</v>
      </c>
      <c r="Q4" s="202"/>
      <c r="R4" s="95" t="s">
        <v>781</v>
      </c>
      <c r="S4" s="202"/>
      <c r="T4" s="95" t="s">
        <v>781</v>
      </c>
      <c r="U4" s="202"/>
      <c r="V4" s="95" t="s">
        <v>781</v>
      </c>
      <c r="W4" s="202"/>
      <c r="X4" s="95" t="s">
        <v>781</v>
      </c>
      <c r="Y4" s="202"/>
      <c r="Z4" s="95" t="s">
        <v>781</v>
      </c>
      <c r="AA4" s="202"/>
      <c r="AB4" s="95" t="s">
        <v>781</v>
      </c>
      <c r="AC4" s="202"/>
      <c r="AD4" s="95" t="s">
        <v>781</v>
      </c>
      <c r="AE4" s="202"/>
      <c r="AF4" s="95" t="s">
        <v>781</v>
      </c>
      <c r="AG4" s="202"/>
      <c r="AH4" s="95" t="s">
        <v>781</v>
      </c>
      <c r="AI4" s="202"/>
      <c r="AJ4" s="95" t="s">
        <v>781</v>
      </c>
      <c r="AK4" s="202"/>
      <c r="AL4" s="95" t="s">
        <v>781</v>
      </c>
      <c r="AM4" s="202"/>
      <c r="AN4" s="95"/>
      <c r="AO4" s="95"/>
      <c r="AP4" s="95"/>
      <c r="AQ4" s="95"/>
      <c r="AR4" s="95"/>
      <c r="AS4" s="95"/>
      <c r="AT4" s="95"/>
      <c r="AU4" s="95"/>
      <c r="AV4" s="95"/>
      <c r="AW4" s="95"/>
      <c r="AX4" s="95"/>
      <c r="AY4" s="95"/>
      <c r="AZ4" s="95"/>
      <c r="BA4" s="95"/>
      <c r="BB4" s="95"/>
    </row>
    <row r="5" spans="1:54" x14ac:dyDescent="0.25">
      <c r="A5" s="80"/>
      <c r="B5" s="95" t="s">
        <v>2417</v>
      </c>
      <c r="C5" s="201" t="s">
        <v>781</v>
      </c>
      <c r="D5" s="80" t="s">
        <v>783</v>
      </c>
      <c r="E5" s="95"/>
      <c r="F5" s="202" t="s">
        <v>781</v>
      </c>
      <c r="G5" s="202" t="s">
        <v>781</v>
      </c>
      <c r="H5" s="203" t="s">
        <v>781</v>
      </c>
      <c r="I5" s="203" t="s">
        <v>781</v>
      </c>
      <c r="J5" s="203" t="s">
        <v>781</v>
      </c>
      <c r="K5" s="203"/>
      <c r="L5" s="202" t="s">
        <v>781</v>
      </c>
      <c r="M5" s="202"/>
      <c r="N5" s="95" t="s">
        <v>781</v>
      </c>
      <c r="O5" s="202"/>
      <c r="P5" s="95" t="s">
        <v>781</v>
      </c>
      <c r="Q5" s="202"/>
      <c r="R5" s="95" t="s">
        <v>781</v>
      </c>
      <c r="S5" s="202"/>
      <c r="T5" s="95" t="s">
        <v>781</v>
      </c>
      <c r="U5" s="202"/>
      <c r="V5" s="95" t="s">
        <v>781</v>
      </c>
      <c r="W5" s="202"/>
      <c r="X5" s="95" t="s">
        <v>781</v>
      </c>
      <c r="Y5" s="202"/>
      <c r="Z5" s="95" t="s">
        <v>781</v>
      </c>
      <c r="AA5" s="202"/>
      <c r="AB5" s="95" t="s">
        <v>781</v>
      </c>
      <c r="AC5" s="202"/>
      <c r="AD5" s="95" t="s">
        <v>781</v>
      </c>
      <c r="AE5" s="202"/>
      <c r="AF5" s="95" t="s">
        <v>781</v>
      </c>
      <c r="AG5" s="202"/>
      <c r="AH5" s="95" t="s">
        <v>781</v>
      </c>
      <c r="AI5" s="202"/>
      <c r="AJ5" s="95" t="s">
        <v>781</v>
      </c>
      <c r="AK5" s="202"/>
      <c r="AL5" s="95" t="s">
        <v>781</v>
      </c>
      <c r="AM5" s="202"/>
      <c r="AN5" s="95"/>
      <c r="AO5" s="95"/>
      <c r="AP5" s="95"/>
      <c r="AQ5" s="95"/>
      <c r="AR5" s="95"/>
      <c r="AS5" s="95"/>
      <c r="AT5" s="95"/>
      <c r="AU5" s="95"/>
      <c r="AV5" s="95"/>
      <c r="AW5" s="95"/>
      <c r="AX5" s="95"/>
      <c r="AY5" s="95"/>
      <c r="AZ5" s="95"/>
      <c r="BA5" s="95"/>
      <c r="BB5" s="95"/>
    </row>
    <row r="6" spans="1:54" x14ac:dyDescent="0.25">
      <c r="A6" s="80"/>
      <c r="B6" s="95" t="s">
        <v>2417</v>
      </c>
      <c r="C6" s="201" t="s">
        <v>17</v>
      </c>
      <c r="D6" s="80" t="s">
        <v>783</v>
      </c>
      <c r="E6" s="95"/>
      <c r="F6" s="202" t="s">
        <v>781</v>
      </c>
      <c r="G6" s="202" t="s">
        <v>781</v>
      </c>
      <c r="H6" s="203" t="s">
        <v>781</v>
      </c>
      <c r="I6" s="203" t="s">
        <v>781</v>
      </c>
      <c r="J6" s="203" t="s">
        <v>781</v>
      </c>
      <c r="K6" s="203"/>
      <c r="L6" s="202" t="s">
        <v>781</v>
      </c>
      <c r="M6" s="202"/>
      <c r="N6" s="95" t="s">
        <v>781</v>
      </c>
      <c r="O6" s="202"/>
      <c r="P6" s="95" t="s">
        <v>781</v>
      </c>
      <c r="Q6" s="202"/>
      <c r="R6" s="95" t="s">
        <v>781</v>
      </c>
      <c r="S6" s="202"/>
      <c r="T6" s="95" t="s">
        <v>781</v>
      </c>
      <c r="U6" s="202"/>
      <c r="V6" s="95" t="s">
        <v>781</v>
      </c>
      <c r="W6" s="202"/>
      <c r="X6" s="95" t="s">
        <v>781</v>
      </c>
      <c r="Y6" s="202"/>
      <c r="Z6" s="95" t="s">
        <v>781</v>
      </c>
      <c r="AA6" s="202"/>
      <c r="AB6" s="95" t="s">
        <v>781</v>
      </c>
      <c r="AC6" s="202"/>
      <c r="AD6" s="95" t="s">
        <v>781</v>
      </c>
      <c r="AE6" s="202"/>
      <c r="AF6" s="95" t="s">
        <v>781</v>
      </c>
      <c r="AG6" s="202"/>
      <c r="AH6" s="95" t="s">
        <v>781</v>
      </c>
      <c r="AI6" s="202"/>
      <c r="AJ6" s="95" t="s">
        <v>781</v>
      </c>
      <c r="AK6" s="202"/>
      <c r="AL6" s="95" t="s">
        <v>781</v>
      </c>
      <c r="AM6" s="202"/>
      <c r="AN6" s="95"/>
      <c r="AO6" s="95"/>
      <c r="AP6" s="95"/>
      <c r="AQ6" s="95"/>
      <c r="AR6" s="95"/>
      <c r="AS6" s="95"/>
      <c r="AT6" s="95"/>
      <c r="AU6" s="95"/>
      <c r="AV6" s="95"/>
      <c r="AW6" s="95"/>
      <c r="AX6" s="95"/>
      <c r="AY6" s="95"/>
      <c r="AZ6" s="95"/>
      <c r="BA6" s="95"/>
      <c r="BB6" s="95"/>
    </row>
    <row r="7" spans="1:54" x14ac:dyDescent="0.25">
      <c r="A7" s="80"/>
      <c r="B7" s="95" t="s">
        <v>2832</v>
      </c>
      <c r="C7" s="201" t="s">
        <v>2833</v>
      </c>
      <c r="D7" s="80" t="s">
        <v>783</v>
      </c>
      <c r="E7" s="95"/>
      <c r="F7" s="202" t="s">
        <v>781</v>
      </c>
      <c r="G7" s="202" t="s">
        <v>781</v>
      </c>
      <c r="H7" s="203" t="s">
        <v>781</v>
      </c>
      <c r="I7" s="203" t="s">
        <v>781</v>
      </c>
      <c r="J7" s="203" t="s">
        <v>781</v>
      </c>
      <c r="K7" s="203"/>
      <c r="L7" s="202" t="s">
        <v>781</v>
      </c>
      <c r="M7" s="202"/>
      <c r="N7" s="95" t="s">
        <v>781</v>
      </c>
      <c r="O7" s="202"/>
      <c r="P7" s="95" t="s">
        <v>781</v>
      </c>
      <c r="Q7" s="202"/>
      <c r="R7" s="95" t="s">
        <v>781</v>
      </c>
      <c r="S7" s="202"/>
      <c r="T7" s="95" t="s">
        <v>781</v>
      </c>
      <c r="U7" s="202"/>
      <c r="V7" s="95" t="s">
        <v>781</v>
      </c>
      <c r="W7" s="202"/>
      <c r="X7" s="95" t="s">
        <v>781</v>
      </c>
      <c r="Y7" s="202"/>
      <c r="Z7" s="95" t="s">
        <v>781</v>
      </c>
      <c r="AA7" s="202"/>
      <c r="AB7" s="95" t="s">
        <v>781</v>
      </c>
      <c r="AC7" s="202"/>
      <c r="AD7" s="95" t="s">
        <v>781</v>
      </c>
      <c r="AE7" s="202"/>
      <c r="AF7" s="95" t="s">
        <v>781</v>
      </c>
      <c r="AG7" s="202"/>
      <c r="AH7" s="95" t="s">
        <v>781</v>
      </c>
      <c r="AI7" s="202"/>
      <c r="AJ7" s="95" t="s">
        <v>781</v>
      </c>
      <c r="AK7" s="202"/>
      <c r="AL7" s="95" t="s">
        <v>781</v>
      </c>
      <c r="AM7" s="202"/>
      <c r="AN7" s="95"/>
      <c r="AO7" s="95"/>
      <c r="AP7" s="95"/>
      <c r="AQ7" s="95"/>
      <c r="AR7" s="95"/>
      <c r="AS7" s="95"/>
      <c r="AT7" s="95"/>
      <c r="AU7" s="95"/>
      <c r="AV7" s="95"/>
      <c r="AW7" s="95"/>
      <c r="AX7" s="95"/>
      <c r="AY7" s="95"/>
      <c r="AZ7" s="95"/>
      <c r="BA7" s="95"/>
      <c r="BB7" s="95"/>
    </row>
    <row r="8" spans="1:54" ht="30" x14ac:dyDescent="0.25">
      <c r="A8" s="80">
        <v>5</v>
      </c>
      <c r="B8" s="95" t="s">
        <v>2834</v>
      </c>
      <c r="C8" s="201" t="s">
        <v>19</v>
      </c>
      <c r="D8" s="80" t="s">
        <v>20</v>
      </c>
      <c r="E8" s="94">
        <f>IFERROR(VLOOKUP(A8,Estimate!A:Q,17,FALSE)," ")</f>
        <v>39000</v>
      </c>
      <c r="F8" s="202">
        <v>1</v>
      </c>
      <c r="G8" s="202">
        <v>1</v>
      </c>
      <c r="H8" s="203">
        <v>48992.89</v>
      </c>
      <c r="I8" s="203">
        <v>48992.89</v>
      </c>
      <c r="J8" s="203">
        <v>48992.89</v>
      </c>
      <c r="K8" s="203"/>
      <c r="L8" s="202">
        <v>0.04</v>
      </c>
      <c r="M8" s="204">
        <f>IFERROR(L8/$G8," ")</f>
        <v>0.04</v>
      </c>
      <c r="N8" s="95">
        <v>0.08</v>
      </c>
      <c r="O8" s="204">
        <f>IFERROR(N8/$G8," ")</f>
        <v>0.08</v>
      </c>
      <c r="P8" s="95">
        <v>0.09</v>
      </c>
      <c r="Q8" s="204">
        <f>IFERROR(P8/$G8," ")</f>
        <v>0.09</v>
      </c>
      <c r="R8" s="95">
        <v>0.14000000000000001</v>
      </c>
      <c r="S8" s="204">
        <f>IFERROR(R8/$G8," ")</f>
        <v>0.14000000000000001</v>
      </c>
      <c r="T8" s="95">
        <v>0.5</v>
      </c>
      <c r="U8" s="204">
        <f>IFERROR(T8/$G8," ")</f>
        <v>0.5</v>
      </c>
      <c r="V8" s="95">
        <v>0.55000000000000004</v>
      </c>
      <c r="W8" s="204">
        <f>IFERROR(V8/$G8," ")</f>
        <v>0.55000000000000004</v>
      </c>
      <c r="X8" s="95">
        <v>0.6</v>
      </c>
      <c r="Y8" s="204">
        <f>IFERROR(X8/$G8," ")</f>
        <v>0.6</v>
      </c>
      <c r="Z8" s="95">
        <v>0.65</v>
      </c>
      <c r="AA8" s="204">
        <f>IFERROR(Z8/$G8," ")</f>
        <v>0.65</v>
      </c>
      <c r="AB8" s="95">
        <v>0.8</v>
      </c>
      <c r="AC8" s="204">
        <f>IFERROR(AB8/$G8," ")</f>
        <v>0.8</v>
      </c>
      <c r="AD8" s="95">
        <v>0.9</v>
      </c>
      <c r="AE8" s="204">
        <f>IFERROR(AD8/$G8," ")</f>
        <v>0.9</v>
      </c>
      <c r="AF8" s="95">
        <v>1</v>
      </c>
      <c r="AG8" s="204">
        <f>IFERROR(AF8/$G8," ")</f>
        <v>1</v>
      </c>
      <c r="AH8" s="95">
        <v>1</v>
      </c>
      <c r="AI8" s="204">
        <f>IFERROR(AH8/$G8," ")</f>
        <v>1</v>
      </c>
      <c r="AJ8" s="95">
        <v>1</v>
      </c>
      <c r="AK8" s="204">
        <f>IFERROR(AJ8/$G8," ")</f>
        <v>1</v>
      </c>
      <c r="AL8" s="95">
        <v>1</v>
      </c>
      <c r="AM8" s="204">
        <f>IFERROR(AL8/$G8," ")</f>
        <v>1</v>
      </c>
      <c r="AN8" s="95"/>
      <c r="AO8" s="94">
        <f>IFERROR(M8*$J8," ")</f>
        <v>1959.7156</v>
      </c>
      <c r="AP8" s="94">
        <f t="shared" ref="AP8:AP71" si="0">IFERROR(O8*$J8," ")</f>
        <v>3919.4312</v>
      </c>
      <c r="AQ8" s="94">
        <f t="shared" ref="AQ8:AQ71" si="1">IFERROR(Q8*$J8," ")</f>
        <v>4409.3600999999999</v>
      </c>
      <c r="AR8" s="94">
        <f t="shared" ref="AR8:AR39" si="2">IFERROR(S8*$J8," ")</f>
        <v>6859.0046000000002</v>
      </c>
      <c r="AS8" s="94">
        <f>IFERROR(U8*$J8," ")</f>
        <v>24496.445</v>
      </c>
      <c r="AT8" s="94">
        <f>IFERROR(W8*$J8," ")</f>
        <v>26946.089500000002</v>
      </c>
      <c r="AU8" s="94">
        <f>IFERROR(Y8*$J8," ")</f>
        <v>29395.734</v>
      </c>
      <c r="AV8" s="94">
        <f>IFERROR(AA8*$J8," ")</f>
        <v>31845.378499999999</v>
      </c>
      <c r="AW8" s="94">
        <f>IFERROR(AC8*$J8," ")</f>
        <v>39194.311999999998</v>
      </c>
      <c r="AX8" s="94">
        <f>IFERROR(AE8*$J8," ")</f>
        <v>44093.601000000002</v>
      </c>
      <c r="AY8" s="94">
        <f>IFERROR(AG8*$J8," ")</f>
        <v>48992.89</v>
      </c>
      <c r="AZ8" s="94">
        <f>IFERROR(AI8*$J8," ")</f>
        <v>48992.89</v>
      </c>
      <c r="BA8" s="94">
        <f>IFERROR(AK8*$J8," ")</f>
        <v>48992.89</v>
      </c>
      <c r="BB8" s="94">
        <f>IFERROR(AM8*$J8," ")</f>
        <v>48992.89</v>
      </c>
    </row>
    <row r="9" spans="1:54" x14ac:dyDescent="0.25">
      <c r="A9" s="80"/>
      <c r="B9" s="95" t="s">
        <v>2835</v>
      </c>
      <c r="C9" s="201" t="s">
        <v>25</v>
      </c>
      <c r="D9" s="80" t="s">
        <v>783</v>
      </c>
      <c r="E9" s="94" t="str">
        <f>IFERROR(VLOOKUP(A9,Estimate!A:Q,17,FALSE)," ")</f>
        <v xml:space="preserve"> </v>
      </c>
      <c r="F9" s="202" t="s">
        <v>781</v>
      </c>
      <c r="G9" s="202" t="s">
        <v>781</v>
      </c>
      <c r="H9" s="203" t="s">
        <v>781</v>
      </c>
      <c r="I9" s="203" t="s">
        <v>781</v>
      </c>
      <c r="J9" s="203" t="s">
        <v>781</v>
      </c>
      <c r="K9" s="203"/>
      <c r="L9" s="202" t="s">
        <v>781</v>
      </c>
      <c r="M9" s="204" t="str">
        <f t="shared" ref="M9:O72" si="3">IFERROR(L9/$G9," ")</f>
        <v xml:space="preserve"> </v>
      </c>
      <c r="N9" s="95" t="s">
        <v>781</v>
      </c>
      <c r="O9" s="204" t="str">
        <f t="shared" si="3"/>
        <v xml:space="preserve"> </v>
      </c>
      <c r="P9" s="95" t="s">
        <v>781</v>
      </c>
      <c r="Q9" s="204" t="str">
        <f t="shared" ref="Q9:S9" si="4">IFERROR(P9/$G9," ")</f>
        <v xml:space="preserve"> </v>
      </c>
      <c r="R9" s="95" t="s">
        <v>781</v>
      </c>
      <c r="S9" s="204" t="str">
        <f t="shared" si="4"/>
        <v xml:space="preserve"> </v>
      </c>
      <c r="T9" s="95" t="s">
        <v>781</v>
      </c>
      <c r="U9" s="204" t="str">
        <f t="shared" ref="U9:W9" si="5">IFERROR(T9/$G9," ")</f>
        <v xml:space="preserve"> </v>
      </c>
      <c r="V9" s="95" t="s">
        <v>781</v>
      </c>
      <c r="W9" s="204" t="str">
        <f t="shared" si="5"/>
        <v xml:space="preserve"> </v>
      </c>
      <c r="X9" s="95" t="s">
        <v>781</v>
      </c>
      <c r="Y9" s="204" t="str">
        <f t="shared" ref="Y9:AA9" si="6">IFERROR(X9/$G9," ")</f>
        <v xml:space="preserve"> </v>
      </c>
      <c r="Z9" s="95" t="s">
        <v>781</v>
      </c>
      <c r="AA9" s="204" t="str">
        <f t="shared" si="6"/>
        <v xml:space="preserve"> </v>
      </c>
      <c r="AB9" s="95" t="s">
        <v>781</v>
      </c>
      <c r="AC9" s="204" t="str">
        <f t="shared" ref="AC9:AE9" si="7">IFERROR(AB9/$G9," ")</f>
        <v xml:space="preserve"> </v>
      </c>
      <c r="AD9" s="95" t="s">
        <v>781</v>
      </c>
      <c r="AE9" s="204" t="str">
        <f t="shared" si="7"/>
        <v xml:space="preserve"> </v>
      </c>
      <c r="AF9" s="95" t="s">
        <v>781</v>
      </c>
      <c r="AG9" s="204" t="str">
        <f t="shared" ref="AG9:AI9" si="8">IFERROR(AF9/$G9," ")</f>
        <v xml:space="preserve"> </v>
      </c>
      <c r="AH9" s="95" t="s">
        <v>781</v>
      </c>
      <c r="AI9" s="204" t="str">
        <f t="shared" si="8"/>
        <v xml:space="preserve"> </v>
      </c>
      <c r="AJ9" s="95" t="s">
        <v>781</v>
      </c>
      <c r="AK9" s="204" t="str">
        <f t="shared" ref="AK9:AM9" si="9">IFERROR(AJ9/$G9," ")</f>
        <v xml:space="preserve"> </v>
      </c>
      <c r="AL9" s="95" t="s">
        <v>781</v>
      </c>
      <c r="AM9" s="204" t="str">
        <f t="shared" si="9"/>
        <v xml:space="preserve"> </v>
      </c>
      <c r="AN9" s="95"/>
      <c r="AO9" s="94" t="str">
        <f t="shared" ref="AO9:AO72" si="10">IFERROR(M9*$J9," ")</f>
        <v xml:space="preserve"> </v>
      </c>
      <c r="AP9" s="94" t="str">
        <f t="shared" si="0"/>
        <v xml:space="preserve"> </v>
      </c>
      <c r="AQ9" s="94" t="str">
        <f t="shared" si="1"/>
        <v xml:space="preserve"> </v>
      </c>
      <c r="AR9" s="94" t="str">
        <f t="shared" si="2"/>
        <v xml:space="preserve"> </v>
      </c>
      <c r="AS9" s="94" t="str">
        <f t="shared" ref="AS9:AS72" si="11">IFERROR(U9*$J9," ")</f>
        <v xml:space="preserve"> </v>
      </c>
      <c r="AT9" s="94" t="str">
        <f t="shared" ref="AT9:AT72" si="12">IFERROR(W9*$J9," ")</f>
        <v xml:space="preserve"> </v>
      </c>
      <c r="AU9" s="94" t="str">
        <f t="shared" ref="AU9:AU72" si="13">IFERROR(Y9*$J9," ")</f>
        <v xml:space="preserve"> </v>
      </c>
      <c r="AV9" s="94" t="str">
        <f t="shared" ref="AV9:AV72" si="14">IFERROR(AA9*$J9," ")</f>
        <v xml:space="preserve"> </v>
      </c>
      <c r="AW9" s="94" t="str">
        <f t="shared" ref="AW9:AW72" si="15">IFERROR(AC9*$J9," ")</f>
        <v xml:space="preserve"> </v>
      </c>
      <c r="AX9" s="94" t="str">
        <f t="shared" ref="AX9:AX72" si="16">IFERROR(AE9*$J9," ")</f>
        <v xml:space="preserve"> </v>
      </c>
      <c r="AY9" s="94" t="str">
        <f t="shared" ref="AY9:AY72" si="17">IFERROR(AG9*$J9," ")</f>
        <v xml:space="preserve"> </v>
      </c>
      <c r="AZ9" s="94" t="str">
        <f t="shared" ref="AZ9:AZ72" si="18">IFERROR(AI9*$J9," ")</f>
        <v xml:space="preserve"> </v>
      </c>
      <c r="BA9" s="94" t="str">
        <f t="shared" ref="BA9:BA72" si="19">IFERROR(AK9*$J9," ")</f>
        <v xml:space="preserve"> </v>
      </c>
      <c r="BB9" s="94" t="str">
        <f t="shared" ref="BB9:BB72" si="20">IFERROR(AM9*$J9," ")</f>
        <v xml:space="preserve"> </v>
      </c>
    </row>
    <row r="10" spans="1:54" x14ac:dyDescent="0.25">
      <c r="A10" s="80">
        <v>6</v>
      </c>
      <c r="B10" s="95" t="s">
        <v>2836</v>
      </c>
      <c r="C10" s="201" t="s">
        <v>27</v>
      </c>
      <c r="D10" s="80" t="s">
        <v>20</v>
      </c>
      <c r="E10" s="94">
        <f>IFERROR(VLOOKUP(A10,Estimate!A:Q,17,FALSE)," ")</f>
        <v>6460</v>
      </c>
      <c r="F10" s="202">
        <v>1</v>
      </c>
      <c r="G10" s="202">
        <v>1</v>
      </c>
      <c r="H10" s="203">
        <v>8115.23</v>
      </c>
      <c r="I10" s="203">
        <v>8115.23</v>
      </c>
      <c r="J10" s="203">
        <v>8115.23</v>
      </c>
      <c r="K10" s="203"/>
      <c r="L10" s="202">
        <v>0.5</v>
      </c>
      <c r="M10" s="204">
        <f t="shared" si="3"/>
        <v>0.5</v>
      </c>
      <c r="N10" s="95">
        <v>0.5</v>
      </c>
      <c r="O10" s="204">
        <f t="shared" si="3"/>
        <v>0.5</v>
      </c>
      <c r="P10" s="95">
        <v>0.5</v>
      </c>
      <c r="Q10" s="204">
        <f t="shared" ref="Q10:S10" si="21">IFERROR(P10/$G10," ")</f>
        <v>0.5</v>
      </c>
      <c r="R10" s="95">
        <v>0.5</v>
      </c>
      <c r="S10" s="204">
        <f t="shared" si="21"/>
        <v>0.5</v>
      </c>
      <c r="T10" s="95">
        <v>0.5</v>
      </c>
      <c r="U10" s="204">
        <f t="shared" ref="U10:W10" si="22">IFERROR(T10/$G10," ")</f>
        <v>0.5</v>
      </c>
      <c r="V10" s="95">
        <v>0.5</v>
      </c>
      <c r="W10" s="204">
        <f t="shared" si="22"/>
        <v>0.5</v>
      </c>
      <c r="X10" s="95">
        <v>0.5</v>
      </c>
      <c r="Y10" s="204">
        <f t="shared" ref="Y10:AA10" si="23">IFERROR(X10/$G10," ")</f>
        <v>0.5</v>
      </c>
      <c r="Z10" s="95">
        <v>1</v>
      </c>
      <c r="AA10" s="204">
        <f t="shared" si="23"/>
        <v>1</v>
      </c>
      <c r="AB10" s="95">
        <v>1</v>
      </c>
      <c r="AC10" s="204">
        <f t="shared" ref="AC10:AE10" si="24">IFERROR(AB10/$G10," ")</f>
        <v>1</v>
      </c>
      <c r="AD10" s="95">
        <v>1</v>
      </c>
      <c r="AE10" s="204">
        <f t="shared" si="24"/>
        <v>1</v>
      </c>
      <c r="AF10" s="95">
        <v>1</v>
      </c>
      <c r="AG10" s="204">
        <f t="shared" ref="AG10:AI10" si="25">IFERROR(AF10/$G10," ")</f>
        <v>1</v>
      </c>
      <c r="AH10" s="95">
        <v>1</v>
      </c>
      <c r="AI10" s="204">
        <f t="shared" si="25"/>
        <v>1</v>
      </c>
      <c r="AJ10" s="95">
        <v>1</v>
      </c>
      <c r="AK10" s="204">
        <f t="shared" ref="AK10:AM10" si="26">IFERROR(AJ10/$G10," ")</f>
        <v>1</v>
      </c>
      <c r="AL10" s="95">
        <v>1</v>
      </c>
      <c r="AM10" s="204">
        <f t="shared" si="26"/>
        <v>1</v>
      </c>
      <c r="AN10" s="95"/>
      <c r="AO10" s="94">
        <f t="shared" si="10"/>
        <v>4057.6149999999998</v>
      </c>
      <c r="AP10" s="94">
        <f t="shared" si="0"/>
        <v>4057.6149999999998</v>
      </c>
      <c r="AQ10" s="94">
        <f t="shared" si="1"/>
        <v>4057.6149999999998</v>
      </c>
      <c r="AR10" s="94">
        <f t="shared" si="2"/>
        <v>4057.6149999999998</v>
      </c>
      <c r="AS10" s="94">
        <f t="shared" si="11"/>
        <v>4057.6149999999998</v>
      </c>
      <c r="AT10" s="94">
        <f t="shared" si="12"/>
        <v>4057.6149999999998</v>
      </c>
      <c r="AU10" s="94">
        <f t="shared" si="13"/>
        <v>4057.6149999999998</v>
      </c>
      <c r="AV10" s="94">
        <f t="shared" si="14"/>
        <v>8115.23</v>
      </c>
      <c r="AW10" s="94">
        <f t="shared" si="15"/>
        <v>8115.23</v>
      </c>
      <c r="AX10" s="94">
        <f t="shared" si="16"/>
        <v>8115.23</v>
      </c>
      <c r="AY10" s="94">
        <f t="shared" si="17"/>
        <v>8115.23</v>
      </c>
      <c r="AZ10" s="94">
        <f t="shared" si="18"/>
        <v>8115.23</v>
      </c>
      <c r="BA10" s="94">
        <f t="shared" si="19"/>
        <v>8115.23</v>
      </c>
      <c r="BB10" s="94">
        <f t="shared" si="20"/>
        <v>8115.23</v>
      </c>
    </row>
    <row r="11" spans="1:54" x14ac:dyDescent="0.25">
      <c r="A11" s="80"/>
      <c r="B11" s="95" t="s">
        <v>2417</v>
      </c>
      <c r="C11" s="201" t="s">
        <v>2837</v>
      </c>
      <c r="D11" s="80" t="s">
        <v>783</v>
      </c>
      <c r="E11" s="94" t="str">
        <f>IFERROR(VLOOKUP(A11,Estimate!A:Q,17,FALSE)," ")</f>
        <v xml:space="preserve"> </v>
      </c>
      <c r="F11" s="202" t="s">
        <v>781</v>
      </c>
      <c r="G11" s="202" t="s">
        <v>781</v>
      </c>
      <c r="H11" s="203" t="s">
        <v>781</v>
      </c>
      <c r="I11" s="203" t="s">
        <v>781</v>
      </c>
      <c r="J11" s="203" t="s">
        <v>781</v>
      </c>
      <c r="K11" s="203"/>
      <c r="L11" s="202" t="s">
        <v>781</v>
      </c>
      <c r="M11" s="204" t="str">
        <f t="shared" si="3"/>
        <v xml:space="preserve"> </v>
      </c>
      <c r="N11" s="95" t="s">
        <v>781</v>
      </c>
      <c r="O11" s="204" t="str">
        <f t="shared" si="3"/>
        <v xml:space="preserve"> </v>
      </c>
      <c r="P11" s="95" t="s">
        <v>781</v>
      </c>
      <c r="Q11" s="204" t="str">
        <f t="shared" ref="Q11:S11" si="27">IFERROR(P11/$G11," ")</f>
        <v xml:space="preserve"> </v>
      </c>
      <c r="R11" s="95" t="s">
        <v>781</v>
      </c>
      <c r="S11" s="204" t="str">
        <f t="shared" si="27"/>
        <v xml:space="preserve"> </v>
      </c>
      <c r="T11" s="95" t="s">
        <v>781</v>
      </c>
      <c r="U11" s="204" t="str">
        <f t="shared" ref="U11:W11" si="28">IFERROR(T11/$G11," ")</f>
        <v xml:space="preserve"> </v>
      </c>
      <c r="V11" s="95" t="s">
        <v>781</v>
      </c>
      <c r="W11" s="204" t="str">
        <f t="shared" si="28"/>
        <v xml:space="preserve"> </v>
      </c>
      <c r="X11" s="95" t="s">
        <v>781</v>
      </c>
      <c r="Y11" s="204" t="str">
        <f t="shared" ref="Y11:AA11" si="29">IFERROR(X11/$G11," ")</f>
        <v xml:space="preserve"> </v>
      </c>
      <c r="Z11" s="95" t="s">
        <v>781</v>
      </c>
      <c r="AA11" s="204" t="str">
        <f t="shared" si="29"/>
        <v xml:space="preserve"> </v>
      </c>
      <c r="AB11" s="95" t="s">
        <v>781</v>
      </c>
      <c r="AC11" s="204" t="str">
        <f t="shared" ref="AC11:AE11" si="30">IFERROR(AB11/$G11," ")</f>
        <v xml:space="preserve"> </v>
      </c>
      <c r="AD11" s="95" t="s">
        <v>781</v>
      </c>
      <c r="AE11" s="204" t="str">
        <f t="shared" si="30"/>
        <v xml:space="preserve"> </v>
      </c>
      <c r="AF11" s="95" t="s">
        <v>781</v>
      </c>
      <c r="AG11" s="204" t="str">
        <f t="shared" ref="AG11:AI11" si="31">IFERROR(AF11/$G11," ")</f>
        <v xml:space="preserve"> </v>
      </c>
      <c r="AH11" s="95" t="s">
        <v>781</v>
      </c>
      <c r="AI11" s="204" t="str">
        <f t="shared" si="31"/>
        <v xml:space="preserve"> </v>
      </c>
      <c r="AJ11" s="95" t="s">
        <v>781</v>
      </c>
      <c r="AK11" s="204" t="str">
        <f t="shared" ref="AK11:AM11" si="32">IFERROR(AJ11/$G11," ")</f>
        <v xml:space="preserve"> </v>
      </c>
      <c r="AL11" s="95" t="s">
        <v>781</v>
      </c>
      <c r="AM11" s="204" t="str">
        <f t="shared" si="32"/>
        <v xml:space="preserve"> </v>
      </c>
      <c r="AN11" s="95"/>
      <c r="AO11" s="94" t="str">
        <f t="shared" si="10"/>
        <v xml:space="preserve"> </v>
      </c>
      <c r="AP11" s="94" t="str">
        <f t="shared" si="0"/>
        <v xml:space="preserve"> </v>
      </c>
      <c r="AQ11" s="94" t="str">
        <f t="shared" si="1"/>
        <v xml:space="preserve"> </v>
      </c>
      <c r="AR11" s="94" t="str">
        <f t="shared" si="2"/>
        <v xml:space="preserve"> </v>
      </c>
      <c r="AS11" s="94" t="str">
        <f t="shared" si="11"/>
        <v xml:space="preserve"> </v>
      </c>
      <c r="AT11" s="94" t="str">
        <f t="shared" si="12"/>
        <v xml:space="preserve"> </v>
      </c>
      <c r="AU11" s="94" t="str">
        <f t="shared" si="13"/>
        <v xml:space="preserve"> </v>
      </c>
      <c r="AV11" s="94" t="str">
        <f t="shared" si="14"/>
        <v xml:space="preserve"> </v>
      </c>
      <c r="AW11" s="94" t="str">
        <f t="shared" si="15"/>
        <v xml:space="preserve"> </v>
      </c>
      <c r="AX11" s="94" t="str">
        <f t="shared" si="16"/>
        <v xml:space="preserve"> </v>
      </c>
      <c r="AY11" s="94" t="str">
        <f t="shared" si="17"/>
        <v xml:space="preserve"> </v>
      </c>
      <c r="AZ11" s="94" t="str">
        <f t="shared" si="18"/>
        <v xml:space="preserve"> </v>
      </c>
      <c r="BA11" s="94" t="str">
        <f t="shared" si="19"/>
        <v xml:space="preserve"> </v>
      </c>
      <c r="BB11" s="94" t="str">
        <f t="shared" si="20"/>
        <v xml:space="preserve"> </v>
      </c>
    </row>
    <row r="12" spans="1:54" x14ac:dyDescent="0.25">
      <c r="A12" s="80"/>
      <c r="B12" s="95" t="s">
        <v>2417</v>
      </c>
      <c r="C12" s="201" t="s">
        <v>35</v>
      </c>
      <c r="D12" s="80" t="s">
        <v>783</v>
      </c>
      <c r="E12" s="94" t="str">
        <f>IFERROR(VLOOKUP(A12,Estimate!A:Q,17,FALSE)," ")</f>
        <v xml:space="preserve"> </v>
      </c>
      <c r="F12" s="202" t="s">
        <v>781</v>
      </c>
      <c r="G12" s="202" t="s">
        <v>781</v>
      </c>
      <c r="H12" s="203" t="s">
        <v>781</v>
      </c>
      <c r="I12" s="203" t="s">
        <v>781</v>
      </c>
      <c r="J12" s="203" t="s">
        <v>781</v>
      </c>
      <c r="K12" s="203"/>
      <c r="L12" s="202" t="s">
        <v>781</v>
      </c>
      <c r="M12" s="204" t="str">
        <f t="shared" si="3"/>
        <v xml:space="preserve"> </v>
      </c>
      <c r="N12" s="95" t="s">
        <v>781</v>
      </c>
      <c r="O12" s="204" t="str">
        <f t="shared" si="3"/>
        <v xml:space="preserve"> </v>
      </c>
      <c r="P12" s="95" t="s">
        <v>781</v>
      </c>
      <c r="Q12" s="204" t="str">
        <f t="shared" ref="Q12:S12" si="33">IFERROR(P12/$G12," ")</f>
        <v xml:space="preserve"> </v>
      </c>
      <c r="R12" s="95" t="s">
        <v>781</v>
      </c>
      <c r="S12" s="204" t="str">
        <f t="shared" si="33"/>
        <v xml:space="preserve"> </v>
      </c>
      <c r="T12" s="95" t="s">
        <v>781</v>
      </c>
      <c r="U12" s="204" t="str">
        <f t="shared" ref="U12:W12" si="34">IFERROR(T12/$G12," ")</f>
        <v xml:space="preserve"> </v>
      </c>
      <c r="V12" s="95" t="s">
        <v>781</v>
      </c>
      <c r="W12" s="204" t="str">
        <f t="shared" si="34"/>
        <v xml:space="preserve"> </v>
      </c>
      <c r="X12" s="95" t="s">
        <v>781</v>
      </c>
      <c r="Y12" s="204" t="str">
        <f t="shared" ref="Y12:AA12" si="35">IFERROR(X12/$G12," ")</f>
        <v xml:space="preserve"> </v>
      </c>
      <c r="Z12" s="95" t="s">
        <v>781</v>
      </c>
      <c r="AA12" s="204" t="str">
        <f t="shared" si="35"/>
        <v xml:space="preserve"> </v>
      </c>
      <c r="AB12" s="95" t="s">
        <v>781</v>
      </c>
      <c r="AC12" s="204" t="str">
        <f t="shared" ref="AC12:AE12" si="36">IFERROR(AB12/$G12," ")</f>
        <v xml:space="preserve"> </v>
      </c>
      <c r="AD12" s="95" t="s">
        <v>781</v>
      </c>
      <c r="AE12" s="204" t="str">
        <f t="shared" si="36"/>
        <v xml:space="preserve"> </v>
      </c>
      <c r="AF12" s="95" t="s">
        <v>781</v>
      </c>
      <c r="AG12" s="204" t="str">
        <f t="shared" ref="AG12:AI12" si="37">IFERROR(AF12/$G12," ")</f>
        <v xml:space="preserve"> </v>
      </c>
      <c r="AH12" s="95" t="s">
        <v>781</v>
      </c>
      <c r="AI12" s="204" t="str">
        <f t="shared" si="37"/>
        <v xml:space="preserve"> </v>
      </c>
      <c r="AJ12" s="95" t="s">
        <v>781</v>
      </c>
      <c r="AK12" s="204" t="str">
        <f t="shared" ref="AK12:AM12" si="38">IFERROR(AJ12/$G12," ")</f>
        <v xml:space="preserve"> </v>
      </c>
      <c r="AL12" s="95" t="s">
        <v>781</v>
      </c>
      <c r="AM12" s="204" t="str">
        <f t="shared" si="38"/>
        <v xml:space="preserve"> </v>
      </c>
      <c r="AN12" s="95"/>
      <c r="AO12" s="94" t="str">
        <f t="shared" si="10"/>
        <v xml:space="preserve"> </v>
      </c>
      <c r="AP12" s="94" t="str">
        <f t="shared" si="0"/>
        <v xml:space="preserve"> </v>
      </c>
      <c r="AQ12" s="94" t="str">
        <f t="shared" si="1"/>
        <v xml:space="preserve"> </v>
      </c>
      <c r="AR12" s="94" t="str">
        <f t="shared" si="2"/>
        <v xml:space="preserve"> </v>
      </c>
      <c r="AS12" s="94" t="str">
        <f t="shared" si="11"/>
        <v xml:space="preserve"> </v>
      </c>
      <c r="AT12" s="94" t="str">
        <f t="shared" si="12"/>
        <v xml:space="preserve"> </v>
      </c>
      <c r="AU12" s="94" t="str">
        <f t="shared" si="13"/>
        <v xml:space="preserve"> </v>
      </c>
      <c r="AV12" s="94" t="str">
        <f t="shared" si="14"/>
        <v xml:space="preserve"> </v>
      </c>
      <c r="AW12" s="94" t="str">
        <f t="shared" si="15"/>
        <v xml:space="preserve"> </v>
      </c>
      <c r="AX12" s="94" t="str">
        <f t="shared" si="16"/>
        <v xml:space="preserve"> </v>
      </c>
      <c r="AY12" s="94" t="str">
        <f t="shared" si="17"/>
        <v xml:space="preserve"> </v>
      </c>
      <c r="AZ12" s="94" t="str">
        <f t="shared" si="18"/>
        <v xml:space="preserve"> </v>
      </c>
      <c r="BA12" s="94" t="str">
        <f t="shared" si="19"/>
        <v xml:space="preserve"> </v>
      </c>
      <c r="BB12" s="94" t="str">
        <f t="shared" si="20"/>
        <v xml:space="preserve"> </v>
      </c>
    </row>
    <row r="13" spans="1:54" x14ac:dyDescent="0.25">
      <c r="A13" s="80"/>
      <c r="B13" s="95" t="s">
        <v>2838</v>
      </c>
      <c r="C13" s="201" t="s">
        <v>36</v>
      </c>
      <c r="D13" s="80" t="s">
        <v>783</v>
      </c>
      <c r="E13" s="94" t="str">
        <f>IFERROR(VLOOKUP(A13,Estimate!A:Q,17,FALSE)," ")</f>
        <v xml:space="preserve"> </v>
      </c>
      <c r="F13" s="202" t="s">
        <v>781</v>
      </c>
      <c r="G13" s="202" t="s">
        <v>781</v>
      </c>
      <c r="H13" s="203" t="s">
        <v>781</v>
      </c>
      <c r="I13" s="203" t="s">
        <v>781</v>
      </c>
      <c r="J13" s="203" t="s">
        <v>781</v>
      </c>
      <c r="K13" s="203"/>
      <c r="L13" s="202" t="s">
        <v>781</v>
      </c>
      <c r="M13" s="204" t="str">
        <f t="shared" si="3"/>
        <v xml:space="preserve"> </v>
      </c>
      <c r="N13" s="95" t="s">
        <v>781</v>
      </c>
      <c r="O13" s="204" t="str">
        <f t="shared" si="3"/>
        <v xml:space="preserve"> </v>
      </c>
      <c r="P13" s="95" t="s">
        <v>781</v>
      </c>
      <c r="Q13" s="204" t="str">
        <f t="shared" ref="Q13:S13" si="39">IFERROR(P13/$G13," ")</f>
        <v xml:space="preserve"> </v>
      </c>
      <c r="R13" s="95" t="s">
        <v>781</v>
      </c>
      <c r="S13" s="204" t="str">
        <f t="shared" si="39"/>
        <v xml:space="preserve"> </v>
      </c>
      <c r="T13" s="95" t="s">
        <v>781</v>
      </c>
      <c r="U13" s="204" t="str">
        <f t="shared" ref="U13:W13" si="40">IFERROR(T13/$G13," ")</f>
        <v xml:space="preserve"> </v>
      </c>
      <c r="V13" s="95" t="s">
        <v>781</v>
      </c>
      <c r="W13" s="204" t="str">
        <f t="shared" si="40"/>
        <v xml:space="preserve"> </v>
      </c>
      <c r="X13" s="95" t="s">
        <v>781</v>
      </c>
      <c r="Y13" s="204" t="str">
        <f t="shared" ref="Y13:AA13" si="41">IFERROR(X13/$G13," ")</f>
        <v xml:space="preserve"> </v>
      </c>
      <c r="Z13" s="95" t="s">
        <v>781</v>
      </c>
      <c r="AA13" s="204" t="str">
        <f t="shared" si="41"/>
        <v xml:space="preserve"> </v>
      </c>
      <c r="AB13" s="95" t="s">
        <v>781</v>
      </c>
      <c r="AC13" s="204" t="str">
        <f t="shared" ref="AC13:AE13" si="42">IFERROR(AB13/$G13," ")</f>
        <v xml:space="preserve"> </v>
      </c>
      <c r="AD13" s="95" t="s">
        <v>781</v>
      </c>
      <c r="AE13" s="204" t="str">
        <f t="shared" si="42"/>
        <v xml:space="preserve"> </v>
      </c>
      <c r="AF13" s="95" t="s">
        <v>781</v>
      </c>
      <c r="AG13" s="204" t="str">
        <f t="shared" ref="AG13:AI13" si="43">IFERROR(AF13/$G13," ")</f>
        <v xml:space="preserve"> </v>
      </c>
      <c r="AH13" s="95" t="s">
        <v>781</v>
      </c>
      <c r="AI13" s="204" t="str">
        <f t="shared" si="43"/>
        <v xml:space="preserve"> </v>
      </c>
      <c r="AJ13" s="95" t="s">
        <v>781</v>
      </c>
      <c r="AK13" s="204" t="str">
        <f t="shared" ref="AK13:AM13" si="44">IFERROR(AJ13/$G13," ")</f>
        <v xml:space="preserve"> </v>
      </c>
      <c r="AL13" s="95" t="s">
        <v>781</v>
      </c>
      <c r="AM13" s="204" t="str">
        <f t="shared" si="44"/>
        <v xml:space="preserve"> </v>
      </c>
      <c r="AN13" s="95"/>
      <c r="AO13" s="94" t="str">
        <f t="shared" si="10"/>
        <v xml:space="preserve"> </v>
      </c>
      <c r="AP13" s="94" t="str">
        <f t="shared" si="0"/>
        <v xml:space="preserve"> </v>
      </c>
      <c r="AQ13" s="94" t="str">
        <f t="shared" si="1"/>
        <v xml:space="preserve"> </v>
      </c>
      <c r="AR13" s="94" t="str">
        <f t="shared" si="2"/>
        <v xml:space="preserve"> </v>
      </c>
      <c r="AS13" s="94" t="str">
        <f t="shared" si="11"/>
        <v xml:space="preserve"> </v>
      </c>
      <c r="AT13" s="94" t="str">
        <f t="shared" si="12"/>
        <v xml:space="preserve"> </v>
      </c>
      <c r="AU13" s="94" t="str">
        <f t="shared" si="13"/>
        <v xml:space="preserve"> </v>
      </c>
      <c r="AV13" s="94" t="str">
        <f t="shared" si="14"/>
        <v xml:space="preserve"> </v>
      </c>
      <c r="AW13" s="94" t="str">
        <f t="shared" si="15"/>
        <v xml:space="preserve"> </v>
      </c>
      <c r="AX13" s="94" t="str">
        <f t="shared" si="16"/>
        <v xml:space="preserve"> </v>
      </c>
      <c r="AY13" s="94" t="str">
        <f t="shared" si="17"/>
        <v xml:space="preserve"> </v>
      </c>
      <c r="AZ13" s="94" t="str">
        <f t="shared" si="18"/>
        <v xml:space="preserve"> </v>
      </c>
      <c r="BA13" s="94" t="str">
        <f t="shared" si="19"/>
        <v xml:space="preserve"> </v>
      </c>
      <c r="BB13" s="94" t="str">
        <f t="shared" si="20"/>
        <v xml:space="preserve"> </v>
      </c>
    </row>
    <row r="14" spans="1:54" x14ac:dyDescent="0.25">
      <c r="A14" s="80">
        <v>7</v>
      </c>
      <c r="B14" s="95" t="s">
        <v>2839</v>
      </c>
      <c r="C14" s="201" t="s">
        <v>38</v>
      </c>
      <c r="D14" s="80" t="s">
        <v>20</v>
      </c>
      <c r="E14" s="94">
        <f>IFERROR(VLOOKUP(A14,Estimate!A:Q,17,FALSE)," ")</f>
        <v>22050</v>
      </c>
      <c r="F14" s="202">
        <v>1</v>
      </c>
      <c r="G14" s="202">
        <v>1</v>
      </c>
      <c r="H14" s="203">
        <v>22050</v>
      </c>
      <c r="I14" s="203">
        <v>22050</v>
      </c>
      <c r="J14" s="203">
        <v>22050</v>
      </c>
      <c r="K14" s="203"/>
      <c r="L14" s="202">
        <v>1</v>
      </c>
      <c r="M14" s="204">
        <f t="shared" si="3"/>
        <v>1</v>
      </c>
      <c r="N14" s="95">
        <v>1</v>
      </c>
      <c r="O14" s="204">
        <f t="shared" si="3"/>
        <v>1</v>
      </c>
      <c r="P14" s="95">
        <v>1</v>
      </c>
      <c r="Q14" s="204">
        <f t="shared" ref="Q14:S14" si="45">IFERROR(P14/$G14," ")</f>
        <v>1</v>
      </c>
      <c r="R14" s="95">
        <v>1</v>
      </c>
      <c r="S14" s="204">
        <f t="shared" si="45"/>
        <v>1</v>
      </c>
      <c r="T14" s="95">
        <v>1</v>
      </c>
      <c r="U14" s="204">
        <f t="shared" ref="U14:W14" si="46">IFERROR(T14/$G14," ")</f>
        <v>1</v>
      </c>
      <c r="V14" s="95">
        <v>1</v>
      </c>
      <c r="W14" s="204">
        <f t="shared" si="46"/>
        <v>1</v>
      </c>
      <c r="X14" s="95">
        <v>1</v>
      </c>
      <c r="Y14" s="204">
        <f t="shared" ref="Y14:AA14" si="47">IFERROR(X14/$G14," ")</f>
        <v>1</v>
      </c>
      <c r="Z14" s="95">
        <v>1</v>
      </c>
      <c r="AA14" s="204">
        <f t="shared" si="47"/>
        <v>1</v>
      </c>
      <c r="AB14" s="95">
        <v>1</v>
      </c>
      <c r="AC14" s="204">
        <f t="shared" ref="AC14:AE14" si="48">IFERROR(AB14/$G14," ")</f>
        <v>1</v>
      </c>
      <c r="AD14" s="95">
        <v>1</v>
      </c>
      <c r="AE14" s="204">
        <f t="shared" si="48"/>
        <v>1</v>
      </c>
      <c r="AF14" s="95">
        <v>1</v>
      </c>
      <c r="AG14" s="204">
        <f t="shared" ref="AG14:AI14" si="49">IFERROR(AF14/$G14," ")</f>
        <v>1</v>
      </c>
      <c r="AH14" s="95">
        <v>1</v>
      </c>
      <c r="AI14" s="204">
        <f t="shared" si="49"/>
        <v>1</v>
      </c>
      <c r="AJ14" s="95">
        <v>1</v>
      </c>
      <c r="AK14" s="204">
        <f t="shared" ref="AK14:AM14" si="50">IFERROR(AJ14/$G14," ")</f>
        <v>1</v>
      </c>
      <c r="AL14" s="95">
        <v>1</v>
      </c>
      <c r="AM14" s="204">
        <f t="shared" si="50"/>
        <v>1</v>
      </c>
      <c r="AN14" s="95"/>
      <c r="AO14" s="94">
        <f t="shared" si="10"/>
        <v>22050</v>
      </c>
      <c r="AP14" s="94">
        <f t="shared" si="0"/>
        <v>22050</v>
      </c>
      <c r="AQ14" s="94">
        <f t="shared" si="1"/>
        <v>22050</v>
      </c>
      <c r="AR14" s="94">
        <f t="shared" si="2"/>
        <v>22050</v>
      </c>
      <c r="AS14" s="94">
        <f t="shared" si="11"/>
        <v>22050</v>
      </c>
      <c r="AT14" s="94">
        <f t="shared" si="12"/>
        <v>22050</v>
      </c>
      <c r="AU14" s="94">
        <f t="shared" si="13"/>
        <v>22050</v>
      </c>
      <c r="AV14" s="94">
        <f t="shared" si="14"/>
        <v>22050</v>
      </c>
      <c r="AW14" s="94">
        <f t="shared" si="15"/>
        <v>22050</v>
      </c>
      <c r="AX14" s="94">
        <f t="shared" si="16"/>
        <v>22050</v>
      </c>
      <c r="AY14" s="94">
        <f t="shared" si="17"/>
        <v>22050</v>
      </c>
      <c r="AZ14" s="94">
        <f t="shared" si="18"/>
        <v>22050</v>
      </c>
      <c r="BA14" s="94">
        <f t="shared" si="19"/>
        <v>22050</v>
      </c>
      <c r="BB14" s="94">
        <f t="shared" si="20"/>
        <v>22050</v>
      </c>
    </row>
    <row r="15" spans="1:54" x14ac:dyDescent="0.25">
      <c r="A15" s="80"/>
      <c r="B15" s="95" t="s">
        <v>2417</v>
      </c>
      <c r="C15" s="201" t="s">
        <v>2837</v>
      </c>
      <c r="D15" s="80" t="s">
        <v>783</v>
      </c>
      <c r="E15" s="94" t="str">
        <f>IFERROR(VLOOKUP(A15,Estimate!A:Q,17,FALSE)," ")</f>
        <v xml:space="preserve"> </v>
      </c>
      <c r="F15" s="202" t="s">
        <v>781</v>
      </c>
      <c r="G15" s="202" t="s">
        <v>781</v>
      </c>
      <c r="H15" s="203" t="s">
        <v>781</v>
      </c>
      <c r="I15" s="203" t="s">
        <v>781</v>
      </c>
      <c r="J15" s="203" t="s">
        <v>781</v>
      </c>
      <c r="K15" s="203"/>
      <c r="L15" s="202" t="s">
        <v>781</v>
      </c>
      <c r="M15" s="204" t="str">
        <f t="shared" si="3"/>
        <v xml:space="preserve"> </v>
      </c>
      <c r="N15" s="95" t="s">
        <v>781</v>
      </c>
      <c r="O15" s="204" t="str">
        <f t="shared" si="3"/>
        <v xml:space="preserve"> </v>
      </c>
      <c r="P15" s="95" t="s">
        <v>781</v>
      </c>
      <c r="Q15" s="204" t="str">
        <f t="shared" ref="Q15:S15" si="51">IFERROR(P15/$G15," ")</f>
        <v xml:space="preserve"> </v>
      </c>
      <c r="R15" s="95" t="s">
        <v>781</v>
      </c>
      <c r="S15" s="204" t="str">
        <f t="shared" si="51"/>
        <v xml:space="preserve"> </v>
      </c>
      <c r="T15" s="95" t="s">
        <v>781</v>
      </c>
      <c r="U15" s="204" t="str">
        <f t="shared" ref="U15:W15" si="52">IFERROR(T15/$G15," ")</f>
        <v xml:space="preserve"> </v>
      </c>
      <c r="V15" s="95" t="s">
        <v>781</v>
      </c>
      <c r="W15" s="204" t="str">
        <f t="shared" si="52"/>
        <v xml:space="preserve"> </v>
      </c>
      <c r="X15" s="95" t="s">
        <v>781</v>
      </c>
      <c r="Y15" s="204" t="str">
        <f t="shared" ref="Y15:AA15" si="53">IFERROR(X15/$G15," ")</f>
        <v xml:space="preserve"> </v>
      </c>
      <c r="Z15" s="95" t="s">
        <v>781</v>
      </c>
      <c r="AA15" s="204" t="str">
        <f t="shared" si="53"/>
        <v xml:space="preserve"> </v>
      </c>
      <c r="AB15" s="95" t="s">
        <v>781</v>
      </c>
      <c r="AC15" s="204" t="str">
        <f t="shared" ref="AC15:AE15" si="54">IFERROR(AB15/$G15," ")</f>
        <v xml:space="preserve"> </v>
      </c>
      <c r="AD15" s="95" t="s">
        <v>781</v>
      </c>
      <c r="AE15" s="204" t="str">
        <f t="shared" si="54"/>
        <v xml:space="preserve"> </v>
      </c>
      <c r="AF15" s="95" t="s">
        <v>781</v>
      </c>
      <c r="AG15" s="204" t="str">
        <f t="shared" ref="AG15:AI15" si="55">IFERROR(AF15/$G15," ")</f>
        <v xml:space="preserve"> </v>
      </c>
      <c r="AH15" s="95" t="s">
        <v>781</v>
      </c>
      <c r="AI15" s="204" t="str">
        <f t="shared" si="55"/>
        <v xml:space="preserve"> </v>
      </c>
      <c r="AJ15" s="95" t="s">
        <v>781</v>
      </c>
      <c r="AK15" s="204" t="str">
        <f t="shared" ref="AK15:AM15" si="56">IFERROR(AJ15/$G15," ")</f>
        <v xml:space="preserve"> </v>
      </c>
      <c r="AL15" s="95" t="s">
        <v>781</v>
      </c>
      <c r="AM15" s="204" t="str">
        <f t="shared" si="56"/>
        <v xml:space="preserve"> </v>
      </c>
      <c r="AN15" s="95"/>
      <c r="AO15" s="94" t="str">
        <f t="shared" si="10"/>
        <v xml:space="preserve"> </v>
      </c>
      <c r="AP15" s="94" t="str">
        <f t="shared" si="0"/>
        <v xml:space="preserve"> </v>
      </c>
      <c r="AQ15" s="94" t="str">
        <f t="shared" si="1"/>
        <v xml:space="preserve"> </v>
      </c>
      <c r="AR15" s="94" t="str">
        <f t="shared" si="2"/>
        <v xml:space="preserve"> </v>
      </c>
      <c r="AS15" s="94" t="str">
        <f t="shared" si="11"/>
        <v xml:space="preserve"> </v>
      </c>
      <c r="AT15" s="94" t="str">
        <f t="shared" si="12"/>
        <v xml:space="preserve"> </v>
      </c>
      <c r="AU15" s="94" t="str">
        <f t="shared" si="13"/>
        <v xml:space="preserve"> </v>
      </c>
      <c r="AV15" s="94" t="str">
        <f t="shared" si="14"/>
        <v xml:space="preserve"> </v>
      </c>
      <c r="AW15" s="94" t="str">
        <f t="shared" si="15"/>
        <v xml:space="preserve"> </v>
      </c>
      <c r="AX15" s="94" t="str">
        <f t="shared" si="16"/>
        <v xml:space="preserve"> </v>
      </c>
      <c r="AY15" s="94" t="str">
        <f t="shared" si="17"/>
        <v xml:space="preserve"> </v>
      </c>
      <c r="AZ15" s="94" t="str">
        <f t="shared" si="18"/>
        <v xml:space="preserve"> </v>
      </c>
      <c r="BA15" s="94" t="str">
        <f t="shared" si="19"/>
        <v xml:space="preserve"> </v>
      </c>
      <c r="BB15" s="94" t="str">
        <f t="shared" si="20"/>
        <v xml:space="preserve"> </v>
      </c>
    </row>
    <row r="16" spans="1:54" x14ac:dyDescent="0.25">
      <c r="A16" s="80"/>
      <c r="B16" s="95" t="s">
        <v>2417</v>
      </c>
      <c r="C16" s="201" t="s">
        <v>50</v>
      </c>
      <c r="D16" s="80" t="s">
        <v>783</v>
      </c>
      <c r="E16" s="94" t="str">
        <f>IFERROR(VLOOKUP(A16,Estimate!A:Q,17,FALSE)," ")</f>
        <v xml:space="preserve"> </v>
      </c>
      <c r="F16" s="202" t="s">
        <v>781</v>
      </c>
      <c r="G16" s="202" t="s">
        <v>781</v>
      </c>
      <c r="H16" s="203" t="s">
        <v>781</v>
      </c>
      <c r="I16" s="203" t="s">
        <v>781</v>
      </c>
      <c r="J16" s="203" t="s">
        <v>781</v>
      </c>
      <c r="K16" s="203"/>
      <c r="L16" s="202" t="s">
        <v>781</v>
      </c>
      <c r="M16" s="204" t="str">
        <f t="shared" si="3"/>
        <v xml:space="preserve"> </v>
      </c>
      <c r="N16" s="95" t="s">
        <v>781</v>
      </c>
      <c r="O16" s="204" t="str">
        <f t="shared" si="3"/>
        <v xml:space="preserve"> </v>
      </c>
      <c r="P16" s="95" t="s">
        <v>781</v>
      </c>
      <c r="Q16" s="204" t="str">
        <f t="shared" ref="Q16:S16" si="57">IFERROR(P16/$G16," ")</f>
        <v xml:space="preserve"> </v>
      </c>
      <c r="R16" s="95" t="s">
        <v>781</v>
      </c>
      <c r="S16" s="204" t="str">
        <f t="shared" si="57"/>
        <v xml:space="preserve"> </v>
      </c>
      <c r="T16" s="95" t="s">
        <v>781</v>
      </c>
      <c r="U16" s="204" t="str">
        <f t="shared" ref="U16:W16" si="58">IFERROR(T16/$G16," ")</f>
        <v xml:space="preserve"> </v>
      </c>
      <c r="V16" s="95" t="s">
        <v>781</v>
      </c>
      <c r="W16" s="204" t="str">
        <f t="shared" si="58"/>
        <v xml:space="preserve"> </v>
      </c>
      <c r="X16" s="95" t="s">
        <v>781</v>
      </c>
      <c r="Y16" s="204" t="str">
        <f t="shared" ref="Y16:AA16" si="59">IFERROR(X16/$G16," ")</f>
        <v xml:space="preserve"> </v>
      </c>
      <c r="Z16" s="95" t="s">
        <v>781</v>
      </c>
      <c r="AA16" s="204" t="str">
        <f t="shared" si="59"/>
        <v xml:space="preserve"> </v>
      </c>
      <c r="AB16" s="95" t="s">
        <v>781</v>
      </c>
      <c r="AC16" s="204" t="str">
        <f t="shared" ref="AC16:AE16" si="60">IFERROR(AB16/$G16," ")</f>
        <v xml:space="preserve"> </v>
      </c>
      <c r="AD16" s="95" t="s">
        <v>781</v>
      </c>
      <c r="AE16" s="204" t="str">
        <f t="shared" si="60"/>
        <v xml:space="preserve"> </v>
      </c>
      <c r="AF16" s="95" t="s">
        <v>781</v>
      </c>
      <c r="AG16" s="204" t="str">
        <f t="shared" ref="AG16:AI16" si="61">IFERROR(AF16/$G16," ")</f>
        <v xml:space="preserve"> </v>
      </c>
      <c r="AH16" s="95" t="s">
        <v>781</v>
      </c>
      <c r="AI16" s="204" t="str">
        <f t="shared" si="61"/>
        <v xml:space="preserve"> </v>
      </c>
      <c r="AJ16" s="95" t="s">
        <v>781</v>
      </c>
      <c r="AK16" s="204" t="str">
        <f t="shared" ref="AK16:AM16" si="62">IFERROR(AJ16/$G16," ")</f>
        <v xml:space="preserve"> </v>
      </c>
      <c r="AL16" s="95" t="s">
        <v>781</v>
      </c>
      <c r="AM16" s="204" t="str">
        <f t="shared" si="62"/>
        <v xml:space="preserve"> </v>
      </c>
      <c r="AN16" s="95"/>
      <c r="AO16" s="94" t="str">
        <f t="shared" si="10"/>
        <v xml:space="preserve"> </v>
      </c>
      <c r="AP16" s="94" t="str">
        <f t="shared" si="0"/>
        <v xml:space="preserve"> </v>
      </c>
      <c r="AQ16" s="94" t="str">
        <f t="shared" si="1"/>
        <v xml:space="preserve"> </v>
      </c>
      <c r="AR16" s="94" t="str">
        <f t="shared" si="2"/>
        <v xml:space="preserve"> </v>
      </c>
      <c r="AS16" s="94" t="str">
        <f t="shared" si="11"/>
        <v xml:space="preserve"> </v>
      </c>
      <c r="AT16" s="94" t="str">
        <f t="shared" si="12"/>
        <v xml:space="preserve"> </v>
      </c>
      <c r="AU16" s="94" t="str">
        <f t="shared" si="13"/>
        <v xml:space="preserve"> </v>
      </c>
      <c r="AV16" s="94" t="str">
        <f t="shared" si="14"/>
        <v xml:space="preserve"> </v>
      </c>
      <c r="AW16" s="94" t="str">
        <f t="shared" si="15"/>
        <v xml:space="preserve"> </v>
      </c>
      <c r="AX16" s="94" t="str">
        <f t="shared" si="16"/>
        <v xml:space="preserve"> </v>
      </c>
      <c r="AY16" s="94" t="str">
        <f t="shared" si="17"/>
        <v xml:space="preserve"> </v>
      </c>
      <c r="AZ16" s="94" t="str">
        <f t="shared" si="18"/>
        <v xml:space="preserve"> </v>
      </c>
      <c r="BA16" s="94" t="str">
        <f t="shared" si="19"/>
        <v xml:space="preserve"> </v>
      </c>
      <c r="BB16" s="94" t="str">
        <f t="shared" si="20"/>
        <v xml:space="preserve"> </v>
      </c>
    </row>
    <row r="17" spans="1:54" x14ac:dyDescent="0.25">
      <c r="A17" s="80"/>
      <c r="B17" s="95" t="s">
        <v>2840</v>
      </c>
      <c r="C17" s="201" t="s">
        <v>52</v>
      </c>
      <c r="D17" s="80" t="s">
        <v>783</v>
      </c>
      <c r="E17" s="94" t="str">
        <f>IFERROR(VLOOKUP(A17,Estimate!A:Q,17,FALSE)," ")</f>
        <v xml:space="preserve"> </v>
      </c>
      <c r="F17" s="202" t="s">
        <v>781</v>
      </c>
      <c r="G17" s="202" t="s">
        <v>781</v>
      </c>
      <c r="H17" s="203" t="s">
        <v>781</v>
      </c>
      <c r="I17" s="203" t="s">
        <v>781</v>
      </c>
      <c r="J17" s="203" t="s">
        <v>781</v>
      </c>
      <c r="K17" s="203"/>
      <c r="L17" s="202" t="s">
        <v>781</v>
      </c>
      <c r="M17" s="204" t="str">
        <f t="shared" si="3"/>
        <v xml:space="preserve"> </v>
      </c>
      <c r="N17" s="95" t="s">
        <v>781</v>
      </c>
      <c r="O17" s="204" t="str">
        <f t="shared" si="3"/>
        <v xml:space="preserve"> </v>
      </c>
      <c r="P17" s="95" t="s">
        <v>781</v>
      </c>
      <c r="Q17" s="204" t="str">
        <f t="shared" ref="Q17:S17" si="63">IFERROR(P17/$G17," ")</f>
        <v xml:space="preserve"> </v>
      </c>
      <c r="R17" s="95" t="s">
        <v>781</v>
      </c>
      <c r="S17" s="204" t="str">
        <f t="shared" si="63"/>
        <v xml:space="preserve"> </v>
      </c>
      <c r="T17" s="95" t="s">
        <v>781</v>
      </c>
      <c r="U17" s="204" t="str">
        <f t="shared" ref="U17:W17" si="64">IFERROR(T17/$G17," ")</f>
        <v xml:space="preserve"> </v>
      </c>
      <c r="V17" s="95" t="s">
        <v>781</v>
      </c>
      <c r="W17" s="204" t="str">
        <f t="shared" si="64"/>
        <v xml:space="preserve"> </v>
      </c>
      <c r="X17" s="95" t="s">
        <v>781</v>
      </c>
      <c r="Y17" s="204" t="str">
        <f t="shared" ref="Y17:AA17" si="65">IFERROR(X17/$G17," ")</f>
        <v xml:space="preserve"> </v>
      </c>
      <c r="Z17" s="95" t="s">
        <v>781</v>
      </c>
      <c r="AA17" s="204" t="str">
        <f t="shared" si="65"/>
        <v xml:space="preserve"> </v>
      </c>
      <c r="AB17" s="95" t="s">
        <v>781</v>
      </c>
      <c r="AC17" s="204" t="str">
        <f t="shared" ref="AC17:AE17" si="66">IFERROR(AB17/$G17," ")</f>
        <v xml:space="preserve"> </v>
      </c>
      <c r="AD17" s="95" t="s">
        <v>781</v>
      </c>
      <c r="AE17" s="204" t="str">
        <f t="shared" si="66"/>
        <v xml:space="preserve"> </v>
      </c>
      <c r="AF17" s="95" t="s">
        <v>781</v>
      </c>
      <c r="AG17" s="204" t="str">
        <f t="shared" ref="AG17:AI17" si="67">IFERROR(AF17/$G17," ")</f>
        <v xml:space="preserve"> </v>
      </c>
      <c r="AH17" s="95" t="s">
        <v>781</v>
      </c>
      <c r="AI17" s="204" t="str">
        <f t="shared" si="67"/>
        <v xml:space="preserve"> </v>
      </c>
      <c r="AJ17" s="95" t="s">
        <v>781</v>
      </c>
      <c r="AK17" s="204" t="str">
        <f t="shared" ref="AK17:AM17" si="68">IFERROR(AJ17/$G17," ")</f>
        <v xml:space="preserve"> </v>
      </c>
      <c r="AL17" s="95" t="s">
        <v>781</v>
      </c>
      <c r="AM17" s="204" t="str">
        <f t="shared" si="68"/>
        <v xml:space="preserve"> </v>
      </c>
      <c r="AN17" s="95"/>
      <c r="AO17" s="94" t="str">
        <f t="shared" si="10"/>
        <v xml:space="preserve"> </v>
      </c>
      <c r="AP17" s="94" t="str">
        <f t="shared" si="0"/>
        <v xml:space="preserve"> </v>
      </c>
      <c r="AQ17" s="94" t="str">
        <f t="shared" si="1"/>
        <v xml:space="preserve"> </v>
      </c>
      <c r="AR17" s="94" t="str">
        <f t="shared" si="2"/>
        <v xml:space="preserve"> </v>
      </c>
      <c r="AS17" s="94" t="str">
        <f t="shared" si="11"/>
        <v xml:space="preserve"> </v>
      </c>
      <c r="AT17" s="94" t="str">
        <f t="shared" si="12"/>
        <v xml:space="preserve"> </v>
      </c>
      <c r="AU17" s="94" t="str">
        <f t="shared" si="13"/>
        <v xml:space="preserve"> </v>
      </c>
      <c r="AV17" s="94" t="str">
        <f t="shared" si="14"/>
        <v xml:space="preserve"> </v>
      </c>
      <c r="AW17" s="94" t="str">
        <f t="shared" si="15"/>
        <v xml:space="preserve"> </v>
      </c>
      <c r="AX17" s="94" t="str">
        <f t="shared" si="16"/>
        <v xml:space="preserve"> </v>
      </c>
      <c r="AY17" s="94" t="str">
        <f t="shared" si="17"/>
        <v xml:space="preserve"> </v>
      </c>
      <c r="AZ17" s="94" t="str">
        <f t="shared" si="18"/>
        <v xml:space="preserve"> </v>
      </c>
      <c r="BA17" s="94" t="str">
        <f t="shared" si="19"/>
        <v xml:space="preserve"> </v>
      </c>
      <c r="BB17" s="94" t="str">
        <f t="shared" si="20"/>
        <v xml:space="preserve"> </v>
      </c>
    </row>
    <row r="18" spans="1:54" x14ac:dyDescent="0.25">
      <c r="A18" s="80">
        <v>8</v>
      </c>
      <c r="B18" s="95" t="s">
        <v>2841</v>
      </c>
      <c r="C18" s="201" t="s">
        <v>54</v>
      </c>
      <c r="D18" s="80" t="s">
        <v>20</v>
      </c>
      <c r="E18" s="94">
        <f>IFERROR(VLOOKUP(A18,Estimate!A:Q,17,FALSE)," ")</f>
        <v>11646.24</v>
      </c>
      <c r="F18" s="202">
        <v>1</v>
      </c>
      <c r="G18" s="202">
        <v>1</v>
      </c>
      <c r="H18" s="203">
        <v>14630.33</v>
      </c>
      <c r="I18" s="203">
        <v>14630.33</v>
      </c>
      <c r="J18" s="203">
        <v>14630.33</v>
      </c>
      <c r="K18" s="203"/>
      <c r="L18" s="202">
        <v>0.8</v>
      </c>
      <c r="M18" s="204">
        <f t="shared" si="3"/>
        <v>0.8</v>
      </c>
      <c r="N18" s="95">
        <v>0.8</v>
      </c>
      <c r="O18" s="204">
        <f t="shared" si="3"/>
        <v>0.8</v>
      </c>
      <c r="P18" s="95">
        <v>0.8</v>
      </c>
      <c r="Q18" s="204">
        <f t="shared" ref="Q18:S18" si="69">IFERROR(P18/$G18," ")</f>
        <v>0.8</v>
      </c>
      <c r="R18" s="95">
        <v>0.8</v>
      </c>
      <c r="S18" s="204">
        <f t="shared" si="69"/>
        <v>0.8</v>
      </c>
      <c r="T18" s="95">
        <v>0.8</v>
      </c>
      <c r="U18" s="204">
        <f t="shared" ref="U18:W18" si="70">IFERROR(T18/$G18," ")</f>
        <v>0.8</v>
      </c>
      <c r="V18" s="95">
        <v>0.8</v>
      </c>
      <c r="W18" s="204">
        <f t="shared" si="70"/>
        <v>0.8</v>
      </c>
      <c r="X18" s="95">
        <v>0.8</v>
      </c>
      <c r="Y18" s="204">
        <f t="shared" ref="Y18:AA18" si="71">IFERROR(X18/$G18," ")</f>
        <v>0.8</v>
      </c>
      <c r="Z18" s="95">
        <v>1</v>
      </c>
      <c r="AA18" s="204">
        <f t="shared" si="71"/>
        <v>1</v>
      </c>
      <c r="AB18" s="95">
        <v>1</v>
      </c>
      <c r="AC18" s="204">
        <f t="shared" ref="AC18:AE18" si="72">IFERROR(AB18/$G18," ")</f>
        <v>1</v>
      </c>
      <c r="AD18" s="95">
        <v>1</v>
      </c>
      <c r="AE18" s="204">
        <f t="shared" si="72"/>
        <v>1</v>
      </c>
      <c r="AF18" s="95">
        <v>1</v>
      </c>
      <c r="AG18" s="204">
        <f t="shared" ref="AG18:AI18" si="73">IFERROR(AF18/$G18," ")</f>
        <v>1</v>
      </c>
      <c r="AH18" s="95">
        <v>1</v>
      </c>
      <c r="AI18" s="204">
        <f t="shared" si="73"/>
        <v>1</v>
      </c>
      <c r="AJ18" s="95">
        <v>1</v>
      </c>
      <c r="AK18" s="204">
        <f t="shared" ref="AK18:AM18" si="74">IFERROR(AJ18/$G18," ")</f>
        <v>1</v>
      </c>
      <c r="AL18" s="95">
        <v>1</v>
      </c>
      <c r="AM18" s="204">
        <f t="shared" si="74"/>
        <v>1</v>
      </c>
      <c r="AN18" s="95"/>
      <c r="AO18" s="94">
        <f t="shared" si="10"/>
        <v>11704.264000000001</v>
      </c>
      <c r="AP18" s="94">
        <f t="shared" si="0"/>
        <v>11704.264000000001</v>
      </c>
      <c r="AQ18" s="94">
        <f t="shared" si="1"/>
        <v>11704.264000000001</v>
      </c>
      <c r="AR18" s="94">
        <f t="shared" si="2"/>
        <v>11704.264000000001</v>
      </c>
      <c r="AS18" s="94">
        <f t="shared" si="11"/>
        <v>11704.264000000001</v>
      </c>
      <c r="AT18" s="94">
        <f t="shared" si="12"/>
        <v>11704.264000000001</v>
      </c>
      <c r="AU18" s="94">
        <f t="shared" si="13"/>
        <v>11704.264000000001</v>
      </c>
      <c r="AV18" s="94">
        <f t="shared" si="14"/>
        <v>14630.33</v>
      </c>
      <c r="AW18" s="94">
        <f t="shared" si="15"/>
        <v>14630.33</v>
      </c>
      <c r="AX18" s="94">
        <f t="shared" si="16"/>
        <v>14630.33</v>
      </c>
      <c r="AY18" s="94">
        <f t="shared" si="17"/>
        <v>14630.33</v>
      </c>
      <c r="AZ18" s="94">
        <f t="shared" si="18"/>
        <v>14630.33</v>
      </c>
      <c r="BA18" s="94">
        <f t="shared" si="19"/>
        <v>14630.33</v>
      </c>
      <c r="BB18" s="94">
        <f t="shared" si="20"/>
        <v>14630.33</v>
      </c>
    </row>
    <row r="19" spans="1:54" ht="30" x14ac:dyDescent="0.25">
      <c r="A19" s="80"/>
      <c r="B19" s="95" t="s">
        <v>2842</v>
      </c>
      <c r="C19" s="201" t="s">
        <v>57</v>
      </c>
      <c r="D19" s="80" t="s">
        <v>20</v>
      </c>
      <c r="E19" s="94" t="str">
        <f>IFERROR(VLOOKUP(A19,Estimate!A:Q,17,FALSE)," ")</f>
        <v xml:space="preserve"> </v>
      </c>
      <c r="F19" s="202">
        <v>1</v>
      </c>
      <c r="G19" s="202">
        <v>1</v>
      </c>
      <c r="H19" s="203"/>
      <c r="I19" s="203"/>
      <c r="J19" s="203"/>
      <c r="K19" s="203"/>
      <c r="L19" s="202"/>
      <c r="M19" s="204">
        <f t="shared" si="3"/>
        <v>0</v>
      </c>
      <c r="N19" s="95"/>
      <c r="O19" s="204">
        <f t="shared" si="3"/>
        <v>0</v>
      </c>
      <c r="P19" s="95"/>
      <c r="Q19" s="204">
        <f t="shared" ref="Q19:S19" si="75">IFERROR(P19/$G19," ")</f>
        <v>0</v>
      </c>
      <c r="R19" s="95"/>
      <c r="S19" s="204">
        <f t="shared" si="75"/>
        <v>0</v>
      </c>
      <c r="T19" s="95"/>
      <c r="U19" s="204">
        <f t="shared" ref="U19:W19" si="76">IFERROR(T19/$G19," ")</f>
        <v>0</v>
      </c>
      <c r="V19" s="95"/>
      <c r="W19" s="204">
        <f t="shared" si="76"/>
        <v>0</v>
      </c>
      <c r="X19" s="95"/>
      <c r="Y19" s="204">
        <f t="shared" ref="Y19:AA19" si="77">IFERROR(X19/$G19," ")</f>
        <v>0</v>
      </c>
      <c r="Z19" s="95"/>
      <c r="AA19" s="204">
        <f t="shared" si="77"/>
        <v>0</v>
      </c>
      <c r="AB19" s="95"/>
      <c r="AC19" s="204">
        <f t="shared" ref="AC19:AE19" si="78">IFERROR(AB19/$G19," ")</f>
        <v>0</v>
      </c>
      <c r="AD19" s="95"/>
      <c r="AE19" s="204">
        <f t="shared" si="78"/>
        <v>0</v>
      </c>
      <c r="AF19" s="95"/>
      <c r="AG19" s="204">
        <f t="shared" ref="AG19:AI19" si="79">IFERROR(AF19/$G19," ")</f>
        <v>0</v>
      </c>
      <c r="AH19" s="95"/>
      <c r="AI19" s="204">
        <f t="shared" si="79"/>
        <v>0</v>
      </c>
      <c r="AJ19" s="95"/>
      <c r="AK19" s="204">
        <f t="shared" ref="AK19:AM19" si="80">IFERROR(AJ19/$G19," ")</f>
        <v>0</v>
      </c>
      <c r="AL19" s="95"/>
      <c r="AM19" s="204">
        <f t="shared" si="80"/>
        <v>0</v>
      </c>
      <c r="AN19" s="95"/>
      <c r="AO19" s="94">
        <f t="shared" si="10"/>
        <v>0</v>
      </c>
      <c r="AP19" s="94">
        <f t="shared" si="0"/>
        <v>0</v>
      </c>
      <c r="AQ19" s="94">
        <f t="shared" si="1"/>
        <v>0</v>
      </c>
      <c r="AR19" s="94">
        <f t="shared" si="2"/>
        <v>0</v>
      </c>
      <c r="AS19" s="94">
        <f t="shared" si="11"/>
        <v>0</v>
      </c>
      <c r="AT19" s="94">
        <f t="shared" si="12"/>
        <v>0</v>
      </c>
      <c r="AU19" s="94">
        <f t="shared" si="13"/>
        <v>0</v>
      </c>
      <c r="AV19" s="94">
        <f t="shared" si="14"/>
        <v>0</v>
      </c>
      <c r="AW19" s="94">
        <f t="shared" si="15"/>
        <v>0</v>
      </c>
      <c r="AX19" s="94">
        <f t="shared" si="16"/>
        <v>0</v>
      </c>
      <c r="AY19" s="94">
        <f t="shared" si="17"/>
        <v>0</v>
      </c>
      <c r="AZ19" s="94">
        <f t="shared" si="18"/>
        <v>0</v>
      </c>
      <c r="BA19" s="94">
        <f t="shared" si="19"/>
        <v>0</v>
      </c>
      <c r="BB19" s="94">
        <f t="shared" si="20"/>
        <v>0</v>
      </c>
    </row>
    <row r="20" spans="1:54" x14ac:dyDescent="0.25">
      <c r="A20" s="80"/>
      <c r="B20" s="95" t="s">
        <v>2843</v>
      </c>
      <c r="C20" s="201" t="s">
        <v>59</v>
      </c>
      <c r="D20" s="80" t="s">
        <v>783</v>
      </c>
      <c r="E20" s="94" t="str">
        <f>IFERROR(VLOOKUP(A20,Estimate!A:Q,17,FALSE)," ")</f>
        <v xml:space="preserve"> </v>
      </c>
      <c r="F20" s="202" t="s">
        <v>781</v>
      </c>
      <c r="G20" s="202" t="s">
        <v>781</v>
      </c>
      <c r="H20" s="203" t="s">
        <v>781</v>
      </c>
      <c r="I20" s="203" t="s">
        <v>781</v>
      </c>
      <c r="J20" s="203" t="s">
        <v>781</v>
      </c>
      <c r="K20" s="203"/>
      <c r="L20" s="202" t="s">
        <v>781</v>
      </c>
      <c r="M20" s="204" t="str">
        <f t="shared" si="3"/>
        <v xml:space="preserve"> </v>
      </c>
      <c r="N20" s="95" t="s">
        <v>781</v>
      </c>
      <c r="O20" s="204" t="str">
        <f t="shared" si="3"/>
        <v xml:space="preserve"> </v>
      </c>
      <c r="P20" s="95" t="s">
        <v>781</v>
      </c>
      <c r="Q20" s="204" t="str">
        <f t="shared" ref="Q20:S20" si="81">IFERROR(P20/$G20," ")</f>
        <v xml:space="preserve"> </v>
      </c>
      <c r="R20" s="95" t="s">
        <v>781</v>
      </c>
      <c r="S20" s="204" t="str">
        <f t="shared" si="81"/>
        <v xml:space="preserve"> </v>
      </c>
      <c r="T20" s="95" t="s">
        <v>781</v>
      </c>
      <c r="U20" s="204" t="str">
        <f t="shared" ref="U20:W20" si="82">IFERROR(T20/$G20," ")</f>
        <v xml:space="preserve"> </v>
      </c>
      <c r="V20" s="95" t="s">
        <v>781</v>
      </c>
      <c r="W20" s="204" t="str">
        <f t="shared" si="82"/>
        <v xml:space="preserve"> </v>
      </c>
      <c r="X20" s="95" t="s">
        <v>781</v>
      </c>
      <c r="Y20" s="204" t="str">
        <f t="shared" ref="Y20:AA20" si="83">IFERROR(X20/$G20," ")</f>
        <v xml:space="preserve"> </v>
      </c>
      <c r="Z20" s="95" t="s">
        <v>781</v>
      </c>
      <c r="AA20" s="204" t="str">
        <f t="shared" si="83"/>
        <v xml:space="preserve"> </v>
      </c>
      <c r="AB20" s="95" t="s">
        <v>781</v>
      </c>
      <c r="AC20" s="204" t="str">
        <f t="shared" ref="AC20:AE20" si="84">IFERROR(AB20/$G20," ")</f>
        <v xml:space="preserve"> </v>
      </c>
      <c r="AD20" s="95" t="s">
        <v>781</v>
      </c>
      <c r="AE20" s="204" t="str">
        <f t="shared" si="84"/>
        <v xml:space="preserve"> </v>
      </c>
      <c r="AF20" s="95" t="s">
        <v>781</v>
      </c>
      <c r="AG20" s="204" t="str">
        <f t="shared" ref="AG20:AI20" si="85">IFERROR(AF20/$G20," ")</f>
        <v xml:space="preserve"> </v>
      </c>
      <c r="AH20" s="95" t="s">
        <v>781</v>
      </c>
      <c r="AI20" s="204" t="str">
        <f t="shared" si="85"/>
        <v xml:space="preserve"> </v>
      </c>
      <c r="AJ20" s="95" t="s">
        <v>781</v>
      </c>
      <c r="AK20" s="204" t="str">
        <f t="shared" ref="AK20:AM20" si="86">IFERROR(AJ20/$G20," ")</f>
        <v xml:space="preserve"> </v>
      </c>
      <c r="AL20" s="95" t="s">
        <v>781</v>
      </c>
      <c r="AM20" s="204" t="str">
        <f t="shared" si="86"/>
        <v xml:space="preserve"> </v>
      </c>
      <c r="AN20" s="95"/>
      <c r="AO20" s="94" t="str">
        <f t="shared" si="10"/>
        <v xml:space="preserve"> </v>
      </c>
      <c r="AP20" s="94" t="str">
        <f t="shared" si="0"/>
        <v xml:space="preserve"> </v>
      </c>
      <c r="AQ20" s="94" t="str">
        <f t="shared" si="1"/>
        <v xml:space="preserve"> </v>
      </c>
      <c r="AR20" s="94" t="str">
        <f t="shared" si="2"/>
        <v xml:space="preserve"> </v>
      </c>
      <c r="AS20" s="94" t="str">
        <f t="shared" si="11"/>
        <v xml:space="preserve"> </v>
      </c>
      <c r="AT20" s="94" t="str">
        <f t="shared" si="12"/>
        <v xml:space="preserve"> </v>
      </c>
      <c r="AU20" s="94" t="str">
        <f t="shared" si="13"/>
        <v xml:space="preserve"> </v>
      </c>
      <c r="AV20" s="94" t="str">
        <f t="shared" si="14"/>
        <v xml:space="preserve"> </v>
      </c>
      <c r="AW20" s="94" t="str">
        <f t="shared" si="15"/>
        <v xml:space="preserve"> </v>
      </c>
      <c r="AX20" s="94" t="str">
        <f t="shared" si="16"/>
        <v xml:space="preserve"> </v>
      </c>
      <c r="AY20" s="94" t="str">
        <f t="shared" si="17"/>
        <v xml:space="preserve"> </v>
      </c>
      <c r="AZ20" s="94" t="str">
        <f t="shared" si="18"/>
        <v xml:space="preserve"> </v>
      </c>
      <c r="BA20" s="94" t="str">
        <f t="shared" si="19"/>
        <v xml:space="preserve"> </v>
      </c>
      <c r="BB20" s="94" t="str">
        <f t="shared" si="20"/>
        <v xml:space="preserve"> </v>
      </c>
    </row>
    <row r="21" spans="1:54" x14ac:dyDescent="0.25">
      <c r="A21" s="80">
        <v>9</v>
      </c>
      <c r="B21" s="95" t="s">
        <v>2844</v>
      </c>
      <c r="C21" s="201" t="s">
        <v>61</v>
      </c>
      <c r="D21" s="80" t="s">
        <v>62</v>
      </c>
      <c r="E21" s="94">
        <f>IFERROR(VLOOKUP(A21,Estimate!A:Q,17,FALSE)," ")</f>
        <v>2268</v>
      </c>
      <c r="F21" s="202">
        <v>60</v>
      </c>
      <c r="G21" s="202">
        <v>60</v>
      </c>
      <c r="H21" s="203">
        <v>47.49</v>
      </c>
      <c r="I21" s="203">
        <v>2849.4</v>
      </c>
      <c r="J21" s="203">
        <v>2849.4</v>
      </c>
      <c r="K21" s="203"/>
      <c r="L21" s="202">
        <v>60</v>
      </c>
      <c r="M21" s="204">
        <f t="shared" si="3"/>
        <v>1</v>
      </c>
      <c r="N21" s="95">
        <v>60</v>
      </c>
      <c r="O21" s="204">
        <f t="shared" si="3"/>
        <v>1</v>
      </c>
      <c r="P21" s="95">
        <v>60</v>
      </c>
      <c r="Q21" s="204">
        <f t="shared" ref="Q21:S21" si="87">IFERROR(P21/$G21," ")</f>
        <v>1</v>
      </c>
      <c r="R21" s="95">
        <v>60</v>
      </c>
      <c r="S21" s="204">
        <f t="shared" si="87"/>
        <v>1</v>
      </c>
      <c r="T21" s="95">
        <v>60</v>
      </c>
      <c r="U21" s="204">
        <f t="shared" ref="U21:W21" si="88">IFERROR(T21/$G21," ")</f>
        <v>1</v>
      </c>
      <c r="V21" s="95">
        <v>60</v>
      </c>
      <c r="W21" s="204">
        <f t="shared" si="88"/>
        <v>1</v>
      </c>
      <c r="X21" s="95">
        <v>60</v>
      </c>
      <c r="Y21" s="204">
        <f t="shared" ref="Y21:AA21" si="89">IFERROR(X21/$G21," ")</f>
        <v>1</v>
      </c>
      <c r="Z21" s="95">
        <v>60</v>
      </c>
      <c r="AA21" s="204">
        <f t="shared" si="89"/>
        <v>1</v>
      </c>
      <c r="AB21" s="95">
        <v>60</v>
      </c>
      <c r="AC21" s="204">
        <f t="shared" ref="AC21:AE21" si="90">IFERROR(AB21/$G21," ")</f>
        <v>1</v>
      </c>
      <c r="AD21" s="95">
        <v>60</v>
      </c>
      <c r="AE21" s="204">
        <f t="shared" si="90"/>
        <v>1</v>
      </c>
      <c r="AF21" s="95">
        <v>60</v>
      </c>
      <c r="AG21" s="204">
        <f t="shared" ref="AG21:AI21" si="91">IFERROR(AF21/$G21," ")</f>
        <v>1</v>
      </c>
      <c r="AH21" s="95">
        <v>60</v>
      </c>
      <c r="AI21" s="204">
        <f t="shared" si="91"/>
        <v>1</v>
      </c>
      <c r="AJ21" s="95">
        <v>60</v>
      </c>
      <c r="AK21" s="204">
        <f t="shared" ref="AK21:AM21" si="92">IFERROR(AJ21/$G21," ")</f>
        <v>1</v>
      </c>
      <c r="AL21" s="95">
        <v>60</v>
      </c>
      <c r="AM21" s="204">
        <f t="shared" si="92"/>
        <v>1</v>
      </c>
      <c r="AN21" s="95"/>
      <c r="AO21" s="94">
        <f t="shared" si="10"/>
        <v>2849.4</v>
      </c>
      <c r="AP21" s="94">
        <f t="shared" si="0"/>
        <v>2849.4</v>
      </c>
      <c r="AQ21" s="94">
        <f t="shared" si="1"/>
        <v>2849.4</v>
      </c>
      <c r="AR21" s="94">
        <f t="shared" si="2"/>
        <v>2849.4</v>
      </c>
      <c r="AS21" s="94">
        <f t="shared" si="11"/>
        <v>2849.4</v>
      </c>
      <c r="AT21" s="94">
        <f t="shared" si="12"/>
        <v>2849.4</v>
      </c>
      <c r="AU21" s="94">
        <f t="shared" si="13"/>
        <v>2849.4</v>
      </c>
      <c r="AV21" s="94">
        <f t="shared" si="14"/>
        <v>2849.4</v>
      </c>
      <c r="AW21" s="94">
        <f t="shared" si="15"/>
        <v>2849.4</v>
      </c>
      <c r="AX21" s="94">
        <f t="shared" si="16"/>
        <v>2849.4</v>
      </c>
      <c r="AY21" s="94">
        <f t="shared" si="17"/>
        <v>2849.4</v>
      </c>
      <c r="AZ21" s="94">
        <f t="shared" si="18"/>
        <v>2849.4</v>
      </c>
      <c r="BA21" s="94">
        <f t="shared" si="19"/>
        <v>2849.4</v>
      </c>
      <c r="BB21" s="94">
        <f t="shared" si="20"/>
        <v>2849.4</v>
      </c>
    </row>
    <row r="22" spans="1:54" ht="30" x14ac:dyDescent="0.25">
      <c r="A22" s="80">
        <v>10</v>
      </c>
      <c r="B22" s="95" t="s">
        <v>2845</v>
      </c>
      <c r="C22" s="201" t="s">
        <v>67</v>
      </c>
      <c r="D22" s="80" t="s">
        <v>62</v>
      </c>
      <c r="E22" s="94">
        <f>IFERROR(VLOOKUP(A22,Estimate!A:Q,17,FALSE)," ")</f>
        <v>655.33333333333337</v>
      </c>
      <c r="F22" s="202">
        <v>10</v>
      </c>
      <c r="G22" s="202">
        <v>10</v>
      </c>
      <c r="H22" s="203">
        <v>65.53</v>
      </c>
      <c r="I22" s="203">
        <v>655.29999999999995</v>
      </c>
      <c r="J22" s="203">
        <v>655.29999999999995</v>
      </c>
      <c r="K22" s="203"/>
      <c r="L22" s="202"/>
      <c r="M22" s="204">
        <f t="shared" si="3"/>
        <v>0</v>
      </c>
      <c r="N22" s="95"/>
      <c r="O22" s="204">
        <f t="shared" si="3"/>
        <v>0</v>
      </c>
      <c r="P22" s="95"/>
      <c r="Q22" s="204">
        <f t="shared" ref="Q22:S22" si="93">IFERROR(P22/$G22," ")</f>
        <v>0</v>
      </c>
      <c r="R22" s="95"/>
      <c r="S22" s="204">
        <f t="shared" si="93"/>
        <v>0</v>
      </c>
      <c r="T22" s="95"/>
      <c r="U22" s="204">
        <f t="shared" ref="U22:W22" si="94">IFERROR(T22/$G22," ")</f>
        <v>0</v>
      </c>
      <c r="V22" s="95"/>
      <c r="W22" s="204">
        <f t="shared" si="94"/>
        <v>0</v>
      </c>
      <c r="X22" s="95"/>
      <c r="Y22" s="204">
        <f t="shared" ref="Y22:AA22" si="95">IFERROR(X22/$G22," ")</f>
        <v>0</v>
      </c>
      <c r="Z22" s="95"/>
      <c r="AA22" s="204">
        <f t="shared" si="95"/>
        <v>0</v>
      </c>
      <c r="AB22" s="95"/>
      <c r="AC22" s="204">
        <f t="shared" ref="AC22:AE22" si="96">IFERROR(AB22/$G22," ")</f>
        <v>0</v>
      </c>
      <c r="AD22" s="95"/>
      <c r="AE22" s="204">
        <f t="shared" si="96"/>
        <v>0</v>
      </c>
      <c r="AF22" s="95"/>
      <c r="AG22" s="204">
        <f t="shared" ref="AG22:AI22" si="97">IFERROR(AF22/$G22," ")</f>
        <v>0</v>
      </c>
      <c r="AH22" s="95"/>
      <c r="AI22" s="204">
        <f t="shared" si="97"/>
        <v>0</v>
      </c>
      <c r="AJ22" s="95"/>
      <c r="AK22" s="204">
        <f t="shared" ref="AK22:AM22" si="98">IFERROR(AJ22/$G22," ")</f>
        <v>0</v>
      </c>
      <c r="AL22" s="95"/>
      <c r="AM22" s="204">
        <f t="shared" si="98"/>
        <v>0</v>
      </c>
      <c r="AN22" s="95"/>
      <c r="AO22" s="94">
        <f t="shared" si="10"/>
        <v>0</v>
      </c>
      <c r="AP22" s="94">
        <f t="shared" si="0"/>
        <v>0</v>
      </c>
      <c r="AQ22" s="94">
        <f t="shared" si="1"/>
        <v>0</v>
      </c>
      <c r="AR22" s="94">
        <f t="shared" si="2"/>
        <v>0</v>
      </c>
      <c r="AS22" s="94">
        <f t="shared" si="11"/>
        <v>0</v>
      </c>
      <c r="AT22" s="94">
        <f t="shared" si="12"/>
        <v>0</v>
      </c>
      <c r="AU22" s="94">
        <f t="shared" si="13"/>
        <v>0</v>
      </c>
      <c r="AV22" s="94">
        <f t="shared" si="14"/>
        <v>0</v>
      </c>
      <c r="AW22" s="94">
        <f t="shared" si="15"/>
        <v>0</v>
      </c>
      <c r="AX22" s="94">
        <f t="shared" si="16"/>
        <v>0</v>
      </c>
      <c r="AY22" s="94">
        <f t="shared" si="17"/>
        <v>0</v>
      </c>
      <c r="AZ22" s="94">
        <f t="shared" si="18"/>
        <v>0</v>
      </c>
      <c r="BA22" s="94">
        <f t="shared" si="19"/>
        <v>0</v>
      </c>
      <c r="BB22" s="94">
        <f t="shared" si="20"/>
        <v>0</v>
      </c>
    </row>
    <row r="23" spans="1:54" x14ac:dyDescent="0.25">
      <c r="A23" s="80"/>
      <c r="B23" s="95" t="s">
        <v>2417</v>
      </c>
      <c r="C23" s="201" t="s">
        <v>2837</v>
      </c>
      <c r="D23" s="80" t="s">
        <v>783</v>
      </c>
      <c r="E23" s="94" t="str">
        <f>IFERROR(VLOOKUP(A23,Estimate!A:Q,17,FALSE)," ")</f>
        <v xml:space="preserve"> </v>
      </c>
      <c r="F23" s="202" t="s">
        <v>781</v>
      </c>
      <c r="G23" s="202" t="s">
        <v>781</v>
      </c>
      <c r="H23" s="203" t="s">
        <v>781</v>
      </c>
      <c r="I23" s="203" t="s">
        <v>781</v>
      </c>
      <c r="J23" s="203" t="s">
        <v>781</v>
      </c>
      <c r="K23" s="203"/>
      <c r="L23" s="202" t="s">
        <v>781</v>
      </c>
      <c r="M23" s="204" t="str">
        <f t="shared" si="3"/>
        <v xml:space="preserve"> </v>
      </c>
      <c r="N23" s="95" t="s">
        <v>781</v>
      </c>
      <c r="O23" s="204" t="str">
        <f t="shared" si="3"/>
        <v xml:space="preserve"> </v>
      </c>
      <c r="P23" s="95" t="s">
        <v>781</v>
      </c>
      <c r="Q23" s="204" t="str">
        <f t="shared" ref="Q23:S23" si="99">IFERROR(P23/$G23," ")</f>
        <v xml:space="preserve"> </v>
      </c>
      <c r="R23" s="95" t="s">
        <v>781</v>
      </c>
      <c r="S23" s="204" t="str">
        <f t="shared" si="99"/>
        <v xml:space="preserve"> </v>
      </c>
      <c r="T23" s="95" t="s">
        <v>781</v>
      </c>
      <c r="U23" s="204" t="str">
        <f t="shared" ref="U23:W23" si="100">IFERROR(T23/$G23," ")</f>
        <v xml:space="preserve"> </v>
      </c>
      <c r="V23" s="95" t="s">
        <v>781</v>
      </c>
      <c r="W23" s="204" t="str">
        <f t="shared" si="100"/>
        <v xml:space="preserve"> </v>
      </c>
      <c r="X23" s="95" t="s">
        <v>781</v>
      </c>
      <c r="Y23" s="204" t="str">
        <f t="shared" ref="Y23:AA23" si="101">IFERROR(X23/$G23," ")</f>
        <v xml:space="preserve"> </v>
      </c>
      <c r="Z23" s="95" t="s">
        <v>781</v>
      </c>
      <c r="AA23" s="204" t="str">
        <f t="shared" si="101"/>
        <v xml:space="preserve"> </v>
      </c>
      <c r="AB23" s="95" t="s">
        <v>781</v>
      </c>
      <c r="AC23" s="204" t="str">
        <f t="shared" ref="AC23:AE23" si="102">IFERROR(AB23/$G23," ")</f>
        <v xml:space="preserve"> </v>
      </c>
      <c r="AD23" s="95" t="s">
        <v>781</v>
      </c>
      <c r="AE23" s="204" t="str">
        <f t="shared" si="102"/>
        <v xml:space="preserve"> </v>
      </c>
      <c r="AF23" s="95" t="s">
        <v>781</v>
      </c>
      <c r="AG23" s="204" t="str">
        <f t="shared" ref="AG23:AI23" si="103">IFERROR(AF23/$G23," ")</f>
        <v xml:space="preserve"> </v>
      </c>
      <c r="AH23" s="95" t="s">
        <v>781</v>
      </c>
      <c r="AI23" s="204" t="str">
        <f t="shared" si="103"/>
        <v xml:space="preserve"> </v>
      </c>
      <c r="AJ23" s="95" t="s">
        <v>781</v>
      </c>
      <c r="AK23" s="204" t="str">
        <f t="shared" ref="AK23:AM23" si="104">IFERROR(AJ23/$G23," ")</f>
        <v xml:space="preserve"> </v>
      </c>
      <c r="AL23" s="95" t="s">
        <v>781</v>
      </c>
      <c r="AM23" s="204" t="str">
        <f t="shared" si="104"/>
        <v xml:space="preserve"> </v>
      </c>
      <c r="AN23" s="95"/>
      <c r="AO23" s="94" t="str">
        <f t="shared" si="10"/>
        <v xml:space="preserve"> </v>
      </c>
      <c r="AP23" s="94" t="str">
        <f t="shared" si="0"/>
        <v xml:space="preserve"> </v>
      </c>
      <c r="AQ23" s="94" t="str">
        <f t="shared" si="1"/>
        <v xml:space="preserve"> </v>
      </c>
      <c r="AR23" s="94" t="str">
        <f t="shared" si="2"/>
        <v xml:space="preserve"> </v>
      </c>
      <c r="AS23" s="94" t="str">
        <f t="shared" si="11"/>
        <v xml:space="preserve"> </v>
      </c>
      <c r="AT23" s="94" t="str">
        <f t="shared" si="12"/>
        <v xml:space="preserve"> </v>
      </c>
      <c r="AU23" s="94" t="str">
        <f t="shared" si="13"/>
        <v xml:space="preserve"> </v>
      </c>
      <c r="AV23" s="94" t="str">
        <f t="shared" si="14"/>
        <v xml:space="preserve"> </v>
      </c>
      <c r="AW23" s="94" t="str">
        <f t="shared" si="15"/>
        <v xml:space="preserve"> </v>
      </c>
      <c r="AX23" s="94" t="str">
        <f t="shared" si="16"/>
        <v xml:space="preserve"> </v>
      </c>
      <c r="AY23" s="94" t="str">
        <f t="shared" si="17"/>
        <v xml:space="preserve"> </v>
      </c>
      <c r="AZ23" s="94" t="str">
        <f t="shared" si="18"/>
        <v xml:space="preserve"> </v>
      </c>
      <c r="BA23" s="94" t="str">
        <f t="shared" si="19"/>
        <v xml:space="preserve"> </v>
      </c>
      <c r="BB23" s="94" t="str">
        <f t="shared" si="20"/>
        <v xml:space="preserve"> </v>
      </c>
    </row>
    <row r="24" spans="1:54" x14ac:dyDescent="0.25">
      <c r="A24" s="80"/>
      <c r="B24" s="95" t="s">
        <v>2417</v>
      </c>
      <c r="C24" s="201" t="s">
        <v>71</v>
      </c>
      <c r="D24" s="80" t="s">
        <v>783</v>
      </c>
      <c r="E24" s="94" t="str">
        <f>IFERROR(VLOOKUP(A24,Estimate!A:Q,17,FALSE)," ")</f>
        <v xml:space="preserve"> </v>
      </c>
      <c r="F24" s="202" t="s">
        <v>781</v>
      </c>
      <c r="G24" s="202" t="s">
        <v>781</v>
      </c>
      <c r="H24" s="203" t="s">
        <v>781</v>
      </c>
      <c r="I24" s="203" t="s">
        <v>781</v>
      </c>
      <c r="J24" s="203" t="s">
        <v>781</v>
      </c>
      <c r="K24" s="203"/>
      <c r="L24" s="202" t="s">
        <v>781</v>
      </c>
      <c r="M24" s="204" t="str">
        <f t="shared" si="3"/>
        <v xml:space="preserve"> </v>
      </c>
      <c r="N24" s="95" t="s">
        <v>781</v>
      </c>
      <c r="O24" s="204" t="str">
        <f t="shared" si="3"/>
        <v xml:space="preserve"> </v>
      </c>
      <c r="P24" s="95" t="s">
        <v>781</v>
      </c>
      <c r="Q24" s="204" t="str">
        <f t="shared" ref="Q24:S24" si="105">IFERROR(P24/$G24," ")</f>
        <v xml:space="preserve"> </v>
      </c>
      <c r="R24" s="95" t="s">
        <v>781</v>
      </c>
      <c r="S24" s="204" t="str">
        <f t="shared" si="105"/>
        <v xml:space="preserve"> </v>
      </c>
      <c r="T24" s="95" t="s">
        <v>781</v>
      </c>
      <c r="U24" s="204" t="str">
        <f t="shared" ref="U24:W24" si="106">IFERROR(T24/$G24," ")</f>
        <v xml:space="preserve"> </v>
      </c>
      <c r="V24" s="95" t="s">
        <v>781</v>
      </c>
      <c r="W24" s="204" t="str">
        <f t="shared" si="106"/>
        <v xml:space="preserve"> </v>
      </c>
      <c r="X24" s="95" t="s">
        <v>781</v>
      </c>
      <c r="Y24" s="204" t="str">
        <f t="shared" ref="Y24:AA24" si="107">IFERROR(X24/$G24," ")</f>
        <v xml:space="preserve"> </v>
      </c>
      <c r="Z24" s="95" t="s">
        <v>781</v>
      </c>
      <c r="AA24" s="204" t="str">
        <f t="shared" si="107"/>
        <v xml:space="preserve"> </v>
      </c>
      <c r="AB24" s="95" t="s">
        <v>781</v>
      </c>
      <c r="AC24" s="204" t="str">
        <f t="shared" ref="AC24:AE24" si="108">IFERROR(AB24/$G24," ")</f>
        <v xml:space="preserve"> </v>
      </c>
      <c r="AD24" s="95" t="s">
        <v>781</v>
      </c>
      <c r="AE24" s="204" t="str">
        <f t="shared" si="108"/>
        <v xml:space="preserve"> </v>
      </c>
      <c r="AF24" s="95" t="s">
        <v>781</v>
      </c>
      <c r="AG24" s="204" t="str">
        <f t="shared" ref="AG24:AI24" si="109">IFERROR(AF24/$G24," ")</f>
        <v xml:space="preserve"> </v>
      </c>
      <c r="AH24" s="95" t="s">
        <v>781</v>
      </c>
      <c r="AI24" s="204" t="str">
        <f t="shared" si="109"/>
        <v xml:space="preserve"> </v>
      </c>
      <c r="AJ24" s="95" t="s">
        <v>781</v>
      </c>
      <c r="AK24" s="204" t="str">
        <f t="shared" ref="AK24:AM24" si="110">IFERROR(AJ24/$G24," ")</f>
        <v xml:space="preserve"> </v>
      </c>
      <c r="AL24" s="95" t="s">
        <v>781</v>
      </c>
      <c r="AM24" s="204" t="str">
        <f t="shared" si="110"/>
        <v xml:space="preserve"> </v>
      </c>
      <c r="AN24" s="95"/>
      <c r="AO24" s="94" t="str">
        <f t="shared" si="10"/>
        <v xml:space="preserve"> </v>
      </c>
      <c r="AP24" s="94" t="str">
        <f t="shared" si="0"/>
        <v xml:space="preserve"> </v>
      </c>
      <c r="AQ24" s="94" t="str">
        <f t="shared" si="1"/>
        <v xml:space="preserve"> </v>
      </c>
      <c r="AR24" s="94" t="str">
        <f t="shared" si="2"/>
        <v xml:space="preserve"> </v>
      </c>
      <c r="AS24" s="94" t="str">
        <f t="shared" si="11"/>
        <v xml:space="preserve"> </v>
      </c>
      <c r="AT24" s="94" t="str">
        <f t="shared" si="12"/>
        <v xml:space="preserve"> </v>
      </c>
      <c r="AU24" s="94" t="str">
        <f t="shared" si="13"/>
        <v xml:space="preserve"> </v>
      </c>
      <c r="AV24" s="94" t="str">
        <f t="shared" si="14"/>
        <v xml:space="preserve"> </v>
      </c>
      <c r="AW24" s="94" t="str">
        <f t="shared" si="15"/>
        <v xml:space="preserve"> </v>
      </c>
      <c r="AX24" s="94" t="str">
        <f t="shared" si="16"/>
        <v xml:space="preserve"> </v>
      </c>
      <c r="AY24" s="94" t="str">
        <f t="shared" si="17"/>
        <v xml:space="preserve"> </v>
      </c>
      <c r="AZ24" s="94" t="str">
        <f t="shared" si="18"/>
        <v xml:space="preserve"> </v>
      </c>
      <c r="BA24" s="94" t="str">
        <f t="shared" si="19"/>
        <v xml:space="preserve"> </v>
      </c>
      <c r="BB24" s="94" t="str">
        <f t="shared" si="20"/>
        <v xml:space="preserve"> </v>
      </c>
    </row>
    <row r="25" spans="1:54" x14ac:dyDescent="0.25">
      <c r="A25" s="80"/>
      <c r="B25" s="95" t="s">
        <v>2846</v>
      </c>
      <c r="C25" s="201" t="s">
        <v>73</v>
      </c>
      <c r="D25" s="80" t="s">
        <v>783</v>
      </c>
      <c r="E25" s="94" t="str">
        <f>IFERROR(VLOOKUP(A25,Estimate!A:Q,17,FALSE)," ")</f>
        <v xml:space="preserve"> </v>
      </c>
      <c r="F25" s="202" t="s">
        <v>781</v>
      </c>
      <c r="G25" s="202" t="s">
        <v>781</v>
      </c>
      <c r="H25" s="203" t="s">
        <v>781</v>
      </c>
      <c r="I25" s="203" t="s">
        <v>781</v>
      </c>
      <c r="J25" s="203" t="s">
        <v>781</v>
      </c>
      <c r="K25" s="203"/>
      <c r="L25" s="202" t="s">
        <v>781</v>
      </c>
      <c r="M25" s="204" t="str">
        <f t="shared" si="3"/>
        <v xml:space="preserve"> </v>
      </c>
      <c r="N25" s="95" t="s">
        <v>781</v>
      </c>
      <c r="O25" s="204" t="str">
        <f t="shared" si="3"/>
        <v xml:space="preserve"> </v>
      </c>
      <c r="P25" s="95" t="s">
        <v>781</v>
      </c>
      <c r="Q25" s="204" t="str">
        <f t="shared" ref="Q25:S25" si="111">IFERROR(P25/$G25," ")</f>
        <v xml:space="preserve"> </v>
      </c>
      <c r="R25" s="95" t="s">
        <v>781</v>
      </c>
      <c r="S25" s="204" t="str">
        <f t="shared" si="111"/>
        <v xml:space="preserve"> </v>
      </c>
      <c r="T25" s="95" t="s">
        <v>781</v>
      </c>
      <c r="U25" s="204" t="str">
        <f t="shared" ref="U25:W25" si="112">IFERROR(T25/$G25," ")</f>
        <v xml:space="preserve"> </v>
      </c>
      <c r="V25" s="95" t="s">
        <v>781</v>
      </c>
      <c r="W25" s="204" t="str">
        <f t="shared" si="112"/>
        <v xml:space="preserve"> </v>
      </c>
      <c r="X25" s="95" t="s">
        <v>781</v>
      </c>
      <c r="Y25" s="204" t="str">
        <f t="shared" ref="Y25:AA25" si="113">IFERROR(X25/$G25," ")</f>
        <v xml:space="preserve"> </v>
      </c>
      <c r="Z25" s="95" t="s">
        <v>781</v>
      </c>
      <c r="AA25" s="204" t="str">
        <f t="shared" si="113"/>
        <v xml:space="preserve"> </v>
      </c>
      <c r="AB25" s="95" t="s">
        <v>781</v>
      </c>
      <c r="AC25" s="204" t="str">
        <f t="shared" ref="AC25:AE25" si="114">IFERROR(AB25/$G25," ")</f>
        <v xml:space="preserve"> </v>
      </c>
      <c r="AD25" s="95" t="s">
        <v>781</v>
      </c>
      <c r="AE25" s="204" t="str">
        <f t="shared" si="114"/>
        <v xml:space="preserve"> </v>
      </c>
      <c r="AF25" s="95" t="s">
        <v>781</v>
      </c>
      <c r="AG25" s="204" t="str">
        <f t="shared" ref="AG25:AI25" si="115">IFERROR(AF25/$G25," ")</f>
        <v xml:space="preserve"> </v>
      </c>
      <c r="AH25" s="95" t="s">
        <v>781</v>
      </c>
      <c r="AI25" s="204" t="str">
        <f t="shared" si="115"/>
        <v xml:space="preserve"> </v>
      </c>
      <c r="AJ25" s="95" t="s">
        <v>781</v>
      </c>
      <c r="AK25" s="204" t="str">
        <f t="shared" ref="AK25:AM25" si="116">IFERROR(AJ25/$G25," ")</f>
        <v xml:space="preserve"> </v>
      </c>
      <c r="AL25" s="95" t="s">
        <v>781</v>
      </c>
      <c r="AM25" s="204" t="str">
        <f t="shared" si="116"/>
        <v xml:space="preserve"> </v>
      </c>
      <c r="AN25" s="95"/>
      <c r="AO25" s="94" t="str">
        <f t="shared" si="10"/>
        <v xml:space="preserve"> </v>
      </c>
      <c r="AP25" s="94" t="str">
        <f t="shared" si="0"/>
        <v xml:space="preserve"> </v>
      </c>
      <c r="AQ25" s="94" t="str">
        <f t="shared" si="1"/>
        <v xml:space="preserve"> </v>
      </c>
      <c r="AR25" s="94" t="str">
        <f t="shared" si="2"/>
        <v xml:space="preserve"> </v>
      </c>
      <c r="AS25" s="94" t="str">
        <f t="shared" si="11"/>
        <v xml:space="preserve"> </v>
      </c>
      <c r="AT25" s="94" t="str">
        <f t="shared" si="12"/>
        <v xml:space="preserve"> </v>
      </c>
      <c r="AU25" s="94" t="str">
        <f t="shared" si="13"/>
        <v xml:space="preserve"> </v>
      </c>
      <c r="AV25" s="94" t="str">
        <f t="shared" si="14"/>
        <v xml:space="preserve"> </v>
      </c>
      <c r="AW25" s="94" t="str">
        <f t="shared" si="15"/>
        <v xml:space="preserve"> </v>
      </c>
      <c r="AX25" s="94" t="str">
        <f t="shared" si="16"/>
        <v xml:space="preserve"> </v>
      </c>
      <c r="AY25" s="94" t="str">
        <f t="shared" si="17"/>
        <v xml:space="preserve"> </v>
      </c>
      <c r="AZ25" s="94" t="str">
        <f t="shared" si="18"/>
        <v xml:space="preserve"> </v>
      </c>
      <c r="BA25" s="94" t="str">
        <f t="shared" si="19"/>
        <v xml:space="preserve"> </v>
      </c>
      <c r="BB25" s="94" t="str">
        <f t="shared" si="20"/>
        <v xml:space="preserve"> </v>
      </c>
    </row>
    <row r="26" spans="1:54" x14ac:dyDescent="0.25">
      <c r="A26" s="80"/>
      <c r="B26" s="95" t="s">
        <v>2847</v>
      </c>
      <c r="C26" s="201" t="s">
        <v>75</v>
      </c>
      <c r="D26" s="80" t="s">
        <v>783</v>
      </c>
      <c r="E26" s="94" t="str">
        <f>IFERROR(VLOOKUP(A26,Estimate!A:Q,17,FALSE)," ")</f>
        <v xml:space="preserve"> </v>
      </c>
      <c r="F26" s="202" t="s">
        <v>781</v>
      </c>
      <c r="G26" s="202" t="s">
        <v>781</v>
      </c>
      <c r="H26" s="203" t="s">
        <v>781</v>
      </c>
      <c r="I26" s="203" t="s">
        <v>781</v>
      </c>
      <c r="J26" s="203" t="s">
        <v>781</v>
      </c>
      <c r="K26" s="203"/>
      <c r="L26" s="202" t="s">
        <v>781</v>
      </c>
      <c r="M26" s="204" t="str">
        <f t="shared" si="3"/>
        <v xml:space="preserve"> </v>
      </c>
      <c r="N26" s="95" t="s">
        <v>781</v>
      </c>
      <c r="O26" s="204" t="str">
        <f t="shared" si="3"/>
        <v xml:space="preserve"> </v>
      </c>
      <c r="P26" s="95" t="s">
        <v>781</v>
      </c>
      <c r="Q26" s="204" t="str">
        <f t="shared" ref="Q26:S26" si="117">IFERROR(P26/$G26," ")</f>
        <v xml:space="preserve"> </v>
      </c>
      <c r="R26" s="95" t="s">
        <v>781</v>
      </c>
      <c r="S26" s="204" t="str">
        <f t="shared" si="117"/>
        <v xml:space="preserve"> </v>
      </c>
      <c r="T26" s="95" t="s">
        <v>781</v>
      </c>
      <c r="U26" s="204" t="str">
        <f t="shared" ref="U26:W26" si="118">IFERROR(T26/$G26," ")</f>
        <v xml:space="preserve"> </v>
      </c>
      <c r="V26" s="95" t="s">
        <v>781</v>
      </c>
      <c r="W26" s="204" t="str">
        <f t="shared" si="118"/>
        <v xml:space="preserve"> </v>
      </c>
      <c r="X26" s="95" t="s">
        <v>781</v>
      </c>
      <c r="Y26" s="204" t="str">
        <f t="shared" ref="Y26:AA26" si="119">IFERROR(X26/$G26," ")</f>
        <v xml:space="preserve"> </v>
      </c>
      <c r="Z26" s="95" t="s">
        <v>781</v>
      </c>
      <c r="AA26" s="204" t="str">
        <f t="shared" si="119"/>
        <v xml:space="preserve"> </v>
      </c>
      <c r="AB26" s="95" t="s">
        <v>781</v>
      </c>
      <c r="AC26" s="204" t="str">
        <f t="shared" ref="AC26:AE26" si="120">IFERROR(AB26/$G26," ")</f>
        <v xml:space="preserve"> </v>
      </c>
      <c r="AD26" s="95" t="s">
        <v>781</v>
      </c>
      <c r="AE26" s="204" t="str">
        <f t="shared" si="120"/>
        <v xml:space="preserve"> </v>
      </c>
      <c r="AF26" s="95" t="s">
        <v>781</v>
      </c>
      <c r="AG26" s="204" t="str">
        <f t="shared" ref="AG26:AI26" si="121">IFERROR(AF26/$G26," ")</f>
        <v xml:space="preserve"> </v>
      </c>
      <c r="AH26" s="95" t="s">
        <v>781</v>
      </c>
      <c r="AI26" s="204" t="str">
        <f t="shared" si="121"/>
        <v xml:space="preserve"> </v>
      </c>
      <c r="AJ26" s="95" t="s">
        <v>781</v>
      </c>
      <c r="AK26" s="204" t="str">
        <f t="shared" ref="AK26:AM26" si="122">IFERROR(AJ26/$G26," ")</f>
        <v xml:space="preserve"> </v>
      </c>
      <c r="AL26" s="95" t="s">
        <v>781</v>
      </c>
      <c r="AM26" s="204" t="str">
        <f t="shared" si="122"/>
        <v xml:space="preserve"> </v>
      </c>
      <c r="AN26" s="95"/>
      <c r="AO26" s="94" t="str">
        <f t="shared" si="10"/>
        <v xml:space="preserve"> </v>
      </c>
      <c r="AP26" s="94" t="str">
        <f t="shared" si="0"/>
        <v xml:space="preserve"> </v>
      </c>
      <c r="AQ26" s="94" t="str">
        <f t="shared" si="1"/>
        <v xml:space="preserve"> </v>
      </c>
      <c r="AR26" s="94" t="str">
        <f t="shared" si="2"/>
        <v xml:space="preserve"> </v>
      </c>
      <c r="AS26" s="94" t="str">
        <f t="shared" si="11"/>
        <v xml:space="preserve"> </v>
      </c>
      <c r="AT26" s="94" t="str">
        <f t="shared" si="12"/>
        <v xml:space="preserve"> </v>
      </c>
      <c r="AU26" s="94" t="str">
        <f t="shared" si="13"/>
        <v xml:space="preserve"> </v>
      </c>
      <c r="AV26" s="94" t="str">
        <f t="shared" si="14"/>
        <v xml:space="preserve"> </v>
      </c>
      <c r="AW26" s="94" t="str">
        <f t="shared" si="15"/>
        <v xml:space="preserve"> </v>
      </c>
      <c r="AX26" s="94" t="str">
        <f t="shared" si="16"/>
        <v xml:space="preserve"> </v>
      </c>
      <c r="AY26" s="94" t="str">
        <f t="shared" si="17"/>
        <v xml:space="preserve"> </v>
      </c>
      <c r="AZ26" s="94" t="str">
        <f t="shared" si="18"/>
        <v xml:space="preserve"> </v>
      </c>
      <c r="BA26" s="94" t="str">
        <f t="shared" si="19"/>
        <v xml:space="preserve"> </v>
      </c>
      <c r="BB26" s="94" t="str">
        <f t="shared" si="20"/>
        <v xml:space="preserve"> </v>
      </c>
    </row>
    <row r="27" spans="1:54" x14ac:dyDescent="0.25">
      <c r="A27" s="80"/>
      <c r="B27" s="95" t="s">
        <v>2847</v>
      </c>
      <c r="C27" s="201" t="s">
        <v>781</v>
      </c>
      <c r="D27" s="80" t="s">
        <v>783</v>
      </c>
      <c r="E27" s="94" t="str">
        <f>IFERROR(VLOOKUP(A27,Estimate!A:Q,17,FALSE)," ")</f>
        <v xml:space="preserve"> </v>
      </c>
      <c r="F27" s="202" t="s">
        <v>781</v>
      </c>
      <c r="G27" s="202" t="s">
        <v>781</v>
      </c>
      <c r="H27" s="203" t="s">
        <v>781</v>
      </c>
      <c r="I27" s="203" t="s">
        <v>781</v>
      </c>
      <c r="J27" s="203" t="s">
        <v>781</v>
      </c>
      <c r="K27" s="203"/>
      <c r="L27" s="202" t="s">
        <v>781</v>
      </c>
      <c r="M27" s="204" t="str">
        <f t="shared" si="3"/>
        <v xml:space="preserve"> </v>
      </c>
      <c r="N27" s="95" t="s">
        <v>781</v>
      </c>
      <c r="O27" s="204" t="str">
        <f t="shared" si="3"/>
        <v xml:space="preserve"> </v>
      </c>
      <c r="P27" s="95" t="s">
        <v>781</v>
      </c>
      <c r="Q27" s="204" t="str">
        <f t="shared" ref="Q27:S27" si="123">IFERROR(P27/$G27," ")</f>
        <v xml:space="preserve"> </v>
      </c>
      <c r="R27" s="95" t="s">
        <v>781</v>
      </c>
      <c r="S27" s="204" t="str">
        <f t="shared" si="123"/>
        <v xml:space="preserve"> </v>
      </c>
      <c r="T27" s="95" t="s">
        <v>781</v>
      </c>
      <c r="U27" s="204" t="str">
        <f t="shared" ref="U27:W27" si="124">IFERROR(T27/$G27," ")</f>
        <v xml:space="preserve"> </v>
      </c>
      <c r="V27" s="95" t="s">
        <v>781</v>
      </c>
      <c r="W27" s="204" t="str">
        <f t="shared" si="124"/>
        <v xml:space="preserve"> </v>
      </c>
      <c r="X27" s="95" t="s">
        <v>781</v>
      </c>
      <c r="Y27" s="204" t="str">
        <f t="shared" ref="Y27:AA27" si="125">IFERROR(X27/$G27," ")</f>
        <v xml:space="preserve"> </v>
      </c>
      <c r="Z27" s="95" t="s">
        <v>781</v>
      </c>
      <c r="AA27" s="204" t="str">
        <f t="shared" si="125"/>
        <v xml:space="preserve"> </v>
      </c>
      <c r="AB27" s="95" t="s">
        <v>781</v>
      </c>
      <c r="AC27" s="204" t="str">
        <f t="shared" ref="AC27:AE27" si="126">IFERROR(AB27/$G27," ")</f>
        <v xml:space="preserve"> </v>
      </c>
      <c r="AD27" s="95" t="s">
        <v>781</v>
      </c>
      <c r="AE27" s="204" t="str">
        <f t="shared" si="126"/>
        <v xml:space="preserve"> </v>
      </c>
      <c r="AF27" s="95" t="s">
        <v>781</v>
      </c>
      <c r="AG27" s="204" t="str">
        <f t="shared" ref="AG27:AI27" si="127">IFERROR(AF27/$G27," ")</f>
        <v xml:space="preserve"> </v>
      </c>
      <c r="AH27" s="95" t="s">
        <v>781</v>
      </c>
      <c r="AI27" s="204" t="str">
        <f t="shared" si="127"/>
        <v xml:space="preserve"> </v>
      </c>
      <c r="AJ27" s="95" t="s">
        <v>781</v>
      </c>
      <c r="AK27" s="204" t="str">
        <f t="shared" ref="AK27:AM27" si="128">IFERROR(AJ27/$G27," ")</f>
        <v xml:space="preserve"> </v>
      </c>
      <c r="AL27" s="95" t="s">
        <v>781</v>
      </c>
      <c r="AM27" s="204" t="str">
        <f t="shared" si="128"/>
        <v xml:space="preserve"> </v>
      </c>
      <c r="AN27" s="95"/>
      <c r="AO27" s="94" t="str">
        <f t="shared" si="10"/>
        <v xml:space="preserve"> </v>
      </c>
      <c r="AP27" s="94" t="str">
        <f t="shared" si="0"/>
        <v xml:space="preserve"> </v>
      </c>
      <c r="AQ27" s="94" t="str">
        <f t="shared" si="1"/>
        <v xml:space="preserve"> </v>
      </c>
      <c r="AR27" s="94" t="str">
        <f t="shared" si="2"/>
        <v xml:space="preserve"> </v>
      </c>
      <c r="AS27" s="94" t="str">
        <f t="shared" si="11"/>
        <v xml:space="preserve"> </v>
      </c>
      <c r="AT27" s="94" t="str">
        <f t="shared" si="12"/>
        <v xml:space="preserve"> </v>
      </c>
      <c r="AU27" s="94" t="str">
        <f t="shared" si="13"/>
        <v xml:space="preserve"> </v>
      </c>
      <c r="AV27" s="94" t="str">
        <f t="shared" si="14"/>
        <v xml:space="preserve"> </v>
      </c>
      <c r="AW27" s="94" t="str">
        <f t="shared" si="15"/>
        <v xml:space="preserve"> </v>
      </c>
      <c r="AX27" s="94" t="str">
        <f t="shared" si="16"/>
        <v xml:space="preserve"> </v>
      </c>
      <c r="AY27" s="94" t="str">
        <f t="shared" si="17"/>
        <v xml:space="preserve"> </v>
      </c>
      <c r="AZ27" s="94" t="str">
        <f t="shared" si="18"/>
        <v xml:space="preserve"> </v>
      </c>
      <c r="BA27" s="94" t="str">
        <f t="shared" si="19"/>
        <v xml:space="preserve"> </v>
      </c>
      <c r="BB27" s="94" t="str">
        <f t="shared" si="20"/>
        <v xml:space="preserve"> </v>
      </c>
    </row>
    <row r="28" spans="1:54" x14ac:dyDescent="0.25">
      <c r="A28" s="80"/>
      <c r="B28" s="95" t="s">
        <v>2848</v>
      </c>
      <c r="C28" s="201" t="s">
        <v>77</v>
      </c>
      <c r="D28" s="80" t="s">
        <v>783</v>
      </c>
      <c r="E28" s="94" t="str">
        <f>IFERROR(VLOOKUP(A28,Estimate!A:Q,17,FALSE)," ")</f>
        <v xml:space="preserve"> </v>
      </c>
      <c r="F28" s="202" t="s">
        <v>781</v>
      </c>
      <c r="G28" s="202" t="s">
        <v>781</v>
      </c>
      <c r="H28" s="203" t="s">
        <v>781</v>
      </c>
      <c r="I28" s="203" t="s">
        <v>781</v>
      </c>
      <c r="J28" s="203" t="s">
        <v>781</v>
      </c>
      <c r="K28" s="203"/>
      <c r="L28" s="202" t="s">
        <v>781</v>
      </c>
      <c r="M28" s="204" t="str">
        <f t="shared" si="3"/>
        <v xml:space="preserve"> </v>
      </c>
      <c r="N28" s="95" t="s">
        <v>781</v>
      </c>
      <c r="O28" s="204" t="str">
        <f t="shared" si="3"/>
        <v xml:space="preserve"> </v>
      </c>
      <c r="P28" s="95" t="s">
        <v>781</v>
      </c>
      <c r="Q28" s="204" t="str">
        <f t="shared" ref="Q28:S28" si="129">IFERROR(P28/$G28," ")</f>
        <v xml:space="preserve"> </v>
      </c>
      <c r="R28" s="95" t="s">
        <v>781</v>
      </c>
      <c r="S28" s="204" t="str">
        <f t="shared" si="129"/>
        <v xml:space="preserve"> </v>
      </c>
      <c r="T28" s="95" t="s">
        <v>781</v>
      </c>
      <c r="U28" s="204" t="str">
        <f t="shared" ref="U28:W28" si="130">IFERROR(T28/$G28," ")</f>
        <v xml:space="preserve"> </v>
      </c>
      <c r="V28" s="95" t="s">
        <v>781</v>
      </c>
      <c r="W28" s="204" t="str">
        <f t="shared" si="130"/>
        <v xml:space="preserve"> </v>
      </c>
      <c r="X28" s="95" t="s">
        <v>781</v>
      </c>
      <c r="Y28" s="204" t="str">
        <f t="shared" ref="Y28:AA28" si="131">IFERROR(X28/$G28," ")</f>
        <v xml:space="preserve"> </v>
      </c>
      <c r="Z28" s="95" t="s">
        <v>781</v>
      </c>
      <c r="AA28" s="204" t="str">
        <f t="shared" si="131"/>
        <v xml:space="preserve"> </v>
      </c>
      <c r="AB28" s="95" t="s">
        <v>781</v>
      </c>
      <c r="AC28" s="204" t="str">
        <f t="shared" ref="AC28:AE28" si="132">IFERROR(AB28/$G28," ")</f>
        <v xml:space="preserve"> </v>
      </c>
      <c r="AD28" s="95" t="s">
        <v>781</v>
      </c>
      <c r="AE28" s="204" t="str">
        <f t="shared" si="132"/>
        <v xml:space="preserve"> </v>
      </c>
      <c r="AF28" s="95" t="s">
        <v>781</v>
      </c>
      <c r="AG28" s="204" t="str">
        <f t="shared" ref="AG28:AI28" si="133">IFERROR(AF28/$G28," ")</f>
        <v xml:space="preserve"> </v>
      </c>
      <c r="AH28" s="95" t="s">
        <v>781</v>
      </c>
      <c r="AI28" s="204" t="str">
        <f t="shared" si="133"/>
        <v xml:space="preserve"> </v>
      </c>
      <c r="AJ28" s="95" t="s">
        <v>781</v>
      </c>
      <c r="AK28" s="204" t="str">
        <f t="shared" ref="AK28:AM28" si="134">IFERROR(AJ28/$G28," ")</f>
        <v xml:space="preserve"> </v>
      </c>
      <c r="AL28" s="95" t="s">
        <v>781</v>
      </c>
      <c r="AM28" s="204" t="str">
        <f t="shared" si="134"/>
        <v xml:space="preserve"> </v>
      </c>
      <c r="AN28" s="95"/>
      <c r="AO28" s="94" t="str">
        <f t="shared" si="10"/>
        <v xml:space="preserve"> </v>
      </c>
      <c r="AP28" s="94" t="str">
        <f t="shared" si="0"/>
        <v xml:space="preserve"> </v>
      </c>
      <c r="AQ28" s="94" t="str">
        <f t="shared" si="1"/>
        <v xml:space="preserve"> </v>
      </c>
      <c r="AR28" s="94" t="str">
        <f t="shared" si="2"/>
        <v xml:space="preserve"> </v>
      </c>
      <c r="AS28" s="94" t="str">
        <f t="shared" si="11"/>
        <v xml:space="preserve"> </v>
      </c>
      <c r="AT28" s="94" t="str">
        <f t="shared" si="12"/>
        <v xml:space="preserve"> </v>
      </c>
      <c r="AU28" s="94" t="str">
        <f t="shared" si="13"/>
        <v xml:space="preserve"> </v>
      </c>
      <c r="AV28" s="94" t="str">
        <f t="shared" si="14"/>
        <v xml:space="preserve"> </v>
      </c>
      <c r="AW28" s="94" t="str">
        <f t="shared" si="15"/>
        <v xml:space="preserve"> </v>
      </c>
      <c r="AX28" s="94" t="str">
        <f t="shared" si="16"/>
        <v xml:space="preserve"> </v>
      </c>
      <c r="AY28" s="94" t="str">
        <f t="shared" si="17"/>
        <v xml:space="preserve"> </v>
      </c>
      <c r="AZ28" s="94" t="str">
        <f t="shared" si="18"/>
        <v xml:space="preserve"> </v>
      </c>
      <c r="BA28" s="94" t="str">
        <f t="shared" si="19"/>
        <v xml:space="preserve"> </v>
      </c>
      <c r="BB28" s="94" t="str">
        <f t="shared" si="20"/>
        <v xml:space="preserve"> </v>
      </c>
    </row>
    <row r="29" spans="1:54" ht="30" x14ac:dyDescent="0.25">
      <c r="A29" s="80">
        <v>11</v>
      </c>
      <c r="B29" s="95" t="s">
        <v>2849</v>
      </c>
      <c r="C29" s="201" t="s">
        <v>79</v>
      </c>
      <c r="D29" s="80" t="s">
        <v>62</v>
      </c>
      <c r="E29" s="94">
        <f>IFERROR(VLOOKUP(A29,Estimate!A:Q,17,FALSE)," ")</f>
        <v>2604.1777777777779</v>
      </c>
      <c r="F29" s="202">
        <v>4</v>
      </c>
      <c r="G29" s="202">
        <v>4</v>
      </c>
      <c r="H29" s="203">
        <v>817.86</v>
      </c>
      <c r="I29" s="203">
        <v>3271.44</v>
      </c>
      <c r="J29" s="203">
        <v>3271.44</v>
      </c>
      <c r="K29" s="203"/>
      <c r="L29" s="202">
        <v>4</v>
      </c>
      <c r="M29" s="204">
        <f t="shared" si="3"/>
        <v>1</v>
      </c>
      <c r="N29" s="95">
        <v>4</v>
      </c>
      <c r="O29" s="204">
        <f t="shared" si="3"/>
        <v>1</v>
      </c>
      <c r="P29" s="95">
        <v>4</v>
      </c>
      <c r="Q29" s="204">
        <f t="shared" ref="Q29:S29" si="135">IFERROR(P29/$G29," ")</f>
        <v>1</v>
      </c>
      <c r="R29" s="95">
        <v>4</v>
      </c>
      <c r="S29" s="204">
        <f t="shared" si="135"/>
        <v>1</v>
      </c>
      <c r="T29" s="95">
        <v>4</v>
      </c>
      <c r="U29" s="204">
        <f t="shared" ref="U29:W29" si="136">IFERROR(T29/$G29," ")</f>
        <v>1</v>
      </c>
      <c r="V29" s="95">
        <v>4</v>
      </c>
      <c r="W29" s="204">
        <f t="shared" si="136"/>
        <v>1</v>
      </c>
      <c r="X29" s="95">
        <v>4</v>
      </c>
      <c r="Y29" s="204">
        <f t="shared" ref="Y29:AA29" si="137">IFERROR(X29/$G29," ")</f>
        <v>1</v>
      </c>
      <c r="Z29" s="95">
        <v>4</v>
      </c>
      <c r="AA29" s="204">
        <f t="shared" si="137"/>
        <v>1</v>
      </c>
      <c r="AB29" s="95">
        <v>4</v>
      </c>
      <c r="AC29" s="204">
        <f t="shared" ref="AC29:AE29" si="138">IFERROR(AB29/$G29," ")</f>
        <v>1</v>
      </c>
      <c r="AD29" s="95">
        <v>4</v>
      </c>
      <c r="AE29" s="204">
        <f t="shared" si="138"/>
        <v>1</v>
      </c>
      <c r="AF29" s="95">
        <v>4</v>
      </c>
      <c r="AG29" s="204">
        <f t="shared" ref="AG29:AI29" si="139">IFERROR(AF29/$G29," ")</f>
        <v>1</v>
      </c>
      <c r="AH29" s="95">
        <v>4</v>
      </c>
      <c r="AI29" s="204">
        <f t="shared" si="139"/>
        <v>1</v>
      </c>
      <c r="AJ29" s="95">
        <v>4</v>
      </c>
      <c r="AK29" s="204">
        <f t="shared" ref="AK29:AM29" si="140">IFERROR(AJ29/$G29," ")</f>
        <v>1</v>
      </c>
      <c r="AL29" s="95">
        <v>4</v>
      </c>
      <c r="AM29" s="204">
        <f t="shared" si="140"/>
        <v>1</v>
      </c>
      <c r="AN29" s="95"/>
      <c r="AO29" s="94">
        <f t="shared" si="10"/>
        <v>3271.44</v>
      </c>
      <c r="AP29" s="94">
        <f t="shared" si="0"/>
        <v>3271.44</v>
      </c>
      <c r="AQ29" s="94">
        <f t="shared" si="1"/>
        <v>3271.44</v>
      </c>
      <c r="AR29" s="94">
        <f t="shared" si="2"/>
        <v>3271.44</v>
      </c>
      <c r="AS29" s="94">
        <f t="shared" si="11"/>
        <v>3271.44</v>
      </c>
      <c r="AT29" s="94">
        <f t="shared" si="12"/>
        <v>3271.44</v>
      </c>
      <c r="AU29" s="94">
        <f t="shared" si="13"/>
        <v>3271.44</v>
      </c>
      <c r="AV29" s="94">
        <f t="shared" si="14"/>
        <v>3271.44</v>
      </c>
      <c r="AW29" s="94">
        <f t="shared" si="15"/>
        <v>3271.44</v>
      </c>
      <c r="AX29" s="94">
        <f t="shared" si="16"/>
        <v>3271.44</v>
      </c>
      <c r="AY29" s="94">
        <f t="shared" si="17"/>
        <v>3271.44</v>
      </c>
      <c r="AZ29" s="94">
        <f t="shared" si="18"/>
        <v>3271.44</v>
      </c>
      <c r="BA29" s="94">
        <f t="shared" si="19"/>
        <v>3271.44</v>
      </c>
      <c r="BB29" s="94">
        <f t="shared" si="20"/>
        <v>3271.44</v>
      </c>
    </row>
    <row r="30" spans="1:54" x14ac:dyDescent="0.25">
      <c r="A30" s="80">
        <v>12</v>
      </c>
      <c r="B30" s="95" t="s">
        <v>2850</v>
      </c>
      <c r="C30" s="201" t="s">
        <v>88</v>
      </c>
      <c r="D30" s="80" t="s">
        <v>89</v>
      </c>
      <c r="E30" s="94">
        <f>IFERROR(VLOOKUP(A30,Estimate!A:Q,17,FALSE)," ")</f>
        <v>7902.5</v>
      </c>
      <c r="F30" s="202">
        <v>12</v>
      </c>
      <c r="G30" s="202">
        <v>12</v>
      </c>
      <c r="H30" s="203">
        <v>827.28</v>
      </c>
      <c r="I30" s="203">
        <v>9927.36</v>
      </c>
      <c r="J30" s="203">
        <v>9927.36</v>
      </c>
      <c r="K30" s="203"/>
      <c r="L30" s="202">
        <v>12</v>
      </c>
      <c r="M30" s="204">
        <f t="shared" si="3"/>
        <v>1</v>
      </c>
      <c r="N30" s="95">
        <v>12</v>
      </c>
      <c r="O30" s="204">
        <f t="shared" si="3"/>
        <v>1</v>
      </c>
      <c r="P30" s="95">
        <v>12</v>
      </c>
      <c r="Q30" s="204">
        <f t="shared" ref="Q30:S30" si="141">IFERROR(P30/$G30," ")</f>
        <v>1</v>
      </c>
      <c r="R30" s="95">
        <v>12</v>
      </c>
      <c r="S30" s="204">
        <f t="shared" si="141"/>
        <v>1</v>
      </c>
      <c r="T30" s="95">
        <v>12</v>
      </c>
      <c r="U30" s="204">
        <f t="shared" ref="U30:W30" si="142">IFERROR(T30/$G30," ")</f>
        <v>1</v>
      </c>
      <c r="V30" s="95">
        <v>12</v>
      </c>
      <c r="W30" s="204">
        <f t="shared" si="142"/>
        <v>1</v>
      </c>
      <c r="X30" s="95">
        <v>12</v>
      </c>
      <c r="Y30" s="204">
        <f t="shared" ref="Y30:AA30" si="143">IFERROR(X30/$G30," ")</f>
        <v>1</v>
      </c>
      <c r="Z30" s="95">
        <v>12</v>
      </c>
      <c r="AA30" s="204">
        <f t="shared" si="143"/>
        <v>1</v>
      </c>
      <c r="AB30" s="95">
        <v>12</v>
      </c>
      <c r="AC30" s="204">
        <f t="shared" ref="AC30:AE30" si="144">IFERROR(AB30/$G30," ")</f>
        <v>1</v>
      </c>
      <c r="AD30" s="95">
        <v>12</v>
      </c>
      <c r="AE30" s="204">
        <f t="shared" si="144"/>
        <v>1</v>
      </c>
      <c r="AF30" s="95">
        <v>12</v>
      </c>
      <c r="AG30" s="204">
        <f t="shared" ref="AG30:AI30" si="145">IFERROR(AF30/$G30," ")</f>
        <v>1</v>
      </c>
      <c r="AH30" s="95">
        <v>12</v>
      </c>
      <c r="AI30" s="204">
        <f t="shared" si="145"/>
        <v>1</v>
      </c>
      <c r="AJ30" s="95">
        <v>12</v>
      </c>
      <c r="AK30" s="204">
        <f t="shared" ref="AK30:AM30" si="146">IFERROR(AJ30/$G30," ")</f>
        <v>1</v>
      </c>
      <c r="AL30" s="95">
        <v>12</v>
      </c>
      <c r="AM30" s="204">
        <f t="shared" si="146"/>
        <v>1</v>
      </c>
      <c r="AN30" s="95"/>
      <c r="AO30" s="94">
        <f t="shared" si="10"/>
        <v>9927.36</v>
      </c>
      <c r="AP30" s="94">
        <f t="shared" si="0"/>
        <v>9927.36</v>
      </c>
      <c r="AQ30" s="94">
        <f t="shared" si="1"/>
        <v>9927.36</v>
      </c>
      <c r="AR30" s="94">
        <f t="shared" si="2"/>
        <v>9927.36</v>
      </c>
      <c r="AS30" s="94">
        <f t="shared" si="11"/>
        <v>9927.36</v>
      </c>
      <c r="AT30" s="94">
        <f t="shared" si="12"/>
        <v>9927.36</v>
      </c>
      <c r="AU30" s="94">
        <f t="shared" si="13"/>
        <v>9927.36</v>
      </c>
      <c r="AV30" s="94">
        <f t="shared" si="14"/>
        <v>9927.36</v>
      </c>
      <c r="AW30" s="94">
        <f t="shared" si="15"/>
        <v>9927.36</v>
      </c>
      <c r="AX30" s="94">
        <f t="shared" si="16"/>
        <v>9927.36</v>
      </c>
      <c r="AY30" s="94">
        <f t="shared" si="17"/>
        <v>9927.36</v>
      </c>
      <c r="AZ30" s="94">
        <f t="shared" si="18"/>
        <v>9927.36</v>
      </c>
      <c r="BA30" s="94">
        <f t="shared" si="19"/>
        <v>9927.36</v>
      </c>
      <c r="BB30" s="94">
        <f t="shared" si="20"/>
        <v>9927.36</v>
      </c>
    </row>
    <row r="31" spans="1:54" x14ac:dyDescent="0.25">
      <c r="A31" s="80"/>
      <c r="B31" s="95" t="s">
        <v>2851</v>
      </c>
      <c r="C31" s="201" t="s">
        <v>94</v>
      </c>
      <c r="D31" s="80" t="s">
        <v>783</v>
      </c>
      <c r="E31" s="94" t="str">
        <f>IFERROR(VLOOKUP(A31,Estimate!A:Q,17,FALSE)," ")</f>
        <v xml:space="preserve"> </v>
      </c>
      <c r="F31" s="202" t="s">
        <v>781</v>
      </c>
      <c r="G31" s="202" t="s">
        <v>781</v>
      </c>
      <c r="H31" s="203" t="s">
        <v>781</v>
      </c>
      <c r="I31" s="203" t="s">
        <v>781</v>
      </c>
      <c r="J31" s="203" t="s">
        <v>781</v>
      </c>
      <c r="K31" s="203"/>
      <c r="L31" s="202" t="s">
        <v>781</v>
      </c>
      <c r="M31" s="204" t="str">
        <f t="shared" si="3"/>
        <v xml:space="preserve"> </v>
      </c>
      <c r="N31" s="95" t="s">
        <v>781</v>
      </c>
      <c r="O31" s="204" t="str">
        <f t="shared" si="3"/>
        <v xml:space="preserve"> </v>
      </c>
      <c r="P31" s="95" t="s">
        <v>781</v>
      </c>
      <c r="Q31" s="204" t="str">
        <f t="shared" ref="Q31:S31" si="147">IFERROR(P31/$G31," ")</f>
        <v xml:space="preserve"> </v>
      </c>
      <c r="R31" s="95" t="s">
        <v>781</v>
      </c>
      <c r="S31" s="204" t="str">
        <f t="shared" si="147"/>
        <v xml:space="preserve"> </v>
      </c>
      <c r="T31" s="95" t="s">
        <v>781</v>
      </c>
      <c r="U31" s="204" t="str">
        <f t="shared" ref="U31:W31" si="148">IFERROR(T31/$G31," ")</f>
        <v xml:space="preserve"> </v>
      </c>
      <c r="V31" s="95" t="s">
        <v>781</v>
      </c>
      <c r="W31" s="204" t="str">
        <f t="shared" si="148"/>
        <v xml:space="preserve"> </v>
      </c>
      <c r="X31" s="95" t="s">
        <v>781</v>
      </c>
      <c r="Y31" s="204" t="str">
        <f t="shared" ref="Y31:AA31" si="149">IFERROR(X31/$G31," ")</f>
        <v xml:space="preserve"> </v>
      </c>
      <c r="Z31" s="95" t="s">
        <v>781</v>
      </c>
      <c r="AA31" s="204" t="str">
        <f t="shared" si="149"/>
        <v xml:space="preserve"> </v>
      </c>
      <c r="AB31" s="95" t="s">
        <v>781</v>
      </c>
      <c r="AC31" s="204" t="str">
        <f t="shared" ref="AC31:AE31" si="150">IFERROR(AB31/$G31," ")</f>
        <v xml:space="preserve"> </v>
      </c>
      <c r="AD31" s="95" t="s">
        <v>781</v>
      </c>
      <c r="AE31" s="204" t="str">
        <f t="shared" si="150"/>
        <v xml:space="preserve"> </v>
      </c>
      <c r="AF31" s="95" t="s">
        <v>781</v>
      </c>
      <c r="AG31" s="204" t="str">
        <f t="shared" ref="AG31:AI31" si="151">IFERROR(AF31/$G31," ")</f>
        <v xml:space="preserve"> </v>
      </c>
      <c r="AH31" s="95" t="s">
        <v>781</v>
      </c>
      <c r="AI31" s="204" t="str">
        <f t="shared" si="151"/>
        <v xml:space="preserve"> </v>
      </c>
      <c r="AJ31" s="95" t="s">
        <v>781</v>
      </c>
      <c r="AK31" s="204" t="str">
        <f t="shared" ref="AK31:AM31" si="152">IFERROR(AJ31/$G31," ")</f>
        <v xml:space="preserve"> </v>
      </c>
      <c r="AL31" s="95" t="s">
        <v>781</v>
      </c>
      <c r="AM31" s="204" t="str">
        <f t="shared" si="152"/>
        <v xml:space="preserve"> </v>
      </c>
      <c r="AN31" s="95"/>
      <c r="AO31" s="94" t="str">
        <f t="shared" si="10"/>
        <v xml:space="preserve"> </v>
      </c>
      <c r="AP31" s="94" t="str">
        <f t="shared" si="0"/>
        <v xml:space="preserve"> </v>
      </c>
      <c r="AQ31" s="94" t="str">
        <f t="shared" si="1"/>
        <v xml:space="preserve"> </v>
      </c>
      <c r="AR31" s="94" t="str">
        <f t="shared" si="2"/>
        <v xml:space="preserve"> </v>
      </c>
      <c r="AS31" s="94" t="str">
        <f t="shared" si="11"/>
        <v xml:space="preserve"> </v>
      </c>
      <c r="AT31" s="94" t="str">
        <f t="shared" si="12"/>
        <v xml:space="preserve"> </v>
      </c>
      <c r="AU31" s="94" t="str">
        <f t="shared" si="13"/>
        <v xml:space="preserve"> </v>
      </c>
      <c r="AV31" s="94" t="str">
        <f t="shared" si="14"/>
        <v xml:space="preserve"> </v>
      </c>
      <c r="AW31" s="94" t="str">
        <f t="shared" si="15"/>
        <v xml:space="preserve"> </v>
      </c>
      <c r="AX31" s="94" t="str">
        <f t="shared" si="16"/>
        <v xml:space="preserve"> </v>
      </c>
      <c r="AY31" s="94" t="str">
        <f t="shared" si="17"/>
        <v xml:space="preserve"> </v>
      </c>
      <c r="AZ31" s="94" t="str">
        <f t="shared" si="18"/>
        <v xml:space="preserve"> </v>
      </c>
      <c r="BA31" s="94" t="str">
        <f t="shared" si="19"/>
        <v xml:space="preserve"> </v>
      </c>
      <c r="BB31" s="94" t="str">
        <f t="shared" si="20"/>
        <v xml:space="preserve"> </v>
      </c>
    </row>
    <row r="32" spans="1:54" ht="30" x14ac:dyDescent="0.25">
      <c r="A32" s="80">
        <v>13</v>
      </c>
      <c r="B32" s="95" t="s">
        <v>2852</v>
      </c>
      <c r="C32" s="201" t="s">
        <v>96</v>
      </c>
      <c r="D32" s="80" t="s">
        <v>62</v>
      </c>
      <c r="E32" s="94">
        <f>IFERROR(VLOOKUP(A32,Estimate!A:Q,17,FALSE)," ")</f>
        <v>2733.6</v>
      </c>
      <c r="F32" s="202">
        <v>3</v>
      </c>
      <c r="G32" s="202">
        <v>3</v>
      </c>
      <c r="H32" s="203">
        <v>1144.67</v>
      </c>
      <c r="I32" s="203">
        <v>3434.01</v>
      </c>
      <c r="J32" s="203">
        <v>3434.01</v>
      </c>
      <c r="K32" s="203"/>
      <c r="L32" s="202">
        <v>3</v>
      </c>
      <c r="M32" s="204">
        <f t="shared" si="3"/>
        <v>1</v>
      </c>
      <c r="N32" s="95">
        <v>3</v>
      </c>
      <c r="O32" s="204">
        <f t="shared" si="3"/>
        <v>1</v>
      </c>
      <c r="P32" s="95">
        <v>3</v>
      </c>
      <c r="Q32" s="204">
        <f t="shared" ref="Q32:S32" si="153">IFERROR(P32/$G32," ")</f>
        <v>1</v>
      </c>
      <c r="R32" s="95">
        <v>3</v>
      </c>
      <c r="S32" s="204">
        <f t="shared" si="153"/>
        <v>1</v>
      </c>
      <c r="T32" s="95">
        <v>3</v>
      </c>
      <c r="U32" s="204">
        <f t="shared" ref="U32:W32" si="154">IFERROR(T32/$G32," ")</f>
        <v>1</v>
      </c>
      <c r="V32" s="95">
        <v>3</v>
      </c>
      <c r="W32" s="204">
        <f t="shared" si="154"/>
        <v>1</v>
      </c>
      <c r="X32" s="95">
        <v>3</v>
      </c>
      <c r="Y32" s="204">
        <f t="shared" ref="Y32:AA32" si="155">IFERROR(X32/$G32," ")</f>
        <v>1</v>
      </c>
      <c r="Z32" s="95">
        <v>3</v>
      </c>
      <c r="AA32" s="204">
        <f t="shared" si="155"/>
        <v>1</v>
      </c>
      <c r="AB32" s="95">
        <v>3</v>
      </c>
      <c r="AC32" s="204">
        <f t="shared" ref="AC32:AE32" si="156">IFERROR(AB32/$G32," ")</f>
        <v>1</v>
      </c>
      <c r="AD32" s="95">
        <v>3</v>
      </c>
      <c r="AE32" s="204">
        <f t="shared" si="156"/>
        <v>1</v>
      </c>
      <c r="AF32" s="95">
        <v>3</v>
      </c>
      <c r="AG32" s="204">
        <f t="shared" ref="AG32:AI32" si="157">IFERROR(AF32/$G32," ")</f>
        <v>1</v>
      </c>
      <c r="AH32" s="95">
        <v>3</v>
      </c>
      <c r="AI32" s="204">
        <f t="shared" si="157"/>
        <v>1</v>
      </c>
      <c r="AJ32" s="95">
        <v>3</v>
      </c>
      <c r="AK32" s="204">
        <f t="shared" ref="AK32:AM32" si="158">IFERROR(AJ32/$G32," ")</f>
        <v>1</v>
      </c>
      <c r="AL32" s="95">
        <v>3</v>
      </c>
      <c r="AM32" s="204">
        <f t="shared" si="158"/>
        <v>1</v>
      </c>
      <c r="AN32" s="95"/>
      <c r="AO32" s="94">
        <f t="shared" si="10"/>
        <v>3434.01</v>
      </c>
      <c r="AP32" s="94">
        <f t="shared" si="0"/>
        <v>3434.01</v>
      </c>
      <c r="AQ32" s="94">
        <f t="shared" si="1"/>
        <v>3434.01</v>
      </c>
      <c r="AR32" s="94">
        <f t="shared" si="2"/>
        <v>3434.01</v>
      </c>
      <c r="AS32" s="94">
        <f t="shared" si="11"/>
        <v>3434.01</v>
      </c>
      <c r="AT32" s="94">
        <f t="shared" si="12"/>
        <v>3434.01</v>
      </c>
      <c r="AU32" s="94">
        <f t="shared" si="13"/>
        <v>3434.01</v>
      </c>
      <c r="AV32" s="94">
        <f t="shared" si="14"/>
        <v>3434.01</v>
      </c>
      <c r="AW32" s="94">
        <f t="shared" si="15"/>
        <v>3434.01</v>
      </c>
      <c r="AX32" s="94">
        <f t="shared" si="16"/>
        <v>3434.01</v>
      </c>
      <c r="AY32" s="94">
        <f t="shared" si="17"/>
        <v>3434.01</v>
      </c>
      <c r="AZ32" s="94">
        <f t="shared" si="18"/>
        <v>3434.01</v>
      </c>
      <c r="BA32" s="94">
        <f t="shared" si="19"/>
        <v>3434.01</v>
      </c>
      <c r="BB32" s="94">
        <f t="shared" si="20"/>
        <v>3434.01</v>
      </c>
    </row>
    <row r="33" spans="1:54" x14ac:dyDescent="0.25">
      <c r="A33" s="80"/>
      <c r="B33" s="95" t="s">
        <v>2853</v>
      </c>
      <c r="C33" s="201" t="s">
        <v>98</v>
      </c>
      <c r="D33" s="80" t="s">
        <v>783</v>
      </c>
      <c r="E33" s="94" t="str">
        <f>IFERROR(VLOOKUP(A33,Estimate!A:Q,17,FALSE)," ")</f>
        <v xml:space="preserve"> </v>
      </c>
      <c r="F33" s="202" t="s">
        <v>781</v>
      </c>
      <c r="G33" s="202" t="s">
        <v>781</v>
      </c>
      <c r="H33" s="203" t="s">
        <v>781</v>
      </c>
      <c r="I33" s="203" t="s">
        <v>781</v>
      </c>
      <c r="J33" s="203" t="s">
        <v>781</v>
      </c>
      <c r="K33" s="203"/>
      <c r="L33" s="202" t="s">
        <v>781</v>
      </c>
      <c r="M33" s="204" t="str">
        <f t="shared" si="3"/>
        <v xml:space="preserve"> </v>
      </c>
      <c r="N33" s="95" t="s">
        <v>781</v>
      </c>
      <c r="O33" s="204" t="str">
        <f t="shared" si="3"/>
        <v xml:space="preserve"> </v>
      </c>
      <c r="P33" s="95" t="s">
        <v>781</v>
      </c>
      <c r="Q33" s="204" t="str">
        <f t="shared" ref="Q33:S33" si="159">IFERROR(P33/$G33," ")</f>
        <v xml:space="preserve"> </v>
      </c>
      <c r="R33" s="95" t="s">
        <v>781</v>
      </c>
      <c r="S33" s="204" t="str">
        <f t="shared" si="159"/>
        <v xml:space="preserve"> </v>
      </c>
      <c r="T33" s="95" t="s">
        <v>781</v>
      </c>
      <c r="U33" s="204" t="str">
        <f t="shared" ref="U33:W33" si="160">IFERROR(T33/$G33," ")</f>
        <v xml:space="preserve"> </v>
      </c>
      <c r="V33" s="95" t="s">
        <v>781</v>
      </c>
      <c r="W33" s="204" t="str">
        <f t="shared" si="160"/>
        <v xml:space="preserve"> </v>
      </c>
      <c r="X33" s="95" t="s">
        <v>781</v>
      </c>
      <c r="Y33" s="204" t="str">
        <f t="shared" ref="Y33:AA33" si="161">IFERROR(X33/$G33," ")</f>
        <v xml:space="preserve"> </v>
      </c>
      <c r="Z33" s="95" t="s">
        <v>781</v>
      </c>
      <c r="AA33" s="204" t="str">
        <f t="shared" si="161"/>
        <v xml:space="preserve"> </v>
      </c>
      <c r="AB33" s="95" t="s">
        <v>781</v>
      </c>
      <c r="AC33" s="204" t="str">
        <f t="shared" ref="AC33:AE33" si="162">IFERROR(AB33/$G33," ")</f>
        <v xml:space="preserve"> </v>
      </c>
      <c r="AD33" s="95" t="s">
        <v>781</v>
      </c>
      <c r="AE33" s="204" t="str">
        <f t="shared" si="162"/>
        <v xml:space="preserve"> </v>
      </c>
      <c r="AF33" s="95" t="s">
        <v>781</v>
      </c>
      <c r="AG33" s="204" t="str">
        <f t="shared" ref="AG33:AI33" si="163">IFERROR(AF33/$G33," ")</f>
        <v xml:space="preserve"> </v>
      </c>
      <c r="AH33" s="95" t="s">
        <v>781</v>
      </c>
      <c r="AI33" s="204" t="str">
        <f t="shared" si="163"/>
        <v xml:space="preserve"> </v>
      </c>
      <c r="AJ33" s="95" t="s">
        <v>781</v>
      </c>
      <c r="AK33" s="204" t="str">
        <f t="shared" ref="AK33:AM33" si="164">IFERROR(AJ33/$G33," ")</f>
        <v xml:space="preserve"> </v>
      </c>
      <c r="AL33" s="95" t="s">
        <v>781</v>
      </c>
      <c r="AM33" s="204" t="str">
        <f t="shared" si="164"/>
        <v xml:space="preserve"> </v>
      </c>
      <c r="AN33" s="95"/>
      <c r="AO33" s="94" t="str">
        <f t="shared" si="10"/>
        <v xml:space="preserve"> </v>
      </c>
      <c r="AP33" s="94" t="str">
        <f t="shared" si="0"/>
        <v xml:space="preserve"> </v>
      </c>
      <c r="AQ33" s="94" t="str">
        <f t="shared" si="1"/>
        <v xml:space="preserve"> </v>
      </c>
      <c r="AR33" s="94" t="str">
        <f t="shared" si="2"/>
        <v xml:space="preserve"> </v>
      </c>
      <c r="AS33" s="94" t="str">
        <f t="shared" si="11"/>
        <v xml:space="preserve"> </v>
      </c>
      <c r="AT33" s="94" t="str">
        <f t="shared" si="12"/>
        <v xml:space="preserve"> </v>
      </c>
      <c r="AU33" s="94" t="str">
        <f t="shared" si="13"/>
        <v xml:space="preserve"> </v>
      </c>
      <c r="AV33" s="94" t="str">
        <f t="shared" si="14"/>
        <v xml:space="preserve"> </v>
      </c>
      <c r="AW33" s="94" t="str">
        <f t="shared" si="15"/>
        <v xml:space="preserve"> </v>
      </c>
      <c r="AX33" s="94" t="str">
        <f t="shared" si="16"/>
        <v xml:space="preserve"> </v>
      </c>
      <c r="AY33" s="94" t="str">
        <f t="shared" si="17"/>
        <v xml:space="preserve"> </v>
      </c>
      <c r="AZ33" s="94" t="str">
        <f t="shared" si="18"/>
        <v xml:space="preserve"> </v>
      </c>
      <c r="BA33" s="94" t="str">
        <f t="shared" si="19"/>
        <v xml:space="preserve"> </v>
      </c>
      <c r="BB33" s="94" t="str">
        <f t="shared" si="20"/>
        <v xml:space="preserve"> </v>
      </c>
    </row>
    <row r="34" spans="1:54" x14ac:dyDescent="0.25">
      <c r="A34" s="80">
        <v>14</v>
      </c>
      <c r="B34" s="95" t="s">
        <v>2854</v>
      </c>
      <c r="C34" s="201" t="s">
        <v>100</v>
      </c>
      <c r="D34" s="80" t="s">
        <v>62</v>
      </c>
      <c r="E34" s="94">
        <f>IFERROR(VLOOKUP(A34,Estimate!A:Q,17,FALSE)," ")</f>
        <v>2268</v>
      </c>
      <c r="F34" s="202">
        <v>60</v>
      </c>
      <c r="G34" s="202">
        <v>60</v>
      </c>
      <c r="H34" s="203">
        <v>47.49</v>
      </c>
      <c r="I34" s="203">
        <v>2849.4</v>
      </c>
      <c r="J34" s="203">
        <v>2849.4</v>
      </c>
      <c r="K34" s="203"/>
      <c r="L34" s="202"/>
      <c r="M34" s="204">
        <f t="shared" si="3"/>
        <v>0</v>
      </c>
      <c r="N34" s="95">
        <v>30</v>
      </c>
      <c r="O34" s="204">
        <f t="shared" si="3"/>
        <v>0.5</v>
      </c>
      <c r="P34" s="95">
        <v>30</v>
      </c>
      <c r="Q34" s="204">
        <f t="shared" ref="Q34:S34" si="165">IFERROR(P34/$G34," ")</f>
        <v>0.5</v>
      </c>
      <c r="R34" s="95">
        <v>30</v>
      </c>
      <c r="S34" s="204">
        <f t="shared" si="165"/>
        <v>0.5</v>
      </c>
      <c r="T34" s="95">
        <v>30</v>
      </c>
      <c r="U34" s="204">
        <f t="shared" ref="U34:W34" si="166">IFERROR(T34/$G34," ")</f>
        <v>0.5</v>
      </c>
      <c r="V34" s="95">
        <v>30</v>
      </c>
      <c r="W34" s="204">
        <f t="shared" si="166"/>
        <v>0.5</v>
      </c>
      <c r="X34" s="95">
        <v>30</v>
      </c>
      <c r="Y34" s="204">
        <f t="shared" ref="Y34:AA34" si="167">IFERROR(X34/$G34," ")</f>
        <v>0.5</v>
      </c>
      <c r="Z34" s="95">
        <v>60</v>
      </c>
      <c r="AA34" s="204">
        <f t="shared" si="167"/>
        <v>1</v>
      </c>
      <c r="AB34" s="95">
        <v>60</v>
      </c>
      <c r="AC34" s="204">
        <f t="shared" ref="AC34:AE34" si="168">IFERROR(AB34/$G34," ")</f>
        <v>1</v>
      </c>
      <c r="AD34" s="95">
        <v>60</v>
      </c>
      <c r="AE34" s="204">
        <f t="shared" si="168"/>
        <v>1</v>
      </c>
      <c r="AF34" s="95">
        <v>60</v>
      </c>
      <c r="AG34" s="204">
        <f t="shared" ref="AG34:AI34" si="169">IFERROR(AF34/$G34," ")</f>
        <v>1</v>
      </c>
      <c r="AH34" s="95">
        <v>60</v>
      </c>
      <c r="AI34" s="204">
        <f t="shared" si="169"/>
        <v>1</v>
      </c>
      <c r="AJ34" s="95">
        <v>60</v>
      </c>
      <c r="AK34" s="204">
        <f t="shared" ref="AK34:AM34" si="170">IFERROR(AJ34/$G34," ")</f>
        <v>1</v>
      </c>
      <c r="AL34" s="95">
        <v>60</v>
      </c>
      <c r="AM34" s="204">
        <f t="shared" si="170"/>
        <v>1</v>
      </c>
      <c r="AN34" s="95"/>
      <c r="AO34" s="94">
        <f t="shared" si="10"/>
        <v>0</v>
      </c>
      <c r="AP34" s="94">
        <f t="shared" si="0"/>
        <v>1424.7</v>
      </c>
      <c r="AQ34" s="94">
        <f t="shared" si="1"/>
        <v>1424.7</v>
      </c>
      <c r="AR34" s="94">
        <f t="shared" si="2"/>
        <v>1424.7</v>
      </c>
      <c r="AS34" s="94">
        <f t="shared" si="11"/>
        <v>1424.7</v>
      </c>
      <c r="AT34" s="94">
        <f t="shared" si="12"/>
        <v>1424.7</v>
      </c>
      <c r="AU34" s="94">
        <f t="shared" si="13"/>
        <v>1424.7</v>
      </c>
      <c r="AV34" s="94">
        <f t="shared" si="14"/>
        <v>2849.4</v>
      </c>
      <c r="AW34" s="94">
        <f t="shared" si="15"/>
        <v>2849.4</v>
      </c>
      <c r="AX34" s="94">
        <f t="shared" si="16"/>
        <v>2849.4</v>
      </c>
      <c r="AY34" s="94">
        <f t="shared" si="17"/>
        <v>2849.4</v>
      </c>
      <c r="AZ34" s="94">
        <f t="shared" si="18"/>
        <v>2849.4</v>
      </c>
      <c r="BA34" s="94">
        <f t="shared" si="19"/>
        <v>2849.4</v>
      </c>
      <c r="BB34" s="94">
        <f t="shared" si="20"/>
        <v>2849.4</v>
      </c>
    </row>
    <row r="35" spans="1:54" x14ac:dyDescent="0.25">
      <c r="A35" s="80"/>
      <c r="B35" s="95" t="s">
        <v>2417</v>
      </c>
      <c r="C35" s="201" t="s">
        <v>2837</v>
      </c>
      <c r="D35" s="80" t="s">
        <v>783</v>
      </c>
      <c r="E35" s="94" t="str">
        <f>IFERROR(VLOOKUP(A35,Estimate!A:Q,17,FALSE)," ")</f>
        <v xml:space="preserve"> </v>
      </c>
      <c r="F35" s="202" t="s">
        <v>781</v>
      </c>
      <c r="G35" s="202" t="s">
        <v>781</v>
      </c>
      <c r="H35" s="203" t="s">
        <v>781</v>
      </c>
      <c r="I35" s="203" t="s">
        <v>781</v>
      </c>
      <c r="J35" s="203" t="s">
        <v>781</v>
      </c>
      <c r="K35" s="203"/>
      <c r="L35" s="202" t="s">
        <v>781</v>
      </c>
      <c r="M35" s="204" t="str">
        <f t="shared" si="3"/>
        <v xml:space="preserve"> </v>
      </c>
      <c r="N35" s="95" t="s">
        <v>781</v>
      </c>
      <c r="O35" s="204" t="str">
        <f t="shared" si="3"/>
        <v xml:space="preserve"> </v>
      </c>
      <c r="P35" s="95" t="s">
        <v>781</v>
      </c>
      <c r="Q35" s="204" t="str">
        <f t="shared" ref="Q35:S35" si="171">IFERROR(P35/$G35," ")</f>
        <v xml:space="preserve"> </v>
      </c>
      <c r="R35" s="95" t="s">
        <v>781</v>
      </c>
      <c r="S35" s="204" t="str">
        <f t="shared" si="171"/>
        <v xml:space="preserve"> </v>
      </c>
      <c r="T35" s="95" t="s">
        <v>781</v>
      </c>
      <c r="U35" s="204" t="str">
        <f t="shared" ref="U35:W35" si="172">IFERROR(T35/$G35," ")</f>
        <v xml:space="preserve"> </v>
      </c>
      <c r="V35" s="95" t="s">
        <v>781</v>
      </c>
      <c r="W35" s="204" t="str">
        <f t="shared" si="172"/>
        <v xml:space="preserve"> </v>
      </c>
      <c r="X35" s="95" t="s">
        <v>781</v>
      </c>
      <c r="Y35" s="204" t="str">
        <f t="shared" ref="Y35:AA35" si="173">IFERROR(X35/$G35," ")</f>
        <v xml:space="preserve"> </v>
      </c>
      <c r="Z35" s="95" t="s">
        <v>781</v>
      </c>
      <c r="AA35" s="204" t="str">
        <f t="shared" si="173"/>
        <v xml:space="preserve"> </v>
      </c>
      <c r="AB35" s="95" t="s">
        <v>781</v>
      </c>
      <c r="AC35" s="204" t="str">
        <f t="shared" ref="AC35:AE35" si="174">IFERROR(AB35/$G35," ")</f>
        <v xml:space="preserve"> </v>
      </c>
      <c r="AD35" s="95" t="s">
        <v>781</v>
      </c>
      <c r="AE35" s="204" t="str">
        <f t="shared" si="174"/>
        <v xml:space="preserve"> </v>
      </c>
      <c r="AF35" s="95" t="s">
        <v>781</v>
      </c>
      <c r="AG35" s="204" t="str">
        <f t="shared" ref="AG35:AI35" si="175">IFERROR(AF35/$G35," ")</f>
        <v xml:space="preserve"> </v>
      </c>
      <c r="AH35" s="95" t="s">
        <v>781</v>
      </c>
      <c r="AI35" s="204" t="str">
        <f t="shared" si="175"/>
        <v xml:space="preserve"> </v>
      </c>
      <c r="AJ35" s="95" t="s">
        <v>781</v>
      </c>
      <c r="AK35" s="204" t="str">
        <f t="shared" ref="AK35:AM35" si="176">IFERROR(AJ35/$G35," ")</f>
        <v xml:space="preserve"> </v>
      </c>
      <c r="AL35" s="95" t="s">
        <v>781</v>
      </c>
      <c r="AM35" s="204" t="str">
        <f t="shared" si="176"/>
        <v xml:space="preserve"> </v>
      </c>
      <c r="AN35" s="95"/>
      <c r="AO35" s="94" t="str">
        <f t="shared" si="10"/>
        <v xml:space="preserve"> </v>
      </c>
      <c r="AP35" s="94" t="str">
        <f t="shared" si="0"/>
        <v xml:space="preserve"> </v>
      </c>
      <c r="AQ35" s="94" t="str">
        <f t="shared" si="1"/>
        <v xml:space="preserve"> </v>
      </c>
      <c r="AR35" s="94" t="str">
        <f t="shared" si="2"/>
        <v xml:space="preserve"> </v>
      </c>
      <c r="AS35" s="94" t="str">
        <f t="shared" si="11"/>
        <v xml:space="preserve"> </v>
      </c>
      <c r="AT35" s="94" t="str">
        <f t="shared" si="12"/>
        <v xml:space="preserve"> </v>
      </c>
      <c r="AU35" s="94" t="str">
        <f t="shared" si="13"/>
        <v xml:space="preserve"> </v>
      </c>
      <c r="AV35" s="94" t="str">
        <f t="shared" si="14"/>
        <v xml:space="preserve"> </v>
      </c>
      <c r="AW35" s="94" t="str">
        <f t="shared" si="15"/>
        <v xml:space="preserve"> </v>
      </c>
      <c r="AX35" s="94" t="str">
        <f t="shared" si="16"/>
        <v xml:space="preserve"> </v>
      </c>
      <c r="AY35" s="94" t="str">
        <f t="shared" si="17"/>
        <v xml:space="preserve"> </v>
      </c>
      <c r="AZ35" s="94" t="str">
        <f t="shared" si="18"/>
        <v xml:space="preserve"> </v>
      </c>
      <c r="BA35" s="94" t="str">
        <f t="shared" si="19"/>
        <v xml:space="preserve"> </v>
      </c>
      <c r="BB35" s="94" t="str">
        <f t="shared" si="20"/>
        <v xml:space="preserve"> </v>
      </c>
    </row>
    <row r="36" spans="1:54" x14ac:dyDescent="0.25">
      <c r="A36" s="80"/>
      <c r="B36" s="95" t="s">
        <v>2417</v>
      </c>
      <c r="C36" s="201" t="s">
        <v>102</v>
      </c>
      <c r="D36" s="80" t="s">
        <v>783</v>
      </c>
      <c r="E36" s="94" t="str">
        <f>IFERROR(VLOOKUP(A36,Estimate!A:Q,17,FALSE)," ")</f>
        <v xml:space="preserve"> </v>
      </c>
      <c r="F36" s="202" t="s">
        <v>781</v>
      </c>
      <c r="G36" s="202" t="s">
        <v>781</v>
      </c>
      <c r="H36" s="203" t="s">
        <v>781</v>
      </c>
      <c r="I36" s="203" t="s">
        <v>781</v>
      </c>
      <c r="J36" s="203" t="s">
        <v>781</v>
      </c>
      <c r="K36" s="203"/>
      <c r="L36" s="202" t="s">
        <v>781</v>
      </c>
      <c r="M36" s="204" t="str">
        <f t="shared" si="3"/>
        <v xml:space="preserve"> </v>
      </c>
      <c r="N36" s="95" t="s">
        <v>781</v>
      </c>
      <c r="O36" s="204" t="str">
        <f t="shared" si="3"/>
        <v xml:space="preserve"> </v>
      </c>
      <c r="P36" s="95" t="s">
        <v>781</v>
      </c>
      <c r="Q36" s="204" t="str">
        <f t="shared" ref="Q36:S36" si="177">IFERROR(P36/$G36," ")</f>
        <v xml:space="preserve"> </v>
      </c>
      <c r="R36" s="95" t="s">
        <v>781</v>
      </c>
      <c r="S36" s="204" t="str">
        <f t="shared" si="177"/>
        <v xml:space="preserve"> </v>
      </c>
      <c r="T36" s="95" t="s">
        <v>781</v>
      </c>
      <c r="U36" s="204" t="str">
        <f t="shared" ref="U36:W36" si="178">IFERROR(T36/$G36," ")</f>
        <v xml:space="preserve"> </v>
      </c>
      <c r="V36" s="95" t="s">
        <v>781</v>
      </c>
      <c r="W36" s="204" t="str">
        <f t="shared" si="178"/>
        <v xml:space="preserve"> </v>
      </c>
      <c r="X36" s="95" t="s">
        <v>781</v>
      </c>
      <c r="Y36" s="204" t="str">
        <f t="shared" ref="Y36:AA36" si="179">IFERROR(X36/$G36," ")</f>
        <v xml:space="preserve"> </v>
      </c>
      <c r="Z36" s="95" t="s">
        <v>781</v>
      </c>
      <c r="AA36" s="204" t="str">
        <f t="shared" si="179"/>
        <v xml:space="preserve"> </v>
      </c>
      <c r="AB36" s="95" t="s">
        <v>781</v>
      </c>
      <c r="AC36" s="204" t="str">
        <f t="shared" ref="AC36:AE36" si="180">IFERROR(AB36/$G36," ")</f>
        <v xml:space="preserve"> </v>
      </c>
      <c r="AD36" s="95" t="s">
        <v>781</v>
      </c>
      <c r="AE36" s="204" t="str">
        <f t="shared" si="180"/>
        <v xml:space="preserve"> </v>
      </c>
      <c r="AF36" s="95" t="s">
        <v>781</v>
      </c>
      <c r="AG36" s="204" t="str">
        <f t="shared" ref="AG36:AI36" si="181">IFERROR(AF36/$G36," ")</f>
        <v xml:space="preserve"> </v>
      </c>
      <c r="AH36" s="95" t="s">
        <v>781</v>
      </c>
      <c r="AI36" s="204" t="str">
        <f t="shared" si="181"/>
        <v xml:space="preserve"> </v>
      </c>
      <c r="AJ36" s="95" t="s">
        <v>781</v>
      </c>
      <c r="AK36" s="204" t="str">
        <f t="shared" ref="AK36:AM36" si="182">IFERROR(AJ36/$G36," ")</f>
        <v xml:space="preserve"> </v>
      </c>
      <c r="AL36" s="95" t="s">
        <v>781</v>
      </c>
      <c r="AM36" s="204" t="str">
        <f t="shared" si="182"/>
        <v xml:space="preserve"> </v>
      </c>
      <c r="AN36" s="95"/>
      <c r="AO36" s="94" t="str">
        <f t="shared" si="10"/>
        <v xml:space="preserve"> </v>
      </c>
      <c r="AP36" s="94" t="str">
        <f t="shared" si="0"/>
        <v xml:space="preserve"> </v>
      </c>
      <c r="AQ36" s="94" t="str">
        <f t="shared" si="1"/>
        <v xml:space="preserve"> </v>
      </c>
      <c r="AR36" s="94" t="str">
        <f t="shared" si="2"/>
        <v xml:space="preserve"> </v>
      </c>
      <c r="AS36" s="94" t="str">
        <f t="shared" si="11"/>
        <v xml:space="preserve"> </v>
      </c>
      <c r="AT36" s="94" t="str">
        <f t="shared" si="12"/>
        <v xml:space="preserve"> </v>
      </c>
      <c r="AU36" s="94" t="str">
        <f t="shared" si="13"/>
        <v xml:space="preserve"> </v>
      </c>
      <c r="AV36" s="94" t="str">
        <f t="shared" si="14"/>
        <v xml:space="preserve"> </v>
      </c>
      <c r="AW36" s="94" t="str">
        <f t="shared" si="15"/>
        <v xml:space="preserve"> </v>
      </c>
      <c r="AX36" s="94" t="str">
        <f t="shared" si="16"/>
        <v xml:space="preserve"> </v>
      </c>
      <c r="AY36" s="94" t="str">
        <f t="shared" si="17"/>
        <v xml:space="preserve"> </v>
      </c>
      <c r="AZ36" s="94" t="str">
        <f t="shared" si="18"/>
        <v xml:space="preserve"> </v>
      </c>
      <c r="BA36" s="94" t="str">
        <f t="shared" si="19"/>
        <v xml:space="preserve"> </v>
      </c>
      <c r="BB36" s="94" t="str">
        <f t="shared" si="20"/>
        <v xml:space="preserve"> </v>
      </c>
    </row>
    <row r="37" spans="1:54" x14ac:dyDescent="0.25">
      <c r="A37" s="80"/>
      <c r="B37" s="95" t="s">
        <v>2855</v>
      </c>
      <c r="C37" s="201" t="s">
        <v>104</v>
      </c>
      <c r="D37" s="80" t="s">
        <v>783</v>
      </c>
      <c r="E37" s="94" t="str">
        <f>IFERROR(VLOOKUP(A37,Estimate!A:Q,17,FALSE)," ")</f>
        <v xml:space="preserve"> </v>
      </c>
      <c r="F37" s="202" t="s">
        <v>781</v>
      </c>
      <c r="G37" s="202" t="s">
        <v>781</v>
      </c>
      <c r="H37" s="203" t="s">
        <v>781</v>
      </c>
      <c r="I37" s="203" t="s">
        <v>781</v>
      </c>
      <c r="J37" s="203" t="s">
        <v>781</v>
      </c>
      <c r="K37" s="203"/>
      <c r="L37" s="202" t="s">
        <v>781</v>
      </c>
      <c r="M37" s="204" t="str">
        <f t="shared" si="3"/>
        <v xml:space="preserve"> </v>
      </c>
      <c r="N37" s="95" t="s">
        <v>781</v>
      </c>
      <c r="O37" s="204" t="str">
        <f t="shared" si="3"/>
        <v xml:space="preserve"> </v>
      </c>
      <c r="P37" s="95" t="s">
        <v>781</v>
      </c>
      <c r="Q37" s="204" t="str">
        <f t="shared" ref="Q37:S37" si="183">IFERROR(P37/$G37," ")</f>
        <v xml:space="preserve"> </v>
      </c>
      <c r="R37" s="95" t="s">
        <v>781</v>
      </c>
      <c r="S37" s="204" t="str">
        <f t="shared" si="183"/>
        <v xml:space="preserve"> </v>
      </c>
      <c r="T37" s="95" t="s">
        <v>781</v>
      </c>
      <c r="U37" s="204" t="str">
        <f t="shared" ref="U37:W37" si="184">IFERROR(T37/$G37," ")</f>
        <v xml:space="preserve"> </v>
      </c>
      <c r="V37" s="95" t="s">
        <v>781</v>
      </c>
      <c r="W37" s="204" t="str">
        <f t="shared" si="184"/>
        <v xml:space="preserve"> </v>
      </c>
      <c r="X37" s="95" t="s">
        <v>781</v>
      </c>
      <c r="Y37" s="204" t="str">
        <f t="shared" ref="Y37:AA37" si="185">IFERROR(X37/$G37," ")</f>
        <v xml:space="preserve"> </v>
      </c>
      <c r="Z37" s="95" t="s">
        <v>781</v>
      </c>
      <c r="AA37" s="204" t="str">
        <f t="shared" si="185"/>
        <v xml:space="preserve"> </v>
      </c>
      <c r="AB37" s="95" t="s">
        <v>781</v>
      </c>
      <c r="AC37" s="204" t="str">
        <f t="shared" ref="AC37:AE37" si="186">IFERROR(AB37/$G37," ")</f>
        <v xml:space="preserve"> </v>
      </c>
      <c r="AD37" s="95" t="s">
        <v>781</v>
      </c>
      <c r="AE37" s="204" t="str">
        <f t="shared" si="186"/>
        <v xml:space="preserve"> </v>
      </c>
      <c r="AF37" s="95" t="s">
        <v>781</v>
      </c>
      <c r="AG37" s="204" t="str">
        <f t="shared" ref="AG37:AI37" si="187">IFERROR(AF37/$G37," ")</f>
        <v xml:space="preserve"> </v>
      </c>
      <c r="AH37" s="95" t="s">
        <v>781</v>
      </c>
      <c r="AI37" s="204" t="str">
        <f t="shared" si="187"/>
        <v xml:space="preserve"> </v>
      </c>
      <c r="AJ37" s="95" t="s">
        <v>781</v>
      </c>
      <c r="AK37" s="204" t="str">
        <f t="shared" ref="AK37:AM37" si="188">IFERROR(AJ37/$G37," ")</f>
        <v xml:space="preserve"> </v>
      </c>
      <c r="AL37" s="95" t="s">
        <v>781</v>
      </c>
      <c r="AM37" s="204" t="str">
        <f t="shared" si="188"/>
        <v xml:space="preserve"> </v>
      </c>
      <c r="AN37" s="95"/>
      <c r="AO37" s="94" t="str">
        <f t="shared" si="10"/>
        <v xml:space="preserve"> </v>
      </c>
      <c r="AP37" s="94" t="str">
        <f t="shared" si="0"/>
        <v xml:space="preserve"> </v>
      </c>
      <c r="AQ37" s="94" t="str">
        <f t="shared" si="1"/>
        <v xml:space="preserve"> </v>
      </c>
      <c r="AR37" s="94" t="str">
        <f t="shared" si="2"/>
        <v xml:space="preserve"> </v>
      </c>
      <c r="AS37" s="94" t="str">
        <f t="shared" si="11"/>
        <v xml:space="preserve"> </v>
      </c>
      <c r="AT37" s="94" t="str">
        <f t="shared" si="12"/>
        <v xml:space="preserve"> </v>
      </c>
      <c r="AU37" s="94" t="str">
        <f t="shared" si="13"/>
        <v xml:space="preserve"> </v>
      </c>
      <c r="AV37" s="94" t="str">
        <f t="shared" si="14"/>
        <v xml:space="preserve"> </v>
      </c>
      <c r="AW37" s="94" t="str">
        <f t="shared" si="15"/>
        <v xml:space="preserve"> </v>
      </c>
      <c r="AX37" s="94" t="str">
        <f t="shared" si="16"/>
        <v xml:space="preserve"> </v>
      </c>
      <c r="AY37" s="94" t="str">
        <f t="shared" si="17"/>
        <v xml:space="preserve"> </v>
      </c>
      <c r="AZ37" s="94" t="str">
        <f t="shared" si="18"/>
        <v xml:space="preserve"> </v>
      </c>
      <c r="BA37" s="94" t="str">
        <f t="shared" si="19"/>
        <v xml:space="preserve"> </v>
      </c>
      <c r="BB37" s="94" t="str">
        <f t="shared" si="20"/>
        <v xml:space="preserve"> </v>
      </c>
    </row>
    <row r="38" spans="1:54" ht="30" x14ac:dyDescent="0.25">
      <c r="A38" s="80">
        <v>15</v>
      </c>
      <c r="B38" s="95">
        <v>543</v>
      </c>
      <c r="C38" s="201" t="s">
        <v>106</v>
      </c>
      <c r="D38" s="80" t="s">
        <v>107</v>
      </c>
      <c r="E38" s="94">
        <f>IFERROR(VLOOKUP(A38,Estimate!A:Q,17,FALSE)," ")</f>
        <v>5918.8258337744837</v>
      </c>
      <c r="F38" s="202">
        <v>170</v>
      </c>
      <c r="G38" s="202">
        <v>170</v>
      </c>
      <c r="H38" s="203">
        <v>43.74</v>
      </c>
      <c r="I38" s="203">
        <v>7435.8</v>
      </c>
      <c r="J38" s="203">
        <v>7435.8</v>
      </c>
      <c r="K38" s="203"/>
      <c r="L38" s="202"/>
      <c r="M38" s="204">
        <f t="shared" si="3"/>
        <v>0</v>
      </c>
      <c r="N38" s="95"/>
      <c r="O38" s="204">
        <f t="shared" si="3"/>
        <v>0</v>
      </c>
      <c r="P38" s="95"/>
      <c r="Q38" s="204">
        <f t="shared" ref="Q38:S38" si="189">IFERROR(P38/$G38," ")</f>
        <v>0</v>
      </c>
      <c r="R38" s="95"/>
      <c r="S38" s="204">
        <f t="shared" si="189"/>
        <v>0</v>
      </c>
      <c r="T38" s="95"/>
      <c r="U38" s="204">
        <f t="shared" ref="U38:W38" si="190">IFERROR(T38/$G38," ")</f>
        <v>0</v>
      </c>
      <c r="V38" s="95"/>
      <c r="W38" s="204">
        <f t="shared" si="190"/>
        <v>0</v>
      </c>
      <c r="X38" s="95"/>
      <c r="Y38" s="204">
        <f t="shared" ref="Y38:AA38" si="191">IFERROR(X38/$G38," ")</f>
        <v>0</v>
      </c>
      <c r="Z38" s="95"/>
      <c r="AA38" s="204">
        <f t="shared" si="191"/>
        <v>0</v>
      </c>
      <c r="AB38" s="95"/>
      <c r="AC38" s="204">
        <f t="shared" ref="AC38:AE38" si="192">IFERROR(AB38/$G38," ")</f>
        <v>0</v>
      </c>
      <c r="AD38" s="95"/>
      <c r="AE38" s="204">
        <f t="shared" si="192"/>
        <v>0</v>
      </c>
      <c r="AF38" s="95"/>
      <c r="AG38" s="204">
        <f t="shared" ref="AG38:AI38" si="193">IFERROR(AF38/$G38," ")</f>
        <v>0</v>
      </c>
      <c r="AH38" s="95"/>
      <c r="AI38" s="204">
        <f t="shared" si="193"/>
        <v>0</v>
      </c>
      <c r="AJ38" s="95"/>
      <c r="AK38" s="204">
        <f t="shared" ref="AK38:AM38" si="194">IFERROR(AJ38/$G38," ")</f>
        <v>0</v>
      </c>
      <c r="AL38" s="95"/>
      <c r="AM38" s="204">
        <f t="shared" si="194"/>
        <v>0</v>
      </c>
      <c r="AN38" s="95"/>
      <c r="AO38" s="94">
        <f t="shared" si="10"/>
        <v>0</v>
      </c>
      <c r="AP38" s="94">
        <f t="shared" si="0"/>
        <v>0</v>
      </c>
      <c r="AQ38" s="94">
        <f t="shared" si="1"/>
        <v>0</v>
      </c>
      <c r="AR38" s="94">
        <f t="shared" si="2"/>
        <v>0</v>
      </c>
      <c r="AS38" s="94">
        <f t="shared" si="11"/>
        <v>0</v>
      </c>
      <c r="AT38" s="94">
        <f t="shared" si="12"/>
        <v>0</v>
      </c>
      <c r="AU38" s="94">
        <f t="shared" si="13"/>
        <v>0</v>
      </c>
      <c r="AV38" s="94">
        <f t="shared" si="14"/>
        <v>0</v>
      </c>
      <c r="AW38" s="94">
        <f t="shared" si="15"/>
        <v>0</v>
      </c>
      <c r="AX38" s="94">
        <f t="shared" si="16"/>
        <v>0</v>
      </c>
      <c r="AY38" s="94">
        <f t="shared" si="17"/>
        <v>0</v>
      </c>
      <c r="AZ38" s="94">
        <f t="shared" si="18"/>
        <v>0</v>
      </c>
      <c r="BA38" s="94">
        <f t="shared" si="19"/>
        <v>0</v>
      </c>
      <c r="BB38" s="94">
        <f t="shared" si="20"/>
        <v>0</v>
      </c>
    </row>
    <row r="39" spans="1:54" x14ac:dyDescent="0.25">
      <c r="A39" s="80"/>
      <c r="B39" s="95" t="s">
        <v>2856</v>
      </c>
      <c r="C39" s="201" t="s">
        <v>111</v>
      </c>
      <c r="D39" s="80" t="s">
        <v>783</v>
      </c>
      <c r="E39" s="94" t="str">
        <f>IFERROR(VLOOKUP(A39,Estimate!A:Q,17,FALSE)," ")</f>
        <v xml:space="preserve"> </v>
      </c>
      <c r="F39" s="202" t="s">
        <v>781</v>
      </c>
      <c r="G39" s="202" t="s">
        <v>781</v>
      </c>
      <c r="H39" s="203" t="s">
        <v>781</v>
      </c>
      <c r="I39" s="203" t="s">
        <v>781</v>
      </c>
      <c r="J39" s="203" t="s">
        <v>781</v>
      </c>
      <c r="K39" s="203"/>
      <c r="L39" s="202" t="s">
        <v>781</v>
      </c>
      <c r="M39" s="204" t="str">
        <f t="shared" si="3"/>
        <v xml:space="preserve"> </v>
      </c>
      <c r="N39" s="95" t="s">
        <v>781</v>
      </c>
      <c r="O39" s="204" t="str">
        <f t="shared" si="3"/>
        <v xml:space="preserve"> </v>
      </c>
      <c r="P39" s="95" t="s">
        <v>781</v>
      </c>
      <c r="Q39" s="204" t="str">
        <f t="shared" ref="Q39:S39" si="195">IFERROR(P39/$G39," ")</f>
        <v xml:space="preserve"> </v>
      </c>
      <c r="R39" s="95" t="s">
        <v>781</v>
      </c>
      <c r="S39" s="204" t="str">
        <f t="shared" si="195"/>
        <v xml:space="preserve"> </v>
      </c>
      <c r="T39" s="95" t="s">
        <v>781</v>
      </c>
      <c r="U39" s="204" t="str">
        <f t="shared" ref="U39:W39" si="196">IFERROR(T39/$G39," ")</f>
        <v xml:space="preserve"> </v>
      </c>
      <c r="V39" s="95" t="s">
        <v>781</v>
      </c>
      <c r="W39" s="204" t="str">
        <f t="shared" si="196"/>
        <v xml:space="preserve"> </v>
      </c>
      <c r="X39" s="95" t="s">
        <v>781</v>
      </c>
      <c r="Y39" s="204" t="str">
        <f t="shared" ref="Y39:AA39" si="197">IFERROR(X39/$G39," ")</f>
        <v xml:space="preserve"> </v>
      </c>
      <c r="Z39" s="95" t="s">
        <v>781</v>
      </c>
      <c r="AA39" s="204" t="str">
        <f t="shared" si="197"/>
        <v xml:space="preserve"> </v>
      </c>
      <c r="AB39" s="95" t="s">
        <v>781</v>
      </c>
      <c r="AC39" s="204" t="str">
        <f t="shared" ref="AC39:AE39" si="198">IFERROR(AB39/$G39," ")</f>
        <v xml:space="preserve"> </v>
      </c>
      <c r="AD39" s="95" t="s">
        <v>781</v>
      </c>
      <c r="AE39" s="204" t="str">
        <f t="shared" si="198"/>
        <v xml:space="preserve"> </v>
      </c>
      <c r="AF39" s="95" t="s">
        <v>781</v>
      </c>
      <c r="AG39" s="204" t="str">
        <f t="shared" ref="AG39:AI39" si="199">IFERROR(AF39/$G39," ")</f>
        <v xml:space="preserve"> </v>
      </c>
      <c r="AH39" s="95" t="s">
        <v>781</v>
      </c>
      <c r="AI39" s="204" t="str">
        <f t="shared" si="199"/>
        <v xml:space="preserve"> </v>
      </c>
      <c r="AJ39" s="95" t="s">
        <v>781</v>
      </c>
      <c r="AK39" s="204" t="str">
        <f t="shared" ref="AK39:AM39" si="200">IFERROR(AJ39/$G39," ")</f>
        <v xml:space="preserve"> </v>
      </c>
      <c r="AL39" s="95" t="s">
        <v>781</v>
      </c>
      <c r="AM39" s="204" t="str">
        <f t="shared" si="200"/>
        <v xml:space="preserve"> </v>
      </c>
      <c r="AN39" s="95"/>
      <c r="AO39" s="94" t="str">
        <f t="shared" si="10"/>
        <v xml:space="preserve"> </v>
      </c>
      <c r="AP39" s="94" t="str">
        <f t="shared" si="0"/>
        <v xml:space="preserve"> </v>
      </c>
      <c r="AQ39" s="94" t="str">
        <f t="shared" si="1"/>
        <v xml:space="preserve"> </v>
      </c>
      <c r="AR39" s="94" t="str">
        <f t="shared" si="2"/>
        <v xml:space="preserve"> </v>
      </c>
      <c r="AS39" s="94" t="str">
        <f t="shared" si="11"/>
        <v xml:space="preserve"> </v>
      </c>
      <c r="AT39" s="94" t="str">
        <f t="shared" si="12"/>
        <v xml:space="preserve"> </v>
      </c>
      <c r="AU39" s="94" t="str">
        <f t="shared" si="13"/>
        <v xml:space="preserve"> </v>
      </c>
      <c r="AV39" s="94" t="str">
        <f t="shared" si="14"/>
        <v xml:space="preserve"> </v>
      </c>
      <c r="AW39" s="94" t="str">
        <f t="shared" si="15"/>
        <v xml:space="preserve"> </v>
      </c>
      <c r="AX39" s="94" t="str">
        <f t="shared" si="16"/>
        <v xml:space="preserve"> </v>
      </c>
      <c r="AY39" s="94" t="str">
        <f t="shared" si="17"/>
        <v xml:space="preserve"> </v>
      </c>
      <c r="AZ39" s="94" t="str">
        <f t="shared" si="18"/>
        <v xml:space="preserve"> </v>
      </c>
      <c r="BA39" s="94" t="str">
        <f t="shared" si="19"/>
        <v xml:space="preserve"> </v>
      </c>
      <c r="BB39" s="94" t="str">
        <f t="shared" si="20"/>
        <v xml:space="preserve"> </v>
      </c>
    </row>
    <row r="40" spans="1:54" x14ac:dyDescent="0.25">
      <c r="A40" s="80">
        <v>16</v>
      </c>
      <c r="B40" s="95">
        <v>490</v>
      </c>
      <c r="C40" s="201" t="s">
        <v>113</v>
      </c>
      <c r="D40" s="80" t="s">
        <v>62</v>
      </c>
      <c r="E40" s="94">
        <f>IFERROR(VLOOKUP(A40,Estimate!A:Q,17,FALSE)," ")</f>
        <v>3798.8715790497968</v>
      </c>
      <c r="F40" s="202">
        <v>20</v>
      </c>
      <c r="G40" s="202">
        <v>20</v>
      </c>
      <c r="H40" s="203">
        <v>238.6</v>
      </c>
      <c r="I40" s="203">
        <v>4772</v>
      </c>
      <c r="J40" s="203">
        <v>4772</v>
      </c>
      <c r="K40" s="203"/>
      <c r="L40" s="202">
        <v>20</v>
      </c>
      <c r="M40" s="204">
        <f t="shared" si="3"/>
        <v>1</v>
      </c>
      <c r="N40" s="95">
        <v>20</v>
      </c>
      <c r="O40" s="204">
        <f t="shared" si="3"/>
        <v>1</v>
      </c>
      <c r="P40" s="95">
        <v>20</v>
      </c>
      <c r="Q40" s="204">
        <f t="shared" ref="Q40:S40" si="201">IFERROR(P40/$G40," ")</f>
        <v>1</v>
      </c>
      <c r="R40" s="95">
        <v>20</v>
      </c>
      <c r="S40" s="204">
        <f t="shared" si="201"/>
        <v>1</v>
      </c>
      <c r="T40" s="95">
        <v>20</v>
      </c>
      <c r="U40" s="204">
        <f t="shared" ref="U40:W40" si="202">IFERROR(T40/$G40," ")</f>
        <v>1</v>
      </c>
      <c r="V40" s="95">
        <v>20</v>
      </c>
      <c r="W40" s="204">
        <f t="shared" si="202"/>
        <v>1</v>
      </c>
      <c r="X40" s="95">
        <v>20</v>
      </c>
      <c r="Y40" s="204">
        <f t="shared" ref="Y40:AA40" si="203">IFERROR(X40/$G40," ")</f>
        <v>1</v>
      </c>
      <c r="Z40" s="95">
        <v>20</v>
      </c>
      <c r="AA40" s="204">
        <f t="shared" si="203"/>
        <v>1</v>
      </c>
      <c r="AB40" s="95">
        <v>20</v>
      </c>
      <c r="AC40" s="204">
        <f t="shared" ref="AC40:AE40" si="204">IFERROR(AB40/$G40," ")</f>
        <v>1</v>
      </c>
      <c r="AD40" s="95">
        <v>20</v>
      </c>
      <c r="AE40" s="204">
        <f t="shared" si="204"/>
        <v>1</v>
      </c>
      <c r="AF40" s="95">
        <v>20</v>
      </c>
      <c r="AG40" s="204">
        <f t="shared" ref="AG40:AI40" si="205">IFERROR(AF40/$G40," ")</f>
        <v>1</v>
      </c>
      <c r="AH40" s="95">
        <v>20</v>
      </c>
      <c r="AI40" s="204">
        <f t="shared" si="205"/>
        <v>1</v>
      </c>
      <c r="AJ40" s="95">
        <v>20</v>
      </c>
      <c r="AK40" s="204">
        <f t="shared" ref="AK40:AM40" si="206">IFERROR(AJ40/$G40," ")</f>
        <v>1</v>
      </c>
      <c r="AL40" s="95">
        <v>20</v>
      </c>
      <c r="AM40" s="204">
        <f t="shared" si="206"/>
        <v>1</v>
      </c>
      <c r="AN40" s="95"/>
      <c r="AO40" s="94">
        <f t="shared" si="10"/>
        <v>4772</v>
      </c>
      <c r="AP40" s="94">
        <f t="shared" si="0"/>
        <v>4772</v>
      </c>
      <c r="AQ40" s="94">
        <f t="shared" si="1"/>
        <v>4772</v>
      </c>
      <c r="AR40" s="94">
        <f t="shared" ref="AR40:AR71" si="207">IFERROR(S40*$J40," ")</f>
        <v>4772</v>
      </c>
      <c r="AS40" s="94">
        <f t="shared" si="11"/>
        <v>4772</v>
      </c>
      <c r="AT40" s="94">
        <f t="shared" si="12"/>
        <v>4772</v>
      </c>
      <c r="AU40" s="94">
        <f t="shared" si="13"/>
        <v>4772</v>
      </c>
      <c r="AV40" s="94">
        <f t="shared" si="14"/>
        <v>4772</v>
      </c>
      <c r="AW40" s="94">
        <f t="shared" si="15"/>
        <v>4772</v>
      </c>
      <c r="AX40" s="94">
        <f t="shared" si="16"/>
        <v>4772</v>
      </c>
      <c r="AY40" s="94">
        <f t="shared" si="17"/>
        <v>4772</v>
      </c>
      <c r="AZ40" s="94">
        <f t="shared" si="18"/>
        <v>4772</v>
      </c>
      <c r="BA40" s="94">
        <f t="shared" si="19"/>
        <v>4772</v>
      </c>
      <c r="BB40" s="94">
        <f t="shared" si="20"/>
        <v>4772</v>
      </c>
    </row>
    <row r="41" spans="1:54" x14ac:dyDescent="0.25">
      <c r="A41" s="80">
        <v>17</v>
      </c>
      <c r="B41" s="95">
        <v>491</v>
      </c>
      <c r="C41" s="201" t="s">
        <v>118</v>
      </c>
      <c r="D41" s="80" t="s">
        <v>62</v>
      </c>
      <c r="E41" s="94">
        <f>IFERROR(VLOOKUP(A41,Estimate!A:Q,17,FALSE)," ")</f>
        <v>2836.8715790497968</v>
      </c>
      <c r="F41" s="202">
        <v>20</v>
      </c>
      <c r="G41" s="202">
        <v>20</v>
      </c>
      <c r="H41" s="203">
        <v>178.17</v>
      </c>
      <c r="I41" s="203">
        <v>3563.4</v>
      </c>
      <c r="J41" s="203">
        <v>3563.4</v>
      </c>
      <c r="K41" s="203"/>
      <c r="L41" s="202">
        <v>20</v>
      </c>
      <c r="M41" s="204">
        <f t="shared" si="3"/>
        <v>1</v>
      </c>
      <c r="N41" s="95">
        <v>20</v>
      </c>
      <c r="O41" s="204">
        <f t="shared" si="3"/>
        <v>1</v>
      </c>
      <c r="P41" s="95">
        <v>20</v>
      </c>
      <c r="Q41" s="204">
        <f t="shared" ref="Q41:S41" si="208">IFERROR(P41/$G41," ")</f>
        <v>1</v>
      </c>
      <c r="R41" s="95">
        <v>20</v>
      </c>
      <c r="S41" s="204">
        <f t="shared" si="208"/>
        <v>1</v>
      </c>
      <c r="T41" s="95">
        <v>20</v>
      </c>
      <c r="U41" s="204">
        <f t="shared" ref="U41:W41" si="209">IFERROR(T41/$G41," ")</f>
        <v>1</v>
      </c>
      <c r="V41" s="95">
        <v>20</v>
      </c>
      <c r="W41" s="204">
        <f t="shared" si="209"/>
        <v>1</v>
      </c>
      <c r="X41" s="95">
        <v>20</v>
      </c>
      <c r="Y41" s="204">
        <f t="shared" ref="Y41:AA41" si="210">IFERROR(X41/$G41," ")</f>
        <v>1</v>
      </c>
      <c r="Z41" s="95">
        <v>20</v>
      </c>
      <c r="AA41" s="204">
        <f t="shared" si="210"/>
        <v>1</v>
      </c>
      <c r="AB41" s="95">
        <v>20</v>
      </c>
      <c r="AC41" s="204">
        <f t="shared" ref="AC41:AE41" si="211">IFERROR(AB41/$G41," ")</f>
        <v>1</v>
      </c>
      <c r="AD41" s="95">
        <v>20</v>
      </c>
      <c r="AE41" s="204">
        <f t="shared" si="211"/>
        <v>1</v>
      </c>
      <c r="AF41" s="95">
        <v>20</v>
      </c>
      <c r="AG41" s="204">
        <f t="shared" ref="AG41:AI41" si="212">IFERROR(AF41/$G41," ")</f>
        <v>1</v>
      </c>
      <c r="AH41" s="95">
        <v>20</v>
      </c>
      <c r="AI41" s="204">
        <f t="shared" si="212"/>
        <v>1</v>
      </c>
      <c r="AJ41" s="95">
        <v>20</v>
      </c>
      <c r="AK41" s="204">
        <f t="shared" ref="AK41:AM41" si="213">IFERROR(AJ41/$G41," ")</f>
        <v>1</v>
      </c>
      <c r="AL41" s="95">
        <v>20</v>
      </c>
      <c r="AM41" s="204">
        <f t="shared" si="213"/>
        <v>1</v>
      </c>
      <c r="AN41" s="95"/>
      <c r="AO41" s="94">
        <f t="shared" si="10"/>
        <v>3563.4</v>
      </c>
      <c r="AP41" s="94">
        <f t="shared" si="0"/>
        <v>3563.4</v>
      </c>
      <c r="AQ41" s="94">
        <f t="shared" si="1"/>
        <v>3563.4</v>
      </c>
      <c r="AR41" s="94">
        <f t="shared" si="207"/>
        <v>3563.4</v>
      </c>
      <c r="AS41" s="94">
        <f t="shared" si="11"/>
        <v>3563.4</v>
      </c>
      <c r="AT41" s="94">
        <f t="shared" si="12"/>
        <v>3563.4</v>
      </c>
      <c r="AU41" s="94">
        <f t="shared" si="13"/>
        <v>3563.4</v>
      </c>
      <c r="AV41" s="94">
        <f t="shared" si="14"/>
        <v>3563.4</v>
      </c>
      <c r="AW41" s="94">
        <f t="shared" si="15"/>
        <v>3563.4</v>
      </c>
      <c r="AX41" s="94">
        <f t="shared" si="16"/>
        <v>3563.4</v>
      </c>
      <c r="AY41" s="94">
        <f t="shared" si="17"/>
        <v>3563.4</v>
      </c>
      <c r="AZ41" s="94">
        <f t="shared" si="18"/>
        <v>3563.4</v>
      </c>
      <c r="BA41" s="94">
        <f t="shared" si="19"/>
        <v>3563.4</v>
      </c>
      <c r="BB41" s="94">
        <f t="shared" si="20"/>
        <v>3563.4</v>
      </c>
    </row>
    <row r="42" spans="1:54" x14ac:dyDescent="0.25">
      <c r="A42" s="80"/>
      <c r="B42" s="95" t="s">
        <v>2857</v>
      </c>
      <c r="C42" s="201" t="s">
        <v>120</v>
      </c>
      <c r="D42" s="80" t="s">
        <v>783</v>
      </c>
      <c r="E42" s="94" t="str">
        <f>IFERROR(VLOOKUP(A42,Estimate!A:Q,17,FALSE)," ")</f>
        <v xml:space="preserve"> </v>
      </c>
      <c r="F42" s="202" t="s">
        <v>781</v>
      </c>
      <c r="G42" s="202" t="s">
        <v>781</v>
      </c>
      <c r="H42" s="203" t="s">
        <v>781</v>
      </c>
      <c r="I42" s="203" t="s">
        <v>781</v>
      </c>
      <c r="J42" s="203" t="s">
        <v>781</v>
      </c>
      <c r="K42" s="203"/>
      <c r="L42" s="202" t="s">
        <v>781</v>
      </c>
      <c r="M42" s="204" t="str">
        <f t="shared" si="3"/>
        <v xml:space="preserve"> </v>
      </c>
      <c r="N42" s="95" t="s">
        <v>781</v>
      </c>
      <c r="O42" s="204" t="str">
        <f t="shared" si="3"/>
        <v xml:space="preserve"> </v>
      </c>
      <c r="P42" s="95" t="s">
        <v>781</v>
      </c>
      <c r="Q42" s="204" t="str">
        <f t="shared" ref="Q42:S42" si="214">IFERROR(P42/$G42," ")</f>
        <v xml:space="preserve"> </v>
      </c>
      <c r="R42" s="95" t="s">
        <v>781</v>
      </c>
      <c r="S42" s="204" t="str">
        <f t="shared" si="214"/>
        <v xml:space="preserve"> </v>
      </c>
      <c r="T42" s="95" t="s">
        <v>781</v>
      </c>
      <c r="U42" s="204" t="str">
        <f t="shared" ref="U42:W42" si="215">IFERROR(T42/$G42," ")</f>
        <v xml:space="preserve"> </v>
      </c>
      <c r="V42" s="95" t="s">
        <v>781</v>
      </c>
      <c r="W42" s="204" t="str">
        <f t="shared" si="215"/>
        <v xml:space="preserve"> </v>
      </c>
      <c r="X42" s="95" t="s">
        <v>781</v>
      </c>
      <c r="Y42" s="204" t="str">
        <f t="shared" ref="Y42:AA42" si="216">IFERROR(X42/$G42," ")</f>
        <v xml:space="preserve"> </v>
      </c>
      <c r="Z42" s="95" t="s">
        <v>781</v>
      </c>
      <c r="AA42" s="204" t="str">
        <f t="shared" si="216"/>
        <v xml:space="preserve"> </v>
      </c>
      <c r="AB42" s="95" t="s">
        <v>781</v>
      </c>
      <c r="AC42" s="204" t="str">
        <f t="shared" ref="AC42:AE42" si="217">IFERROR(AB42/$G42," ")</f>
        <v xml:space="preserve"> </v>
      </c>
      <c r="AD42" s="95" t="s">
        <v>781</v>
      </c>
      <c r="AE42" s="204" t="str">
        <f t="shared" si="217"/>
        <v xml:space="preserve"> </v>
      </c>
      <c r="AF42" s="95" t="s">
        <v>781</v>
      </c>
      <c r="AG42" s="204" t="str">
        <f t="shared" ref="AG42:AI42" si="218">IFERROR(AF42/$G42," ")</f>
        <v xml:space="preserve"> </v>
      </c>
      <c r="AH42" s="95" t="s">
        <v>781</v>
      </c>
      <c r="AI42" s="204" t="str">
        <f t="shared" si="218"/>
        <v xml:space="preserve"> </v>
      </c>
      <c r="AJ42" s="95" t="s">
        <v>781</v>
      </c>
      <c r="AK42" s="204" t="str">
        <f t="shared" ref="AK42:AM42" si="219">IFERROR(AJ42/$G42," ")</f>
        <v xml:space="preserve"> </v>
      </c>
      <c r="AL42" s="95" t="s">
        <v>781</v>
      </c>
      <c r="AM42" s="204" t="str">
        <f t="shared" si="219"/>
        <v xml:space="preserve"> </v>
      </c>
      <c r="AN42" s="95"/>
      <c r="AO42" s="94" t="str">
        <f t="shared" si="10"/>
        <v xml:space="preserve"> </v>
      </c>
      <c r="AP42" s="94" t="str">
        <f t="shared" si="0"/>
        <v xml:space="preserve"> </v>
      </c>
      <c r="AQ42" s="94" t="str">
        <f t="shared" si="1"/>
        <v xml:space="preserve"> </v>
      </c>
      <c r="AR42" s="94" t="str">
        <f t="shared" si="207"/>
        <v xml:space="preserve"> </v>
      </c>
      <c r="AS42" s="94" t="str">
        <f t="shared" si="11"/>
        <v xml:space="preserve"> </v>
      </c>
      <c r="AT42" s="94" t="str">
        <f t="shared" si="12"/>
        <v xml:space="preserve"> </v>
      </c>
      <c r="AU42" s="94" t="str">
        <f t="shared" si="13"/>
        <v xml:space="preserve"> </v>
      </c>
      <c r="AV42" s="94" t="str">
        <f t="shared" si="14"/>
        <v xml:space="preserve"> </v>
      </c>
      <c r="AW42" s="94" t="str">
        <f t="shared" si="15"/>
        <v xml:space="preserve"> </v>
      </c>
      <c r="AX42" s="94" t="str">
        <f t="shared" si="16"/>
        <v xml:space="preserve"> </v>
      </c>
      <c r="AY42" s="94" t="str">
        <f t="shared" si="17"/>
        <v xml:space="preserve"> </v>
      </c>
      <c r="AZ42" s="94" t="str">
        <f t="shared" si="18"/>
        <v xml:space="preserve"> </v>
      </c>
      <c r="BA42" s="94" t="str">
        <f t="shared" si="19"/>
        <v xml:space="preserve"> </v>
      </c>
      <c r="BB42" s="94" t="str">
        <f t="shared" si="20"/>
        <v xml:space="preserve"> </v>
      </c>
    </row>
    <row r="43" spans="1:54" ht="45" x14ac:dyDescent="0.25">
      <c r="A43" s="80"/>
      <c r="B43" s="95" t="s">
        <v>2858</v>
      </c>
      <c r="C43" s="201" t="s">
        <v>122</v>
      </c>
      <c r="D43" s="80" t="s">
        <v>783</v>
      </c>
      <c r="E43" s="94" t="str">
        <f>IFERROR(VLOOKUP(A43,Estimate!A:Q,17,FALSE)," ")</f>
        <v xml:space="preserve"> </v>
      </c>
      <c r="F43" s="202" t="s">
        <v>781</v>
      </c>
      <c r="G43" s="202" t="s">
        <v>781</v>
      </c>
      <c r="H43" s="203" t="s">
        <v>781</v>
      </c>
      <c r="I43" s="203" t="s">
        <v>781</v>
      </c>
      <c r="J43" s="203" t="s">
        <v>781</v>
      </c>
      <c r="K43" s="203"/>
      <c r="L43" s="202" t="s">
        <v>781</v>
      </c>
      <c r="M43" s="204" t="str">
        <f t="shared" si="3"/>
        <v xml:space="preserve"> </v>
      </c>
      <c r="N43" s="95" t="s">
        <v>781</v>
      </c>
      <c r="O43" s="204" t="str">
        <f t="shared" si="3"/>
        <v xml:space="preserve"> </v>
      </c>
      <c r="P43" s="95" t="s">
        <v>781</v>
      </c>
      <c r="Q43" s="204" t="str">
        <f t="shared" ref="Q43:S43" si="220">IFERROR(P43/$G43," ")</f>
        <v xml:space="preserve"> </v>
      </c>
      <c r="R43" s="95" t="s">
        <v>781</v>
      </c>
      <c r="S43" s="204" t="str">
        <f t="shared" si="220"/>
        <v xml:space="preserve"> </v>
      </c>
      <c r="T43" s="95" t="s">
        <v>781</v>
      </c>
      <c r="U43" s="204" t="str">
        <f t="shared" ref="U43:W43" si="221">IFERROR(T43/$G43," ")</f>
        <v xml:space="preserve"> </v>
      </c>
      <c r="V43" s="95" t="s">
        <v>781</v>
      </c>
      <c r="W43" s="204" t="str">
        <f t="shared" si="221"/>
        <v xml:space="preserve"> </v>
      </c>
      <c r="X43" s="95" t="s">
        <v>781</v>
      </c>
      <c r="Y43" s="204" t="str">
        <f t="shared" ref="Y43:AA43" si="222">IFERROR(X43/$G43," ")</f>
        <v xml:space="preserve"> </v>
      </c>
      <c r="Z43" s="95" t="s">
        <v>781</v>
      </c>
      <c r="AA43" s="204" t="str">
        <f t="shared" si="222"/>
        <v xml:space="preserve"> </v>
      </c>
      <c r="AB43" s="95" t="s">
        <v>781</v>
      </c>
      <c r="AC43" s="204" t="str">
        <f t="shared" ref="AC43:AE43" si="223">IFERROR(AB43/$G43," ")</f>
        <v xml:space="preserve"> </v>
      </c>
      <c r="AD43" s="95" t="s">
        <v>781</v>
      </c>
      <c r="AE43" s="204" t="str">
        <f t="shared" si="223"/>
        <v xml:space="preserve"> </v>
      </c>
      <c r="AF43" s="95" t="s">
        <v>781</v>
      </c>
      <c r="AG43" s="204" t="str">
        <f t="shared" ref="AG43:AI43" si="224">IFERROR(AF43/$G43," ")</f>
        <v xml:space="preserve"> </v>
      </c>
      <c r="AH43" s="95" t="s">
        <v>781</v>
      </c>
      <c r="AI43" s="204" t="str">
        <f t="shared" si="224"/>
        <v xml:space="preserve"> </v>
      </c>
      <c r="AJ43" s="95" t="s">
        <v>781</v>
      </c>
      <c r="AK43" s="204" t="str">
        <f t="shared" ref="AK43:AM43" si="225">IFERROR(AJ43/$G43," ")</f>
        <v xml:space="preserve"> </v>
      </c>
      <c r="AL43" s="95" t="s">
        <v>781</v>
      </c>
      <c r="AM43" s="204" t="str">
        <f t="shared" si="225"/>
        <v xml:space="preserve"> </v>
      </c>
      <c r="AN43" s="95"/>
      <c r="AO43" s="94" t="str">
        <f t="shared" si="10"/>
        <v xml:space="preserve"> </v>
      </c>
      <c r="AP43" s="94" t="str">
        <f t="shared" si="0"/>
        <v xml:space="preserve"> </v>
      </c>
      <c r="AQ43" s="94" t="str">
        <f t="shared" si="1"/>
        <v xml:space="preserve"> </v>
      </c>
      <c r="AR43" s="94" t="str">
        <f t="shared" si="207"/>
        <v xml:space="preserve"> </v>
      </c>
      <c r="AS43" s="94" t="str">
        <f t="shared" si="11"/>
        <v xml:space="preserve"> </v>
      </c>
      <c r="AT43" s="94" t="str">
        <f t="shared" si="12"/>
        <v xml:space="preserve"> </v>
      </c>
      <c r="AU43" s="94" t="str">
        <f t="shared" si="13"/>
        <v xml:space="preserve"> </v>
      </c>
      <c r="AV43" s="94" t="str">
        <f t="shared" si="14"/>
        <v xml:space="preserve"> </v>
      </c>
      <c r="AW43" s="94" t="str">
        <f t="shared" si="15"/>
        <v xml:space="preserve"> </v>
      </c>
      <c r="AX43" s="94" t="str">
        <f t="shared" si="16"/>
        <v xml:space="preserve"> </v>
      </c>
      <c r="AY43" s="94" t="str">
        <f t="shared" si="17"/>
        <v xml:space="preserve"> </v>
      </c>
      <c r="AZ43" s="94" t="str">
        <f t="shared" si="18"/>
        <v xml:space="preserve"> </v>
      </c>
      <c r="BA43" s="94" t="str">
        <f t="shared" si="19"/>
        <v xml:space="preserve"> </v>
      </c>
      <c r="BB43" s="94" t="str">
        <f t="shared" si="20"/>
        <v xml:space="preserve"> </v>
      </c>
    </row>
    <row r="44" spans="1:54" x14ac:dyDescent="0.25">
      <c r="A44" s="80">
        <v>18</v>
      </c>
      <c r="B44" s="95" t="s">
        <v>2859</v>
      </c>
      <c r="C44" s="201" t="s">
        <v>124</v>
      </c>
      <c r="D44" s="80" t="s">
        <v>107</v>
      </c>
      <c r="E44" s="94">
        <f>IFERROR(VLOOKUP(A44,Estimate!A:Q,17,FALSE)," ")</f>
        <v>10878</v>
      </c>
      <c r="F44" s="202">
        <v>200</v>
      </c>
      <c r="G44" s="202">
        <v>200</v>
      </c>
      <c r="H44" s="203">
        <v>55.75</v>
      </c>
      <c r="I44" s="203">
        <v>11150</v>
      </c>
      <c r="J44" s="203">
        <v>11150</v>
      </c>
      <c r="K44" s="203"/>
      <c r="L44" s="202">
        <v>200</v>
      </c>
      <c r="M44" s="204">
        <f t="shared" si="3"/>
        <v>1</v>
      </c>
      <c r="N44" s="95">
        <v>200</v>
      </c>
      <c r="O44" s="204">
        <f t="shared" si="3"/>
        <v>1</v>
      </c>
      <c r="P44" s="95">
        <v>200</v>
      </c>
      <c r="Q44" s="204">
        <f t="shared" ref="Q44:S44" si="226">IFERROR(P44/$G44," ")</f>
        <v>1</v>
      </c>
      <c r="R44" s="95">
        <v>200</v>
      </c>
      <c r="S44" s="204">
        <f t="shared" si="226"/>
        <v>1</v>
      </c>
      <c r="T44" s="95">
        <v>200</v>
      </c>
      <c r="U44" s="204">
        <f t="shared" ref="U44:W44" si="227">IFERROR(T44/$G44," ")</f>
        <v>1</v>
      </c>
      <c r="V44" s="95">
        <v>200</v>
      </c>
      <c r="W44" s="204">
        <f t="shared" si="227"/>
        <v>1</v>
      </c>
      <c r="X44" s="95">
        <v>200</v>
      </c>
      <c r="Y44" s="204">
        <f t="shared" ref="Y44:AA44" si="228">IFERROR(X44/$G44," ")</f>
        <v>1</v>
      </c>
      <c r="Z44" s="95">
        <v>200</v>
      </c>
      <c r="AA44" s="204">
        <f t="shared" si="228"/>
        <v>1</v>
      </c>
      <c r="AB44" s="95">
        <v>200</v>
      </c>
      <c r="AC44" s="204">
        <f t="shared" ref="AC44:AE44" si="229">IFERROR(AB44/$G44," ")</f>
        <v>1</v>
      </c>
      <c r="AD44" s="95">
        <v>200</v>
      </c>
      <c r="AE44" s="204">
        <f t="shared" si="229"/>
        <v>1</v>
      </c>
      <c r="AF44" s="95">
        <v>200</v>
      </c>
      <c r="AG44" s="204">
        <f t="shared" ref="AG44:AI44" si="230">IFERROR(AF44/$G44," ")</f>
        <v>1</v>
      </c>
      <c r="AH44" s="95">
        <v>200</v>
      </c>
      <c r="AI44" s="204">
        <f t="shared" si="230"/>
        <v>1</v>
      </c>
      <c r="AJ44" s="95">
        <v>200</v>
      </c>
      <c r="AK44" s="204">
        <f t="shared" ref="AK44:AM44" si="231">IFERROR(AJ44/$G44," ")</f>
        <v>1</v>
      </c>
      <c r="AL44" s="95">
        <v>200</v>
      </c>
      <c r="AM44" s="204">
        <f t="shared" si="231"/>
        <v>1</v>
      </c>
      <c r="AN44" s="95"/>
      <c r="AO44" s="94">
        <f t="shared" si="10"/>
        <v>11150</v>
      </c>
      <c r="AP44" s="94">
        <f t="shared" si="0"/>
        <v>11150</v>
      </c>
      <c r="AQ44" s="94">
        <f t="shared" si="1"/>
        <v>11150</v>
      </c>
      <c r="AR44" s="94">
        <f t="shared" si="207"/>
        <v>11150</v>
      </c>
      <c r="AS44" s="94">
        <f t="shared" si="11"/>
        <v>11150</v>
      </c>
      <c r="AT44" s="94">
        <f t="shared" si="12"/>
        <v>11150</v>
      </c>
      <c r="AU44" s="94">
        <f t="shared" si="13"/>
        <v>11150</v>
      </c>
      <c r="AV44" s="94">
        <f t="shared" si="14"/>
        <v>11150</v>
      </c>
      <c r="AW44" s="94">
        <f t="shared" si="15"/>
        <v>11150</v>
      </c>
      <c r="AX44" s="94">
        <f t="shared" si="16"/>
        <v>11150</v>
      </c>
      <c r="AY44" s="94">
        <f t="shared" si="17"/>
        <v>11150</v>
      </c>
      <c r="AZ44" s="94">
        <f t="shared" si="18"/>
        <v>11150</v>
      </c>
      <c r="BA44" s="94">
        <f t="shared" si="19"/>
        <v>11150</v>
      </c>
      <c r="BB44" s="94">
        <f t="shared" si="20"/>
        <v>11150</v>
      </c>
    </row>
    <row r="45" spans="1:54" ht="45" x14ac:dyDescent="0.25">
      <c r="A45" s="80">
        <v>19</v>
      </c>
      <c r="B45" s="95" t="s">
        <v>2860</v>
      </c>
      <c r="C45" s="201" t="s">
        <v>127</v>
      </c>
      <c r="D45" s="80" t="s">
        <v>107</v>
      </c>
      <c r="E45" s="94">
        <f>IFERROR(VLOOKUP(A45,Estimate!A:Q,17,FALSE)," ")</f>
        <v>10878</v>
      </c>
      <c r="F45" s="202">
        <v>200</v>
      </c>
      <c r="G45" s="202">
        <v>200</v>
      </c>
      <c r="H45" s="203">
        <v>55.75</v>
      </c>
      <c r="I45" s="203">
        <v>11150</v>
      </c>
      <c r="J45" s="203">
        <v>11150</v>
      </c>
      <c r="K45" s="203"/>
      <c r="L45" s="202"/>
      <c r="M45" s="204">
        <f t="shared" si="3"/>
        <v>0</v>
      </c>
      <c r="N45" s="95"/>
      <c r="O45" s="204">
        <f t="shared" si="3"/>
        <v>0</v>
      </c>
      <c r="P45" s="95"/>
      <c r="Q45" s="204">
        <f t="shared" ref="Q45:S45" si="232">IFERROR(P45/$G45," ")</f>
        <v>0</v>
      </c>
      <c r="R45" s="95"/>
      <c r="S45" s="204">
        <f t="shared" si="232"/>
        <v>0</v>
      </c>
      <c r="T45" s="95"/>
      <c r="U45" s="204">
        <f t="shared" ref="U45:W45" si="233">IFERROR(T45/$G45," ")</f>
        <v>0</v>
      </c>
      <c r="V45" s="95"/>
      <c r="W45" s="204">
        <f t="shared" si="233"/>
        <v>0</v>
      </c>
      <c r="X45" s="95"/>
      <c r="Y45" s="204">
        <f t="shared" ref="Y45:AA45" si="234">IFERROR(X45/$G45," ")</f>
        <v>0</v>
      </c>
      <c r="Z45" s="95">
        <v>200</v>
      </c>
      <c r="AA45" s="204">
        <f t="shared" si="234"/>
        <v>1</v>
      </c>
      <c r="AB45" s="95">
        <v>200</v>
      </c>
      <c r="AC45" s="204">
        <f t="shared" ref="AC45:AE45" si="235">IFERROR(AB45/$G45," ")</f>
        <v>1</v>
      </c>
      <c r="AD45" s="95">
        <v>200</v>
      </c>
      <c r="AE45" s="204">
        <f t="shared" si="235"/>
        <v>1</v>
      </c>
      <c r="AF45" s="95">
        <v>200</v>
      </c>
      <c r="AG45" s="204">
        <f t="shared" ref="AG45:AI45" si="236">IFERROR(AF45/$G45," ")</f>
        <v>1</v>
      </c>
      <c r="AH45" s="95">
        <v>200</v>
      </c>
      <c r="AI45" s="204">
        <f t="shared" si="236"/>
        <v>1</v>
      </c>
      <c r="AJ45" s="95">
        <v>200</v>
      </c>
      <c r="AK45" s="204">
        <f t="shared" ref="AK45:AM45" si="237">IFERROR(AJ45/$G45," ")</f>
        <v>1</v>
      </c>
      <c r="AL45" s="95">
        <v>200</v>
      </c>
      <c r="AM45" s="204">
        <f t="shared" si="237"/>
        <v>1</v>
      </c>
      <c r="AN45" s="95"/>
      <c r="AO45" s="94">
        <f t="shared" si="10"/>
        <v>0</v>
      </c>
      <c r="AP45" s="94">
        <f t="shared" si="0"/>
        <v>0</v>
      </c>
      <c r="AQ45" s="94">
        <f t="shared" si="1"/>
        <v>0</v>
      </c>
      <c r="AR45" s="94">
        <f t="shared" si="207"/>
        <v>0</v>
      </c>
      <c r="AS45" s="94">
        <f t="shared" si="11"/>
        <v>0</v>
      </c>
      <c r="AT45" s="94">
        <f t="shared" si="12"/>
        <v>0</v>
      </c>
      <c r="AU45" s="94">
        <f t="shared" si="13"/>
        <v>0</v>
      </c>
      <c r="AV45" s="94">
        <f t="shared" si="14"/>
        <v>11150</v>
      </c>
      <c r="AW45" s="94">
        <f t="shared" si="15"/>
        <v>11150</v>
      </c>
      <c r="AX45" s="94">
        <f t="shared" si="16"/>
        <v>11150</v>
      </c>
      <c r="AY45" s="94">
        <f t="shared" si="17"/>
        <v>11150</v>
      </c>
      <c r="AZ45" s="94">
        <f t="shared" si="18"/>
        <v>11150</v>
      </c>
      <c r="BA45" s="94">
        <f t="shared" si="19"/>
        <v>11150</v>
      </c>
      <c r="BB45" s="94">
        <f t="shared" si="20"/>
        <v>11150</v>
      </c>
    </row>
    <row r="46" spans="1:54" x14ac:dyDescent="0.25">
      <c r="A46" s="80"/>
      <c r="B46" s="95" t="s">
        <v>2417</v>
      </c>
      <c r="C46" s="201" t="s">
        <v>2837</v>
      </c>
      <c r="D46" s="80" t="s">
        <v>783</v>
      </c>
      <c r="E46" s="94" t="str">
        <f>IFERROR(VLOOKUP(A46,Estimate!A:Q,17,FALSE)," ")</f>
        <v xml:space="preserve"> </v>
      </c>
      <c r="F46" s="202" t="s">
        <v>781</v>
      </c>
      <c r="G46" s="202" t="s">
        <v>781</v>
      </c>
      <c r="H46" s="203" t="s">
        <v>781</v>
      </c>
      <c r="I46" s="203" t="s">
        <v>781</v>
      </c>
      <c r="J46" s="203" t="s">
        <v>781</v>
      </c>
      <c r="K46" s="203"/>
      <c r="L46" s="202" t="s">
        <v>781</v>
      </c>
      <c r="M46" s="204" t="str">
        <f t="shared" si="3"/>
        <v xml:space="preserve"> </v>
      </c>
      <c r="N46" s="95" t="s">
        <v>781</v>
      </c>
      <c r="O46" s="204" t="str">
        <f t="shared" si="3"/>
        <v xml:space="preserve"> </v>
      </c>
      <c r="P46" s="95" t="s">
        <v>781</v>
      </c>
      <c r="Q46" s="204" t="str">
        <f t="shared" ref="Q46:S46" si="238">IFERROR(P46/$G46," ")</f>
        <v xml:space="preserve"> </v>
      </c>
      <c r="R46" s="95" t="s">
        <v>781</v>
      </c>
      <c r="S46" s="204" t="str">
        <f t="shared" si="238"/>
        <v xml:space="preserve"> </v>
      </c>
      <c r="T46" s="95" t="s">
        <v>781</v>
      </c>
      <c r="U46" s="204" t="str">
        <f t="shared" ref="U46:W46" si="239">IFERROR(T46/$G46," ")</f>
        <v xml:space="preserve"> </v>
      </c>
      <c r="V46" s="95" t="s">
        <v>781</v>
      </c>
      <c r="W46" s="204" t="str">
        <f t="shared" si="239"/>
        <v xml:space="preserve"> </v>
      </c>
      <c r="X46" s="95" t="s">
        <v>781</v>
      </c>
      <c r="Y46" s="204" t="str">
        <f t="shared" ref="Y46:AA46" si="240">IFERROR(X46/$G46," ")</f>
        <v xml:space="preserve"> </v>
      </c>
      <c r="Z46" s="95" t="s">
        <v>781</v>
      </c>
      <c r="AA46" s="204" t="str">
        <f t="shared" si="240"/>
        <v xml:space="preserve"> </v>
      </c>
      <c r="AB46" s="95" t="s">
        <v>781</v>
      </c>
      <c r="AC46" s="204" t="str">
        <f t="shared" ref="AC46:AE46" si="241">IFERROR(AB46/$G46," ")</f>
        <v xml:space="preserve"> </v>
      </c>
      <c r="AD46" s="95" t="s">
        <v>781</v>
      </c>
      <c r="AE46" s="204" t="str">
        <f t="shared" si="241"/>
        <v xml:space="preserve"> </v>
      </c>
      <c r="AF46" s="95" t="s">
        <v>781</v>
      </c>
      <c r="AG46" s="204" t="str">
        <f t="shared" ref="AG46:AI46" si="242">IFERROR(AF46/$G46," ")</f>
        <v xml:space="preserve"> </v>
      </c>
      <c r="AH46" s="95" t="s">
        <v>781</v>
      </c>
      <c r="AI46" s="204" t="str">
        <f t="shared" si="242"/>
        <v xml:space="preserve"> </v>
      </c>
      <c r="AJ46" s="95" t="s">
        <v>781</v>
      </c>
      <c r="AK46" s="204" t="str">
        <f t="shared" ref="AK46:AM46" si="243">IFERROR(AJ46/$G46," ")</f>
        <v xml:space="preserve"> </v>
      </c>
      <c r="AL46" s="95" t="s">
        <v>781</v>
      </c>
      <c r="AM46" s="204" t="str">
        <f t="shared" si="243"/>
        <v xml:space="preserve"> </v>
      </c>
      <c r="AN46" s="95"/>
      <c r="AO46" s="94" t="str">
        <f t="shared" si="10"/>
        <v xml:space="preserve"> </v>
      </c>
      <c r="AP46" s="94" t="str">
        <f t="shared" si="0"/>
        <v xml:space="preserve"> </v>
      </c>
      <c r="AQ46" s="94" t="str">
        <f t="shared" si="1"/>
        <v xml:space="preserve"> </v>
      </c>
      <c r="AR46" s="94" t="str">
        <f t="shared" si="207"/>
        <v xml:space="preserve"> </v>
      </c>
      <c r="AS46" s="94" t="str">
        <f t="shared" si="11"/>
        <v xml:space="preserve"> </v>
      </c>
      <c r="AT46" s="94" t="str">
        <f t="shared" si="12"/>
        <v xml:space="preserve"> </v>
      </c>
      <c r="AU46" s="94" t="str">
        <f t="shared" si="13"/>
        <v xml:space="preserve"> </v>
      </c>
      <c r="AV46" s="94" t="str">
        <f t="shared" si="14"/>
        <v xml:space="preserve"> </v>
      </c>
      <c r="AW46" s="94" t="str">
        <f t="shared" si="15"/>
        <v xml:space="preserve"> </v>
      </c>
      <c r="AX46" s="94" t="str">
        <f t="shared" si="16"/>
        <v xml:space="preserve"> </v>
      </c>
      <c r="AY46" s="94" t="str">
        <f t="shared" si="17"/>
        <v xml:space="preserve"> </v>
      </c>
      <c r="AZ46" s="94" t="str">
        <f t="shared" si="18"/>
        <v xml:space="preserve"> </v>
      </c>
      <c r="BA46" s="94" t="str">
        <f t="shared" si="19"/>
        <v xml:space="preserve"> </v>
      </c>
      <c r="BB46" s="94" t="str">
        <f t="shared" si="20"/>
        <v xml:space="preserve"> </v>
      </c>
    </row>
    <row r="47" spans="1:54" x14ac:dyDescent="0.25">
      <c r="A47" s="80"/>
      <c r="B47" s="95" t="s">
        <v>2417</v>
      </c>
      <c r="C47" s="201" t="s">
        <v>129</v>
      </c>
      <c r="D47" s="80" t="s">
        <v>783</v>
      </c>
      <c r="E47" s="94" t="str">
        <f>IFERROR(VLOOKUP(A47,Estimate!A:Q,17,FALSE)," ")</f>
        <v xml:space="preserve"> </v>
      </c>
      <c r="F47" s="202" t="s">
        <v>781</v>
      </c>
      <c r="G47" s="202" t="s">
        <v>781</v>
      </c>
      <c r="H47" s="203" t="s">
        <v>781</v>
      </c>
      <c r="I47" s="203" t="s">
        <v>781</v>
      </c>
      <c r="J47" s="203" t="s">
        <v>781</v>
      </c>
      <c r="K47" s="203"/>
      <c r="L47" s="202" t="s">
        <v>781</v>
      </c>
      <c r="M47" s="204" t="str">
        <f t="shared" si="3"/>
        <v xml:space="preserve"> </v>
      </c>
      <c r="N47" s="95" t="s">
        <v>781</v>
      </c>
      <c r="O47" s="204" t="str">
        <f t="shared" si="3"/>
        <v xml:space="preserve"> </v>
      </c>
      <c r="P47" s="95" t="s">
        <v>781</v>
      </c>
      <c r="Q47" s="204" t="str">
        <f t="shared" ref="Q47:S47" si="244">IFERROR(P47/$G47," ")</f>
        <v xml:space="preserve"> </v>
      </c>
      <c r="R47" s="95" t="s">
        <v>781</v>
      </c>
      <c r="S47" s="204" t="str">
        <f t="shared" si="244"/>
        <v xml:space="preserve"> </v>
      </c>
      <c r="T47" s="95" t="s">
        <v>781</v>
      </c>
      <c r="U47" s="204" t="str">
        <f t="shared" ref="U47:W47" si="245">IFERROR(T47/$G47," ")</f>
        <v xml:space="preserve"> </v>
      </c>
      <c r="V47" s="95" t="s">
        <v>781</v>
      </c>
      <c r="W47" s="204" t="str">
        <f t="shared" si="245"/>
        <v xml:space="preserve"> </v>
      </c>
      <c r="X47" s="95" t="s">
        <v>781</v>
      </c>
      <c r="Y47" s="204" t="str">
        <f t="shared" ref="Y47:AA47" si="246">IFERROR(X47/$G47," ")</f>
        <v xml:space="preserve"> </v>
      </c>
      <c r="Z47" s="95" t="s">
        <v>781</v>
      </c>
      <c r="AA47" s="204" t="str">
        <f t="shared" si="246"/>
        <v xml:space="preserve"> </v>
      </c>
      <c r="AB47" s="95" t="s">
        <v>781</v>
      </c>
      <c r="AC47" s="204" t="str">
        <f t="shared" ref="AC47:AE47" si="247">IFERROR(AB47/$G47," ")</f>
        <v xml:space="preserve"> </v>
      </c>
      <c r="AD47" s="95" t="s">
        <v>781</v>
      </c>
      <c r="AE47" s="204" t="str">
        <f t="shared" si="247"/>
        <v xml:space="preserve"> </v>
      </c>
      <c r="AF47" s="95" t="s">
        <v>781</v>
      </c>
      <c r="AG47" s="204" t="str">
        <f t="shared" ref="AG47:AI47" si="248">IFERROR(AF47/$G47," ")</f>
        <v xml:space="preserve"> </v>
      </c>
      <c r="AH47" s="95" t="s">
        <v>781</v>
      </c>
      <c r="AI47" s="204" t="str">
        <f t="shared" si="248"/>
        <v xml:space="preserve"> </v>
      </c>
      <c r="AJ47" s="95" t="s">
        <v>781</v>
      </c>
      <c r="AK47" s="204" t="str">
        <f t="shared" ref="AK47:AM47" si="249">IFERROR(AJ47/$G47," ")</f>
        <v xml:space="preserve"> </v>
      </c>
      <c r="AL47" s="95" t="s">
        <v>781</v>
      </c>
      <c r="AM47" s="204" t="str">
        <f t="shared" si="249"/>
        <v xml:space="preserve"> </v>
      </c>
      <c r="AN47" s="95"/>
      <c r="AO47" s="94" t="str">
        <f t="shared" si="10"/>
        <v xml:space="preserve"> </v>
      </c>
      <c r="AP47" s="94" t="str">
        <f t="shared" si="0"/>
        <v xml:space="preserve"> </v>
      </c>
      <c r="AQ47" s="94" t="str">
        <f t="shared" si="1"/>
        <v xml:space="preserve"> </v>
      </c>
      <c r="AR47" s="94" t="str">
        <f t="shared" si="207"/>
        <v xml:space="preserve"> </v>
      </c>
      <c r="AS47" s="94" t="str">
        <f t="shared" si="11"/>
        <v xml:space="preserve"> </v>
      </c>
      <c r="AT47" s="94" t="str">
        <f t="shared" si="12"/>
        <v xml:space="preserve"> </v>
      </c>
      <c r="AU47" s="94" t="str">
        <f t="shared" si="13"/>
        <v xml:space="preserve"> </v>
      </c>
      <c r="AV47" s="94" t="str">
        <f t="shared" si="14"/>
        <v xml:space="preserve"> </v>
      </c>
      <c r="AW47" s="94" t="str">
        <f t="shared" si="15"/>
        <v xml:space="preserve"> </v>
      </c>
      <c r="AX47" s="94" t="str">
        <f t="shared" si="16"/>
        <v xml:space="preserve"> </v>
      </c>
      <c r="AY47" s="94" t="str">
        <f t="shared" si="17"/>
        <v xml:space="preserve"> </v>
      </c>
      <c r="AZ47" s="94" t="str">
        <f t="shared" si="18"/>
        <v xml:space="preserve"> </v>
      </c>
      <c r="BA47" s="94" t="str">
        <f t="shared" si="19"/>
        <v xml:space="preserve"> </v>
      </c>
      <c r="BB47" s="94" t="str">
        <f t="shared" si="20"/>
        <v xml:space="preserve"> </v>
      </c>
    </row>
    <row r="48" spans="1:54" x14ac:dyDescent="0.25">
      <c r="A48" s="80"/>
      <c r="B48" s="95" t="s">
        <v>2861</v>
      </c>
      <c r="C48" s="201" t="s">
        <v>131</v>
      </c>
      <c r="D48" s="80" t="s">
        <v>783</v>
      </c>
      <c r="E48" s="94" t="str">
        <f>IFERROR(VLOOKUP(A48,Estimate!A:Q,17,FALSE)," ")</f>
        <v xml:space="preserve"> </v>
      </c>
      <c r="F48" s="202" t="s">
        <v>781</v>
      </c>
      <c r="G48" s="202" t="s">
        <v>781</v>
      </c>
      <c r="H48" s="203" t="s">
        <v>781</v>
      </c>
      <c r="I48" s="203" t="s">
        <v>781</v>
      </c>
      <c r="J48" s="203" t="s">
        <v>781</v>
      </c>
      <c r="K48" s="203"/>
      <c r="L48" s="202" t="s">
        <v>781</v>
      </c>
      <c r="M48" s="204" t="str">
        <f t="shared" si="3"/>
        <v xml:space="preserve"> </v>
      </c>
      <c r="N48" s="95" t="s">
        <v>781</v>
      </c>
      <c r="O48" s="204" t="str">
        <f t="shared" si="3"/>
        <v xml:space="preserve"> </v>
      </c>
      <c r="P48" s="95" t="s">
        <v>781</v>
      </c>
      <c r="Q48" s="204" t="str">
        <f t="shared" ref="Q48:S48" si="250">IFERROR(P48/$G48," ")</f>
        <v xml:space="preserve"> </v>
      </c>
      <c r="R48" s="95" t="s">
        <v>781</v>
      </c>
      <c r="S48" s="204" t="str">
        <f t="shared" si="250"/>
        <v xml:space="preserve"> </v>
      </c>
      <c r="T48" s="95" t="s">
        <v>781</v>
      </c>
      <c r="U48" s="204" t="str">
        <f t="shared" ref="U48:W48" si="251">IFERROR(T48/$G48," ")</f>
        <v xml:space="preserve"> </v>
      </c>
      <c r="V48" s="95" t="s">
        <v>781</v>
      </c>
      <c r="W48" s="204" t="str">
        <f t="shared" si="251"/>
        <v xml:space="preserve"> </v>
      </c>
      <c r="X48" s="95" t="s">
        <v>781</v>
      </c>
      <c r="Y48" s="204" t="str">
        <f t="shared" ref="Y48:AA48" si="252">IFERROR(X48/$G48," ")</f>
        <v xml:space="preserve"> </v>
      </c>
      <c r="Z48" s="95" t="s">
        <v>781</v>
      </c>
      <c r="AA48" s="204" t="str">
        <f t="shared" si="252"/>
        <v xml:space="preserve"> </v>
      </c>
      <c r="AB48" s="95" t="s">
        <v>781</v>
      </c>
      <c r="AC48" s="204" t="str">
        <f t="shared" ref="AC48:AE48" si="253">IFERROR(AB48/$G48," ")</f>
        <v xml:space="preserve"> </v>
      </c>
      <c r="AD48" s="95" t="s">
        <v>781</v>
      </c>
      <c r="AE48" s="204" t="str">
        <f t="shared" si="253"/>
        <v xml:space="preserve"> </v>
      </c>
      <c r="AF48" s="95" t="s">
        <v>781</v>
      </c>
      <c r="AG48" s="204" t="str">
        <f t="shared" ref="AG48:AI48" si="254">IFERROR(AF48/$G48," ")</f>
        <v xml:space="preserve"> </v>
      </c>
      <c r="AH48" s="95" t="s">
        <v>781</v>
      </c>
      <c r="AI48" s="204" t="str">
        <f t="shared" si="254"/>
        <v xml:space="preserve"> </v>
      </c>
      <c r="AJ48" s="95" t="s">
        <v>781</v>
      </c>
      <c r="AK48" s="204" t="str">
        <f t="shared" ref="AK48:AM48" si="255">IFERROR(AJ48/$G48," ")</f>
        <v xml:space="preserve"> </v>
      </c>
      <c r="AL48" s="95" t="s">
        <v>781</v>
      </c>
      <c r="AM48" s="204" t="str">
        <f t="shared" si="255"/>
        <v xml:space="preserve"> </v>
      </c>
      <c r="AN48" s="95"/>
      <c r="AO48" s="94" t="str">
        <f t="shared" si="10"/>
        <v xml:space="preserve"> </v>
      </c>
      <c r="AP48" s="94" t="str">
        <f t="shared" si="0"/>
        <v xml:space="preserve"> </v>
      </c>
      <c r="AQ48" s="94" t="str">
        <f t="shared" si="1"/>
        <v xml:space="preserve"> </v>
      </c>
      <c r="AR48" s="94" t="str">
        <f t="shared" si="207"/>
        <v xml:space="preserve"> </v>
      </c>
      <c r="AS48" s="94" t="str">
        <f t="shared" si="11"/>
        <v xml:space="preserve"> </v>
      </c>
      <c r="AT48" s="94" t="str">
        <f t="shared" si="12"/>
        <v xml:space="preserve"> </v>
      </c>
      <c r="AU48" s="94" t="str">
        <f t="shared" si="13"/>
        <v xml:space="preserve"> </v>
      </c>
      <c r="AV48" s="94" t="str">
        <f t="shared" si="14"/>
        <v xml:space="preserve"> </v>
      </c>
      <c r="AW48" s="94" t="str">
        <f t="shared" si="15"/>
        <v xml:space="preserve"> </v>
      </c>
      <c r="AX48" s="94" t="str">
        <f t="shared" si="16"/>
        <v xml:space="preserve"> </v>
      </c>
      <c r="AY48" s="94" t="str">
        <f t="shared" si="17"/>
        <v xml:space="preserve"> </v>
      </c>
      <c r="AZ48" s="94" t="str">
        <f t="shared" si="18"/>
        <v xml:space="preserve"> </v>
      </c>
      <c r="BA48" s="94" t="str">
        <f t="shared" si="19"/>
        <v xml:space="preserve"> </v>
      </c>
      <c r="BB48" s="94" t="str">
        <f t="shared" si="20"/>
        <v xml:space="preserve"> </v>
      </c>
    </row>
    <row r="49" spans="1:54" x14ac:dyDescent="0.25">
      <c r="A49" s="80">
        <v>20</v>
      </c>
      <c r="B49" s="95" t="s">
        <v>2862</v>
      </c>
      <c r="C49" s="201" t="s">
        <v>133</v>
      </c>
      <c r="D49" s="80" t="s">
        <v>29</v>
      </c>
      <c r="E49" s="94">
        <f>IFERROR(VLOOKUP(A49,Estimate!A:Q,17,FALSE)," ")</f>
        <v>140</v>
      </c>
      <c r="F49" s="202">
        <v>4</v>
      </c>
      <c r="G49" s="202">
        <v>4</v>
      </c>
      <c r="H49" s="203">
        <v>43.97</v>
      </c>
      <c r="I49" s="203">
        <v>175.88</v>
      </c>
      <c r="J49" s="203">
        <v>175.88</v>
      </c>
      <c r="K49" s="203"/>
      <c r="L49" s="202"/>
      <c r="M49" s="204">
        <f t="shared" si="3"/>
        <v>0</v>
      </c>
      <c r="N49" s="95">
        <v>4</v>
      </c>
      <c r="O49" s="204">
        <f t="shared" si="3"/>
        <v>1</v>
      </c>
      <c r="P49" s="95">
        <v>4</v>
      </c>
      <c r="Q49" s="204">
        <f t="shared" ref="Q49:S49" si="256">IFERROR(P49/$G49," ")</f>
        <v>1</v>
      </c>
      <c r="R49" s="95">
        <v>4</v>
      </c>
      <c r="S49" s="204">
        <f t="shared" si="256"/>
        <v>1</v>
      </c>
      <c r="T49" s="95">
        <v>4</v>
      </c>
      <c r="U49" s="204">
        <f t="shared" ref="U49:W49" si="257">IFERROR(T49/$G49," ")</f>
        <v>1</v>
      </c>
      <c r="V49" s="95">
        <v>4</v>
      </c>
      <c r="W49" s="204">
        <f t="shared" si="257"/>
        <v>1</v>
      </c>
      <c r="X49" s="95">
        <v>4</v>
      </c>
      <c r="Y49" s="204">
        <f t="shared" ref="Y49:AA49" si="258">IFERROR(X49/$G49," ")</f>
        <v>1</v>
      </c>
      <c r="Z49" s="95">
        <v>4</v>
      </c>
      <c r="AA49" s="204">
        <f t="shared" si="258"/>
        <v>1</v>
      </c>
      <c r="AB49" s="95">
        <v>4</v>
      </c>
      <c r="AC49" s="204">
        <f t="shared" ref="AC49:AE49" si="259">IFERROR(AB49/$G49," ")</f>
        <v>1</v>
      </c>
      <c r="AD49" s="95">
        <v>4</v>
      </c>
      <c r="AE49" s="204">
        <f t="shared" si="259"/>
        <v>1</v>
      </c>
      <c r="AF49" s="95">
        <v>4</v>
      </c>
      <c r="AG49" s="204">
        <f t="shared" ref="AG49:AI49" si="260">IFERROR(AF49/$G49," ")</f>
        <v>1</v>
      </c>
      <c r="AH49" s="95">
        <v>4</v>
      </c>
      <c r="AI49" s="204">
        <f t="shared" si="260"/>
        <v>1</v>
      </c>
      <c r="AJ49" s="95">
        <v>4</v>
      </c>
      <c r="AK49" s="204">
        <f t="shared" ref="AK49:AM49" si="261">IFERROR(AJ49/$G49," ")</f>
        <v>1</v>
      </c>
      <c r="AL49" s="95">
        <v>4</v>
      </c>
      <c r="AM49" s="204">
        <f t="shared" si="261"/>
        <v>1</v>
      </c>
      <c r="AN49" s="95"/>
      <c r="AO49" s="94">
        <f t="shared" si="10"/>
        <v>0</v>
      </c>
      <c r="AP49" s="94">
        <f t="shared" si="0"/>
        <v>175.88</v>
      </c>
      <c r="AQ49" s="94">
        <f t="shared" si="1"/>
        <v>175.88</v>
      </c>
      <c r="AR49" s="94">
        <f t="shared" si="207"/>
        <v>175.88</v>
      </c>
      <c r="AS49" s="94">
        <f t="shared" si="11"/>
        <v>175.88</v>
      </c>
      <c r="AT49" s="94">
        <f t="shared" si="12"/>
        <v>175.88</v>
      </c>
      <c r="AU49" s="94">
        <f t="shared" si="13"/>
        <v>175.88</v>
      </c>
      <c r="AV49" s="94">
        <f t="shared" si="14"/>
        <v>175.88</v>
      </c>
      <c r="AW49" s="94">
        <f t="shared" si="15"/>
        <v>175.88</v>
      </c>
      <c r="AX49" s="94">
        <f t="shared" si="16"/>
        <v>175.88</v>
      </c>
      <c r="AY49" s="94">
        <f t="shared" si="17"/>
        <v>175.88</v>
      </c>
      <c r="AZ49" s="94">
        <f t="shared" si="18"/>
        <v>175.88</v>
      </c>
      <c r="BA49" s="94">
        <f t="shared" si="19"/>
        <v>175.88</v>
      </c>
      <c r="BB49" s="94">
        <f t="shared" si="20"/>
        <v>175.88</v>
      </c>
    </row>
    <row r="50" spans="1:54" x14ac:dyDescent="0.25">
      <c r="A50" s="80"/>
      <c r="B50" s="95" t="s">
        <v>2417</v>
      </c>
      <c r="C50" s="201" t="s">
        <v>2837</v>
      </c>
      <c r="D50" s="80" t="s">
        <v>783</v>
      </c>
      <c r="E50" s="94" t="str">
        <f>IFERROR(VLOOKUP(A50,Estimate!A:Q,17,FALSE)," ")</f>
        <v xml:space="preserve"> </v>
      </c>
      <c r="F50" s="202" t="s">
        <v>781</v>
      </c>
      <c r="G50" s="202" t="s">
        <v>781</v>
      </c>
      <c r="H50" s="203" t="s">
        <v>781</v>
      </c>
      <c r="I50" s="203" t="s">
        <v>781</v>
      </c>
      <c r="J50" s="203" t="s">
        <v>781</v>
      </c>
      <c r="K50" s="203"/>
      <c r="L50" s="202" t="s">
        <v>781</v>
      </c>
      <c r="M50" s="204" t="str">
        <f t="shared" si="3"/>
        <v xml:space="preserve"> </v>
      </c>
      <c r="N50" s="95" t="s">
        <v>781</v>
      </c>
      <c r="O50" s="204" t="str">
        <f t="shared" si="3"/>
        <v xml:space="preserve"> </v>
      </c>
      <c r="P50" s="95" t="s">
        <v>781</v>
      </c>
      <c r="Q50" s="204" t="str">
        <f t="shared" ref="Q50:S50" si="262">IFERROR(P50/$G50," ")</f>
        <v xml:space="preserve"> </v>
      </c>
      <c r="R50" s="95" t="s">
        <v>781</v>
      </c>
      <c r="S50" s="204" t="str">
        <f t="shared" si="262"/>
        <v xml:space="preserve"> </v>
      </c>
      <c r="T50" s="95" t="s">
        <v>781</v>
      </c>
      <c r="U50" s="204" t="str">
        <f t="shared" ref="U50:W50" si="263">IFERROR(T50/$G50," ")</f>
        <v xml:space="preserve"> </v>
      </c>
      <c r="V50" s="95" t="s">
        <v>781</v>
      </c>
      <c r="W50" s="204" t="str">
        <f t="shared" si="263"/>
        <v xml:space="preserve"> </v>
      </c>
      <c r="X50" s="95" t="s">
        <v>781</v>
      </c>
      <c r="Y50" s="204" t="str">
        <f t="shared" ref="Y50:AA50" si="264">IFERROR(X50/$G50," ")</f>
        <v xml:space="preserve"> </v>
      </c>
      <c r="Z50" s="95" t="s">
        <v>781</v>
      </c>
      <c r="AA50" s="204" t="str">
        <f t="shared" si="264"/>
        <v xml:space="preserve"> </v>
      </c>
      <c r="AB50" s="95" t="s">
        <v>781</v>
      </c>
      <c r="AC50" s="204" t="str">
        <f t="shared" ref="AC50:AE50" si="265">IFERROR(AB50/$G50," ")</f>
        <v xml:space="preserve"> </v>
      </c>
      <c r="AD50" s="95" t="s">
        <v>781</v>
      </c>
      <c r="AE50" s="204" t="str">
        <f t="shared" si="265"/>
        <v xml:space="preserve"> </v>
      </c>
      <c r="AF50" s="95" t="s">
        <v>781</v>
      </c>
      <c r="AG50" s="204" t="str">
        <f t="shared" ref="AG50:AI50" si="266">IFERROR(AF50/$G50," ")</f>
        <v xml:space="preserve"> </v>
      </c>
      <c r="AH50" s="95" t="s">
        <v>781</v>
      </c>
      <c r="AI50" s="204" t="str">
        <f t="shared" si="266"/>
        <v xml:space="preserve"> </v>
      </c>
      <c r="AJ50" s="95" t="s">
        <v>781</v>
      </c>
      <c r="AK50" s="204" t="str">
        <f t="shared" ref="AK50:AM50" si="267">IFERROR(AJ50/$G50," ")</f>
        <v xml:space="preserve"> </v>
      </c>
      <c r="AL50" s="95" t="s">
        <v>781</v>
      </c>
      <c r="AM50" s="204" t="str">
        <f t="shared" si="267"/>
        <v xml:space="preserve"> </v>
      </c>
      <c r="AN50" s="95"/>
      <c r="AO50" s="94" t="str">
        <f t="shared" si="10"/>
        <v xml:space="preserve"> </v>
      </c>
      <c r="AP50" s="94" t="str">
        <f t="shared" si="0"/>
        <v xml:space="preserve"> </v>
      </c>
      <c r="AQ50" s="94" t="str">
        <f t="shared" si="1"/>
        <v xml:space="preserve"> </v>
      </c>
      <c r="AR50" s="94" t="str">
        <f t="shared" si="207"/>
        <v xml:space="preserve"> </v>
      </c>
      <c r="AS50" s="94" t="str">
        <f t="shared" si="11"/>
        <v xml:space="preserve"> </v>
      </c>
      <c r="AT50" s="94" t="str">
        <f t="shared" si="12"/>
        <v xml:space="preserve"> </v>
      </c>
      <c r="AU50" s="94" t="str">
        <f t="shared" si="13"/>
        <v xml:space="preserve"> </v>
      </c>
      <c r="AV50" s="94" t="str">
        <f t="shared" si="14"/>
        <v xml:space="preserve"> </v>
      </c>
      <c r="AW50" s="94" t="str">
        <f t="shared" si="15"/>
        <v xml:space="preserve"> </v>
      </c>
      <c r="AX50" s="94" t="str">
        <f t="shared" si="16"/>
        <v xml:space="preserve"> </v>
      </c>
      <c r="AY50" s="94" t="str">
        <f t="shared" si="17"/>
        <v xml:space="preserve"> </v>
      </c>
      <c r="AZ50" s="94" t="str">
        <f t="shared" si="18"/>
        <v xml:space="preserve"> </v>
      </c>
      <c r="BA50" s="94" t="str">
        <f t="shared" si="19"/>
        <v xml:space="preserve"> </v>
      </c>
      <c r="BB50" s="94" t="str">
        <f t="shared" si="20"/>
        <v xml:space="preserve"> </v>
      </c>
    </row>
    <row r="51" spans="1:54" x14ac:dyDescent="0.25">
      <c r="A51" s="80"/>
      <c r="B51" s="95" t="s">
        <v>2417</v>
      </c>
      <c r="C51" s="201" t="s">
        <v>136</v>
      </c>
      <c r="D51" s="80" t="s">
        <v>783</v>
      </c>
      <c r="E51" s="94" t="str">
        <f>IFERROR(VLOOKUP(A51,Estimate!A:Q,17,FALSE)," ")</f>
        <v xml:space="preserve"> </v>
      </c>
      <c r="F51" s="202" t="s">
        <v>781</v>
      </c>
      <c r="G51" s="202" t="s">
        <v>781</v>
      </c>
      <c r="H51" s="203" t="s">
        <v>781</v>
      </c>
      <c r="I51" s="203" t="s">
        <v>781</v>
      </c>
      <c r="J51" s="203" t="s">
        <v>781</v>
      </c>
      <c r="K51" s="203"/>
      <c r="L51" s="202" t="s">
        <v>781</v>
      </c>
      <c r="M51" s="204" t="str">
        <f t="shared" si="3"/>
        <v xml:space="preserve"> </v>
      </c>
      <c r="N51" s="95" t="s">
        <v>781</v>
      </c>
      <c r="O51" s="204" t="str">
        <f t="shared" si="3"/>
        <v xml:space="preserve"> </v>
      </c>
      <c r="P51" s="95" t="s">
        <v>781</v>
      </c>
      <c r="Q51" s="204" t="str">
        <f t="shared" ref="Q51:S51" si="268">IFERROR(P51/$G51," ")</f>
        <v xml:space="preserve"> </v>
      </c>
      <c r="R51" s="95" t="s">
        <v>781</v>
      </c>
      <c r="S51" s="204" t="str">
        <f t="shared" si="268"/>
        <v xml:space="preserve"> </v>
      </c>
      <c r="T51" s="95" t="s">
        <v>781</v>
      </c>
      <c r="U51" s="204" t="str">
        <f t="shared" ref="U51:W51" si="269">IFERROR(T51/$G51," ")</f>
        <v xml:space="preserve"> </v>
      </c>
      <c r="V51" s="95" t="s">
        <v>781</v>
      </c>
      <c r="W51" s="204" t="str">
        <f t="shared" si="269"/>
        <v xml:space="preserve"> </v>
      </c>
      <c r="X51" s="95" t="s">
        <v>781</v>
      </c>
      <c r="Y51" s="204" t="str">
        <f t="shared" ref="Y51:AA51" si="270">IFERROR(X51/$G51," ")</f>
        <v xml:space="preserve"> </v>
      </c>
      <c r="Z51" s="95" t="s">
        <v>781</v>
      </c>
      <c r="AA51" s="204" t="str">
        <f t="shared" si="270"/>
        <v xml:space="preserve"> </v>
      </c>
      <c r="AB51" s="95" t="s">
        <v>781</v>
      </c>
      <c r="AC51" s="204" t="str">
        <f t="shared" ref="AC51:AE51" si="271">IFERROR(AB51/$G51," ")</f>
        <v xml:space="preserve"> </v>
      </c>
      <c r="AD51" s="95" t="s">
        <v>781</v>
      </c>
      <c r="AE51" s="204" t="str">
        <f t="shared" si="271"/>
        <v xml:space="preserve"> </v>
      </c>
      <c r="AF51" s="95" t="s">
        <v>781</v>
      </c>
      <c r="AG51" s="204" t="str">
        <f t="shared" ref="AG51:AI51" si="272">IFERROR(AF51/$G51," ")</f>
        <v xml:space="preserve"> </v>
      </c>
      <c r="AH51" s="95" t="s">
        <v>781</v>
      </c>
      <c r="AI51" s="204" t="str">
        <f t="shared" si="272"/>
        <v xml:space="preserve"> </v>
      </c>
      <c r="AJ51" s="95" t="s">
        <v>781</v>
      </c>
      <c r="AK51" s="204" t="str">
        <f t="shared" ref="AK51:AM51" si="273">IFERROR(AJ51/$G51," ")</f>
        <v xml:space="preserve"> </v>
      </c>
      <c r="AL51" s="95" t="s">
        <v>781</v>
      </c>
      <c r="AM51" s="204" t="str">
        <f t="shared" si="273"/>
        <v xml:space="preserve"> </v>
      </c>
      <c r="AN51" s="95"/>
      <c r="AO51" s="94" t="str">
        <f t="shared" si="10"/>
        <v xml:space="preserve"> </v>
      </c>
      <c r="AP51" s="94" t="str">
        <f t="shared" si="0"/>
        <v xml:space="preserve"> </v>
      </c>
      <c r="AQ51" s="94" t="str">
        <f t="shared" si="1"/>
        <v xml:space="preserve"> </v>
      </c>
      <c r="AR51" s="94" t="str">
        <f t="shared" si="207"/>
        <v xml:space="preserve"> </v>
      </c>
      <c r="AS51" s="94" t="str">
        <f t="shared" si="11"/>
        <v xml:space="preserve"> </v>
      </c>
      <c r="AT51" s="94" t="str">
        <f t="shared" si="12"/>
        <v xml:space="preserve"> </v>
      </c>
      <c r="AU51" s="94" t="str">
        <f t="shared" si="13"/>
        <v xml:space="preserve"> </v>
      </c>
      <c r="AV51" s="94" t="str">
        <f t="shared" si="14"/>
        <v xml:space="preserve"> </v>
      </c>
      <c r="AW51" s="94" t="str">
        <f t="shared" si="15"/>
        <v xml:space="preserve"> </v>
      </c>
      <c r="AX51" s="94" t="str">
        <f t="shared" si="16"/>
        <v xml:space="preserve"> </v>
      </c>
      <c r="AY51" s="94" t="str">
        <f t="shared" si="17"/>
        <v xml:space="preserve"> </v>
      </c>
      <c r="AZ51" s="94" t="str">
        <f t="shared" si="18"/>
        <v xml:space="preserve"> </v>
      </c>
      <c r="BA51" s="94" t="str">
        <f t="shared" si="19"/>
        <v xml:space="preserve"> </v>
      </c>
      <c r="BB51" s="94" t="str">
        <f t="shared" si="20"/>
        <v xml:space="preserve"> </v>
      </c>
    </row>
    <row r="52" spans="1:54" x14ac:dyDescent="0.25">
      <c r="A52" s="80"/>
      <c r="B52" s="95" t="s">
        <v>2863</v>
      </c>
      <c r="C52" s="201" t="s">
        <v>138</v>
      </c>
      <c r="D52" s="80" t="s">
        <v>783</v>
      </c>
      <c r="E52" s="94" t="str">
        <f>IFERROR(VLOOKUP(A52,Estimate!A:Q,17,FALSE)," ")</f>
        <v xml:space="preserve"> </v>
      </c>
      <c r="F52" s="202" t="s">
        <v>781</v>
      </c>
      <c r="G52" s="202" t="s">
        <v>781</v>
      </c>
      <c r="H52" s="203" t="s">
        <v>781</v>
      </c>
      <c r="I52" s="203" t="s">
        <v>781</v>
      </c>
      <c r="J52" s="203" t="s">
        <v>781</v>
      </c>
      <c r="K52" s="203"/>
      <c r="L52" s="202" t="s">
        <v>781</v>
      </c>
      <c r="M52" s="204" t="str">
        <f t="shared" si="3"/>
        <v xml:space="preserve"> </v>
      </c>
      <c r="N52" s="95" t="s">
        <v>781</v>
      </c>
      <c r="O52" s="204" t="str">
        <f t="shared" si="3"/>
        <v xml:space="preserve"> </v>
      </c>
      <c r="P52" s="95" t="s">
        <v>781</v>
      </c>
      <c r="Q52" s="204" t="str">
        <f t="shared" ref="Q52:S52" si="274">IFERROR(P52/$G52," ")</f>
        <v xml:space="preserve"> </v>
      </c>
      <c r="R52" s="95" t="s">
        <v>781</v>
      </c>
      <c r="S52" s="204" t="str">
        <f t="shared" si="274"/>
        <v xml:space="preserve"> </v>
      </c>
      <c r="T52" s="95" t="s">
        <v>781</v>
      </c>
      <c r="U52" s="204" t="str">
        <f t="shared" ref="U52:W52" si="275">IFERROR(T52/$G52," ")</f>
        <v xml:space="preserve"> </v>
      </c>
      <c r="V52" s="95" t="s">
        <v>781</v>
      </c>
      <c r="W52" s="204" t="str">
        <f t="shared" si="275"/>
        <v xml:space="preserve"> </v>
      </c>
      <c r="X52" s="95" t="s">
        <v>781</v>
      </c>
      <c r="Y52" s="204" t="str">
        <f t="shared" ref="Y52:AA52" si="276">IFERROR(X52/$G52," ")</f>
        <v xml:space="preserve"> </v>
      </c>
      <c r="Z52" s="95" t="s">
        <v>781</v>
      </c>
      <c r="AA52" s="204" t="str">
        <f t="shared" si="276"/>
        <v xml:space="preserve"> </v>
      </c>
      <c r="AB52" s="95" t="s">
        <v>781</v>
      </c>
      <c r="AC52" s="204" t="str">
        <f t="shared" ref="AC52:AE52" si="277">IFERROR(AB52/$G52," ")</f>
        <v xml:space="preserve"> </v>
      </c>
      <c r="AD52" s="95" t="s">
        <v>781</v>
      </c>
      <c r="AE52" s="204" t="str">
        <f t="shared" si="277"/>
        <v xml:space="preserve"> </v>
      </c>
      <c r="AF52" s="95" t="s">
        <v>781</v>
      </c>
      <c r="AG52" s="204" t="str">
        <f t="shared" ref="AG52:AI52" si="278">IFERROR(AF52/$G52," ")</f>
        <v xml:space="preserve"> </v>
      </c>
      <c r="AH52" s="95" t="s">
        <v>781</v>
      </c>
      <c r="AI52" s="204" t="str">
        <f t="shared" si="278"/>
        <v xml:space="preserve"> </v>
      </c>
      <c r="AJ52" s="95" t="s">
        <v>781</v>
      </c>
      <c r="AK52" s="204" t="str">
        <f t="shared" ref="AK52:AM52" si="279">IFERROR(AJ52/$G52," ")</f>
        <v xml:space="preserve"> </v>
      </c>
      <c r="AL52" s="95" t="s">
        <v>781</v>
      </c>
      <c r="AM52" s="204" t="str">
        <f t="shared" si="279"/>
        <v xml:space="preserve"> </v>
      </c>
      <c r="AN52" s="95"/>
      <c r="AO52" s="94" t="str">
        <f t="shared" si="10"/>
        <v xml:space="preserve"> </v>
      </c>
      <c r="AP52" s="94" t="str">
        <f t="shared" si="0"/>
        <v xml:space="preserve"> </v>
      </c>
      <c r="AQ52" s="94" t="str">
        <f t="shared" si="1"/>
        <v xml:space="preserve"> </v>
      </c>
      <c r="AR52" s="94" t="str">
        <f t="shared" si="207"/>
        <v xml:space="preserve"> </v>
      </c>
      <c r="AS52" s="94" t="str">
        <f t="shared" si="11"/>
        <v xml:space="preserve"> </v>
      </c>
      <c r="AT52" s="94" t="str">
        <f t="shared" si="12"/>
        <v xml:space="preserve"> </v>
      </c>
      <c r="AU52" s="94" t="str">
        <f t="shared" si="13"/>
        <v xml:space="preserve"> </v>
      </c>
      <c r="AV52" s="94" t="str">
        <f t="shared" si="14"/>
        <v xml:space="preserve"> </v>
      </c>
      <c r="AW52" s="94" t="str">
        <f t="shared" si="15"/>
        <v xml:space="preserve"> </v>
      </c>
      <c r="AX52" s="94" t="str">
        <f t="shared" si="16"/>
        <v xml:space="preserve"> </v>
      </c>
      <c r="AY52" s="94" t="str">
        <f t="shared" si="17"/>
        <v xml:space="preserve"> </v>
      </c>
      <c r="AZ52" s="94" t="str">
        <f t="shared" si="18"/>
        <v xml:space="preserve"> </v>
      </c>
      <c r="BA52" s="94" t="str">
        <f t="shared" si="19"/>
        <v xml:space="preserve"> </v>
      </c>
      <c r="BB52" s="94" t="str">
        <f t="shared" si="20"/>
        <v xml:space="preserve"> </v>
      </c>
    </row>
    <row r="53" spans="1:54" x14ac:dyDescent="0.25">
      <c r="A53" s="80"/>
      <c r="B53" s="95" t="s">
        <v>2864</v>
      </c>
      <c r="C53" s="201" t="s">
        <v>140</v>
      </c>
      <c r="D53" s="80" t="s">
        <v>783</v>
      </c>
      <c r="E53" s="94" t="str">
        <f>IFERROR(VLOOKUP(A53,Estimate!A:Q,17,FALSE)," ")</f>
        <v xml:space="preserve"> </v>
      </c>
      <c r="F53" s="202" t="s">
        <v>781</v>
      </c>
      <c r="G53" s="202" t="s">
        <v>781</v>
      </c>
      <c r="H53" s="203" t="s">
        <v>781</v>
      </c>
      <c r="I53" s="203" t="s">
        <v>781</v>
      </c>
      <c r="J53" s="203" t="s">
        <v>781</v>
      </c>
      <c r="K53" s="203"/>
      <c r="L53" s="202" t="s">
        <v>781</v>
      </c>
      <c r="M53" s="204" t="str">
        <f t="shared" si="3"/>
        <v xml:space="preserve"> </v>
      </c>
      <c r="N53" s="95" t="s">
        <v>781</v>
      </c>
      <c r="O53" s="204" t="str">
        <f t="shared" si="3"/>
        <v xml:space="preserve"> </v>
      </c>
      <c r="P53" s="95" t="s">
        <v>781</v>
      </c>
      <c r="Q53" s="204" t="str">
        <f t="shared" ref="Q53:S53" si="280">IFERROR(P53/$G53," ")</f>
        <v xml:space="preserve"> </v>
      </c>
      <c r="R53" s="95" t="s">
        <v>781</v>
      </c>
      <c r="S53" s="204" t="str">
        <f t="shared" si="280"/>
        <v xml:space="preserve"> </v>
      </c>
      <c r="T53" s="95" t="s">
        <v>781</v>
      </c>
      <c r="U53" s="204" t="str">
        <f t="shared" ref="U53:W53" si="281">IFERROR(T53/$G53," ")</f>
        <v xml:space="preserve"> </v>
      </c>
      <c r="V53" s="95" t="s">
        <v>781</v>
      </c>
      <c r="W53" s="204" t="str">
        <f t="shared" si="281"/>
        <v xml:space="preserve"> </v>
      </c>
      <c r="X53" s="95" t="s">
        <v>781</v>
      </c>
      <c r="Y53" s="204" t="str">
        <f t="shared" ref="Y53:AA53" si="282">IFERROR(X53/$G53," ")</f>
        <v xml:space="preserve"> </v>
      </c>
      <c r="Z53" s="95" t="s">
        <v>781</v>
      </c>
      <c r="AA53" s="204" t="str">
        <f t="shared" si="282"/>
        <v xml:space="preserve"> </v>
      </c>
      <c r="AB53" s="95" t="s">
        <v>781</v>
      </c>
      <c r="AC53" s="204" t="str">
        <f t="shared" ref="AC53:AE53" si="283">IFERROR(AB53/$G53," ")</f>
        <v xml:space="preserve"> </v>
      </c>
      <c r="AD53" s="95" t="s">
        <v>781</v>
      </c>
      <c r="AE53" s="204" t="str">
        <f t="shared" si="283"/>
        <v xml:space="preserve"> </v>
      </c>
      <c r="AF53" s="95" t="s">
        <v>781</v>
      </c>
      <c r="AG53" s="204" t="str">
        <f t="shared" ref="AG53:AI53" si="284">IFERROR(AF53/$G53," ")</f>
        <v xml:space="preserve"> </v>
      </c>
      <c r="AH53" s="95" t="s">
        <v>781</v>
      </c>
      <c r="AI53" s="204" t="str">
        <f t="shared" si="284"/>
        <v xml:space="preserve"> </v>
      </c>
      <c r="AJ53" s="95" t="s">
        <v>781</v>
      </c>
      <c r="AK53" s="204" t="str">
        <f t="shared" ref="AK53:AM53" si="285">IFERROR(AJ53/$G53," ")</f>
        <v xml:space="preserve"> </v>
      </c>
      <c r="AL53" s="95" t="s">
        <v>781</v>
      </c>
      <c r="AM53" s="204" t="str">
        <f t="shared" si="285"/>
        <v xml:space="preserve"> </v>
      </c>
      <c r="AN53" s="95"/>
      <c r="AO53" s="94" t="str">
        <f t="shared" si="10"/>
        <v xml:space="preserve"> </v>
      </c>
      <c r="AP53" s="94" t="str">
        <f t="shared" si="0"/>
        <v xml:space="preserve"> </v>
      </c>
      <c r="AQ53" s="94" t="str">
        <f t="shared" si="1"/>
        <v xml:space="preserve"> </v>
      </c>
      <c r="AR53" s="94" t="str">
        <f t="shared" si="207"/>
        <v xml:space="preserve"> </v>
      </c>
      <c r="AS53" s="94" t="str">
        <f t="shared" si="11"/>
        <v xml:space="preserve"> </v>
      </c>
      <c r="AT53" s="94" t="str">
        <f t="shared" si="12"/>
        <v xml:space="preserve"> </v>
      </c>
      <c r="AU53" s="94" t="str">
        <f t="shared" si="13"/>
        <v xml:space="preserve"> </v>
      </c>
      <c r="AV53" s="94" t="str">
        <f t="shared" si="14"/>
        <v xml:space="preserve"> </v>
      </c>
      <c r="AW53" s="94" t="str">
        <f t="shared" si="15"/>
        <v xml:space="preserve"> </v>
      </c>
      <c r="AX53" s="94" t="str">
        <f t="shared" si="16"/>
        <v xml:space="preserve"> </v>
      </c>
      <c r="AY53" s="94" t="str">
        <f t="shared" si="17"/>
        <v xml:space="preserve"> </v>
      </c>
      <c r="AZ53" s="94" t="str">
        <f t="shared" si="18"/>
        <v xml:space="preserve"> </v>
      </c>
      <c r="BA53" s="94" t="str">
        <f t="shared" si="19"/>
        <v xml:space="preserve"> </v>
      </c>
      <c r="BB53" s="94" t="str">
        <f t="shared" si="20"/>
        <v xml:space="preserve"> </v>
      </c>
    </row>
    <row r="54" spans="1:54" x14ac:dyDescent="0.25">
      <c r="A54" s="80">
        <v>21</v>
      </c>
      <c r="B54" s="95" t="s">
        <v>2865</v>
      </c>
      <c r="C54" s="201" t="s">
        <v>142</v>
      </c>
      <c r="D54" s="80" t="s">
        <v>107</v>
      </c>
      <c r="E54" s="94">
        <f>IFERROR(VLOOKUP(A54,Estimate!A:Q,17,FALSE)," ")</f>
        <v>269.50000000000006</v>
      </c>
      <c r="F54" s="202">
        <v>100</v>
      </c>
      <c r="G54" s="202">
        <v>905</v>
      </c>
      <c r="H54" s="203">
        <v>3.39</v>
      </c>
      <c r="I54" s="203">
        <v>339</v>
      </c>
      <c r="J54" s="203">
        <v>3067.95</v>
      </c>
      <c r="K54" s="203"/>
      <c r="L54" s="202"/>
      <c r="M54" s="204">
        <f t="shared" si="3"/>
        <v>0</v>
      </c>
      <c r="N54" s="95"/>
      <c r="O54" s="204">
        <f t="shared" si="3"/>
        <v>0</v>
      </c>
      <c r="P54" s="95"/>
      <c r="Q54" s="204">
        <f t="shared" ref="Q54:S54" si="286">IFERROR(P54/$G54," ")</f>
        <v>0</v>
      </c>
      <c r="R54" s="95"/>
      <c r="S54" s="204">
        <f t="shared" si="286"/>
        <v>0</v>
      </c>
      <c r="T54" s="95"/>
      <c r="U54" s="204">
        <f t="shared" ref="U54:W54" si="287">IFERROR(T54/$G54," ")</f>
        <v>0</v>
      </c>
      <c r="V54" s="95"/>
      <c r="W54" s="204">
        <f t="shared" si="287"/>
        <v>0</v>
      </c>
      <c r="X54" s="95"/>
      <c r="Y54" s="204">
        <f t="shared" ref="Y54:AA54" si="288">IFERROR(X54/$G54," ")</f>
        <v>0</v>
      </c>
      <c r="Z54" s="95">
        <v>100</v>
      </c>
      <c r="AA54" s="204">
        <f t="shared" si="288"/>
        <v>0.11049723756906077</v>
      </c>
      <c r="AB54" s="95">
        <v>100</v>
      </c>
      <c r="AC54" s="204">
        <f t="shared" ref="AC54:AE54" si="289">IFERROR(AB54/$G54," ")</f>
        <v>0.11049723756906077</v>
      </c>
      <c r="AD54" s="95">
        <v>100</v>
      </c>
      <c r="AE54" s="204">
        <f t="shared" si="289"/>
        <v>0.11049723756906077</v>
      </c>
      <c r="AF54" s="95">
        <v>905</v>
      </c>
      <c r="AG54" s="204">
        <f t="shared" ref="AG54:AI54" si="290">IFERROR(AF54/$G54," ")</f>
        <v>1</v>
      </c>
      <c r="AH54" s="95">
        <v>905</v>
      </c>
      <c r="AI54" s="204">
        <f t="shared" si="290"/>
        <v>1</v>
      </c>
      <c r="AJ54" s="95">
        <v>100</v>
      </c>
      <c r="AK54" s="204">
        <f t="shared" ref="AK54:AM54" si="291">IFERROR(AJ54/$G54," ")</f>
        <v>0.11049723756906077</v>
      </c>
      <c r="AL54" s="95">
        <v>100</v>
      </c>
      <c r="AM54" s="204">
        <f t="shared" si="291"/>
        <v>0.11049723756906077</v>
      </c>
      <c r="AN54" s="95"/>
      <c r="AO54" s="94">
        <f t="shared" si="10"/>
        <v>0</v>
      </c>
      <c r="AP54" s="94">
        <f t="shared" si="0"/>
        <v>0</v>
      </c>
      <c r="AQ54" s="94">
        <f t="shared" si="1"/>
        <v>0</v>
      </c>
      <c r="AR54" s="94">
        <f t="shared" si="207"/>
        <v>0</v>
      </c>
      <c r="AS54" s="94">
        <f t="shared" si="11"/>
        <v>0</v>
      </c>
      <c r="AT54" s="94">
        <f t="shared" si="12"/>
        <v>0</v>
      </c>
      <c r="AU54" s="94">
        <f t="shared" si="13"/>
        <v>0</v>
      </c>
      <c r="AV54" s="94">
        <f t="shared" si="14"/>
        <v>338.99999999999994</v>
      </c>
      <c r="AW54" s="94">
        <f t="shared" si="15"/>
        <v>338.99999999999994</v>
      </c>
      <c r="AX54" s="94">
        <f t="shared" si="16"/>
        <v>338.99999999999994</v>
      </c>
      <c r="AY54" s="94">
        <f t="shared" si="17"/>
        <v>3067.95</v>
      </c>
      <c r="AZ54" s="94">
        <f t="shared" si="18"/>
        <v>3067.95</v>
      </c>
      <c r="BA54" s="94">
        <f t="shared" si="19"/>
        <v>338.99999999999994</v>
      </c>
      <c r="BB54" s="94">
        <f t="shared" si="20"/>
        <v>338.99999999999994</v>
      </c>
    </row>
    <row r="55" spans="1:54" x14ac:dyDescent="0.25">
      <c r="A55" s="80"/>
      <c r="B55" s="95" t="s">
        <v>2417</v>
      </c>
      <c r="C55" s="201" t="s">
        <v>2837</v>
      </c>
      <c r="D55" s="80" t="s">
        <v>783</v>
      </c>
      <c r="E55" s="94" t="str">
        <f>IFERROR(VLOOKUP(A55,Estimate!A:Q,17,FALSE)," ")</f>
        <v xml:space="preserve"> </v>
      </c>
      <c r="F55" s="202" t="s">
        <v>781</v>
      </c>
      <c r="G55" s="202" t="s">
        <v>781</v>
      </c>
      <c r="H55" s="203" t="s">
        <v>781</v>
      </c>
      <c r="I55" s="203" t="s">
        <v>781</v>
      </c>
      <c r="J55" s="203" t="s">
        <v>781</v>
      </c>
      <c r="K55" s="203"/>
      <c r="L55" s="202" t="s">
        <v>781</v>
      </c>
      <c r="M55" s="204" t="str">
        <f t="shared" si="3"/>
        <v xml:space="preserve"> </v>
      </c>
      <c r="N55" s="95" t="s">
        <v>781</v>
      </c>
      <c r="O55" s="204" t="str">
        <f t="shared" si="3"/>
        <v xml:space="preserve"> </v>
      </c>
      <c r="P55" s="95" t="s">
        <v>781</v>
      </c>
      <c r="Q55" s="204" t="str">
        <f t="shared" ref="Q55:S55" si="292">IFERROR(P55/$G55," ")</f>
        <v xml:space="preserve"> </v>
      </c>
      <c r="R55" s="95" t="s">
        <v>781</v>
      </c>
      <c r="S55" s="204" t="str">
        <f t="shared" si="292"/>
        <v xml:space="preserve"> </v>
      </c>
      <c r="T55" s="95" t="s">
        <v>781</v>
      </c>
      <c r="U55" s="204" t="str">
        <f t="shared" ref="U55:W55" si="293">IFERROR(T55/$G55," ")</f>
        <v xml:space="preserve"> </v>
      </c>
      <c r="V55" s="95" t="s">
        <v>781</v>
      </c>
      <c r="W55" s="204" t="str">
        <f t="shared" si="293"/>
        <v xml:space="preserve"> </v>
      </c>
      <c r="X55" s="95" t="s">
        <v>781</v>
      </c>
      <c r="Y55" s="204" t="str">
        <f t="shared" ref="Y55:AA55" si="294">IFERROR(X55/$G55," ")</f>
        <v xml:space="preserve"> </v>
      </c>
      <c r="Z55" s="95" t="s">
        <v>781</v>
      </c>
      <c r="AA55" s="204" t="str">
        <f t="shared" si="294"/>
        <v xml:space="preserve"> </v>
      </c>
      <c r="AB55" s="95" t="s">
        <v>781</v>
      </c>
      <c r="AC55" s="204" t="str">
        <f t="shared" ref="AC55:AE55" si="295">IFERROR(AB55/$G55," ")</f>
        <v xml:space="preserve"> </v>
      </c>
      <c r="AD55" s="95" t="s">
        <v>781</v>
      </c>
      <c r="AE55" s="204" t="str">
        <f t="shared" si="295"/>
        <v xml:space="preserve"> </v>
      </c>
      <c r="AF55" s="95" t="s">
        <v>781</v>
      </c>
      <c r="AG55" s="204" t="str">
        <f t="shared" ref="AG55:AI55" si="296">IFERROR(AF55/$G55," ")</f>
        <v xml:space="preserve"> </v>
      </c>
      <c r="AH55" s="95" t="s">
        <v>781</v>
      </c>
      <c r="AI55" s="204" t="str">
        <f t="shared" si="296"/>
        <v xml:space="preserve"> </v>
      </c>
      <c r="AJ55" s="95" t="s">
        <v>781</v>
      </c>
      <c r="AK55" s="204" t="str">
        <f t="shared" ref="AK55:AM55" si="297">IFERROR(AJ55/$G55," ")</f>
        <v xml:space="preserve"> </v>
      </c>
      <c r="AL55" s="95" t="s">
        <v>781</v>
      </c>
      <c r="AM55" s="204" t="str">
        <f t="shared" si="297"/>
        <v xml:space="preserve"> </v>
      </c>
      <c r="AN55" s="95"/>
      <c r="AO55" s="94" t="str">
        <f t="shared" si="10"/>
        <v xml:space="preserve"> </v>
      </c>
      <c r="AP55" s="94" t="str">
        <f t="shared" si="0"/>
        <v xml:space="preserve"> </v>
      </c>
      <c r="AQ55" s="94" t="str">
        <f t="shared" si="1"/>
        <v xml:space="preserve"> </v>
      </c>
      <c r="AR55" s="94" t="str">
        <f t="shared" si="207"/>
        <v xml:space="preserve"> </v>
      </c>
      <c r="AS55" s="94" t="str">
        <f t="shared" si="11"/>
        <v xml:space="preserve"> </v>
      </c>
      <c r="AT55" s="94" t="str">
        <f t="shared" si="12"/>
        <v xml:space="preserve"> </v>
      </c>
      <c r="AU55" s="94" t="str">
        <f t="shared" si="13"/>
        <v xml:space="preserve"> </v>
      </c>
      <c r="AV55" s="94" t="str">
        <f t="shared" si="14"/>
        <v xml:space="preserve"> </v>
      </c>
      <c r="AW55" s="94" t="str">
        <f t="shared" si="15"/>
        <v xml:space="preserve"> </v>
      </c>
      <c r="AX55" s="94" t="str">
        <f t="shared" si="16"/>
        <v xml:space="preserve"> </v>
      </c>
      <c r="AY55" s="94" t="str">
        <f t="shared" si="17"/>
        <v xml:space="preserve"> </v>
      </c>
      <c r="AZ55" s="94" t="str">
        <f t="shared" si="18"/>
        <v xml:space="preserve"> </v>
      </c>
      <c r="BA55" s="94" t="str">
        <f t="shared" si="19"/>
        <v xml:space="preserve"> </v>
      </c>
      <c r="BB55" s="94" t="str">
        <f t="shared" si="20"/>
        <v xml:space="preserve"> </v>
      </c>
    </row>
    <row r="56" spans="1:54" x14ac:dyDescent="0.25">
      <c r="A56" s="80"/>
      <c r="B56" s="95" t="s">
        <v>2417</v>
      </c>
      <c r="C56" s="201" t="s">
        <v>145</v>
      </c>
      <c r="D56" s="80" t="s">
        <v>783</v>
      </c>
      <c r="E56" s="94" t="str">
        <f>IFERROR(VLOOKUP(A56,Estimate!A:Q,17,FALSE)," ")</f>
        <v xml:space="preserve"> </v>
      </c>
      <c r="F56" s="202" t="s">
        <v>781</v>
      </c>
      <c r="G56" s="202" t="s">
        <v>781</v>
      </c>
      <c r="H56" s="203" t="s">
        <v>781</v>
      </c>
      <c r="I56" s="203" t="s">
        <v>781</v>
      </c>
      <c r="J56" s="203" t="s">
        <v>781</v>
      </c>
      <c r="K56" s="203"/>
      <c r="L56" s="202" t="s">
        <v>781</v>
      </c>
      <c r="M56" s="204" t="str">
        <f t="shared" si="3"/>
        <v xml:space="preserve"> </v>
      </c>
      <c r="N56" s="95" t="s">
        <v>781</v>
      </c>
      <c r="O56" s="204" t="str">
        <f t="shared" si="3"/>
        <v xml:space="preserve"> </v>
      </c>
      <c r="P56" s="95" t="s">
        <v>781</v>
      </c>
      <c r="Q56" s="204" t="str">
        <f t="shared" ref="Q56:S56" si="298">IFERROR(P56/$G56," ")</f>
        <v xml:space="preserve"> </v>
      </c>
      <c r="R56" s="95" t="s">
        <v>781</v>
      </c>
      <c r="S56" s="204" t="str">
        <f t="shared" si="298"/>
        <v xml:space="preserve"> </v>
      </c>
      <c r="T56" s="95" t="s">
        <v>781</v>
      </c>
      <c r="U56" s="204" t="str">
        <f t="shared" ref="U56:W56" si="299">IFERROR(T56/$G56," ")</f>
        <v xml:space="preserve"> </v>
      </c>
      <c r="V56" s="95" t="s">
        <v>781</v>
      </c>
      <c r="W56" s="204" t="str">
        <f t="shared" si="299"/>
        <v xml:space="preserve"> </v>
      </c>
      <c r="X56" s="95" t="s">
        <v>781</v>
      </c>
      <c r="Y56" s="204" t="str">
        <f t="shared" ref="Y56:AA56" si="300">IFERROR(X56/$G56," ")</f>
        <v xml:space="preserve"> </v>
      </c>
      <c r="Z56" s="95" t="s">
        <v>781</v>
      </c>
      <c r="AA56" s="204" t="str">
        <f t="shared" si="300"/>
        <v xml:space="preserve"> </v>
      </c>
      <c r="AB56" s="95" t="s">
        <v>781</v>
      </c>
      <c r="AC56" s="204" t="str">
        <f t="shared" ref="AC56:AE56" si="301">IFERROR(AB56/$G56," ")</f>
        <v xml:space="preserve"> </v>
      </c>
      <c r="AD56" s="95" t="s">
        <v>781</v>
      </c>
      <c r="AE56" s="204" t="str">
        <f t="shared" si="301"/>
        <v xml:space="preserve"> </v>
      </c>
      <c r="AF56" s="95" t="s">
        <v>781</v>
      </c>
      <c r="AG56" s="204" t="str">
        <f t="shared" ref="AG56:AI56" si="302">IFERROR(AF56/$G56," ")</f>
        <v xml:space="preserve"> </v>
      </c>
      <c r="AH56" s="95" t="s">
        <v>781</v>
      </c>
      <c r="AI56" s="204" t="str">
        <f t="shared" si="302"/>
        <v xml:space="preserve"> </v>
      </c>
      <c r="AJ56" s="95" t="s">
        <v>781</v>
      </c>
      <c r="AK56" s="204" t="str">
        <f t="shared" ref="AK56:AM56" si="303">IFERROR(AJ56/$G56," ")</f>
        <v xml:space="preserve"> </v>
      </c>
      <c r="AL56" s="95" t="s">
        <v>781</v>
      </c>
      <c r="AM56" s="204" t="str">
        <f t="shared" si="303"/>
        <v xml:space="preserve"> </v>
      </c>
      <c r="AN56" s="95"/>
      <c r="AO56" s="94" t="str">
        <f t="shared" si="10"/>
        <v xml:space="preserve"> </v>
      </c>
      <c r="AP56" s="94" t="str">
        <f t="shared" si="0"/>
        <v xml:space="preserve"> </v>
      </c>
      <c r="AQ56" s="94" t="str">
        <f t="shared" si="1"/>
        <v xml:space="preserve"> </v>
      </c>
      <c r="AR56" s="94" t="str">
        <f t="shared" si="207"/>
        <v xml:space="preserve"> </v>
      </c>
      <c r="AS56" s="94" t="str">
        <f t="shared" si="11"/>
        <v xml:space="preserve"> </v>
      </c>
      <c r="AT56" s="94" t="str">
        <f t="shared" si="12"/>
        <v xml:space="preserve"> </v>
      </c>
      <c r="AU56" s="94" t="str">
        <f t="shared" si="13"/>
        <v xml:space="preserve"> </v>
      </c>
      <c r="AV56" s="94" t="str">
        <f t="shared" si="14"/>
        <v xml:space="preserve"> </v>
      </c>
      <c r="AW56" s="94" t="str">
        <f t="shared" si="15"/>
        <v xml:space="preserve"> </v>
      </c>
      <c r="AX56" s="94" t="str">
        <f t="shared" si="16"/>
        <v xml:space="preserve"> </v>
      </c>
      <c r="AY56" s="94" t="str">
        <f t="shared" si="17"/>
        <v xml:space="preserve"> </v>
      </c>
      <c r="AZ56" s="94" t="str">
        <f t="shared" si="18"/>
        <v xml:space="preserve"> </v>
      </c>
      <c r="BA56" s="94" t="str">
        <f t="shared" si="19"/>
        <v xml:space="preserve"> </v>
      </c>
      <c r="BB56" s="94" t="str">
        <f t="shared" si="20"/>
        <v xml:space="preserve"> </v>
      </c>
    </row>
    <row r="57" spans="1:54" x14ac:dyDescent="0.25">
      <c r="A57" s="80">
        <v>22</v>
      </c>
      <c r="B57" s="95" t="s">
        <v>2417</v>
      </c>
      <c r="C57" s="201" t="s">
        <v>147</v>
      </c>
      <c r="D57" s="80" t="s">
        <v>20</v>
      </c>
      <c r="E57" s="94">
        <f>IFERROR(VLOOKUP(A57,Estimate!A:Q,17,FALSE)," ")</f>
        <v>800</v>
      </c>
      <c r="F57" s="202">
        <v>1</v>
      </c>
      <c r="G57" s="202">
        <v>1</v>
      </c>
      <c r="H57" s="203">
        <v>1004.98</v>
      </c>
      <c r="I57" s="203">
        <v>1004.98</v>
      </c>
      <c r="J57" s="203">
        <v>1004.98</v>
      </c>
      <c r="K57" s="203"/>
      <c r="L57" s="202"/>
      <c r="M57" s="204">
        <f t="shared" si="3"/>
        <v>0</v>
      </c>
      <c r="N57" s="95"/>
      <c r="O57" s="204">
        <f t="shared" si="3"/>
        <v>0</v>
      </c>
      <c r="P57" s="95"/>
      <c r="Q57" s="204">
        <f t="shared" ref="Q57:S57" si="304">IFERROR(P57/$G57," ")</f>
        <v>0</v>
      </c>
      <c r="R57" s="95"/>
      <c r="S57" s="204">
        <f t="shared" si="304"/>
        <v>0</v>
      </c>
      <c r="T57" s="95"/>
      <c r="U57" s="204">
        <f t="shared" ref="U57:W57" si="305">IFERROR(T57/$G57," ")</f>
        <v>0</v>
      </c>
      <c r="V57" s="95"/>
      <c r="W57" s="204">
        <f t="shared" si="305"/>
        <v>0</v>
      </c>
      <c r="X57" s="95">
        <v>0.8</v>
      </c>
      <c r="Y57" s="204">
        <f t="shared" ref="Y57:AA57" si="306">IFERROR(X57/$G57," ")</f>
        <v>0.8</v>
      </c>
      <c r="Z57" s="95">
        <v>1</v>
      </c>
      <c r="AA57" s="204">
        <f t="shared" si="306"/>
        <v>1</v>
      </c>
      <c r="AB57" s="95">
        <v>1</v>
      </c>
      <c r="AC57" s="204">
        <f t="shared" ref="AC57:AE57" si="307">IFERROR(AB57/$G57," ")</f>
        <v>1</v>
      </c>
      <c r="AD57" s="95">
        <v>1</v>
      </c>
      <c r="AE57" s="204">
        <f t="shared" si="307"/>
        <v>1</v>
      </c>
      <c r="AF57" s="95">
        <v>1</v>
      </c>
      <c r="AG57" s="204">
        <f t="shared" ref="AG57:AI57" si="308">IFERROR(AF57/$G57," ")</f>
        <v>1</v>
      </c>
      <c r="AH57" s="95">
        <v>1</v>
      </c>
      <c r="AI57" s="204">
        <f t="shared" si="308"/>
        <v>1</v>
      </c>
      <c r="AJ57" s="95">
        <v>1</v>
      </c>
      <c r="AK57" s="204">
        <f t="shared" ref="AK57:AM57" si="309">IFERROR(AJ57/$G57," ")</f>
        <v>1</v>
      </c>
      <c r="AL57" s="95">
        <v>1</v>
      </c>
      <c r="AM57" s="204">
        <f t="shared" si="309"/>
        <v>1</v>
      </c>
      <c r="AN57" s="95"/>
      <c r="AO57" s="94">
        <f t="shared" si="10"/>
        <v>0</v>
      </c>
      <c r="AP57" s="94">
        <f t="shared" si="0"/>
        <v>0</v>
      </c>
      <c r="AQ57" s="94">
        <f t="shared" si="1"/>
        <v>0</v>
      </c>
      <c r="AR57" s="94">
        <f t="shared" si="207"/>
        <v>0</v>
      </c>
      <c r="AS57" s="94">
        <f t="shared" si="11"/>
        <v>0</v>
      </c>
      <c r="AT57" s="94">
        <f t="shared" si="12"/>
        <v>0</v>
      </c>
      <c r="AU57" s="94">
        <f t="shared" si="13"/>
        <v>803.98400000000004</v>
      </c>
      <c r="AV57" s="94">
        <f t="shared" si="14"/>
        <v>1004.98</v>
      </c>
      <c r="AW57" s="94">
        <f t="shared" si="15"/>
        <v>1004.98</v>
      </c>
      <c r="AX57" s="94">
        <f t="shared" si="16"/>
        <v>1004.98</v>
      </c>
      <c r="AY57" s="94">
        <f t="shared" si="17"/>
        <v>1004.98</v>
      </c>
      <c r="AZ57" s="94">
        <f t="shared" si="18"/>
        <v>1004.98</v>
      </c>
      <c r="BA57" s="94">
        <f t="shared" si="19"/>
        <v>1004.98</v>
      </c>
      <c r="BB57" s="94">
        <f t="shared" si="20"/>
        <v>1004.98</v>
      </c>
    </row>
    <row r="58" spans="1:54" x14ac:dyDescent="0.25">
      <c r="A58" s="80"/>
      <c r="B58" s="95" t="s">
        <v>2417</v>
      </c>
      <c r="C58" s="201" t="s">
        <v>2837</v>
      </c>
      <c r="D58" s="80" t="s">
        <v>783</v>
      </c>
      <c r="E58" s="94" t="str">
        <f>IFERROR(VLOOKUP(A58,Estimate!A:Q,17,FALSE)," ")</f>
        <v xml:space="preserve"> </v>
      </c>
      <c r="F58" s="202" t="s">
        <v>781</v>
      </c>
      <c r="G58" s="202" t="s">
        <v>781</v>
      </c>
      <c r="H58" s="203" t="s">
        <v>781</v>
      </c>
      <c r="I58" s="203" t="s">
        <v>781</v>
      </c>
      <c r="J58" s="203" t="s">
        <v>781</v>
      </c>
      <c r="K58" s="203"/>
      <c r="L58" s="202" t="s">
        <v>781</v>
      </c>
      <c r="M58" s="204" t="str">
        <f t="shared" si="3"/>
        <v xml:space="preserve"> </v>
      </c>
      <c r="N58" s="95" t="s">
        <v>781</v>
      </c>
      <c r="O58" s="204" t="str">
        <f t="shared" si="3"/>
        <v xml:space="preserve"> </v>
      </c>
      <c r="P58" s="95" t="s">
        <v>781</v>
      </c>
      <c r="Q58" s="204" t="str">
        <f t="shared" ref="Q58:S58" si="310">IFERROR(P58/$G58," ")</f>
        <v xml:space="preserve"> </v>
      </c>
      <c r="R58" s="95" t="s">
        <v>781</v>
      </c>
      <c r="S58" s="204" t="str">
        <f t="shared" si="310"/>
        <v xml:space="preserve"> </v>
      </c>
      <c r="T58" s="95" t="s">
        <v>781</v>
      </c>
      <c r="U58" s="204" t="str">
        <f t="shared" ref="U58:W58" si="311">IFERROR(T58/$G58," ")</f>
        <v xml:space="preserve"> </v>
      </c>
      <c r="V58" s="95" t="s">
        <v>781</v>
      </c>
      <c r="W58" s="204" t="str">
        <f t="shared" si="311"/>
        <v xml:space="preserve"> </v>
      </c>
      <c r="X58" s="95" t="s">
        <v>781</v>
      </c>
      <c r="Y58" s="204" t="str">
        <f t="shared" ref="Y58:AA58" si="312">IFERROR(X58/$G58," ")</f>
        <v xml:space="preserve"> </v>
      </c>
      <c r="Z58" s="95" t="s">
        <v>781</v>
      </c>
      <c r="AA58" s="204" t="str">
        <f t="shared" si="312"/>
        <v xml:space="preserve"> </v>
      </c>
      <c r="AB58" s="95" t="s">
        <v>781</v>
      </c>
      <c r="AC58" s="204" t="str">
        <f t="shared" ref="AC58:AE58" si="313">IFERROR(AB58/$G58," ")</f>
        <v xml:space="preserve"> </v>
      </c>
      <c r="AD58" s="95" t="s">
        <v>781</v>
      </c>
      <c r="AE58" s="204" t="str">
        <f t="shared" si="313"/>
        <v xml:space="preserve"> </v>
      </c>
      <c r="AF58" s="95" t="s">
        <v>781</v>
      </c>
      <c r="AG58" s="204" t="str">
        <f t="shared" ref="AG58:AI58" si="314">IFERROR(AF58/$G58," ")</f>
        <v xml:space="preserve"> </v>
      </c>
      <c r="AH58" s="95" t="s">
        <v>781</v>
      </c>
      <c r="AI58" s="204" t="str">
        <f t="shared" si="314"/>
        <v xml:space="preserve"> </v>
      </c>
      <c r="AJ58" s="95" t="s">
        <v>781</v>
      </c>
      <c r="AK58" s="204" t="str">
        <f t="shared" ref="AK58:AM58" si="315">IFERROR(AJ58/$G58," ")</f>
        <v xml:space="preserve"> </v>
      </c>
      <c r="AL58" s="95" t="s">
        <v>781</v>
      </c>
      <c r="AM58" s="204" t="str">
        <f t="shared" si="315"/>
        <v xml:space="preserve"> </v>
      </c>
      <c r="AN58" s="95"/>
      <c r="AO58" s="94" t="str">
        <f t="shared" si="10"/>
        <v xml:space="preserve"> </v>
      </c>
      <c r="AP58" s="94" t="str">
        <f t="shared" si="0"/>
        <v xml:space="preserve"> </v>
      </c>
      <c r="AQ58" s="94" t="str">
        <f t="shared" si="1"/>
        <v xml:space="preserve"> </v>
      </c>
      <c r="AR58" s="94" t="str">
        <f t="shared" si="207"/>
        <v xml:space="preserve"> </v>
      </c>
      <c r="AS58" s="94" t="str">
        <f t="shared" si="11"/>
        <v xml:space="preserve"> </v>
      </c>
      <c r="AT58" s="94" t="str">
        <f t="shared" si="12"/>
        <v xml:space="preserve"> </v>
      </c>
      <c r="AU58" s="94" t="str">
        <f t="shared" si="13"/>
        <v xml:space="preserve"> </v>
      </c>
      <c r="AV58" s="94" t="str">
        <f t="shared" si="14"/>
        <v xml:space="preserve"> </v>
      </c>
      <c r="AW58" s="94" t="str">
        <f t="shared" si="15"/>
        <v xml:space="preserve"> </v>
      </c>
      <c r="AX58" s="94" t="str">
        <f t="shared" si="16"/>
        <v xml:space="preserve"> </v>
      </c>
      <c r="AY58" s="94" t="str">
        <f t="shared" si="17"/>
        <v xml:space="preserve"> </v>
      </c>
      <c r="AZ58" s="94" t="str">
        <f t="shared" si="18"/>
        <v xml:space="preserve"> </v>
      </c>
      <c r="BA58" s="94" t="str">
        <f t="shared" si="19"/>
        <v xml:space="preserve"> </v>
      </c>
      <c r="BB58" s="94" t="str">
        <f t="shared" si="20"/>
        <v xml:space="preserve"> </v>
      </c>
    </row>
    <row r="59" spans="1:54" x14ac:dyDescent="0.25">
      <c r="A59" s="80"/>
      <c r="B59" s="205" t="s">
        <v>2417</v>
      </c>
      <c r="C59" s="206" t="s">
        <v>1916</v>
      </c>
      <c r="D59" s="207" t="s">
        <v>783</v>
      </c>
      <c r="E59" s="94" t="str">
        <f>IFERROR(VLOOKUP(A59,Estimate!A:Q,17,FALSE)," ")</f>
        <v xml:space="preserve"> </v>
      </c>
      <c r="F59" s="208" t="s">
        <v>781</v>
      </c>
      <c r="G59" s="208" t="s">
        <v>781</v>
      </c>
      <c r="H59" s="209" t="s">
        <v>781</v>
      </c>
      <c r="I59" s="209">
        <v>156366.42000000001</v>
      </c>
      <c r="J59" s="209" t="s">
        <v>781</v>
      </c>
      <c r="K59" s="209"/>
      <c r="L59" s="208" t="s">
        <v>781</v>
      </c>
      <c r="M59" s="204" t="str">
        <f t="shared" si="3"/>
        <v xml:space="preserve"> </v>
      </c>
      <c r="N59" s="95" t="s">
        <v>781</v>
      </c>
      <c r="O59" s="204" t="str">
        <f t="shared" si="3"/>
        <v xml:space="preserve"> </v>
      </c>
      <c r="P59" s="95" t="s">
        <v>781</v>
      </c>
      <c r="Q59" s="204" t="str">
        <f t="shared" ref="Q59:S59" si="316">IFERROR(P59/$G59," ")</f>
        <v xml:space="preserve"> </v>
      </c>
      <c r="R59" s="95" t="s">
        <v>781</v>
      </c>
      <c r="S59" s="204" t="str">
        <f t="shared" si="316"/>
        <v xml:space="preserve"> </v>
      </c>
      <c r="T59" s="95" t="s">
        <v>781</v>
      </c>
      <c r="U59" s="204" t="str">
        <f t="shared" ref="U59:W59" si="317">IFERROR(T59/$G59," ")</f>
        <v xml:space="preserve"> </v>
      </c>
      <c r="V59" s="95" t="s">
        <v>781</v>
      </c>
      <c r="W59" s="204" t="str">
        <f t="shared" si="317"/>
        <v xml:space="preserve"> </v>
      </c>
      <c r="X59" s="95" t="s">
        <v>781</v>
      </c>
      <c r="Y59" s="204" t="str">
        <f t="shared" ref="Y59:AA59" si="318">IFERROR(X59/$G59," ")</f>
        <v xml:space="preserve"> </v>
      </c>
      <c r="Z59" s="95" t="s">
        <v>781</v>
      </c>
      <c r="AA59" s="204" t="str">
        <f t="shared" si="318"/>
        <v xml:space="preserve"> </v>
      </c>
      <c r="AB59" s="95" t="s">
        <v>781</v>
      </c>
      <c r="AC59" s="204" t="str">
        <f t="shared" ref="AC59:AE59" si="319">IFERROR(AB59/$G59," ")</f>
        <v xml:space="preserve"> </v>
      </c>
      <c r="AD59" s="95" t="s">
        <v>781</v>
      </c>
      <c r="AE59" s="204" t="str">
        <f t="shared" si="319"/>
        <v xml:space="preserve"> </v>
      </c>
      <c r="AF59" s="95" t="s">
        <v>781</v>
      </c>
      <c r="AG59" s="204" t="str">
        <f t="shared" ref="AG59:AI59" si="320">IFERROR(AF59/$G59," ")</f>
        <v xml:space="preserve"> </v>
      </c>
      <c r="AH59" s="95" t="s">
        <v>781</v>
      </c>
      <c r="AI59" s="204" t="str">
        <f t="shared" si="320"/>
        <v xml:space="preserve"> </v>
      </c>
      <c r="AJ59" s="95" t="s">
        <v>781</v>
      </c>
      <c r="AK59" s="204" t="str">
        <f t="shared" ref="AK59:AM59" si="321">IFERROR(AJ59/$G59," ")</f>
        <v xml:space="preserve"> </v>
      </c>
      <c r="AL59" s="95" t="s">
        <v>781</v>
      </c>
      <c r="AM59" s="204" t="str">
        <f t="shared" si="321"/>
        <v xml:space="preserve"> </v>
      </c>
      <c r="AN59" s="95"/>
      <c r="AO59" s="94" t="str">
        <f t="shared" si="10"/>
        <v xml:space="preserve"> </v>
      </c>
      <c r="AP59" s="94" t="str">
        <f t="shared" si="0"/>
        <v xml:space="preserve"> </v>
      </c>
      <c r="AQ59" s="94" t="str">
        <f t="shared" si="1"/>
        <v xml:space="preserve"> </v>
      </c>
      <c r="AR59" s="94" t="str">
        <f t="shared" si="207"/>
        <v xml:space="preserve"> </v>
      </c>
      <c r="AS59" s="94" t="str">
        <f t="shared" si="11"/>
        <v xml:space="preserve"> </v>
      </c>
      <c r="AT59" s="94" t="str">
        <f t="shared" si="12"/>
        <v xml:space="preserve"> </v>
      </c>
      <c r="AU59" s="94" t="str">
        <f t="shared" si="13"/>
        <v xml:space="preserve"> </v>
      </c>
      <c r="AV59" s="94" t="str">
        <f t="shared" si="14"/>
        <v xml:space="preserve"> </v>
      </c>
      <c r="AW59" s="94" t="str">
        <f t="shared" si="15"/>
        <v xml:space="preserve"> </v>
      </c>
      <c r="AX59" s="94" t="str">
        <f t="shared" si="16"/>
        <v xml:space="preserve"> </v>
      </c>
      <c r="AY59" s="94" t="str">
        <f t="shared" si="17"/>
        <v xml:space="preserve"> </v>
      </c>
      <c r="AZ59" s="94" t="str">
        <f t="shared" si="18"/>
        <v xml:space="preserve"> </v>
      </c>
      <c r="BA59" s="94" t="str">
        <f t="shared" si="19"/>
        <v xml:space="preserve"> </v>
      </c>
      <c r="BB59" s="94" t="str">
        <f t="shared" si="20"/>
        <v xml:space="preserve"> </v>
      </c>
    </row>
    <row r="60" spans="1:54" x14ac:dyDescent="0.25">
      <c r="A60" s="80"/>
      <c r="B60" s="95" t="s">
        <v>2417</v>
      </c>
      <c r="C60" s="201" t="s">
        <v>781</v>
      </c>
      <c r="D60" s="80" t="s">
        <v>783</v>
      </c>
      <c r="E60" s="94" t="str">
        <f>IFERROR(VLOOKUP(A60,Estimate!A:Q,17,FALSE)," ")</f>
        <v xml:space="preserve"> </v>
      </c>
      <c r="F60" s="202" t="s">
        <v>781</v>
      </c>
      <c r="G60" s="202" t="s">
        <v>781</v>
      </c>
      <c r="H60" s="203" t="s">
        <v>781</v>
      </c>
      <c r="I60" s="203" t="s">
        <v>781</v>
      </c>
      <c r="J60" s="203" t="s">
        <v>781</v>
      </c>
      <c r="K60" s="203"/>
      <c r="L60" s="202" t="s">
        <v>781</v>
      </c>
      <c r="M60" s="204" t="str">
        <f t="shared" si="3"/>
        <v xml:space="preserve"> </v>
      </c>
      <c r="N60" s="95" t="s">
        <v>781</v>
      </c>
      <c r="O60" s="204" t="str">
        <f t="shared" si="3"/>
        <v xml:space="preserve"> </v>
      </c>
      <c r="P60" s="95" t="s">
        <v>781</v>
      </c>
      <c r="Q60" s="204" t="str">
        <f t="shared" ref="Q60:S60" si="322">IFERROR(P60/$G60," ")</f>
        <v xml:space="preserve"> </v>
      </c>
      <c r="R60" s="95" t="s">
        <v>781</v>
      </c>
      <c r="S60" s="204" t="str">
        <f t="shared" si="322"/>
        <v xml:space="preserve"> </v>
      </c>
      <c r="T60" s="95" t="s">
        <v>781</v>
      </c>
      <c r="U60" s="204" t="str">
        <f t="shared" ref="U60:W60" si="323">IFERROR(T60/$G60," ")</f>
        <v xml:space="preserve"> </v>
      </c>
      <c r="V60" s="95" t="s">
        <v>781</v>
      </c>
      <c r="W60" s="204" t="str">
        <f t="shared" si="323"/>
        <v xml:space="preserve"> </v>
      </c>
      <c r="X60" s="95" t="s">
        <v>781</v>
      </c>
      <c r="Y60" s="204" t="str">
        <f t="shared" ref="Y60:AA60" si="324">IFERROR(X60/$G60," ")</f>
        <v xml:space="preserve"> </v>
      </c>
      <c r="Z60" s="95" t="s">
        <v>781</v>
      </c>
      <c r="AA60" s="204" t="str">
        <f t="shared" si="324"/>
        <v xml:space="preserve"> </v>
      </c>
      <c r="AB60" s="95" t="s">
        <v>781</v>
      </c>
      <c r="AC60" s="204" t="str">
        <f t="shared" ref="AC60:AE60" si="325">IFERROR(AB60/$G60," ")</f>
        <v xml:space="preserve"> </v>
      </c>
      <c r="AD60" s="95" t="s">
        <v>781</v>
      </c>
      <c r="AE60" s="204" t="str">
        <f t="shared" si="325"/>
        <v xml:space="preserve"> </v>
      </c>
      <c r="AF60" s="95" t="s">
        <v>781</v>
      </c>
      <c r="AG60" s="204" t="str">
        <f t="shared" ref="AG60:AI60" si="326">IFERROR(AF60/$G60," ")</f>
        <v xml:space="preserve"> </v>
      </c>
      <c r="AH60" s="95" t="s">
        <v>781</v>
      </c>
      <c r="AI60" s="204" t="str">
        <f t="shared" si="326"/>
        <v xml:space="preserve"> </v>
      </c>
      <c r="AJ60" s="95" t="s">
        <v>781</v>
      </c>
      <c r="AK60" s="204" t="str">
        <f t="shared" ref="AK60:AM60" si="327">IFERROR(AJ60/$G60," ")</f>
        <v xml:space="preserve"> </v>
      </c>
      <c r="AL60" s="95" t="s">
        <v>781</v>
      </c>
      <c r="AM60" s="204" t="str">
        <f t="shared" si="327"/>
        <v xml:space="preserve"> </v>
      </c>
      <c r="AN60" s="95"/>
      <c r="AO60" s="94" t="str">
        <f t="shared" si="10"/>
        <v xml:space="preserve"> </v>
      </c>
      <c r="AP60" s="94" t="str">
        <f t="shared" si="0"/>
        <v xml:space="preserve"> </v>
      </c>
      <c r="AQ60" s="94" t="str">
        <f t="shared" si="1"/>
        <v xml:space="preserve"> </v>
      </c>
      <c r="AR60" s="94" t="str">
        <f t="shared" si="207"/>
        <v xml:space="preserve"> </v>
      </c>
      <c r="AS60" s="94" t="str">
        <f t="shared" si="11"/>
        <v xml:space="preserve"> </v>
      </c>
      <c r="AT60" s="94" t="str">
        <f t="shared" si="12"/>
        <v xml:space="preserve"> </v>
      </c>
      <c r="AU60" s="94" t="str">
        <f t="shared" si="13"/>
        <v xml:space="preserve"> </v>
      </c>
      <c r="AV60" s="94" t="str">
        <f t="shared" si="14"/>
        <v xml:space="preserve"> </v>
      </c>
      <c r="AW60" s="94" t="str">
        <f t="shared" si="15"/>
        <v xml:space="preserve"> </v>
      </c>
      <c r="AX60" s="94" t="str">
        <f t="shared" si="16"/>
        <v xml:space="preserve"> </v>
      </c>
      <c r="AY60" s="94" t="str">
        <f t="shared" si="17"/>
        <v xml:space="preserve"> </v>
      </c>
      <c r="AZ60" s="94" t="str">
        <f t="shared" si="18"/>
        <v xml:space="preserve"> </v>
      </c>
      <c r="BA60" s="94" t="str">
        <f t="shared" si="19"/>
        <v xml:space="preserve"> </v>
      </c>
      <c r="BB60" s="94" t="str">
        <f t="shared" si="20"/>
        <v xml:space="preserve"> </v>
      </c>
    </row>
    <row r="61" spans="1:54" x14ac:dyDescent="0.25">
      <c r="A61" s="80"/>
      <c r="B61" s="95" t="s">
        <v>2417</v>
      </c>
      <c r="C61" s="201" t="s">
        <v>150</v>
      </c>
      <c r="D61" s="80" t="s">
        <v>783</v>
      </c>
      <c r="E61" s="94" t="str">
        <f>IFERROR(VLOOKUP(A61,Estimate!A:Q,17,FALSE)," ")</f>
        <v xml:space="preserve"> </v>
      </c>
      <c r="F61" s="202" t="s">
        <v>781</v>
      </c>
      <c r="G61" s="202" t="s">
        <v>781</v>
      </c>
      <c r="H61" s="203" t="s">
        <v>781</v>
      </c>
      <c r="I61" s="203" t="s">
        <v>781</v>
      </c>
      <c r="J61" s="203" t="s">
        <v>781</v>
      </c>
      <c r="K61" s="203"/>
      <c r="L61" s="202" t="s">
        <v>781</v>
      </c>
      <c r="M61" s="204" t="str">
        <f t="shared" si="3"/>
        <v xml:space="preserve"> </v>
      </c>
      <c r="N61" s="95" t="s">
        <v>781</v>
      </c>
      <c r="O61" s="204" t="str">
        <f t="shared" si="3"/>
        <v xml:space="preserve"> </v>
      </c>
      <c r="P61" s="95" t="s">
        <v>781</v>
      </c>
      <c r="Q61" s="204" t="str">
        <f t="shared" ref="Q61:S61" si="328">IFERROR(P61/$G61," ")</f>
        <v xml:space="preserve"> </v>
      </c>
      <c r="R61" s="95" t="s">
        <v>781</v>
      </c>
      <c r="S61" s="204" t="str">
        <f t="shared" si="328"/>
        <v xml:space="preserve"> </v>
      </c>
      <c r="T61" s="95" t="s">
        <v>781</v>
      </c>
      <c r="U61" s="204" t="str">
        <f t="shared" ref="U61:W61" si="329">IFERROR(T61/$G61," ")</f>
        <v xml:space="preserve"> </v>
      </c>
      <c r="V61" s="95" t="s">
        <v>781</v>
      </c>
      <c r="W61" s="204" t="str">
        <f t="shared" si="329"/>
        <v xml:space="preserve"> </v>
      </c>
      <c r="X61" s="95" t="s">
        <v>781</v>
      </c>
      <c r="Y61" s="204" t="str">
        <f t="shared" ref="Y61:AA61" si="330">IFERROR(X61/$G61," ")</f>
        <v xml:space="preserve"> </v>
      </c>
      <c r="Z61" s="95" t="s">
        <v>781</v>
      </c>
      <c r="AA61" s="204" t="str">
        <f t="shared" si="330"/>
        <v xml:space="preserve"> </v>
      </c>
      <c r="AB61" s="95" t="s">
        <v>781</v>
      </c>
      <c r="AC61" s="204" t="str">
        <f t="shared" ref="AC61:AE61" si="331">IFERROR(AB61/$G61," ")</f>
        <v xml:space="preserve"> </v>
      </c>
      <c r="AD61" s="95" t="s">
        <v>781</v>
      </c>
      <c r="AE61" s="204" t="str">
        <f t="shared" si="331"/>
        <v xml:space="preserve"> </v>
      </c>
      <c r="AF61" s="95" t="s">
        <v>781</v>
      </c>
      <c r="AG61" s="204" t="str">
        <f t="shared" ref="AG61:AI61" si="332">IFERROR(AF61/$G61," ")</f>
        <v xml:space="preserve"> </v>
      </c>
      <c r="AH61" s="95" t="s">
        <v>781</v>
      </c>
      <c r="AI61" s="204" t="str">
        <f t="shared" si="332"/>
        <v xml:space="preserve"> </v>
      </c>
      <c r="AJ61" s="95" t="s">
        <v>781</v>
      </c>
      <c r="AK61" s="204" t="str">
        <f t="shared" ref="AK61:AM61" si="333">IFERROR(AJ61/$G61," ")</f>
        <v xml:space="preserve"> </v>
      </c>
      <c r="AL61" s="95" t="s">
        <v>781</v>
      </c>
      <c r="AM61" s="204" t="str">
        <f t="shared" si="333"/>
        <v xml:space="preserve"> </v>
      </c>
      <c r="AN61" s="95"/>
      <c r="AO61" s="94" t="str">
        <f t="shared" si="10"/>
        <v xml:space="preserve"> </v>
      </c>
      <c r="AP61" s="94" t="str">
        <f t="shared" si="0"/>
        <v xml:space="preserve"> </v>
      </c>
      <c r="AQ61" s="94" t="str">
        <f t="shared" si="1"/>
        <v xml:space="preserve"> </v>
      </c>
      <c r="AR61" s="94" t="str">
        <f t="shared" si="207"/>
        <v xml:space="preserve"> </v>
      </c>
      <c r="AS61" s="94" t="str">
        <f t="shared" si="11"/>
        <v xml:space="preserve"> </v>
      </c>
      <c r="AT61" s="94" t="str">
        <f t="shared" si="12"/>
        <v xml:space="preserve"> </v>
      </c>
      <c r="AU61" s="94" t="str">
        <f t="shared" si="13"/>
        <v xml:space="preserve"> </v>
      </c>
      <c r="AV61" s="94" t="str">
        <f t="shared" si="14"/>
        <v xml:space="preserve"> </v>
      </c>
      <c r="AW61" s="94" t="str">
        <f t="shared" si="15"/>
        <v xml:space="preserve"> </v>
      </c>
      <c r="AX61" s="94" t="str">
        <f t="shared" si="16"/>
        <v xml:space="preserve"> </v>
      </c>
      <c r="AY61" s="94" t="str">
        <f t="shared" si="17"/>
        <v xml:space="preserve"> </v>
      </c>
      <c r="AZ61" s="94" t="str">
        <f t="shared" si="18"/>
        <v xml:space="preserve"> </v>
      </c>
      <c r="BA61" s="94" t="str">
        <f t="shared" si="19"/>
        <v xml:space="preserve"> </v>
      </c>
      <c r="BB61" s="94" t="str">
        <f t="shared" si="20"/>
        <v xml:space="preserve"> </v>
      </c>
    </row>
    <row r="62" spans="1:54" x14ac:dyDescent="0.25">
      <c r="A62" s="80"/>
      <c r="B62" s="95" t="s">
        <v>2417</v>
      </c>
      <c r="C62" s="201" t="s">
        <v>781</v>
      </c>
      <c r="D62" s="80" t="s">
        <v>783</v>
      </c>
      <c r="E62" s="94" t="str">
        <f>IFERROR(VLOOKUP(A62,Estimate!A:Q,17,FALSE)," ")</f>
        <v xml:space="preserve"> </v>
      </c>
      <c r="F62" s="202" t="s">
        <v>781</v>
      </c>
      <c r="G62" s="202" t="s">
        <v>781</v>
      </c>
      <c r="H62" s="203" t="s">
        <v>781</v>
      </c>
      <c r="I62" s="203" t="s">
        <v>781</v>
      </c>
      <c r="J62" s="203" t="s">
        <v>781</v>
      </c>
      <c r="K62" s="203"/>
      <c r="L62" s="202" t="s">
        <v>781</v>
      </c>
      <c r="M62" s="204" t="str">
        <f t="shared" si="3"/>
        <v xml:space="preserve"> </v>
      </c>
      <c r="N62" s="95" t="s">
        <v>781</v>
      </c>
      <c r="O62" s="204" t="str">
        <f t="shared" si="3"/>
        <v xml:space="preserve"> </v>
      </c>
      <c r="P62" s="95" t="s">
        <v>781</v>
      </c>
      <c r="Q62" s="204" t="str">
        <f t="shared" ref="Q62:S62" si="334">IFERROR(P62/$G62," ")</f>
        <v xml:space="preserve"> </v>
      </c>
      <c r="R62" s="95" t="s">
        <v>781</v>
      </c>
      <c r="S62" s="204" t="str">
        <f t="shared" si="334"/>
        <v xml:space="preserve"> </v>
      </c>
      <c r="T62" s="95" t="s">
        <v>781</v>
      </c>
      <c r="U62" s="204" t="str">
        <f t="shared" ref="U62:W62" si="335">IFERROR(T62/$G62," ")</f>
        <v xml:space="preserve"> </v>
      </c>
      <c r="V62" s="95" t="s">
        <v>781</v>
      </c>
      <c r="W62" s="204" t="str">
        <f t="shared" si="335"/>
        <v xml:space="preserve"> </v>
      </c>
      <c r="X62" s="95" t="s">
        <v>781</v>
      </c>
      <c r="Y62" s="204" t="str">
        <f t="shared" ref="Y62:AA62" si="336">IFERROR(X62/$G62," ")</f>
        <v xml:space="preserve"> </v>
      </c>
      <c r="Z62" s="95" t="s">
        <v>781</v>
      </c>
      <c r="AA62" s="204" t="str">
        <f t="shared" si="336"/>
        <v xml:space="preserve"> </v>
      </c>
      <c r="AB62" s="95" t="s">
        <v>781</v>
      </c>
      <c r="AC62" s="204" t="str">
        <f t="shared" ref="AC62:AE62" si="337">IFERROR(AB62/$G62," ")</f>
        <v xml:space="preserve"> </v>
      </c>
      <c r="AD62" s="95" t="s">
        <v>781</v>
      </c>
      <c r="AE62" s="204" t="str">
        <f t="shared" si="337"/>
        <v xml:space="preserve"> </v>
      </c>
      <c r="AF62" s="95" t="s">
        <v>781</v>
      </c>
      <c r="AG62" s="204" t="str">
        <f t="shared" ref="AG62:AI62" si="338">IFERROR(AF62/$G62," ")</f>
        <v xml:space="preserve"> </v>
      </c>
      <c r="AH62" s="95" t="s">
        <v>781</v>
      </c>
      <c r="AI62" s="204" t="str">
        <f t="shared" si="338"/>
        <v xml:space="preserve"> </v>
      </c>
      <c r="AJ62" s="95" t="s">
        <v>781</v>
      </c>
      <c r="AK62" s="204" t="str">
        <f t="shared" ref="AK62:AM62" si="339">IFERROR(AJ62/$G62," ")</f>
        <v xml:space="preserve"> </v>
      </c>
      <c r="AL62" s="95" t="s">
        <v>781</v>
      </c>
      <c r="AM62" s="204" t="str">
        <f t="shared" si="339"/>
        <v xml:space="preserve"> </v>
      </c>
      <c r="AN62" s="95"/>
      <c r="AO62" s="94" t="str">
        <f t="shared" si="10"/>
        <v xml:space="preserve"> </v>
      </c>
      <c r="AP62" s="94" t="str">
        <f t="shared" si="0"/>
        <v xml:space="preserve"> </v>
      </c>
      <c r="AQ62" s="94" t="str">
        <f t="shared" si="1"/>
        <v xml:space="preserve"> </v>
      </c>
      <c r="AR62" s="94" t="str">
        <f t="shared" si="207"/>
        <v xml:space="preserve"> </v>
      </c>
      <c r="AS62" s="94" t="str">
        <f t="shared" si="11"/>
        <v xml:space="preserve"> </v>
      </c>
      <c r="AT62" s="94" t="str">
        <f t="shared" si="12"/>
        <v xml:space="preserve"> </v>
      </c>
      <c r="AU62" s="94" t="str">
        <f t="shared" si="13"/>
        <v xml:space="preserve"> </v>
      </c>
      <c r="AV62" s="94" t="str">
        <f t="shared" si="14"/>
        <v xml:space="preserve"> </v>
      </c>
      <c r="AW62" s="94" t="str">
        <f t="shared" si="15"/>
        <v xml:space="preserve"> </v>
      </c>
      <c r="AX62" s="94" t="str">
        <f t="shared" si="16"/>
        <v xml:space="preserve"> </v>
      </c>
      <c r="AY62" s="94" t="str">
        <f t="shared" si="17"/>
        <v xml:space="preserve"> </v>
      </c>
      <c r="AZ62" s="94" t="str">
        <f t="shared" si="18"/>
        <v xml:space="preserve"> </v>
      </c>
      <c r="BA62" s="94" t="str">
        <f t="shared" si="19"/>
        <v xml:space="preserve"> </v>
      </c>
      <c r="BB62" s="94" t="str">
        <f t="shared" si="20"/>
        <v xml:space="preserve"> </v>
      </c>
    </row>
    <row r="63" spans="1:54" x14ac:dyDescent="0.25">
      <c r="A63" s="80"/>
      <c r="B63" s="95" t="s">
        <v>2417</v>
      </c>
      <c r="C63" s="201" t="s">
        <v>17</v>
      </c>
      <c r="D63" s="80" t="s">
        <v>783</v>
      </c>
      <c r="E63" s="94" t="str">
        <f>IFERROR(VLOOKUP(A63,Estimate!A:Q,17,FALSE)," ")</f>
        <v xml:space="preserve"> </v>
      </c>
      <c r="F63" s="202" t="s">
        <v>781</v>
      </c>
      <c r="G63" s="202" t="s">
        <v>781</v>
      </c>
      <c r="H63" s="203" t="s">
        <v>781</v>
      </c>
      <c r="I63" s="203" t="s">
        <v>781</v>
      </c>
      <c r="J63" s="203" t="s">
        <v>781</v>
      </c>
      <c r="K63" s="203"/>
      <c r="L63" s="202" t="s">
        <v>781</v>
      </c>
      <c r="M63" s="204" t="str">
        <f t="shared" si="3"/>
        <v xml:space="preserve"> </v>
      </c>
      <c r="N63" s="95" t="s">
        <v>781</v>
      </c>
      <c r="O63" s="204" t="str">
        <f t="shared" si="3"/>
        <v xml:space="preserve"> </v>
      </c>
      <c r="P63" s="95" t="s">
        <v>781</v>
      </c>
      <c r="Q63" s="204" t="str">
        <f t="shared" ref="Q63:S63" si="340">IFERROR(P63/$G63," ")</f>
        <v xml:space="preserve"> </v>
      </c>
      <c r="R63" s="95" t="s">
        <v>781</v>
      </c>
      <c r="S63" s="204" t="str">
        <f t="shared" si="340"/>
        <v xml:space="preserve"> </v>
      </c>
      <c r="T63" s="95" t="s">
        <v>781</v>
      </c>
      <c r="U63" s="204" t="str">
        <f t="shared" ref="U63:W63" si="341">IFERROR(T63/$G63," ")</f>
        <v xml:space="preserve"> </v>
      </c>
      <c r="V63" s="95" t="s">
        <v>781</v>
      </c>
      <c r="W63" s="204" t="str">
        <f t="shared" si="341"/>
        <v xml:space="preserve"> </v>
      </c>
      <c r="X63" s="95" t="s">
        <v>781</v>
      </c>
      <c r="Y63" s="204" t="str">
        <f t="shared" ref="Y63:AA63" si="342">IFERROR(X63/$G63," ")</f>
        <v xml:space="preserve"> </v>
      </c>
      <c r="Z63" s="95" t="s">
        <v>781</v>
      </c>
      <c r="AA63" s="204" t="str">
        <f t="shared" si="342"/>
        <v xml:space="preserve"> </v>
      </c>
      <c r="AB63" s="95" t="s">
        <v>781</v>
      </c>
      <c r="AC63" s="204" t="str">
        <f t="shared" ref="AC63:AE63" si="343">IFERROR(AB63/$G63," ")</f>
        <v xml:space="preserve"> </v>
      </c>
      <c r="AD63" s="95" t="s">
        <v>781</v>
      </c>
      <c r="AE63" s="204" t="str">
        <f t="shared" si="343"/>
        <v xml:space="preserve"> </v>
      </c>
      <c r="AF63" s="95" t="s">
        <v>781</v>
      </c>
      <c r="AG63" s="204" t="str">
        <f t="shared" ref="AG63:AI63" si="344">IFERROR(AF63/$G63," ")</f>
        <v xml:space="preserve"> </v>
      </c>
      <c r="AH63" s="95" t="s">
        <v>781</v>
      </c>
      <c r="AI63" s="204" t="str">
        <f t="shared" si="344"/>
        <v xml:space="preserve"> </v>
      </c>
      <c r="AJ63" s="95" t="s">
        <v>781</v>
      </c>
      <c r="AK63" s="204" t="str">
        <f t="shared" ref="AK63:AM63" si="345">IFERROR(AJ63/$G63," ")</f>
        <v xml:space="preserve"> </v>
      </c>
      <c r="AL63" s="95" t="s">
        <v>781</v>
      </c>
      <c r="AM63" s="204" t="str">
        <f t="shared" si="345"/>
        <v xml:space="preserve"> </v>
      </c>
      <c r="AN63" s="95"/>
      <c r="AO63" s="94" t="str">
        <f t="shared" si="10"/>
        <v xml:space="preserve"> </v>
      </c>
      <c r="AP63" s="94" t="str">
        <f t="shared" si="0"/>
        <v xml:space="preserve"> </v>
      </c>
      <c r="AQ63" s="94" t="str">
        <f t="shared" si="1"/>
        <v xml:space="preserve"> </v>
      </c>
      <c r="AR63" s="94" t="str">
        <f t="shared" si="207"/>
        <v xml:space="preserve"> </v>
      </c>
      <c r="AS63" s="94" t="str">
        <f t="shared" si="11"/>
        <v xml:space="preserve"> </v>
      </c>
      <c r="AT63" s="94" t="str">
        <f t="shared" si="12"/>
        <v xml:space="preserve"> </v>
      </c>
      <c r="AU63" s="94" t="str">
        <f t="shared" si="13"/>
        <v xml:space="preserve"> </v>
      </c>
      <c r="AV63" s="94" t="str">
        <f t="shared" si="14"/>
        <v xml:space="preserve"> </v>
      </c>
      <c r="AW63" s="94" t="str">
        <f t="shared" si="15"/>
        <v xml:space="preserve"> </v>
      </c>
      <c r="AX63" s="94" t="str">
        <f t="shared" si="16"/>
        <v xml:space="preserve"> </v>
      </c>
      <c r="AY63" s="94" t="str">
        <f t="shared" si="17"/>
        <v xml:space="preserve"> </v>
      </c>
      <c r="AZ63" s="94" t="str">
        <f t="shared" si="18"/>
        <v xml:space="preserve"> </v>
      </c>
      <c r="BA63" s="94" t="str">
        <f t="shared" si="19"/>
        <v xml:space="preserve"> </v>
      </c>
      <c r="BB63" s="94" t="str">
        <f t="shared" si="20"/>
        <v xml:space="preserve"> </v>
      </c>
    </row>
    <row r="64" spans="1:54" x14ac:dyDescent="0.25">
      <c r="A64" s="80"/>
      <c r="B64" s="95" t="s">
        <v>2835</v>
      </c>
      <c r="C64" s="201" t="s">
        <v>25</v>
      </c>
      <c r="D64" s="80" t="s">
        <v>783</v>
      </c>
      <c r="E64" s="94" t="str">
        <f>IFERROR(VLOOKUP(A64,Estimate!A:Q,17,FALSE)," ")</f>
        <v xml:space="preserve"> </v>
      </c>
      <c r="F64" s="202" t="s">
        <v>781</v>
      </c>
      <c r="G64" s="202" t="s">
        <v>781</v>
      </c>
      <c r="H64" s="203" t="s">
        <v>781</v>
      </c>
      <c r="I64" s="203" t="s">
        <v>781</v>
      </c>
      <c r="J64" s="203" t="s">
        <v>781</v>
      </c>
      <c r="K64" s="203"/>
      <c r="L64" s="202" t="s">
        <v>781</v>
      </c>
      <c r="M64" s="204" t="str">
        <f t="shared" si="3"/>
        <v xml:space="preserve"> </v>
      </c>
      <c r="N64" s="95" t="s">
        <v>781</v>
      </c>
      <c r="O64" s="204" t="str">
        <f t="shared" si="3"/>
        <v xml:space="preserve"> </v>
      </c>
      <c r="P64" s="95" t="s">
        <v>781</v>
      </c>
      <c r="Q64" s="204" t="str">
        <f t="shared" ref="Q64:S64" si="346">IFERROR(P64/$G64," ")</f>
        <v xml:space="preserve"> </v>
      </c>
      <c r="R64" s="95" t="s">
        <v>781</v>
      </c>
      <c r="S64" s="204" t="str">
        <f t="shared" si="346"/>
        <v xml:space="preserve"> </v>
      </c>
      <c r="T64" s="95" t="s">
        <v>781</v>
      </c>
      <c r="U64" s="204" t="str">
        <f t="shared" ref="U64:W64" si="347">IFERROR(T64/$G64," ")</f>
        <v xml:space="preserve"> </v>
      </c>
      <c r="V64" s="95" t="s">
        <v>781</v>
      </c>
      <c r="W64" s="204" t="str">
        <f t="shared" si="347"/>
        <v xml:space="preserve"> </v>
      </c>
      <c r="X64" s="95" t="s">
        <v>781</v>
      </c>
      <c r="Y64" s="204" t="str">
        <f t="shared" ref="Y64:AA64" si="348">IFERROR(X64/$G64," ")</f>
        <v xml:space="preserve"> </v>
      </c>
      <c r="Z64" s="95" t="s">
        <v>781</v>
      </c>
      <c r="AA64" s="204" t="str">
        <f t="shared" si="348"/>
        <v xml:space="preserve"> </v>
      </c>
      <c r="AB64" s="95" t="s">
        <v>781</v>
      </c>
      <c r="AC64" s="204" t="str">
        <f t="shared" ref="AC64:AE64" si="349">IFERROR(AB64/$G64," ")</f>
        <v xml:space="preserve"> </v>
      </c>
      <c r="AD64" s="95" t="s">
        <v>781</v>
      </c>
      <c r="AE64" s="204" t="str">
        <f t="shared" si="349"/>
        <v xml:space="preserve"> </v>
      </c>
      <c r="AF64" s="95" t="s">
        <v>781</v>
      </c>
      <c r="AG64" s="204" t="str">
        <f t="shared" ref="AG64:AI64" si="350">IFERROR(AF64/$G64," ")</f>
        <v xml:space="preserve"> </v>
      </c>
      <c r="AH64" s="95" t="s">
        <v>781</v>
      </c>
      <c r="AI64" s="204" t="str">
        <f t="shared" si="350"/>
        <v xml:space="preserve"> </v>
      </c>
      <c r="AJ64" s="95" t="s">
        <v>781</v>
      </c>
      <c r="AK64" s="204" t="str">
        <f t="shared" ref="AK64:AM64" si="351">IFERROR(AJ64/$G64," ")</f>
        <v xml:space="preserve"> </v>
      </c>
      <c r="AL64" s="95" t="s">
        <v>781</v>
      </c>
      <c r="AM64" s="204" t="str">
        <f t="shared" si="351"/>
        <v xml:space="preserve"> </v>
      </c>
      <c r="AN64" s="95"/>
      <c r="AO64" s="94" t="str">
        <f t="shared" si="10"/>
        <v xml:space="preserve"> </v>
      </c>
      <c r="AP64" s="94" t="str">
        <f t="shared" si="0"/>
        <v xml:space="preserve"> </v>
      </c>
      <c r="AQ64" s="94" t="str">
        <f t="shared" si="1"/>
        <v xml:space="preserve"> </v>
      </c>
      <c r="AR64" s="94" t="str">
        <f t="shared" si="207"/>
        <v xml:space="preserve"> </v>
      </c>
      <c r="AS64" s="94" t="str">
        <f t="shared" si="11"/>
        <v xml:space="preserve"> </v>
      </c>
      <c r="AT64" s="94" t="str">
        <f t="shared" si="12"/>
        <v xml:space="preserve"> </v>
      </c>
      <c r="AU64" s="94" t="str">
        <f t="shared" si="13"/>
        <v xml:space="preserve"> </v>
      </c>
      <c r="AV64" s="94" t="str">
        <f t="shared" si="14"/>
        <v xml:space="preserve"> </v>
      </c>
      <c r="AW64" s="94" t="str">
        <f t="shared" si="15"/>
        <v xml:space="preserve"> </v>
      </c>
      <c r="AX64" s="94" t="str">
        <f t="shared" si="16"/>
        <v xml:space="preserve"> </v>
      </c>
      <c r="AY64" s="94" t="str">
        <f t="shared" si="17"/>
        <v xml:space="preserve"> </v>
      </c>
      <c r="AZ64" s="94" t="str">
        <f t="shared" si="18"/>
        <v xml:space="preserve"> </v>
      </c>
      <c r="BA64" s="94" t="str">
        <f t="shared" si="19"/>
        <v xml:space="preserve"> </v>
      </c>
      <c r="BB64" s="94" t="str">
        <f t="shared" si="20"/>
        <v xml:space="preserve"> </v>
      </c>
    </row>
    <row r="65" spans="1:54" x14ac:dyDescent="0.25">
      <c r="A65" s="80">
        <v>23</v>
      </c>
      <c r="B65" s="95" t="s">
        <v>2836</v>
      </c>
      <c r="C65" s="201" t="s">
        <v>27</v>
      </c>
      <c r="D65" s="80" t="s">
        <v>20</v>
      </c>
      <c r="E65" s="94">
        <f>IFERROR(VLOOKUP(A65,Estimate!A:Q,17,FALSE)," ")</f>
        <v>11795</v>
      </c>
      <c r="F65" s="202">
        <v>1</v>
      </c>
      <c r="G65" s="202">
        <v>1</v>
      </c>
      <c r="H65" s="203">
        <v>14817.21</v>
      </c>
      <c r="I65" s="203">
        <v>14817.21</v>
      </c>
      <c r="J65" s="203">
        <v>14817.21</v>
      </c>
      <c r="K65" s="203"/>
      <c r="L65" s="202"/>
      <c r="M65" s="204">
        <f t="shared" si="3"/>
        <v>0</v>
      </c>
      <c r="N65" s="95"/>
      <c r="O65" s="204">
        <f t="shared" si="3"/>
        <v>0</v>
      </c>
      <c r="P65" s="95"/>
      <c r="Q65" s="204">
        <f t="shared" ref="Q65:S65" si="352">IFERROR(P65/$G65," ")</f>
        <v>0</v>
      </c>
      <c r="R65" s="95"/>
      <c r="S65" s="204">
        <f t="shared" si="352"/>
        <v>0</v>
      </c>
      <c r="T65" s="95"/>
      <c r="U65" s="204">
        <f t="shared" ref="U65:W65" si="353">IFERROR(T65/$G65," ")</f>
        <v>0</v>
      </c>
      <c r="V65" s="95"/>
      <c r="W65" s="204">
        <f t="shared" si="353"/>
        <v>0</v>
      </c>
      <c r="X65" s="95"/>
      <c r="Y65" s="204">
        <f t="shared" ref="Y65:AA65" si="354">IFERROR(X65/$G65," ")</f>
        <v>0</v>
      </c>
      <c r="Z65" s="95">
        <v>0.2</v>
      </c>
      <c r="AA65" s="204">
        <f t="shared" si="354"/>
        <v>0.2</v>
      </c>
      <c r="AB65" s="95">
        <v>0.5</v>
      </c>
      <c r="AC65" s="204">
        <f t="shared" ref="AC65:AE65" si="355">IFERROR(AB65/$G65," ")</f>
        <v>0.5</v>
      </c>
      <c r="AD65" s="95">
        <v>0.8</v>
      </c>
      <c r="AE65" s="204">
        <f t="shared" si="355"/>
        <v>0.8</v>
      </c>
      <c r="AF65" s="95">
        <v>1</v>
      </c>
      <c r="AG65" s="204">
        <f t="shared" ref="AG65:AI65" si="356">IFERROR(AF65/$G65," ")</f>
        <v>1</v>
      </c>
      <c r="AH65" s="95">
        <v>1</v>
      </c>
      <c r="AI65" s="204">
        <f t="shared" si="356"/>
        <v>1</v>
      </c>
      <c r="AJ65" s="95">
        <v>1</v>
      </c>
      <c r="AK65" s="204">
        <f t="shared" ref="AK65:AM65" si="357">IFERROR(AJ65/$G65," ")</f>
        <v>1</v>
      </c>
      <c r="AL65" s="95">
        <v>1</v>
      </c>
      <c r="AM65" s="204">
        <f t="shared" si="357"/>
        <v>1</v>
      </c>
      <c r="AN65" s="95"/>
      <c r="AO65" s="94">
        <f t="shared" si="10"/>
        <v>0</v>
      </c>
      <c r="AP65" s="94">
        <f t="shared" si="0"/>
        <v>0</v>
      </c>
      <c r="AQ65" s="94">
        <f t="shared" si="1"/>
        <v>0</v>
      </c>
      <c r="AR65" s="94">
        <f t="shared" si="207"/>
        <v>0</v>
      </c>
      <c r="AS65" s="94">
        <f t="shared" si="11"/>
        <v>0</v>
      </c>
      <c r="AT65" s="94">
        <f t="shared" si="12"/>
        <v>0</v>
      </c>
      <c r="AU65" s="94">
        <f t="shared" si="13"/>
        <v>0</v>
      </c>
      <c r="AV65" s="94">
        <f t="shared" si="14"/>
        <v>2963.442</v>
      </c>
      <c r="AW65" s="94">
        <f t="shared" si="15"/>
        <v>7408.6049999999996</v>
      </c>
      <c r="AX65" s="94">
        <f t="shared" si="16"/>
        <v>11853.768</v>
      </c>
      <c r="AY65" s="94">
        <f t="shared" si="17"/>
        <v>14817.21</v>
      </c>
      <c r="AZ65" s="94">
        <f t="shared" si="18"/>
        <v>14817.21</v>
      </c>
      <c r="BA65" s="94">
        <f t="shared" si="19"/>
        <v>14817.21</v>
      </c>
      <c r="BB65" s="94">
        <f t="shared" si="20"/>
        <v>14817.21</v>
      </c>
    </row>
    <row r="66" spans="1:54" x14ac:dyDescent="0.25">
      <c r="A66" s="80"/>
      <c r="B66" s="95" t="s">
        <v>2417</v>
      </c>
      <c r="C66" s="201" t="s">
        <v>2837</v>
      </c>
      <c r="D66" s="80" t="s">
        <v>783</v>
      </c>
      <c r="E66" s="94" t="str">
        <f>IFERROR(VLOOKUP(A66,Estimate!A:Q,17,FALSE)," ")</f>
        <v xml:space="preserve"> </v>
      </c>
      <c r="F66" s="202" t="s">
        <v>781</v>
      </c>
      <c r="G66" s="202" t="s">
        <v>781</v>
      </c>
      <c r="H66" s="203" t="s">
        <v>781</v>
      </c>
      <c r="I66" s="203" t="s">
        <v>781</v>
      </c>
      <c r="J66" s="203" t="s">
        <v>781</v>
      </c>
      <c r="K66" s="203"/>
      <c r="L66" s="202" t="s">
        <v>781</v>
      </c>
      <c r="M66" s="204" t="str">
        <f t="shared" si="3"/>
        <v xml:space="preserve"> </v>
      </c>
      <c r="N66" s="95" t="s">
        <v>781</v>
      </c>
      <c r="O66" s="204" t="str">
        <f t="shared" si="3"/>
        <v xml:space="preserve"> </v>
      </c>
      <c r="P66" s="95" t="s">
        <v>781</v>
      </c>
      <c r="Q66" s="204" t="str">
        <f t="shared" ref="Q66:S66" si="358">IFERROR(P66/$G66," ")</f>
        <v xml:space="preserve"> </v>
      </c>
      <c r="R66" s="95" t="s">
        <v>781</v>
      </c>
      <c r="S66" s="204" t="str">
        <f t="shared" si="358"/>
        <v xml:space="preserve"> </v>
      </c>
      <c r="T66" s="95" t="s">
        <v>781</v>
      </c>
      <c r="U66" s="204" t="str">
        <f t="shared" ref="U66:W66" si="359">IFERROR(T66/$G66," ")</f>
        <v xml:space="preserve"> </v>
      </c>
      <c r="V66" s="95" t="s">
        <v>781</v>
      </c>
      <c r="W66" s="204" t="str">
        <f t="shared" si="359"/>
        <v xml:space="preserve"> </v>
      </c>
      <c r="X66" s="95" t="s">
        <v>781</v>
      </c>
      <c r="Y66" s="204" t="str">
        <f t="shared" ref="Y66:AA66" si="360">IFERROR(X66/$G66," ")</f>
        <v xml:space="preserve"> </v>
      </c>
      <c r="Z66" s="95" t="s">
        <v>781</v>
      </c>
      <c r="AA66" s="204" t="str">
        <f t="shared" si="360"/>
        <v xml:space="preserve"> </v>
      </c>
      <c r="AB66" s="95" t="s">
        <v>781</v>
      </c>
      <c r="AC66" s="204" t="str">
        <f t="shared" ref="AC66:AE66" si="361">IFERROR(AB66/$G66," ")</f>
        <v xml:space="preserve"> </v>
      </c>
      <c r="AD66" s="95" t="s">
        <v>781</v>
      </c>
      <c r="AE66" s="204" t="str">
        <f t="shared" si="361"/>
        <v xml:space="preserve"> </v>
      </c>
      <c r="AF66" s="95" t="s">
        <v>781</v>
      </c>
      <c r="AG66" s="204" t="str">
        <f t="shared" ref="AG66:AI66" si="362">IFERROR(AF66/$G66," ")</f>
        <v xml:space="preserve"> </v>
      </c>
      <c r="AH66" s="95" t="s">
        <v>781</v>
      </c>
      <c r="AI66" s="204" t="str">
        <f t="shared" si="362"/>
        <v xml:space="preserve"> </v>
      </c>
      <c r="AJ66" s="95" t="s">
        <v>781</v>
      </c>
      <c r="AK66" s="204" t="str">
        <f t="shared" ref="AK66:AM66" si="363">IFERROR(AJ66/$G66," ")</f>
        <v xml:space="preserve"> </v>
      </c>
      <c r="AL66" s="95" t="s">
        <v>781</v>
      </c>
      <c r="AM66" s="204" t="str">
        <f t="shared" si="363"/>
        <v xml:space="preserve"> </v>
      </c>
      <c r="AN66" s="95"/>
      <c r="AO66" s="94" t="str">
        <f t="shared" si="10"/>
        <v xml:space="preserve"> </v>
      </c>
      <c r="AP66" s="94" t="str">
        <f t="shared" si="0"/>
        <v xml:space="preserve"> </v>
      </c>
      <c r="AQ66" s="94" t="str">
        <f t="shared" si="1"/>
        <v xml:space="preserve"> </v>
      </c>
      <c r="AR66" s="94" t="str">
        <f t="shared" si="207"/>
        <v xml:space="preserve"> </v>
      </c>
      <c r="AS66" s="94" t="str">
        <f t="shared" si="11"/>
        <v xml:space="preserve"> </v>
      </c>
      <c r="AT66" s="94" t="str">
        <f t="shared" si="12"/>
        <v xml:space="preserve"> </v>
      </c>
      <c r="AU66" s="94" t="str">
        <f t="shared" si="13"/>
        <v xml:space="preserve"> </v>
      </c>
      <c r="AV66" s="94" t="str">
        <f t="shared" si="14"/>
        <v xml:space="preserve"> </v>
      </c>
      <c r="AW66" s="94" t="str">
        <f t="shared" si="15"/>
        <v xml:space="preserve"> </v>
      </c>
      <c r="AX66" s="94" t="str">
        <f t="shared" si="16"/>
        <v xml:space="preserve"> </v>
      </c>
      <c r="AY66" s="94" t="str">
        <f t="shared" si="17"/>
        <v xml:space="preserve"> </v>
      </c>
      <c r="AZ66" s="94" t="str">
        <f t="shared" si="18"/>
        <v xml:space="preserve"> </v>
      </c>
      <c r="BA66" s="94" t="str">
        <f t="shared" si="19"/>
        <v xml:space="preserve"> </v>
      </c>
      <c r="BB66" s="94" t="str">
        <f t="shared" si="20"/>
        <v xml:space="preserve"> </v>
      </c>
    </row>
    <row r="67" spans="1:54" x14ac:dyDescent="0.25">
      <c r="A67" s="80"/>
      <c r="B67" s="95" t="s">
        <v>2417</v>
      </c>
      <c r="C67" s="201" t="s">
        <v>35</v>
      </c>
      <c r="D67" s="80" t="s">
        <v>783</v>
      </c>
      <c r="E67" s="94" t="str">
        <f>IFERROR(VLOOKUP(A67,Estimate!A:Q,17,FALSE)," ")</f>
        <v xml:space="preserve"> </v>
      </c>
      <c r="F67" s="202" t="s">
        <v>781</v>
      </c>
      <c r="G67" s="202" t="s">
        <v>781</v>
      </c>
      <c r="H67" s="203" t="s">
        <v>781</v>
      </c>
      <c r="I67" s="203" t="s">
        <v>781</v>
      </c>
      <c r="J67" s="203" t="s">
        <v>781</v>
      </c>
      <c r="K67" s="203"/>
      <c r="L67" s="202" t="s">
        <v>781</v>
      </c>
      <c r="M67" s="204" t="str">
        <f t="shared" si="3"/>
        <v xml:space="preserve"> </v>
      </c>
      <c r="N67" s="95" t="s">
        <v>781</v>
      </c>
      <c r="O67" s="204" t="str">
        <f t="shared" si="3"/>
        <v xml:space="preserve"> </v>
      </c>
      <c r="P67" s="95" t="s">
        <v>781</v>
      </c>
      <c r="Q67" s="204" t="str">
        <f t="shared" ref="Q67:S67" si="364">IFERROR(P67/$G67," ")</f>
        <v xml:space="preserve"> </v>
      </c>
      <c r="R67" s="95" t="s">
        <v>781</v>
      </c>
      <c r="S67" s="204" t="str">
        <f t="shared" si="364"/>
        <v xml:space="preserve"> </v>
      </c>
      <c r="T67" s="95" t="s">
        <v>781</v>
      </c>
      <c r="U67" s="204" t="str">
        <f t="shared" ref="U67:W67" si="365">IFERROR(T67/$G67," ")</f>
        <v xml:space="preserve"> </v>
      </c>
      <c r="V67" s="95" t="s">
        <v>781</v>
      </c>
      <c r="W67" s="204" t="str">
        <f t="shared" si="365"/>
        <v xml:space="preserve"> </v>
      </c>
      <c r="X67" s="95" t="s">
        <v>781</v>
      </c>
      <c r="Y67" s="204" t="str">
        <f t="shared" ref="Y67:AA67" si="366">IFERROR(X67/$G67," ")</f>
        <v xml:space="preserve"> </v>
      </c>
      <c r="Z67" s="95" t="s">
        <v>781</v>
      </c>
      <c r="AA67" s="204" t="str">
        <f t="shared" si="366"/>
        <v xml:space="preserve"> </v>
      </c>
      <c r="AB67" s="95" t="s">
        <v>781</v>
      </c>
      <c r="AC67" s="204" t="str">
        <f t="shared" ref="AC67:AE67" si="367">IFERROR(AB67/$G67," ")</f>
        <v xml:space="preserve"> </v>
      </c>
      <c r="AD67" s="95" t="s">
        <v>781</v>
      </c>
      <c r="AE67" s="204" t="str">
        <f t="shared" si="367"/>
        <v xml:space="preserve"> </v>
      </c>
      <c r="AF67" s="95" t="s">
        <v>781</v>
      </c>
      <c r="AG67" s="204" t="str">
        <f t="shared" ref="AG67:AI67" si="368">IFERROR(AF67/$G67," ")</f>
        <v xml:space="preserve"> </v>
      </c>
      <c r="AH67" s="95" t="s">
        <v>781</v>
      </c>
      <c r="AI67" s="204" t="str">
        <f t="shared" si="368"/>
        <v xml:space="preserve"> </v>
      </c>
      <c r="AJ67" s="95" t="s">
        <v>781</v>
      </c>
      <c r="AK67" s="204" t="str">
        <f t="shared" ref="AK67:AM67" si="369">IFERROR(AJ67/$G67," ")</f>
        <v xml:space="preserve"> </v>
      </c>
      <c r="AL67" s="95" t="s">
        <v>781</v>
      </c>
      <c r="AM67" s="204" t="str">
        <f t="shared" si="369"/>
        <v xml:space="preserve"> </v>
      </c>
      <c r="AN67" s="95"/>
      <c r="AO67" s="94" t="str">
        <f t="shared" si="10"/>
        <v xml:space="preserve"> </v>
      </c>
      <c r="AP67" s="94" t="str">
        <f t="shared" si="0"/>
        <v xml:space="preserve"> </v>
      </c>
      <c r="AQ67" s="94" t="str">
        <f t="shared" si="1"/>
        <v xml:space="preserve"> </v>
      </c>
      <c r="AR67" s="94" t="str">
        <f t="shared" si="207"/>
        <v xml:space="preserve"> </v>
      </c>
      <c r="AS67" s="94" t="str">
        <f t="shared" si="11"/>
        <v xml:space="preserve"> </v>
      </c>
      <c r="AT67" s="94" t="str">
        <f t="shared" si="12"/>
        <v xml:space="preserve"> </v>
      </c>
      <c r="AU67" s="94" t="str">
        <f t="shared" si="13"/>
        <v xml:space="preserve"> </v>
      </c>
      <c r="AV67" s="94" t="str">
        <f t="shared" si="14"/>
        <v xml:space="preserve"> </v>
      </c>
      <c r="AW67" s="94" t="str">
        <f t="shared" si="15"/>
        <v xml:space="preserve"> </v>
      </c>
      <c r="AX67" s="94" t="str">
        <f t="shared" si="16"/>
        <v xml:space="preserve"> </v>
      </c>
      <c r="AY67" s="94" t="str">
        <f t="shared" si="17"/>
        <v xml:space="preserve"> </v>
      </c>
      <c r="AZ67" s="94" t="str">
        <f t="shared" si="18"/>
        <v xml:space="preserve"> </v>
      </c>
      <c r="BA67" s="94" t="str">
        <f t="shared" si="19"/>
        <v xml:space="preserve"> </v>
      </c>
      <c r="BB67" s="94" t="str">
        <f t="shared" si="20"/>
        <v xml:space="preserve"> </v>
      </c>
    </row>
    <row r="68" spans="1:54" x14ac:dyDescent="0.25">
      <c r="A68" s="80"/>
      <c r="B68" s="95" t="s">
        <v>2838</v>
      </c>
      <c r="C68" s="201" t="s">
        <v>36</v>
      </c>
      <c r="D68" s="80" t="s">
        <v>783</v>
      </c>
      <c r="E68" s="94" t="str">
        <f>IFERROR(VLOOKUP(A68,Estimate!A:Q,17,FALSE)," ")</f>
        <v xml:space="preserve"> </v>
      </c>
      <c r="F68" s="202" t="s">
        <v>781</v>
      </c>
      <c r="G68" s="202" t="s">
        <v>781</v>
      </c>
      <c r="H68" s="203" t="s">
        <v>781</v>
      </c>
      <c r="I68" s="203" t="s">
        <v>781</v>
      </c>
      <c r="J68" s="203" t="s">
        <v>781</v>
      </c>
      <c r="K68" s="203"/>
      <c r="L68" s="202" t="s">
        <v>781</v>
      </c>
      <c r="M68" s="204" t="str">
        <f t="shared" si="3"/>
        <v xml:space="preserve"> </v>
      </c>
      <c r="N68" s="95" t="s">
        <v>781</v>
      </c>
      <c r="O68" s="204" t="str">
        <f t="shared" si="3"/>
        <v xml:space="preserve"> </v>
      </c>
      <c r="P68" s="95" t="s">
        <v>781</v>
      </c>
      <c r="Q68" s="204" t="str">
        <f t="shared" ref="Q68:S68" si="370">IFERROR(P68/$G68," ")</f>
        <v xml:space="preserve"> </v>
      </c>
      <c r="R68" s="95" t="s">
        <v>781</v>
      </c>
      <c r="S68" s="204" t="str">
        <f t="shared" si="370"/>
        <v xml:space="preserve"> </v>
      </c>
      <c r="T68" s="95" t="s">
        <v>781</v>
      </c>
      <c r="U68" s="204" t="str">
        <f t="shared" ref="U68:W68" si="371">IFERROR(T68/$G68," ")</f>
        <v xml:space="preserve"> </v>
      </c>
      <c r="V68" s="95" t="s">
        <v>781</v>
      </c>
      <c r="W68" s="204" t="str">
        <f t="shared" si="371"/>
        <v xml:space="preserve"> </v>
      </c>
      <c r="X68" s="95" t="s">
        <v>781</v>
      </c>
      <c r="Y68" s="204" t="str">
        <f t="shared" ref="Y68:AA68" si="372">IFERROR(X68/$G68," ")</f>
        <v xml:space="preserve"> </v>
      </c>
      <c r="Z68" s="95" t="s">
        <v>781</v>
      </c>
      <c r="AA68" s="204" t="str">
        <f t="shared" si="372"/>
        <v xml:space="preserve"> </v>
      </c>
      <c r="AB68" s="95" t="s">
        <v>781</v>
      </c>
      <c r="AC68" s="204" t="str">
        <f t="shared" ref="AC68:AE68" si="373">IFERROR(AB68/$G68," ")</f>
        <v xml:space="preserve"> </v>
      </c>
      <c r="AD68" s="95" t="s">
        <v>781</v>
      </c>
      <c r="AE68" s="204" t="str">
        <f t="shared" si="373"/>
        <v xml:space="preserve"> </v>
      </c>
      <c r="AF68" s="95" t="s">
        <v>781</v>
      </c>
      <c r="AG68" s="204" t="str">
        <f t="shared" ref="AG68:AI68" si="374">IFERROR(AF68/$G68," ")</f>
        <v xml:space="preserve"> </v>
      </c>
      <c r="AH68" s="95" t="s">
        <v>781</v>
      </c>
      <c r="AI68" s="204" t="str">
        <f t="shared" si="374"/>
        <v xml:space="preserve"> </v>
      </c>
      <c r="AJ68" s="95" t="s">
        <v>781</v>
      </c>
      <c r="AK68" s="204" t="str">
        <f t="shared" ref="AK68:AM68" si="375">IFERROR(AJ68/$G68," ")</f>
        <v xml:space="preserve"> </v>
      </c>
      <c r="AL68" s="95" t="s">
        <v>781</v>
      </c>
      <c r="AM68" s="204" t="str">
        <f t="shared" si="375"/>
        <v xml:space="preserve"> </v>
      </c>
      <c r="AN68" s="95"/>
      <c r="AO68" s="94" t="str">
        <f t="shared" si="10"/>
        <v xml:space="preserve"> </v>
      </c>
      <c r="AP68" s="94" t="str">
        <f t="shared" si="0"/>
        <v xml:space="preserve"> </v>
      </c>
      <c r="AQ68" s="94" t="str">
        <f t="shared" si="1"/>
        <v xml:space="preserve"> </v>
      </c>
      <c r="AR68" s="94" t="str">
        <f t="shared" si="207"/>
        <v xml:space="preserve"> </v>
      </c>
      <c r="AS68" s="94" t="str">
        <f t="shared" si="11"/>
        <v xml:space="preserve"> </v>
      </c>
      <c r="AT68" s="94" t="str">
        <f t="shared" si="12"/>
        <v xml:space="preserve"> </v>
      </c>
      <c r="AU68" s="94" t="str">
        <f t="shared" si="13"/>
        <v xml:space="preserve"> </v>
      </c>
      <c r="AV68" s="94" t="str">
        <f t="shared" si="14"/>
        <v xml:space="preserve"> </v>
      </c>
      <c r="AW68" s="94" t="str">
        <f t="shared" si="15"/>
        <v xml:space="preserve"> </v>
      </c>
      <c r="AX68" s="94" t="str">
        <f t="shared" si="16"/>
        <v xml:space="preserve"> </v>
      </c>
      <c r="AY68" s="94" t="str">
        <f t="shared" si="17"/>
        <v xml:space="preserve"> </v>
      </c>
      <c r="AZ68" s="94" t="str">
        <f t="shared" si="18"/>
        <v xml:space="preserve"> </v>
      </c>
      <c r="BA68" s="94" t="str">
        <f t="shared" si="19"/>
        <v xml:space="preserve"> </v>
      </c>
      <c r="BB68" s="94" t="str">
        <f t="shared" si="20"/>
        <v xml:space="preserve"> </v>
      </c>
    </row>
    <row r="69" spans="1:54" x14ac:dyDescent="0.25">
      <c r="A69" s="80"/>
      <c r="B69" s="95" t="s">
        <v>2839</v>
      </c>
      <c r="C69" s="201" t="s">
        <v>38</v>
      </c>
      <c r="D69" s="80" t="s">
        <v>20</v>
      </c>
      <c r="E69" s="94" t="str">
        <f>IFERROR(VLOOKUP(A69,Estimate!A:Q,17,FALSE)," ")</f>
        <v xml:space="preserve"> </v>
      </c>
      <c r="F69" s="202">
        <v>1</v>
      </c>
      <c r="G69" s="202">
        <v>1</v>
      </c>
      <c r="H69" s="203"/>
      <c r="I69" s="203"/>
      <c r="J69" s="203"/>
      <c r="K69" s="203"/>
      <c r="L69" s="202"/>
      <c r="M69" s="204">
        <f t="shared" si="3"/>
        <v>0</v>
      </c>
      <c r="N69" s="95"/>
      <c r="O69" s="204">
        <f t="shared" si="3"/>
        <v>0</v>
      </c>
      <c r="P69" s="95"/>
      <c r="Q69" s="204">
        <f t="shared" ref="Q69:S69" si="376">IFERROR(P69/$G69," ")</f>
        <v>0</v>
      </c>
      <c r="R69" s="95"/>
      <c r="S69" s="204">
        <f t="shared" si="376"/>
        <v>0</v>
      </c>
      <c r="T69" s="95"/>
      <c r="U69" s="204">
        <f t="shared" ref="U69:W69" si="377">IFERROR(T69/$G69," ")</f>
        <v>0</v>
      </c>
      <c r="V69" s="95"/>
      <c r="W69" s="204">
        <f t="shared" si="377"/>
        <v>0</v>
      </c>
      <c r="X69" s="95"/>
      <c r="Y69" s="204">
        <f t="shared" ref="Y69:AA69" si="378">IFERROR(X69/$G69," ")</f>
        <v>0</v>
      </c>
      <c r="Z69" s="95"/>
      <c r="AA69" s="204">
        <f t="shared" si="378"/>
        <v>0</v>
      </c>
      <c r="AB69" s="95"/>
      <c r="AC69" s="204">
        <f t="shared" ref="AC69:AE69" si="379">IFERROR(AB69/$G69," ")</f>
        <v>0</v>
      </c>
      <c r="AD69" s="95"/>
      <c r="AE69" s="204">
        <f t="shared" si="379"/>
        <v>0</v>
      </c>
      <c r="AF69" s="95"/>
      <c r="AG69" s="204">
        <f t="shared" ref="AG69:AI69" si="380">IFERROR(AF69/$G69," ")</f>
        <v>0</v>
      </c>
      <c r="AH69" s="95"/>
      <c r="AI69" s="204">
        <f t="shared" si="380"/>
        <v>0</v>
      </c>
      <c r="AJ69" s="95"/>
      <c r="AK69" s="204">
        <f t="shared" ref="AK69:AM69" si="381">IFERROR(AJ69/$G69," ")</f>
        <v>0</v>
      </c>
      <c r="AL69" s="95"/>
      <c r="AM69" s="204">
        <f t="shared" si="381"/>
        <v>0</v>
      </c>
      <c r="AN69" s="95"/>
      <c r="AO69" s="94">
        <f t="shared" si="10"/>
        <v>0</v>
      </c>
      <c r="AP69" s="94">
        <f t="shared" si="0"/>
        <v>0</v>
      </c>
      <c r="AQ69" s="94">
        <f t="shared" si="1"/>
        <v>0</v>
      </c>
      <c r="AR69" s="94">
        <f t="shared" si="207"/>
        <v>0</v>
      </c>
      <c r="AS69" s="94">
        <f t="shared" si="11"/>
        <v>0</v>
      </c>
      <c r="AT69" s="94">
        <f t="shared" si="12"/>
        <v>0</v>
      </c>
      <c r="AU69" s="94">
        <f t="shared" si="13"/>
        <v>0</v>
      </c>
      <c r="AV69" s="94">
        <f t="shared" si="14"/>
        <v>0</v>
      </c>
      <c r="AW69" s="94">
        <f t="shared" si="15"/>
        <v>0</v>
      </c>
      <c r="AX69" s="94">
        <f t="shared" si="16"/>
        <v>0</v>
      </c>
      <c r="AY69" s="94">
        <f t="shared" si="17"/>
        <v>0</v>
      </c>
      <c r="AZ69" s="94">
        <f t="shared" si="18"/>
        <v>0</v>
      </c>
      <c r="BA69" s="94">
        <f t="shared" si="19"/>
        <v>0</v>
      </c>
      <c r="BB69" s="94">
        <f t="shared" si="20"/>
        <v>0</v>
      </c>
    </row>
    <row r="70" spans="1:54" x14ac:dyDescent="0.25">
      <c r="A70" s="80"/>
      <c r="B70" s="95" t="s">
        <v>2417</v>
      </c>
      <c r="C70" s="201" t="s">
        <v>2837</v>
      </c>
      <c r="D70" s="80" t="s">
        <v>783</v>
      </c>
      <c r="E70" s="94" t="str">
        <f>IFERROR(VLOOKUP(A70,Estimate!A:Q,17,FALSE)," ")</f>
        <v xml:space="preserve"> </v>
      </c>
      <c r="F70" s="202" t="s">
        <v>781</v>
      </c>
      <c r="G70" s="202" t="s">
        <v>781</v>
      </c>
      <c r="H70" s="203" t="s">
        <v>781</v>
      </c>
      <c r="I70" s="203" t="s">
        <v>781</v>
      </c>
      <c r="J70" s="203" t="s">
        <v>781</v>
      </c>
      <c r="K70" s="203"/>
      <c r="L70" s="202" t="s">
        <v>781</v>
      </c>
      <c r="M70" s="204" t="str">
        <f t="shared" si="3"/>
        <v xml:space="preserve"> </v>
      </c>
      <c r="N70" s="95" t="s">
        <v>781</v>
      </c>
      <c r="O70" s="204" t="str">
        <f t="shared" si="3"/>
        <v xml:space="preserve"> </v>
      </c>
      <c r="P70" s="95" t="s">
        <v>781</v>
      </c>
      <c r="Q70" s="204" t="str">
        <f t="shared" ref="Q70:S70" si="382">IFERROR(P70/$G70," ")</f>
        <v xml:space="preserve"> </v>
      </c>
      <c r="R70" s="95" t="s">
        <v>781</v>
      </c>
      <c r="S70" s="204" t="str">
        <f t="shared" si="382"/>
        <v xml:space="preserve"> </v>
      </c>
      <c r="T70" s="95" t="s">
        <v>781</v>
      </c>
      <c r="U70" s="204" t="str">
        <f t="shared" ref="U70:W70" si="383">IFERROR(T70/$G70," ")</f>
        <v xml:space="preserve"> </v>
      </c>
      <c r="V70" s="95" t="s">
        <v>781</v>
      </c>
      <c r="W70" s="204" t="str">
        <f t="shared" si="383"/>
        <v xml:space="preserve"> </v>
      </c>
      <c r="X70" s="95" t="s">
        <v>781</v>
      </c>
      <c r="Y70" s="204" t="str">
        <f t="shared" ref="Y70:AA70" si="384">IFERROR(X70/$G70," ")</f>
        <v xml:space="preserve"> </v>
      </c>
      <c r="Z70" s="95" t="s">
        <v>781</v>
      </c>
      <c r="AA70" s="204" t="str">
        <f t="shared" si="384"/>
        <v xml:space="preserve"> </v>
      </c>
      <c r="AB70" s="95" t="s">
        <v>781</v>
      </c>
      <c r="AC70" s="204" t="str">
        <f t="shared" ref="AC70:AE70" si="385">IFERROR(AB70/$G70," ")</f>
        <v xml:space="preserve"> </v>
      </c>
      <c r="AD70" s="95" t="s">
        <v>781</v>
      </c>
      <c r="AE70" s="204" t="str">
        <f t="shared" si="385"/>
        <v xml:space="preserve"> </v>
      </c>
      <c r="AF70" s="95" t="s">
        <v>781</v>
      </c>
      <c r="AG70" s="204" t="str">
        <f t="shared" ref="AG70:AI70" si="386">IFERROR(AF70/$G70," ")</f>
        <v xml:space="preserve"> </v>
      </c>
      <c r="AH70" s="95" t="s">
        <v>781</v>
      </c>
      <c r="AI70" s="204" t="str">
        <f t="shared" si="386"/>
        <v xml:space="preserve"> </v>
      </c>
      <c r="AJ70" s="95" t="s">
        <v>781</v>
      </c>
      <c r="AK70" s="204" t="str">
        <f t="shared" ref="AK70:AM70" si="387">IFERROR(AJ70/$G70," ")</f>
        <v xml:space="preserve"> </v>
      </c>
      <c r="AL70" s="95" t="s">
        <v>781</v>
      </c>
      <c r="AM70" s="204" t="str">
        <f t="shared" si="387"/>
        <v xml:space="preserve"> </v>
      </c>
      <c r="AN70" s="95"/>
      <c r="AO70" s="94" t="str">
        <f t="shared" si="10"/>
        <v xml:space="preserve"> </v>
      </c>
      <c r="AP70" s="94" t="str">
        <f t="shared" si="0"/>
        <v xml:space="preserve"> </v>
      </c>
      <c r="AQ70" s="94" t="str">
        <f t="shared" si="1"/>
        <v xml:space="preserve"> </v>
      </c>
      <c r="AR70" s="94" t="str">
        <f t="shared" si="207"/>
        <v xml:space="preserve"> </v>
      </c>
      <c r="AS70" s="94" t="str">
        <f t="shared" si="11"/>
        <v xml:space="preserve"> </v>
      </c>
      <c r="AT70" s="94" t="str">
        <f t="shared" si="12"/>
        <v xml:space="preserve"> </v>
      </c>
      <c r="AU70" s="94" t="str">
        <f t="shared" si="13"/>
        <v xml:space="preserve"> </v>
      </c>
      <c r="AV70" s="94" t="str">
        <f t="shared" si="14"/>
        <v xml:space="preserve"> </v>
      </c>
      <c r="AW70" s="94" t="str">
        <f t="shared" si="15"/>
        <v xml:space="preserve"> </v>
      </c>
      <c r="AX70" s="94" t="str">
        <f t="shared" si="16"/>
        <v xml:space="preserve"> </v>
      </c>
      <c r="AY70" s="94" t="str">
        <f t="shared" si="17"/>
        <v xml:space="preserve"> </v>
      </c>
      <c r="AZ70" s="94" t="str">
        <f t="shared" si="18"/>
        <v xml:space="preserve"> </v>
      </c>
      <c r="BA70" s="94" t="str">
        <f t="shared" si="19"/>
        <v xml:space="preserve"> </v>
      </c>
      <c r="BB70" s="94" t="str">
        <f t="shared" si="20"/>
        <v xml:space="preserve"> </v>
      </c>
    </row>
    <row r="71" spans="1:54" x14ac:dyDescent="0.25">
      <c r="A71" s="80"/>
      <c r="B71" s="95" t="s">
        <v>2417</v>
      </c>
      <c r="C71" s="201" t="s">
        <v>50</v>
      </c>
      <c r="D71" s="80" t="s">
        <v>783</v>
      </c>
      <c r="E71" s="94" t="str">
        <f>IFERROR(VLOOKUP(A71,Estimate!A:Q,17,FALSE)," ")</f>
        <v xml:space="preserve"> </v>
      </c>
      <c r="F71" s="202" t="s">
        <v>781</v>
      </c>
      <c r="G71" s="202" t="s">
        <v>781</v>
      </c>
      <c r="H71" s="203" t="s">
        <v>781</v>
      </c>
      <c r="I71" s="203" t="s">
        <v>781</v>
      </c>
      <c r="J71" s="203" t="s">
        <v>781</v>
      </c>
      <c r="K71" s="203"/>
      <c r="L71" s="202" t="s">
        <v>781</v>
      </c>
      <c r="M71" s="204" t="str">
        <f t="shared" si="3"/>
        <v xml:space="preserve"> </v>
      </c>
      <c r="N71" s="95" t="s">
        <v>781</v>
      </c>
      <c r="O71" s="204" t="str">
        <f t="shared" si="3"/>
        <v xml:space="preserve"> </v>
      </c>
      <c r="P71" s="95" t="s">
        <v>781</v>
      </c>
      <c r="Q71" s="204" t="str">
        <f t="shared" ref="Q71:S71" si="388">IFERROR(P71/$G71," ")</f>
        <v xml:space="preserve"> </v>
      </c>
      <c r="R71" s="95" t="s">
        <v>781</v>
      </c>
      <c r="S71" s="204" t="str">
        <f t="shared" si="388"/>
        <v xml:space="preserve"> </v>
      </c>
      <c r="T71" s="95" t="s">
        <v>781</v>
      </c>
      <c r="U71" s="204" t="str">
        <f t="shared" ref="U71:W71" si="389">IFERROR(T71/$G71," ")</f>
        <v xml:space="preserve"> </v>
      </c>
      <c r="V71" s="95" t="s">
        <v>781</v>
      </c>
      <c r="W71" s="204" t="str">
        <f t="shared" si="389"/>
        <v xml:space="preserve"> </v>
      </c>
      <c r="X71" s="95" t="s">
        <v>781</v>
      </c>
      <c r="Y71" s="204" t="str">
        <f t="shared" ref="Y71:AA71" si="390">IFERROR(X71/$G71," ")</f>
        <v xml:space="preserve"> </v>
      </c>
      <c r="Z71" s="95" t="s">
        <v>781</v>
      </c>
      <c r="AA71" s="204" t="str">
        <f t="shared" si="390"/>
        <v xml:space="preserve"> </v>
      </c>
      <c r="AB71" s="95" t="s">
        <v>781</v>
      </c>
      <c r="AC71" s="204" t="str">
        <f t="shared" ref="AC71:AE71" si="391">IFERROR(AB71/$G71," ")</f>
        <v xml:space="preserve"> </v>
      </c>
      <c r="AD71" s="95" t="s">
        <v>781</v>
      </c>
      <c r="AE71" s="204" t="str">
        <f t="shared" si="391"/>
        <v xml:space="preserve"> </v>
      </c>
      <c r="AF71" s="95" t="s">
        <v>781</v>
      </c>
      <c r="AG71" s="204" t="str">
        <f t="shared" ref="AG71:AI71" si="392">IFERROR(AF71/$G71," ")</f>
        <v xml:space="preserve"> </v>
      </c>
      <c r="AH71" s="95" t="s">
        <v>781</v>
      </c>
      <c r="AI71" s="204" t="str">
        <f t="shared" si="392"/>
        <v xml:space="preserve"> </v>
      </c>
      <c r="AJ71" s="95" t="s">
        <v>781</v>
      </c>
      <c r="AK71" s="204" t="str">
        <f t="shared" ref="AK71:AM71" si="393">IFERROR(AJ71/$G71," ")</f>
        <v xml:space="preserve"> </v>
      </c>
      <c r="AL71" s="95" t="s">
        <v>781</v>
      </c>
      <c r="AM71" s="204" t="str">
        <f t="shared" si="393"/>
        <v xml:space="preserve"> </v>
      </c>
      <c r="AN71" s="95"/>
      <c r="AO71" s="94" t="str">
        <f t="shared" si="10"/>
        <v xml:space="preserve"> </v>
      </c>
      <c r="AP71" s="94" t="str">
        <f t="shared" si="0"/>
        <v xml:space="preserve"> </v>
      </c>
      <c r="AQ71" s="94" t="str">
        <f t="shared" si="1"/>
        <v xml:space="preserve"> </v>
      </c>
      <c r="AR71" s="94" t="str">
        <f t="shared" si="207"/>
        <v xml:space="preserve"> </v>
      </c>
      <c r="AS71" s="94" t="str">
        <f t="shared" si="11"/>
        <v xml:space="preserve"> </v>
      </c>
      <c r="AT71" s="94" t="str">
        <f t="shared" si="12"/>
        <v xml:space="preserve"> </v>
      </c>
      <c r="AU71" s="94" t="str">
        <f t="shared" si="13"/>
        <v xml:space="preserve"> </v>
      </c>
      <c r="AV71" s="94" t="str">
        <f t="shared" si="14"/>
        <v xml:space="preserve"> </v>
      </c>
      <c r="AW71" s="94" t="str">
        <f t="shared" si="15"/>
        <v xml:space="preserve"> </v>
      </c>
      <c r="AX71" s="94" t="str">
        <f t="shared" si="16"/>
        <v xml:space="preserve"> </v>
      </c>
      <c r="AY71" s="94" t="str">
        <f t="shared" si="17"/>
        <v xml:space="preserve"> </v>
      </c>
      <c r="AZ71" s="94" t="str">
        <f t="shared" si="18"/>
        <v xml:space="preserve"> </v>
      </c>
      <c r="BA71" s="94" t="str">
        <f t="shared" si="19"/>
        <v xml:space="preserve"> </v>
      </c>
      <c r="BB71" s="94" t="str">
        <f t="shared" si="20"/>
        <v xml:space="preserve"> </v>
      </c>
    </row>
    <row r="72" spans="1:54" x14ac:dyDescent="0.25">
      <c r="A72" s="80"/>
      <c r="B72" s="95" t="s">
        <v>2840</v>
      </c>
      <c r="C72" s="201" t="s">
        <v>52</v>
      </c>
      <c r="D72" s="80" t="s">
        <v>783</v>
      </c>
      <c r="E72" s="94" t="str">
        <f>IFERROR(VLOOKUP(A72,Estimate!A:Q,17,FALSE)," ")</f>
        <v xml:space="preserve"> </v>
      </c>
      <c r="F72" s="202" t="s">
        <v>781</v>
      </c>
      <c r="G72" s="202" t="s">
        <v>781</v>
      </c>
      <c r="H72" s="203" t="s">
        <v>781</v>
      </c>
      <c r="I72" s="203" t="s">
        <v>781</v>
      </c>
      <c r="J72" s="203" t="s">
        <v>781</v>
      </c>
      <c r="K72" s="203"/>
      <c r="L72" s="202" t="s">
        <v>781</v>
      </c>
      <c r="M72" s="204" t="str">
        <f t="shared" si="3"/>
        <v xml:space="preserve"> </v>
      </c>
      <c r="N72" s="95" t="s">
        <v>781</v>
      </c>
      <c r="O72" s="204" t="str">
        <f t="shared" si="3"/>
        <v xml:space="preserve"> </v>
      </c>
      <c r="P72" s="95" t="s">
        <v>781</v>
      </c>
      <c r="Q72" s="204" t="str">
        <f t="shared" ref="Q72:S72" si="394">IFERROR(P72/$G72," ")</f>
        <v xml:space="preserve"> </v>
      </c>
      <c r="R72" s="95" t="s">
        <v>781</v>
      </c>
      <c r="S72" s="204" t="str">
        <f t="shared" si="394"/>
        <v xml:space="preserve"> </v>
      </c>
      <c r="T72" s="95" t="s">
        <v>781</v>
      </c>
      <c r="U72" s="204" t="str">
        <f t="shared" ref="U72:W72" si="395">IFERROR(T72/$G72," ")</f>
        <v xml:space="preserve"> </v>
      </c>
      <c r="V72" s="95" t="s">
        <v>781</v>
      </c>
      <c r="W72" s="204" t="str">
        <f t="shared" si="395"/>
        <v xml:space="preserve"> </v>
      </c>
      <c r="X72" s="95" t="s">
        <v>781</v>
      </c>
      <c r="Y72" s="204" t="str">
        <f t="shared" ref="Y72:AA72" si="396">IFERROR(X72/$G72," ")</f>
        <v xml:space="preserve"> </v>
      </c>
      <c r="Z72" s="95" t="s">
        <v>781</v>
      </c>
      <c r="AA72" s="204" t="str">
        <f t="shared" si="396"/>
        <v xml:space="preserve"> </v>
      </c>
      <c r="AB72" s="95" t="s">
        <v>781</v>
      </c>
      <c r="AC72" s="204" t="str">
        <f t="shared" ref="AC72:AE72" si="397">IFERROR(AB72/$G72," ")</f>
        <v xml:space="preserve"> </v>
      </c>
      <c r="AD72" s="95" t="s">
        <v>781</v>
      </c>
      <c r="AE72" s="204" t="str">
        <f t="shared" si="397"/>
        <v xml:space="preserve"> </v>
      </c>
      <c r="AF72" s="95" t="s">
        <v>781</v>
      </c>
      <c r="AG72" s="204" t="str">
        <f t="shared" ref="AG72:AI72" si="398">IFERROR(AF72/$G72," ")</f>
        <v xml:space="preserve"> </v>
      </c>
      <c r="AH72" s="95" t="s">
        <v>781</v>
      </c>
      <c r="AI72" s="204" t="str">
        <f t="shared" si="398"/>
        <v xml:space="preserve"> </v>
      </c>
      <c r="AJ72" s="95" t="s">
        <v>781</v>
      </c>
      <c r="AK72" s="204" t="str">
        <f t="shared" ref="AK72:AM72" si="399">IFERROR(AJ72/$G72," ")</f>
        <v xml:space="preserve"> </v>
      </c>
      <c r="AL72" s="95" t="s">
        <v>781</v>
      </c>
      <c r="AM72" s="204" t="str">
        <f t="shared" si="399"/>
        <v xml:space="preserve"> </v>
      </c>
      <c r="AN72" s="95"/>
      <c r="AO72" s="94" t="str">
        <f t="shared" si="10"/>
        <v xml:space="preserve"> </v>
      </c>
      <c r="AP72" s="94" t="str">
        <f t="shared" ref="AP72:AP135" si="400">IFERROR(O72*$J72," ")</f>
        <v xml:space="preserve"> </v>
      </c>
      <c r="AQ72" s="94" t="str">
        <f t="shared" ref="AQ72:AQ135" si="401">IFERROR(Q72*$J72," ")</f>
        <v xml:space="preserve"> </v>
      </c>
      <c r="AR72" s="94" t="str">
        <f t="shared" ref="AR72" si="402">IFERROR(S72*$J72," ")</f>
        <v xml:space="preserve"> </v>
      </c>
      <c r="AS72" s="94" t="str">
        <f t="shared" si="11"/>
        <v xml:space="preserve"> </v>
      </c>
      <c r="AT72" s="94" t="str">
        <f t="shared" si="12"/>
        <v xml:space="preserve"> </v>
      </c>
      <c r="AU72" s="94" t="str">
        <f t="shared" si="13"/>
        <v xml:space="preserve"> </v>
      </c>
      <c r="AV72" s="94" t="str">
        <f t="shared" si="14"/>
        <v xml:space="preserve"> </v>
      </c>
      <c r="AW72" s="94" t="str">
        <f t="shared" si="15"/>
        <v xml:space="preserve"> </v>
      </c>
      <c r="AX72" s="94" t="str">
        <f t="shared" si="16"/>
        <v xml:space="preserve"> </v>
      </c>
      <c r="AY72" s="94" t="str">
        <f t="shared" si="17"/>
        <v xml:space="preserve"> </v>
      </c>
      <c r="AZ72" s="94" t="str">
        <f t="shared" si="18"/>
        <v xml:space="preserve"> </v>
      </c>
      <c r="BA72" s="94" t="str">
        <f t="shared" si="19"/>
        <v xml:space="preserve"> </v>
      </c>
      <c r="BB72" s="94" t="str">
        <f t="shared" si="20"/>
        <v xml:space="preserve"> </v>
      </c>
    </row>
    <row r="73" spans="1:54" x14ac:dyDescent="0.25">
      <c r="A73" s="80">
        <v>25</v>
      </c>
      <c r="B73" s="95" t="s">
        <v>2841</v>
      </c>
      <c r="C73" s="201" t="s">
        <v>54</v>
      </c>
      <c r="D73" s="80" t="s">
        <v>20</v>
      </c>
      <c r="E73" s="94">
        <f>IFERROR(VLOOKUP(A73,Estimate!A:Q,17,FALSE)," ")</f>
        <v>34938.720000000001</v>
      </c>
      <c r="F73" s="202">
        <v>1</v>
      </c>
      <c r="G73" s="202">
        <v>1</v>
      </c>
      <c r="H73" s="203">
        <v>43890.99</v>
      </c>
      <c r="I73" s="203">
        <v>43890.99</v>
      </c>
      <c r="J73" s="203">
        <v>43890.99</v>
      </c>
      <c r="K73" s="203"/>
      <c r="L73" s="202"/>
      <c r="M73" s="204">
        <f t="shared" ref="M73:O136" si="403">IFERROR(L73/$G73," ")</f>
        <v>0</v>
      </c>
      <c r="N73" s="95"/>
      <c r="O73" s="204">
        <f t="shared" si="403"/>
        <v>0</v>
      </c>
      <c r="P73" s="95"/>
      <c r="Q73" s="204">
        <f t="shared" ref="Q73:S73" si="404">IFERROR(P73/$G73," ")</f>
        <v>0</v>
      </c>
      <c r="R73" s="95"/>
      <c r="S73" s="204">
        <f t="shared" si="404"/>
        <v>0</v>
      </c>
      <c r="T73" s="95"/>
      <c r="U73" s="204">
        <f t="shared" ref="U73:W73" si="405">IFERROR(T73/$G73," ")</f>
        <v>0</v>
      </c>
      <c r="V73" s="95"/>
      <c r="W73" s="204">
        <f t="shared" si="405"/>
        <v>0</v>
      </c>
      <c r="X73" s="95">
        <v>0.2</v>
      </c>
      <c r="Y73" s="204">
        <f t="shared" ref="Y73:AA73" si="406">IFERROR(X73/$G73," ")</f>
        <v>0.2</v>
      </c>
      <c r="Z73" s="95">
        <v>0.4</v>
      </c>
      <c r="AA73" s="204">
        <f t="shared" si="406"/>
        <v>0.4</v>
      </c>
      <c r="AB73" s="95">
        <v>0.6</v>
      </c>
      <c r="AC73" s="204">
        <f t="shared" ref="AC73:AE73" si="407">IFERROR(AB73/$G73," ")</f>
        <v>0.6</v>
      </c>
      <c r="AD73" s="95">
        <v>0.8</v>
      </c>
      <c r="AE73" s="204">
        <f t="shared" si="407"/>
        <v>0.8</v>
      </c>
      <c r="AF73" s="95">
        <v>1</v>
      </c>
      <c r="AG73" s="204">
        <f t="shared" ref="AG73:AI73" si="408">IFERROR(AF73/$G73," ")</f>
        <v>1</v>
      </c>
      <c r="AH73" s="95">
        <v>1</v>
      </c>
      <c r="AI73" s="204">
        <f t="shared" si="408"/>
        <v>1</v>
      </c>
      <c r="AJ73" s="95">
        <v>1</v>
      </c>
      <c r="AK73" s="204">
        <f t="shared" ref="AK73:AM73" si="409">IFERROR(AJ73/$G73," ")</f>
        <v>1</v>
      </c>
      <c r="AL73" s="95">
        <v>1</v>
      </c>
      <c r="AM73" s="204">
        <f t="shared" si="409"/>
        <v>1</v>
      </c>
      <c r="AN73" s="95"/>
      <c r="AO73" s="94">
        <f t="shared" ref="AO73:AO136" si="410">IFERROR(M73*$J73," ")</f>
        <v>0</v>
      </c>
      <c r="AP73" s="94">
        <f t="shared" si="400"/>
        <v>0</v>
      </c>
      <c r="AQ73" s="94">
        <f t="shared" si="401"/>
        <v>0</v>
      </c>
      <c r="AR73" s="94">
        <f t="shared" ref="AR73:AR104" si="411">IFERROR(S73*$J73," ")</f>
        <v>0</v>
      </c>
      <c r="AS73" s="94">
        <f t="shared" ref="AS73:AS136" si="412">IFERROR(U73*$J73," ")</f>
        <v>0</v>
      </c>
      <c r="AT73" s="94">
        <f t="shared" ref="AT73:AT136" si="413">IFERROR(W73*$J73," ")</f>
        <v>0</v>
      </c>
      <c r="AU73" s="94">
        <f t="shared" ref="AU73:AU136" si="414">IFERROR(Y73*$J73," ")</f>
        <v>8778.1980000000003</v>
      </c>
      <c r="AV73" s="94">
        <f t="shared" ref="AV73:AV136" si="415">IFERROR(AA73*$J73," ")</f>
        <v>17556.396000000001</v>
      </c>
      <c r="AW73" s="94">
        <f t="shared" ref="AW73:AW136" si="416">IFERROR(AC73*$J73," ")</f>
        <v>26334.593999999997</v>
      </c>
      <c r="AX73" s="94">
        <f t="shared" ref="AX73:AX136" si="417">IFERROR(AE73*$J73," ")</f>
        <v>35112.792000000001</v>
      </c>
      <c r="AY73" s="94">
        <f t="shared" ref="AY73:AY136" si="418">IFERROR(AG73*$J73," ")</f>
        <v>43890.99</v>
      </c>
      <c r="AZ73" s="94">
        <f t="shared" ref="AZ73:AZ136" si="419">IFERROR(AI73*$J73," ")</f>
        <v>43890.99</v>
      </c>
      <c r="BA73" s="94">
        <f t="shared" ref="BA73:BA136" si="420">IFERROR(AK73*$J73," ")</f>
        <v>43890.99</v>
      </c>
      <c r="BB73" s="94">
        <f t="shared" ref="BB73:BB136" si="421">IFERROR(AM73*$J73," ")</f>
        <v>43890.99</v>
      </c>
    </row>
    <row r="74" spans="1:54" x14ac:dyDescent="0.25">
      <c r="A74" s="80"/>
      <c r="B74" s="95" t="s">
        <v>2866</v>
      </c>
      <c r="C74" s="201" t="s">
        <v>161</v>
      </c>
      <c r="D74" s="80" t="s">
        <v>783</v>
      </c>
      <c r="E74" s="94" t="str">
        <f>IFERROR(VLOOKUP(A74,Estimate!A:Q,17,FALSE)," ")</f>
        <v xml:space="preserve"> </v>
      </c>
      <c r="F74" s="202" t="s">
        <v>781</v>
      </c>
      <c r="G74" s="202" t="s">
        <v>781</v>
      </c>
      <c r="H74" s="203" t="s">
        <v>781</v>
      </c>
      <c r="I74" s="203" t="s">
        <v>781</v>
      </c>
      <c r="J74" s="203" t="s">
        <v>781</v>
      </c>
      <c r="K74" s="203"/>
      <c r="L74" s="202" t="s">
        <v>781</v>
      </c>
      <c r="M74" s="204" t="str">
        <f t="shared" si="403"/>
        <v xml:space="preserve"> </v>
      </c>
      <c r="N74" s="95" t="s">
        <v>781</v>
      </c>
      <c r="O74" s="204" t="str">
        <f t="shared" si="403"/>
        <v xml:space="preserve"> </v>
      </c>
      <c r="P74" s="95" t="s">
        <v>781</v>
      </c>
      <c r="Q74" s="204" t="str">
        <f t="shared" ref="Q74:S74" si="422">IFERROR(P74/$G74," ")</f>
        <v xml:space="preserve"> </v>
      </c>
      <c r="R74" s="95" t="s">
        <v>781</v>
      </c>
      <c r="S74" s="204" t="str">
        <f t="shared" si="422"/>
        <v xml:space="preserve"> </v>
      </c>
      <c r="T74" s="95" t="s">
        <v>781</v>
      </c>
      <c r="U74" s="204" t="str">
        <f t="shared" ref="U74:W74" si="423">IFERROR(T74/$G74," ")</f>
        <v xml:space="preserve"> </v>
      </c>
      <c r="V74" s="95" t="s">
        <v>781</v>
      </c>
      <c r="W74" s="204" t="str">
        <f t="shared" si="423"/>
        <v xml:space="preserve"> </v>
      </c>
      <c r="X74" s="95" t="s">
        <v>781</v>
      </c>
      <c r="Y74" s="204" t="str">
        <f t="shared" ref="Y74:AA74" si="424">IFERROR(X74/$G74," ")</f>
        <v xml:space="preserve"> </v>
      </c>
      <c r="Z74" s="95" t="s">
        <v>781</v>
      </c>
      <c r="AA74" s="204" t="str">
        <f t="shared" si="424"/>
        <v xml:space="preserve"> </v>
      </c>
      <c r="AB74" s="95" t="s">
        <v>781</v>
      </c>
      <c r="AC74" s="204" t="str">
        <f t="shared" ref="AC74:AE74" si="425">IFERROR(AB74/$G74," ")</f>
        <v xml:space="preserve"> </v>
      </c>
      <c r="AD74" s="95" t="s">
        <v>781</v>
      </c>
      <c r="AE74" s="204" t="str">
        <f t="shared" si="425"/>
        <v xml:space="preserve"> </v>
      </c>
      <c r="AF74" s="95" t="s">
        <v>781</v>
      </c>
      <c r="AG74" s="204" t="str">
        <f t="shared" ref="AG74:AI74" si="426">IFERROR(AF74/$G74," ")</f>
        <v xml:space="preserve"> </v>
      </c>
      <c r="AH74" s="95" t="s">
        <v>781</v>
      </c>
      <c r="AI74" s="204" t="str">
        <f t="shared" si="426"/>
        <v xml:space="preserve"> </v>
      </c>
      <c r="AJ74" s="95" t="s">
        <v>781</v>
      </c>
      <c r="AK74" s="204" t="str">
        <f t="shared" ref="AK74:AM74" si="427">IFERROR(AJ74/$G74," ")</f>
        <v xml:space="preserve"> </v>
      </c>
      <c r="AL74" s="95" t="s">
        <v>781</v>
      </c>
      <c r="AM74" s="204" t="str">
        <f t="shared" si="427"/>
        <v xml:space="preserve"> </v>
      </c>
      <c r="AN74" s="95"/>
      <c r="AO74" s="94" t="str">
        <f t="shared" si="410"/>
        <v xml:space="preserve"> </v>
      </c>
      <c r="AP74" s="94" t="str">
        <f t="shared" si="400"/>
        <v xml:space="preserve"> </v>
      </c>
      <c r="AQ74" s="94" t="str">
        <f t="shared" si="401"/>
        <v xml:space="preserve"> </v>
      </c>
      <c r="AR74" s="94" t="str">
        <f t="shared" si="411"/>
        <v xml:space="preserve"> </v>
      </c>
      <c r="AS74" s="94" t="str">
        <f t="shared" si="412"/>
        <v xml:space="preserve"> </v>
      </c>
      <c r="AT74" s="94" t="str">
        <f t="shared" si="413"/>
        <v xml:space="preserve"> </v>
      </c>
      <c r="AU74" s="94" t="str">
        <f t="shared" si="414"/>
        <v xml:space="preserve"> </v>
      </c>
      <c r="AV74" s="94" t="str">
        <f t="shared" si="415"/>
        <v xml:space="preserve"> </v>
      </c>
      <c r="AW74" s="94" t="str">
        <f t="shared" si="416"/>
        <v xml:space="preserve"> </v>
      </c>
      <c r="AX74" s="94" t="str">
        <f t="shared" si="417"/>
        <v xml:space="preserve"> </v>
      </c>
      <c r="AY74" s="94" t="str">
        <f t="shared" si="418"/>
        <v xml:space="preserve"> </v>
      </c>
      <c r="AZ74" s="94" t="str">
        <f t="shared" si="419"/>
        <v xml:space="preserve"> </v>
      </c>
      <c r="BA74" s="94" t="str">
        <f t="shared" si="420"/>
        <v xml:space="preserve"> </v>
      </c>
      <c r="BB74" s="94" t="str">
        <f t="shared" si="421"/>
        <v xml:space="preserve"> </v>
      </c>
    </row>
    <row r="75" spans="1:54" ht="30" x14ac:dyDescent="0.25">
      <c r="A75" s="80">
        <v>26</v>
      </c>
      <c r="B75" s="95" t="s">
        <v>2867</v>
      </c>
      <c r="C75" s="201" t="s">
        <v>163</v>
      </c>
      <c r="D75" s="80" t="s">
        <v>20</v>
      </c>
      <c r="E75" s="94">
        <f>IFERROR(VLOOKUP(A75,Estimate!A:Q,17,FALSE)," ")</f>
        <v>11050</v>
      </c>
      <c r="F75" s="202">
        <v>1</v>
      </c>
      <c r="G75" s="202">
        <v>1</v>
      </c>
      <c r="H75" s="203">
        <v>13881.32</v>
      </c>
      <c r="I75" s="203">
        <v>13881.32</v>
      </c>
      <c r="J75" s="203">
        <v>13881.32</v>
      </c>
      <c r="K75" s="203"/>
      <c r="L75" s="202"/>
      <c r="M75" s="204">
        <f t="shared" si="403"/>
        <v>0</v>
      </c>
      <c r="N75" s="95"/>
      <c r="O75" s="204">
        <f t="shared" si="403"/>
        <v>0</v>
      </c>
      <c r="P75" s="95"/>
      <c r="Q75" s="204">
        <f t="shared" ref="Q75:S75" si="428">IFERROR(P75/$G75," ")</f>
        <v>0</v>
      </c>
      <c r="R75" s="95"/>
      <c r="S75" s="204">
        <f t="shared" si="428"/>
        <v>0</v>
      </c>
      <c r="T75" s="95"/>
      <c r="U75" s="204">
        <f t="shared" ref="U75:W75" si="429">IFERROR(T75/$G75," ")</f>
        <v>0</v>
      </c>
      <c r="V75" s="95"/>
      <c r="W75" s="204">
        <f t="shared" si="429"/>
        <v>0</v>
      </c>
      <c r="X75" s="95">
        <v>0.2</v>
      </c>
      <c r="Y75" s="204">
        <f t="shared" ref="Y75:AA75" si="430">IFERROR(X75/$G75," ")</f>
        <v>0.2</v>
      </c>
      <c r="Z75" s="95">
        <v>0.4</v>
      </c>
      <c r="AA75" s="204">
        <f t="shared" si="430"/>
        <v>0.4</v>
      </c>
      <c r="AB75" s="95">
        <v>0.6</v>
      </c>
      <c r="AC75" s="204">
        <f t="shared" ref="AC75:AE75" si="431">IFERROR(AB75/$G75," ")</f>
        <v>0.6</v>
      </c>
      <c r="AD75" s="95">
        <v>0.8</v>
      </c>
      <c r="AE75" s="204">
        <f t="shared" si="431"/>
        <v>0.8</v>
      </c>
      <c r="AF75" s="95">
        <v>1</v>
      </c>
      <c r="AG75" s="204">
        <f t="shared" ref="AG75:AI75" si="432">IFERROR(AF75/$G75," ")</f>
        <v>1</v>
      </c>
      <c r="AH75" s="95">
        <v>1</v>
      </c>
      <c r="AI75" s="204">
        <f t="shared" si="432"/>
        <v>1</v>
      </c>
      <c r="AJ75" s="95">
        <v>1</v>
      </c>
      <c r="AK75" s="204">
        <f t="shared" ref="AK75:AM75" si="433">IFERROR(AJ75/$G75," ")</f>
        <v>1</v>
      </c>
      <c r="AL75" s="95">
        <v>1</v>
      </c>
      <c r="AM75" s="204">
        <f t="shared" si="433"/>
        <v>1</v>
      </c>
      <c r="AN75" s="95"/>
      <c r="AO75" s="94">
        <f t="shared" si="410"/>
        <v>0</v>
      </c>
      <c r="AP75" s="94">
        <f t="shared" si="400"/>
        <v>0</v>
      </c>
      <c r="AQ75" s="94">
        <f t="shared" si="401"/>
        <v>0</v>
      </c>
      <c r="AR75" s="94">
        <f t="shared" si="411"/>
        <v>0</v>
      </c>
      <c r="AS75" s="94">
        <f t="shared" si="412"/>
        <v>0</v>
      </c>
      <c r="AT75" s="94">
        <f t="shared" si="413"/>
        <v>0</v>
      </c>
      <c r="AU75" s="94">
        <f t="shared" si="414"/>
        <v>2776.2640000000001</v>
      </c>
      <c r="AV75" s="94">
        <f t="shared" si="415"/>
        <v>5552.5280000000002</v>
      </c>
      <c r="AW75" s="94">
        <f t="shared" si="416"/>
        <v>8328.7919999999995</v>
      </c>
      <c r="AX75" s="94">
        <f t="shared" si="417"/>
        <v>11105.056</v>
      </c>
      <c r="AY75" s="94">
        <f t="shared" si="418"/>
        <v>13881.32</v>
      </c>
      <c r="AZ75" s="94">
        <f t="shared" si="419"/>
        <v>13881.32</v>
      </c>
      <c r="BA75" s="94">
        <f t="shared" si="420"/>
        <v>13881.32</v>
      </c>
      <c r="BB75" s="94">
        <f t="shared" si="421"/>
        <v>13881.32</v>
      </c>
    </row>
    <row r="76" spans="1:54" x14ac:dyDescent="0.25">
      <c r="A76" s="80"/>
      <c r="B76" s="95" t="s">
        <v>2843</v>
      </c>
      <c r="C76" s="201" t="s">
        <v>59</v>
      </c>
      <c r="D76" s="80" t="s">
        <v>783</v>
      </c>
      <c r="E76" s="94" t="str">
        <f>IFERROR(VLOOKUP(A76,Estimate!A:Q,17,FALSE)," ")</f>
        <v xml:space="preserve"> </v>
      </c>
      <c r="F76" s="202" t="s">
        <v>781</v>
      </c>
      <c r="G76" s="202" t="s">
        <v>781</v>
      </c>
      <c r="H76" s="203" t="s">
        <v>781</v>
      </c>
      <c r="I76" s="203" t="s">
        <v>781</v>
      </c>
      <c r="J76" s="203" t="s">
        <v>781</v>
      </c>
      <c r="K76" s="203"/>
      <c r="L76" s="202" t="s">
        <v>781</v>
      </c>
      <c r="M76" s="204" t="str">
        <f t="shared" si="403"/>
        <v xml:space="preserve"> </v>
      </c>
      <c r="N76" s="95" t="s">
        <v>781</v>
      </c>
      <c r="O76" s="204" t="str">
        <f t="shared" si="403"/>
        <v xml:space="preserve"> </v>
      </c>
      <c r="P76" s="95" t="s">
        <v>781</v>
      </c>
      <c r="Q76" s="204" t="str">
        <f t="shared" ref="Q76:S76" si="434">IFERROR(P76/$G76," ")</f>
        <v xml:space="preserve"> </v>
      </c>
      <c r="R76" s="95" t="s">
        <v>781</v>
      </c>
      <c r="S76" s="204" t="str">
        <f t="shared" si="434"/>
        <v xml:space="preserve"> </v>
      </c>
      <c r="T76" s="95" t="s">
        <v>781</v>
      </c>
      <c r="U76" s="204" t="str">
        <f t="shared" ref="U76:W76" si="435">IFERROR(T76/$G76," ")</f>
        <v xml:space="preserve"> </v>
      </c>
      <c r="V76" s="95" t="s">
        <v>781</v>
      </c>
      <c r="W76" s="204" t="str">
        <f t="shared" si="435"/>
        <v xml:space="preserve"> </v>
      </c>
      <c r="X76" s="95" t="s">
        <v>781</v>
      </c>
      <c r="Y76" s="204" t="str">
        <f t="shared" ref="Y76:AA76" si="436">IFERROR(X76/$G76," ")</f>
        <v xml:space="preserve"> </v>
      </c>
      <c r="Z76" s="95" t="s">
        <v>781</v>
      </c>
      <c r="AA76" s="204" t="str">
        <f t="shared" si="436"/>
        <v xml:space="preserve"> </v>
      </c>
      <c r="AB76" s="95" t="s">
        <v>781</v>
      </c>
      <c r="AC76" s="204" t="str">
        <f t="shared" ref="AC76:AE76" si="437">IFERROR(AB76/$G76," ")</f>
        <v xml:space="preserve"> </v>
      </c>
      <c r="AD76" s="95" t="s">
        <v>781</v>
      </c>
      <c r="AE76" s="204" t="str">
        <f t="shared" si="437"/>
        <v xml:space="preserve"> </v>
      </c>
      <c r="AF76" s="95" t="s">
        <v>781</v>
      </c>
      <c r="AG76" s="204" t="str">
        <f t="shared" ref="AG76:AI76" si="438">IFERROR(AF76/$G76," ")</f>
        <v xml:space="preserve"> </v>
      </c>
      <c r="AH76" s="95" t="s">
        <v>781</v>
      </c>
      <c r="AI76" s="204" t="str">
        <f t="shared" si="438"/>
        <v xml:space="preserve"> </v>
      </c>
      <c r="AJ76" s="95" t="s">
        <v>781</v>
      </c>
      <c r="AK76" s="204" t="str">
        <f t="shared" ref="AK76:AM76" si="439">IFERROR(AJ76/$G76," ")</f>
        <v xml:space="preserve"> </v>
      </c>
      <c r="AL76" s="95" t="s">
        <v>781</v>
      </c>
      <c r="AM76" s="204" t="str">
        <f t="shared" si="439"/>
        <v xml:space="preserve"> </v>
      </c>
      <c r="AN76" s="95"/>
      <c r="AO76" s="94" t="str">
        <f t="shared" si="410"/>
        <v xml:space="preserve"> </v>
      </c>
      <c r="AP76" s="94" t="str">
        <f t="shared" si="400"/>
        <v xml:space="preserve"> </v>
      </c>
      <c r="AQ76" s="94" t="str">
        <f t="shared" si="401"/>
        <v xml:space="preserve"> </v>
      </c>
      <c r="AR76" s="94" t="str">
        <f t="shared" si="411"/>
        <v xml:space="preserve"> </v>
      </c>
      <c r="AS76" s="94" t="str">
        <f t="shared" si="412"/>
        <v xml:space="preserve"> </v>
      </c>
      <c r="AT76" s="94" t="str">
        <f t="shared" si="413"/>
        <v xml:space="preserve"> </v>
      </c>
      <c r="AU76" s="94" t="str">
        <f t="shared" si="414"/>
        <v xml:space="preserve"> </v>
      </c>
      <c r="AV76" s="94" t="str">
        <f t="shared" si="415"/>
        <v xml:space="preserve"> </v>
      </c>
      <c r="AW76" s="94" t="str">
        <f t="shared" si="416"/>
        <v xml:space="preserve"> </v>
      </c>
      <c r="AX76" s="94" t="str">
        <f t="shared" si="417"/>
        <v xml:space="preserve"> </v>
      </c>
      <c r="AY76" s="94" t="str">
        <f t="shared" si="418"/>
        <v xml:space="preserve"> </v>
      </c>
      <c r="AZ76" s="94" t="str">
        <f t="shared" si="419"/>
        <v xml:space="preserve"> </v>
      </c>
      <c r="BA76" s="94" t="str">
        <f t="shared" si="420"/>
        <v xml:space="preserve"> </v>
      </c>
      <c r="BB76" s="94" t="str">
        <f t="shared" si="421"/>
        <v xml:space="preserve"> </v>
      </c>
    </row>
    <row r="77" spans="1:54" x14ac:dyDescent="0.25">
      <c r="A77" s="80">
        <v>27</v>
      </c>
      <c r="B77" s="95" t="s">
        <v>2844</v>
      </c>
      <c r="C77" s="201" t="s">
        <v>61</v>
      </c>
      <c r="D77" s="80" t="s">
        <v>62</v>
      </c>
      <c r="E77" s="94">
        <f>IFERROR(VLOOKUP(A77,Estimate!A:Q,17,FALSE)," ")</f>
        <v>20828.529729729729</v>
      </c>
      <c r="F77" s="202">
        <v>998</v>
      </c>
      <c r="G77" s="202">
        <v>998</v>
      </c>
      <c r="H77" s="203">
        <v>26.22</v>
      </c>
      <c r="I77" s="203">
        <v>26167.56</v>
      </c>
      <c r="J77" s="203">
        <v>26167.56</v>
      </c>
      <c r="K77" s="203"/>
      <c r="L77" s="202"/>
      <c r="M77" s="204">
        <f t="shared" si="403"/>
        <v>0</v>
      </c>
      <c r="N77" s="95"/>
      <c r="O77" s="204">
        <f t="shared" si="403"/>
        <v>0</v>
      </c>
      <c r="P77" s="95"/>
      <c r="Q77" s="204">
        <f t="shared" ref="Q77:S77" si="440">IFERROR(P77/$G77," ")</f>
        <v>0</v>
      </c>
      <c r="R77" s="95"/>
      <c r="S77" s="204">
        <f t="shared" si="440"/>
        <v>0</v>
      </c>
      <c r="T77" s="95"/>
      <c r="U77" s="204">
        <f t="shared" ref="U77:W77" si="441">IFERROR(T77/$G77," ")</f>
        <v>0</v>
      </c>
      <c r="V77" s="95"/>
      <c r="W77" s="204">
        <f t="shared" si="441"/>
        <v>0</v>
      </c>
      <c r="X77" s="95"/>
      <c r="Y77" s="204">
        <f t="shared" ref="Y77:AA77" si="442">IFERROR(X77/$G77," ")</f>
        <v>0</v>
      </c>
      <c r="Z77" s="95">
        <v>200</v>
      </c>
      <c r="AA77" s="204">
        <f t="shared" si="442"/>
        <v>0.20040080160320642</v>
      </c>
      <c r="AB77" s="95">
        <v>998</v>
      </c>
      <c r="AC77" s="204">
        <f t="shared" ref="AC77:AE77" si="443">IFERROR(AB77/$G77," ")</f>
        <v>1</v>
      </c>
      <c r="AD77" s="95">
        <v>998</v>
      </c>
      <c r="AE77" s="204">
        <f t="shared" si="443"/>
        <v>1</v>
      </c>
      <c r="AF77" s="95">
        <v>998</v>
      </c>
      <c r="AG77" s="204">
        <f t="shared" ref="AG77:AI77" si="444">IFERROR(AF77/$G77," ")</f>
        <v>1</v>
      </c>
      <c r="AH77" s="95">
        <v>998</v>
      </c>
      <c r="AI77" s="204">
        <f t="shared" si="444"/>
        <v>1</v>
      </c>
      <c r="AJ77" s="95">
        <v>998</v>
      </c>
      <c r="AK77" s="204">
        <f t="shared" ref="AK77:AM77" si="445">IFERROR(AJ77/$G77," ")</f>
        <v>1</v>
      </c>
      <c r="AL77" s="95">
        <v>998</v>
      </c>
      <c r="AM77" s="204">
        <f t="shared" si="445"/>
        <v>1</v>
      </c>
      <c r="AN77" s="95"/>
      <c r="AO77" s="94">
        <f t="shared" si="410"/>
        <v>0</v>
      </c>
      <c r="AP77" s="94">
        <f t="shared" si="400"/>
        <v>0</v>
      </c>
      <c r="AQ77" s="94">
        <f t="shared" si="401"/>
        <v>0</v>
      </c>
      <c r="AR77" s="94">
        <f t="shared" si="411"/>
        <v>0</v>
      </c>
      <c r="AS77" s="94">
        <f t="shared" si="412"/>
        <v>0</v>
      </c>
      <c r="AT77" s="94">
        <f t="shared" si="413"/>
        <v>0</v>
      </c>
      <c r="AU77" s="94">
        <f t="shared" si="414"/>
        <v>0</v>
      </c>
      <c r="AV77" s="94">
        <f t="shared" si="415"/>
        <v>5244</v>
      </c>
      <c r="AW77" s="94">
        <f t="shared" si="416"/>
        <v>26167.56</v>
      </c>
      <c r="AX77" s="94">
        <f t="shared" si="417"/>
        <v>26167.56</v>
      </c>
      <c r="AY77" s="94">
        <f t="shared" si="418"/>
        <v>26167.56</v>
      </c>
      <c r="AZ77" s="94">
        <f t="shared" si="419"/>
        <v>26167.56</v>
      </c>
      <c r="BA77" s="94">
        <f t="shared" si="420"/>
        <v>26167.56</v>
      </c>
      <c r="BB77" s="94">
        <f t="shared" si="421"/>
        <v>26167.56</v>
      </c>
    </row>
    <row r="78" spans="1:54" ht="30" x14ac:dyDescent="0.25">
      <c r="A78" s="80">
        <v>28</v>
      </c>
      <c r="B78" s="95" t="s">
        <v>2845</v>
      </c>
      <c r="C78" s="201" t="s">
        <v>167</v>
      </c>
      <c r="D78" s="80" t="s">
        <v>62</v>
      </c>
      <c r="E78" s="94">
        <f>IFERROR(VLOOKUP(A78,Estimate!A:Q,17,FALSE)," ")</f>
        <v>655.33333333333337</v>
      </c>
      <c r="F78" s="202">
        <v>10</v>
      </c>
      <c r="G78" s="202">
        <v>10</v>
      </c>
      <c r="H78" s="203">
        <v>65.53</v>
      </c>
      <c r="I78" s="203">
        <v>655.29999999999995</v>
      </c>
      <c r="J78" s="203">
        <v>655.29999999999995</v>
      </c>
      <c r="K78" s="203"/>
      <c r="L78" s="202"/>
      <c r="M78" s="204">
        <f t="shared" si="403"/>
        <v>0</v>
      </c>
      <c r="N78" s="95"/>
      <c r="O78" s="204">
        <f t="shared" si="403"/>
        <v>0</v>
      </c>
      <c r="P78" s="95"/>
      <c r="Q78" s="204">
        <f t="shared" ref="Q78:S78" si="446">IFERROR(P78/$G78," ")</f>
        <v>0</v>
      </c>
      <c r="R78" s="95"/>
      <c r="S78" s="204">
        <f t="shared" si="446"/>
        <v>0</v>
      </c>
      <c r="T78" s="95"/>
      <c r="U78" s="204">
        <f t="shared" ref="U78:W78" si="447">IFERROR(T78/$G78," ")</f>
        <v>0</v>
      </c>
      <c r="V78" s="95"/>
      <c r="W78" s="204">
        <f t="shared" si="447"/>
        <v>0</v>
      </c>
      <c r="X78" s="95"/>
      <c r="Y78" s="204">
        <f t="shared" ref="Y78:AA78" si="448">IFERROR(X78/$G78," ")</f>
        <v>0</v>
      </c>
      <c r="Z78" s="95"/>
      <c r="AA78" s="204">
        <f t="shared" si="448"/>
        <v>0</v>
      </c>
      <c r="AB78" s="95"/>
      <c r="AC78" s="204">
        <f t="shared" ref="AC78:AE78" si="449">IFERROR(AB78/$G78," ")</f>
        <v>0</v>
      </c>
      <c r="AD78" s="95">
        <v>10</v>
      </c>
      <c r="AE78" s="204">
        <f t="shared" si="449"/>
        <v>1</v>
      </c>
      <c r="AF78" s="95">
        <v>10</v>
      </c>
      <c r="AG78" s="204">
        <f t="shared" ref="AG78:AI78" si="450">IFERROR(AF78/$G78," ")</f>
        <v>1</v>
      </c>
      <c r="AH78" s="95">
        <v>10</v>
      </c>
      <c r="AI78" s="204">
        <f t="shared" si="450"/>
        <v>1</v>
      </c>
      <c r="AJ78" s="95"/>
      <c r="AK78" s="204">
        <f t="shared" ref="AK78:AM78" si="451">IFERROR(AJ78/$G78," ")</f>
        <v>0</v>
      </c>
      <c r="AL78" s="95"/>
      <c r="AM78" s="204">
        <f t="shared" si="451"/>
        <v>0</v>
      </c>
      <c r="AN78" s="95"/>
      <c r="AO78" s="94">
        <f t="shared" si="410"/>
        <v>0</v>
      </c>
      <c r="AP78" s="94">
        <f t="shared" si="400"/>
        <v>0</v>
      </c>
      <c r="AQ78" s="94">
        <f t="shared" si="401"/>
        <v>0</v>
      </c>
      <c r="AR78" s="94">
        <f t="shared" si="411"/>
        <v>0</v>
      </c>
      <c r="AS78" s="94">
        <f t="shared" si="412"/>
        <v>0</v>
      </c>
      <c r="AT78" s="94">
        <f t="shared" si="413"/>
        <v>0</v>
      </c>
      <c r="AU78" s="94">
        <f t="shared" si="414"/>
        <v>0</v>
      </c>
      <c r="AV78" s="94">
        <f t="shared" si="415"/>
        <v>0</v>
      </c>
      <c r="AW78" s="94">
        <f t="shared" si="416"/>
        <v>0</v>
      </c>
      <c r="AX78" s="94">
        <f t="shared" si="417"/>
        <v>655.29999999999995</v>
      </c>
      <c r="AY78" s="94">
        <f t="shared" si="418"/>
        <v>655.29999999999995</v>
      </c>
      <c r="AZ78" s="94">
        <f t="shared" si="419"/>
        <v>655.29999999999995</v>
      </c>
      <c r="BA78" s="94">
        <f t="shared" si="420"/>
        <v>0</v>
      </c>
      <c r="BB78" s="94">
        <f t="shared" si="421"/>
        <v>0</v>
      </c>
    </row>
    <row r="79" spans="1:54" x14ac:dyDescent="0.25">
      <c r="A79" s="80"/>
      <c r="B79" s="95" t="s">
        <v>2417</v>
      </c>
      <c r="C79" s="201" t="s">
        <v>2837</v>
      </c>
      <c r="D79" s="80" t="s">
        <v>783</v>
      </c>
      <c r="E79" s="94" t="str">
        <f>IFERROR(VLOOKUP(A79,Estimate!A:Q,17,FALSE)," ")</f>
        <v xml:space="preserve"> </v>
      </c>
      <c r="F79" s="202" t="s">
        <v>781</v>
      </c>
      <c r="G79" s="202" t="s">
        <v>781</v>
      </c>
      <c r="H79" s="203" t="s">
        <v>781</v>
      </c>
      <c r="I79" s="203" t="s">
        <v>781</v>
      </c>
      <c r="J79" s="203" t="s">
        <v>781</v>
      </c>
      <c r="K79" s="203"/>
      <c r="L79" s="202" t="s">
        <v>781</v>
      </c>
      <c r="M79" s="204" t="str">
        <f t="shared" si="403"/>
        <v xml:space="preserve"> </v>
      </c>
      <c r="N79" s="95" t="s">
        <v>781</v>
      </c>
      <c r="O79" s="204" t="str">
        <f t="shared" si="403"/>
        <v xml:space="preserve"> </v>
      </c>
      <c r="P79" s="95" t="s">
        <v>781</v>
      </c>
      <c r="Q79" s="204" t="str">
        <f t="shared" ref="Q79:S79" si="452">IFERROR(P79/$G79," ")</f>
        <v xml:space="preserve"> </v>
      </c>
      <c r="R79" s="95" t="s">
        <v>781</v>
      </c>
      <c r="S79" s="204" t="str">
        <f t="shared" si="452"/>
        <v xml:space="preserve"> </v>
      </c>
      <c r="T79" s="95" t="s">
        <v>781</v>
      </c>
      <c r="U79" s="204" t="str">
        <f t="shared" ref="U79:W79" si="453">IFERROR(T79/$G79," ")</f>
        <v xml:space="preserve"> </v>
      </c>
      <c r="V79" s="95" t="s">
        <v>781</v>
      </c>
      <c r="W79" s="204" t="str">
        <f t="shared" si="453"/>
        <v xml:space="preserve"> </v>
      </c>
      <c r="X79" s="95" t="s">
        <v>781</v>
      </c>
      <c r="Y79" s="204" t="str">
        <f t="shared" ref="Y79:AA79" si="454">IFERROR(X79/$G79," ")</f>
        <v xml:space="preserve"> </v>
      </c>
      <c r="Z79" s="95" t="s">
        <v>781</v>
      </c>
      <c r="AA79" s="204" t="str">
        <f t="shared" si="454"/>
        <v xml:space="preserve"> </v>
      </c>
      <c r="AB79" s="95" t="s">
        <v>781</v>
      </c>
      <c r="AC79" s="204" t="str">
        <f t="shared" ref="AC79:AE79" si="455">IFERROR(AB79/$G79," ")</f>
        <v xml:space="preserve"> </v>
      </c>
      <c r="AD79" s="95" t="s">
        <v>781</v>
      </c>
      <c r="AE79" s="204" t="str">
        <f t="shared" si="455"/>
        <v xml:space="preserve"> </v>
      </c>
      <c r="AF79" s="95" t="s">
        <v>781</v>
      </c>
      <c r="AG79" s="204" t="str">
        <f t="shared" ref="AG79:AI79" si="456">IFERROR(AF79/$G79," ")</f>
        <v xml:space="preserve"> </v>
      </c>
      <c r="AH79" s="95" t="s">
        <v>781</v>
      </c>
      <c r="AI79" s="204" t="str">
        <f t="shared" si="456"/>
        <v xml:space="preserve"> </v>
      </c>
      <c r="AJ79" s="95" t="s">
        <v>781</v>
      </c>
      <c r="AK79" s="204" t="str">
        <f t="shared" ref="AK79:AM79" si="457">IFERROR(AJ79/$G79," ")</f>
        <v xml:space="preserve"> </v>
      </c>
      <c r="AL79" s="95" t="s">
        <v>781</v>
      </c>
      <c r="AM79" s="204" t="str">
        <f t="shared" si="457"/>
        <v xml:space="preserve"> </v>
      </c>
      <c r="AN79" s="95"/>
      <c r="AO79" s="94" t="str">
        <f t="shared" si="410"/>
        <v xml:space="preserve"> </v>
      </c>
      <c r="AP79" s="94" t="str">
        <f t="shared" si="400"/>
        <v xml:space="preserve"> </v>
      </c>
      <c r="AQ79" s="94" t="str">
        <f t="shared" si="401"/>
        <v xml:space="preserve"> </v>
      </c>
      <c r="AR79" s="94" t="str">
        <f t="shared" si="411"/>
        <v xml:space="preserve"> </v>
      </c>
      <c r="AS79" s="94" t="str">
        <f t="shared" si="412"/>
        <v xml:space="preserve"> </v>
      </c>
      <c r="AT79" s="94" t="str">
        <f t="shared" si="413"/>
        <v xml:space="preserve"> </v>
      </c>
      <c r="AU79" s="94" t="str">
        <f t="shared" si="414"/>
        <v xml:space="preserve"> </v>
      </c>
      <c r="AV79" s="94" t="str">
        <f t="shared" si="415"/>
        <v xml:space="preserve"> </v>
      </c>
      <c r="AW79" s="94" t="str">
        <f t="shared" si="416"/>
        <v xml:space="preserve"> </v>
      </c>
      <c r="AX79" s="94" t="str">
        <f t="shared" si="417"/>
        <v xml:space="preserve"> </v>
      </c>
      <c r="AY79" s="94" t="str">
        <f t="shared" si="418"/>
        <v xml:space="preserve"> </v>
      </c>
      <c r="AZ79" s="94" t="str">
        <f t="shared" si="419"/>
        <v xml:space="preserve"> </v>
      </c>
      <c r="BA79" s="94" t="str">
        <f t="shared" si="420"/>
        <v xml:space="preserve"> </v>
      </c>
      <c r="BB79" s="94" t="str">
        <f t="shared" si="421"/>
        <v xml:space="preserve"> </v>
      </c>
    </row>
    <row r="80" spans="1:54" x14ac:dyDescent="0.25">
      <c r="A80" s="80"/>
      <c r="B80" s="95" t="s">
        <v>2417</v>
      </c>
      <c r="C80" s="201" t="s">
        <v>71</v>
      </c>
      <c r="D80" s="80" t="s">
        <v>783</v>
      </c>
      <c r="E80" s="94" t="str">
        <f>IFERROR(VLOOKUP(A80,Estimate!A:Q,17,FALSE)," ")</f>
        <v xml:space="preserve"> </v>
      </c>
      <c r="F80" s="202" t="s">
        <v>781</v>
      </c>
      <c r="G80" s="202" t="s">
        <v>781</v>
      </c>
      <c r="H80" s="203" t="s">
        <v>781</v>
      </c>
      <c r="I80" s="203" t="s">
        <v>781</v>
      </c>
      <c r="J80" s="203" t="s">
        <v>781</v>
      </c>
      <c r="K80" s="203"/>
      <c r="L80" s="202" t="s">
        <v>781</v>
      </c>
      <c r="M80" s="204" t="str">
        <f t="shared" si="403"/>
        <v xml:space="preserve"> </v>
      </c>
      <c r="N80" s="95" t="s">
        <v>781</v>
      </c>
      <c r="O80" s="204" t="str">
        <f t="shared" si="403"/>
        <v xml:space="preserve"> </v>
      </c>
      <c r="P80" s="95" t="s">
        <v>781</v>
      </c>
      <c r="Q80" s="204" t="str">
        <f t="shared" ref="Q80:S80" si="458">IFERROR(P80/$G80," ")</f>
        <v xml:space="preserve"> </v>
      </c>
      <c r="R80" s="95" t="s">
        <v>781</v>
      </c>
      <c r="S80" s="204" t="str">
        <f t="shared" si="458"/>
        <v xml:space="preserve"> </v>
      </c>
      <c r="T80" s="95" t="s">
        <v>781</v>
      </c>
      <c r="U80" s="204" t="str">
        <f t="shared" ref="U80:W80" si="459">IFERROR(T80/$G80," ")</f>
        <v xml:space="preserve"> </v>
      </c>
      <c r="V80" s="95" t="s">
        <v>781</v>
      </c>
      <c r="W80" s="204" t="str">
        <f t="shared" si="459"/>
        <v xml:space="preserve"> </v>
      </c>
      <c r="X80" s="95" t="s">
        <v>781</v>
      </c>
      <c r="Y80" s="204" t="str">
        <f t="shared" ref="Y80:AA80" si="460">IFERROR(X80/$G80," ")</f>
        <v xml:space="preserve"> </v>
      </c>
      <c r="Z80" s="95" t="s">
        <v>781</v>
      </c>
      <c r="AA80" s="204" t="str">
        <f t="shared" si="460"/>
        <v xml:space="preserve"> </v>
      </c>
      <c r="AB80" s="95" t="s">
        <v>781</v>
      </c>
      <c r="AC80" s="204" t="str">
        <f t="shared" ref="AC80:AE80" si="461">IFERROR(AB80/$G80," ")</f>
        <v xml:space="preserve"> </v>
      </c>
      <c r="AD80" s="95" t="s">
        <v>781</v>
      </c>
      <c r="AE80" s="204" t="str">
        <f t="shared" si="461"/>
        <v xml:space="preserve"> </v>
      </c>
      <c r="AF80" s="95" t="s">
        <v>781</v>
      </c>
      <c r="AG80" s="204" t="str">
        <f t="shared" ref="AG80:AI80" si="462">IFERROR(AF80/$G80," ")</f>
        <v xml:space="preserve"> </v>
      </c>
      <c r="AH80" s="95" t="s">
        <v>781</v>
      </c>
      <c r="AI80" s="204" t="str">
        <f t="shared" si="462"/>
        <v xml:space="preserve"> </v>
      </c>
      <c r="AJ80" s="95" t="s">
        <v>781</v>
      </c>
      <c r="AK80" s="204" t="str">
        <f t="shared" ref="AK80:AM80" si="463">IFERROR(AJ80/$G80," ")</f>
        <v xml:space="preserve"> </v>
      </c>
      <c r="AL80" s="95" t="s">
        <v>781</v>
      </c>
      <c r="AM80" s="204" t="str">
        <f t="shared" si="463"/>
        <v xml:space="preserve"> </v>
      </c>
      <c r="AN80" s="95"/>
      <c r="AO80" s="94" t="str">
        <f t="shared" si="410"/>
        <v xml:space="preserve"> </v>
      </c>
      <c r="AP80" s="94" t="str">
        <f t="shared" si="400"/>
        <v xml:space="preserve"> </v>
      </c>
      <c r="AQ80" s="94" t="str">
        <f t="shared" si="401"/>
        <v xml:space="preserve"> </v>
      </c>
      <c r="AR80" s="94" t="str">
        <f t="shared" si="411"/>
        <v xml:space="preserve"> </v>
      </c>
      <c r="AS80" s="94" t="str">
        <f t="shared" si="412"/>
        <v xml:space="preserve"> </v>
      </c>
      <c r="AT80" s="94" t="str">
        <f t="shared" si="413"/>
        <v xml:space="preserve"> </v>
      </c>
      <c r="AU80" s="94" t="str">
        <f t="shared" si="414"/>
        <v xml:space="preserve"> </v>
      </c>
      <c r="AV80" s="94" t="str">
        <f t="shared" si="415"/>
        <v xml:space="preserve"> </v>
      </c>
      <c r="AW80" s="94" t="str">
        <f t="shared" si="416"/>
        <v xml:space="preserve"> </v>
      </c>
      <c r="AX80" s="94" t="str">
        <f t="shared" si="417"/>
        <v xml:space="preserve"> </v>
      </c>
      <c r="AY80" s="94" t="str">
        <f t="shared" si="418"/>
        <v xml:space="preserve"> </v>
      </c>
      <c r="AZ80" s="94" t="str">
        <f t="shared" si="419"/>
        <v xml:space="preserve"> </v>
      </c>
      <c r="BA80" s="94" t="str">
        <f t="shared" si="420"/>
        <v xml:space="preserve"> </v>
      </c>
      <c r="BB80" s="94" t="str">
        <f t="shared" si="421"/>
        <v xml:space="preserve"> </v>
      </c>
    </row>
    <row r="81" spans="1:54" x14ac:dyDescent="0.25">
      <c r="A81" s="80"/>
      <c r="B81" s="95" t="s">
        <v>2868</v>
      </c>
      <c r="C81" s="201" t="s">
        <v>170</v>
      </c>
      <c r="D81" s="80" t="s">
        <v>783</v>
      </c>
      <c r="E81" s="94" t="str">
        <f>IFERROR(VLOOKUP(A81,Estimate!A:Q,17,FALSE)," ")</f>
        <v xml:space="preserve"> </v>
      </c>
      <c r="F81" s="202" t="s">
        <v>781</v>
      </c>
      <c r="G81" s="202" t="s">
        <v>781</v>
      </c>
      <c r="H81" s="203" t="s">
        <v>781</v>
      </c>
      <c r="I81" s="203" t="s">
        <v>781</v>
      </c>
      <c r="J81" s="203" t="s">
        <v>781</v>
      </c>
      <c r="K81" s="203"/>
      <c r="L81" s="202" t="s">
        <v>781</v>
      </c>
      <c r="M81" s="204" t="str">
        <f t="shared" si="403"/>
        <v xml:space="preserve"> </v>
      </c>
      <c r="N81" s="95" t="s">
        <v>781</v>
      </c>
      <c r="O81" s="204" t="str">
        <f t="shared" si="403"/>
        <v xml:space="preserve"> </v>
      </c>
      <c r="P81" s="95" t="s">
        <v>781</v>
      </c>
      <c r="Q81" s="204" t="str">
        <f t="shared" ref="Q81:S81" si="464">IFERROR(P81/$G81," ")</f>
        <v xml:space="preserve"> </v>
      </c>
      <c r="R81" s="95" t="s">
        <v>781</v>
      </c>
      <c r="S81" s="204" t="str">
        <f t="shared" si="464"/>
        <v xml:space="preserve"> </v>
      </c>
      <c r="T81" s="95" t="s">
        <v>781</v>
      </c>
      <c r="U81" s="204" t="str">
        <f t="shared" ref="U81:W81" si="465">IFERROR(T81/$G81," ")</f>
        <v xml:space="preserve"> </v>
      </c>
      <c r="V81" s="95" t="s">
        <v>781</v>
      </c>
      <c r="W81" s="204" t="str">
        <f t="shared" si="465"/>
        <v xml:space="preserve"> </v>
      </c>
      <c r="X81" s="95" t="s">
        <v>781</v>
      </c>
      <c r="Y81" s="204" t="str">
        <f t="shared" ref="Y81:AA81" si="466">IFERROR(X81/$G81," ")</f>
        <v xml:space="preserve"> </v>
      </c>
      <c r="Z81" s="95" t="s">
        <v>781</v>
      </c>
      <c r="AA81" s="204" t="str">
        <f t="shared" si="466"/>
        <v xml:space="preserve"> </v>
      </c>
      <c r="AB81" s="95" t="s">
        <v>781</v>
      </c>
      <c r="AC81" s="204" t="str">
        <f t="shared" ref="AC81:AE81" si="467">IFERROR(AB81/$G81," ")</f>
        <v xml:space="preserve"> </v>
      </c>
      <c r="AD81" s="95" t="s">
        <v>781</v>
      </c>
      <c r="AE81" s="204" t="str">
        <f t="shared" si="467"/>
        <v xml:space="preserve"> </v>
      </c>
      <c r="AF81" s="95" t="s">
        <v>781</v>
      </c>
      <c r="AG81" s="204" t="str">
        <f t="shared" ref="AG81:AI81" si="468">IFERROR(AF81/$G81," ")</f>
        <v xml:space="preserve"> </v>
      </c>
      <c r="AH81" s="95" t="s">
        <v>781</v>
      </c>
      <c r="AI81" s="204" t="str">
        <f t="shared" si="468"/>
        <v xml:space="preserve"> </v>
      </c>
      <c r="AJ81" s="95" t="s">
        <v>781</v>
      </c>
      <c r="AK81" s="204" t="str">
        <f t="shared" ref="AK81:AM81" si="469">IFERROR(AJ81/$G81," ")</f>
        <v xml:space="preserve"> </v>
      </c>
      <c r="AL81" s="95" t="s">
        <v>781</v>
      </c>
      <c r="AM81" s="204" t="str">
        <f t="shared" si="469"/>
        <v xml:space="preserve"> </v>
      </c>
      <c r="AN81" s="95"/>
      <c r="AO81" s="94" t="str">
        <f t="shared" si="410"/>
        <v xml:space="preserve"> </v>
      </c>
      <c r="AP81" s="94" t="str">
        <f t="shared" si="400"/>
        <v xml:space="preserve"> </v>
      </c>
      <c r="AQ81" s="94" t="str">
        <f t="shared" si="401"/>
        <v xml:space="preserve"> </v>
      </c>
      <c r="AR81" s="94" t="str">
        <f t="shared" si="411"/>
        <v xml:space="preserve"> </v>
      </c>
      <c r="AS81" s="94" t="str">
        <f t="shared" si="412"/>
        <v xml:space="preserve"> </v>
      </c>
      <c r="AT81" s="94" t="str">
        <f t="shared" si="413"/>
        <v xml:space="preserve"> </v>
      </c>
      <c r="AU81" s="94" t="str">
        <f t="shared" si="414"/>
        <v xml:space="preserve"> </v>
      </c>
      <c r="AV81" s="94" t="str">
        <f t="shared" si="415"/>
        <v xml:space="preserve"> </v>
      </c>
      <c r="AW81" s="94" t="str">
        <f t="shared" si="416"/>
        <v xml:space="preserve"> </v>
      </c>
      <c r="AX81" s="94" t="str">
        <f t="shared" si="417"/>
        <v xml:space="preserve"> </v>
      </c>
      <c r="AY81" s="94" t="str">
        <f t="shared" si="418"/>
        <v xml:space="preserve"> </v>
      </c>
      <c r="AZ81" s="94" t="str">
        <f t="shared" si="419"/>
        <v xml:space="preserve"> </v>
      </c>
      <c r="BA81" s="94" t="str">
        <f t="shared" si="420"/>
        <v xml:space="preserve"> </v>
      </c>
      <c r="BB81" s="94" t="str">
        <f t="shared" si="421"/>
        <v xml:space="preserve"> </v>
      </c>
    </row>
    <row r="82" spans="1:54" ht="30" x14ac:dyDescent="0.25">
      <c r="A82" s="80">
        <v>29</v>
      </c>
      <c r="B82" s="95">
        <v>137</v>
      </c>
      <c r="C82" s="201" t="s">
        <v>172</v>
      </c>
      <c r="D82" s="80" t="s">
        <v>20</v>
      </c>
      <c r="E82" s="94">
        <f>IFERROR(VLOOKUP(A82,Estimate!A:Q,17,FALSE)," ")</f>
        <v>10066.666666666666</v>
      </c>
      <c r="F82" s="202">
        <v>1</v>
      </c>
      <c r="G82" s="202">
        <v>1</v>
      </c>
      <c r="H82" s="203">
        <v>13646.79</v>
      </c>
      <c r="I82" s="203">
        <v>13646.79</v>
      </c>
      <c r="J82" s="203">
        <v>13646.79</v>
      </c>
      <c r="K82" s="203"/>
      <c r="L82" s="202"/>
      <c r="M82" s="204">
        <f t="shared" si="403"/>
        <v>0</v>
      </c>
      <c r="N82" s="95"/>
      <c r="O82" s="204">
        <f t="shared" si="403"/>
        <v>0</v>
      </c>
      <c r="P82" s="95"/>
      <c r="Q82" s="204">
        <f t="shared" ref="Q82:S82" si="470">IFERROR(P82/$G82," ")</f>
        <v>0</v>
      </c>
      <c r="R82" s="95"/>
      <c r="S82" s="204">
        <f t="shared" si="470"/>
        <v>0</v>
      </c>
      <c r="T82" s="95"/>
      <c r="U82" s="204">
        <f t="shared" ref="U82:W82" si="471">IFERROR(T82/$G82," ")</f>
        <v>0</v>
      </c>
      <c r="V82" s="95"/>
      <c r="W82" s="204">
        <f t="shared" si="471"/>
        <v>0</v>
      </c>
      <c r="X82" s="95"/>
      <c r="Y82" s="204">
        <f t="shared" ref="Y82:AA82" si="472">IFERROR(X82/$G82," ")</f>
        <v>0</v>
      </c>
      <c r="Z82" s="95">
        <v>0.2</v>
      </c>
      <c r="AA82" s="204">
        <f t="shared" si="472"/>
        <v>0.2</v>
      </c>
      <c r="AB82" s="95">
        <v>0.9</v>
      </c>
      <c r="AC82" s="204">
        <f t="shared" ref="AC82:AE82" si="473">IFERROR(AB82/$G82," ")</f>
        <v>0.9</v>
      </c>
      <c r="AD82" s="95">
        <v>1</v>
      </c>
      <c r="AE82" s="204">
        <f t="shared" si="473"/>
        <v>1</v>
      </c>
      <c r="AF82" s="95">
        <v>1</v>
      </c>
      <c r="AG82" s="204">
        <f t="shared" ref="AG82:AI82" si="474">IFERROR(AF82/$G82," ")</f>
        <v>1</v>
      </c>
      <c r="AH82" s="95">
        <v>1</v>
      </c>
      <c r="AI82" s="204">
        <f t="shared" si="474"/>
        <v>1</v>
      </c>
      <c r="AJ82" s="95">
        <v>1</v>
      </c>
      <c r="AK82" s="204">
        <f t="shared" ref="AK82:AM82" si="475">IFERROR(AJ82/$G82," ")</f>
        <v>1</v>
      </c>
      <c r="AL82" s="95">
        <v>1</v>
      </c>
      <c r="AM82" s="204">
        <f t="shared" si="475"/>
        <v>1</v>
      </c>
      <c r="AN82" s="95"/>
      <c r="AO82" s="94">
        <f t="shared" si="410"/>
        <v>0</v>
      </c>
      <c r="AP82" s="94">
        <f t="shared" si="400"/>
        <v>0</v>
      </c>
      <c r="AQ82" s="94">
        <f t="shared" si="401"/>
        <v>0</v>
      </c>
      <c r="AR82" s="94">
        <f t="shared" si="411"/>
        <v>0</v>
      </c>
      <c r="AS82" s="94">
        <f t="shared" si="412"/>
        <v>0</v>
      </c>
      <c r="AT82" s="94">
        <f t="shared" si="413"/>
        <v>0</v>
      </c>
      <c r="AU82" s="94">
        <f t="shared" si="414"/>
        <v>0</v>
      </c>
      <c r="AV82" s="94">
        <f t="shared" si="415"/>
        <v>2729.3580000000002</v>
      </c>
      <c r="AW82" s="94">
        <f t="shared" si="416"/>
        <v>12282.111000000001</v>
      </c>
      <c r="AX82" s="94">
        <f t="shared" si="417"/>
        <v>13646.79</v>
      </c>
      <c r="AY82" s="94">
        <f t="shared" si="418"/>
        <v>13646.79</v>
      </c>
      <c r="AZ82" s="94">
        <f t="shared" si="419"/>
        <v>13646.79</v>
      </c>
      <c r="BA82" s="94">
        <f t="shared" si="420"/>
        <v>13646.79</v>
      </c>
      <c r="BB82" s="94">
        <f t="shared" si="421"/>
        <v>13646.79</v>
      </c>
    </row>
    <row r="83" spans="1:54" ht="30" x14ac:dyDescent="0.25">
      <c r="A83" s="80">
        <v>30</v>
      </c>
      <c r="B83" s="95" t="s">
        <v>2417</v>
      </c>
      <c r="C83" s="201" t="s">
        <v>175</v>
      </c>
      <c r="D83" s="80" t="s">
        <v>20</v>
      </c>
      <c r="E83" s="94">
        <f>IFERROR(VLOOKUP(A83,Estimate!A:Q,17,FALSE)," ")</f>
        <v>1200</v>
      </c>
      <c r="F83" s="202">
        <v>1</v>
      </c>
      <c r="G83" s="202">
        <v>1</v>
      </c>
      <c r="H83" s="203">
        <v>1507.47</v>
      </c>
      <c r="I83" s="203">
        <v>1507.47</v>
      </c>
      <c r="J83" s="203">
        <v>1507.47</v>
      </c>
      <c r="K83" s="203"/>
      <c r="L83" s="202"/>
      <c r="M83" s="204">
        <f t="shared" si="403"/>
        <v>0</v>
      </c>
      <c r="N83" s="95"/>
      <c r="O83" s="204">
        <f t="shared" si="403"/>
        <v>0</v>
      </c>
      <c r="P83" s="95"/>
      <c r="Q83" s="204">
        <f t="shared" ref="Q83:S83" si="476">IFERROR(P83/$G83," ")</f>
        <v>0</v>
      </c>
      <c r="R83" s="95"/>
      <c r="S83" s="204">
        <f t="shared" si="476"/>
        <v>0</v>
      </c>
      <c r="T83" s="95"/>
      <c r="U83" s="204">
        <f t="shared" ref="U83:W83" si="477">IFERROR(T83/$G83," ")</f>
        <v>0</v>
      </c>
      <c r="V83" s="95"/>
      <c r="W83" s="204">
        <f t="shared" si="477"/>
        <v>0</v>
      </c>
      <c r="X83" s="95"/>
      <c r="Y83" s="204">
        <f t="shared" ref="Y83:AA83" si="478">IFERROR(X83/$G83," ")</f>
        <v>0</v>
      </c>
      <c r="Z83" s="95"/>
      <c r="AA83" s="204">
        <f t="shared" si="478"/>
        <v>0</v>
      </c>
      <c r="AB83" s="95"/>
      <c r="AC83" s="204">
        <f t="shared" ref="AC83:AE83" si="479">IFERROR(AB83/$G83," ")</f>
        <v>0</v>
      </c>
      <c r="AD83" s="95">
        <v>1</v>
      </c>
      <c r="AE83" s="204">
        <f t="shared" si="479"/>
        <v>1</v>
      </c>
      <c r="AF83" s="95">
        <v>1</v>
      </c>
      <c r="AG83" s="204">
        <f t="shared" ref="AG83:AI83" si="480">IFERROR(AF83/$G83," ")</f>
        <v>1</v>
      </c>
      <c r="AH83" s="95">
        <v>1</v>
      </c>
      <c r="AI83" s="204">
        <f t="shared" si="480"/>
        <v>1</v>
      </c>
      <c r="AJ83" s="95">
        <v>1</v>
      </c>
      <c r="AK83" s="204">
        <f t="shared" ref="AK83:AM83" si="481">IFERROR(AJ83/$G83," ")</f>
        <v>1</v>
      </c>
      <c r="AL83" s="95">
        <v>1</v>
      </c>
      <c r="AM83" s="204">
        <f t="shared" si="481"/>
        <v>1</v>
      </c>
      <c r="AN83" s="95"/>
      <c r="AO83" s="94">
        <f t="shared" si="410"/>
        <v>0</v>
      </c>
      <c r="AP83" s="94">
        <f t="shared" si="400"/>
        <v>0</v>
      </c>
      <c r="AQ83" s="94">
        <f t="shared" si="401"/>
        <v>0</v>
      </c>
      <c r="AR83" s="94">
        <f t="shared" si="411"/>
        <v>0</v>
      </c>
      <c r="AS83" s="94">
        <f t="shared" si="412"/>
        <v>0</v>
      </c>
      <c r="AT83" s="94">
        <f t="shared" si="413"/>
        <v>0</v>
      </c>
      <c r="AU83" s="94">
        <f t="shared" si="414"/>
        <v>0</v>
      </c>
      <c r="AV83" s="94">
        <f t="shared" si="415"/>
        <v>0</v>
      </c>
      <c r="AW83" s="94">
        <f t="shared" si="416"/>
        <v>0</v>
      </c>
      <c r="AX83" s="94">
        <f t="shared" si="417"/>
        <v>1507.47</v>
      </c>
      <c r="AY83" s="94">
        <f t="shared" si="418"/>
        <v>1507.47</v>
      </c>
      <c r="AZ83" s="94">
        <f t="shared" si="419"/>
        <v>1507.47</v>
      </c>
      <c r="BA83" s="94">
        <f t="shared" si="420"/>
        <v>1507.47</v>
      </c>
      <c r="BB83" s="94">
        <f t="shared" si="421"/>
        <v>1507.47</v>
      </c>
    </row>
    <row r="84" spans="1:54" x14ac:dyDescent="0.25">
      <c r="A84" s="80"/>
      <c r="B84" s="95" t="s">
        <v>2846</v>
      </c>
      <c r="C84" s="201" t="s">
        <v>73</v>
      </c>
      <c r="D84" s="80" t="s">
        <v>783</v>
      </c>
      <c r="E84" s="94" t="str">
        <f>IFERROR(VLOOKUP(A84,Estimate!A:Q,17,FALSE)," ")</f>
        <v xml:space="preserve"> </v>
      </c>
      <c r="F84" s="202" t="s">
        <v>781</v>
      </c>
      <c r="G84" s="202" t="s">
        <v>781</v>
      </c>
      <c r="H84" s="203" t="s">
        <v>781</v>
      </c>
      <c r="I84" s="203" t="s">
        <v>781</v>
      </c>
      <c r="J84" s="203" t="s">
        <v>781</v>
      </c>
      <c r="K84" s="203"/>
      <c r="L84" s="202" t="s">
        <v>781</v>
      </c>
      <c r="M84" s="204" t="str">
        <f t="shared" si="403"/>
        <v xml:space="preserve"> </v>
      </c>
      <c r="N84" s="95" t="s">
        <v>781</v>
      </c>
      <c r="O84" s="204" t="str">
        <f t="shared" si="403"/>
        <v xml:space="preserve"> </v>
      </c>
      <c r="P84" s="95" t="s">
        <v>781</v>
      </c>
      <c r="Q84" s="204" t="str">
        <f t="shared" ref="Q84:S84" si="482">IFERROR(P84/$G84," ")</f>
        <v xml:space="preserve"> </v>
      </c>
      <c r="R84" s="95" t="s">
        <v>781</v>
      </c>
      <c r="S84" s="204" t="str">
        <f t="shared" si="482"/>
        <v xml:space="preserve"> </v>
      </c>
      <c r="T84" s="95" t="s">
        <v>781</v>
      </c>
      <c r="U84" s="204" t="str">
        <f t="shared" ref="U84:W84" si="483">IFERROR(T84/$G84," ")</f>
        <v xml:space="preserve"> </v>
      </c>
      <c r="V84" s="95" t="s">
        <v>781</v>
      </c>
      <c r="W84" s="204" t="str">
        <f t="shared" si="483"/>
        <v xml:space="preserve"> </v>
      </c>
      <c r="X84" s="95" t="s">
        <v>781</v>
      </c>
      <c r="Y84" s="204" t="str">
        <f t="shared" ref="Y84:AA84" si="484">IFERROR(X84/$G84," ")</f>
        <v xml:space="preserve"> </v>
      </c>
      <c r="Z84" s="95" t="s">
        <v>781</v>
      </c>
      <c r="AA84" s="204" t="str">
        <f t="shared" si="484"/>
        <v xml:space="preserve"> </v>
      </c>
      <c r="AB84" s="95" t="s">
        <v>781</v>
      </c>
      <c r="AC84" s="204" t="str">
        <f t="shared" ref="AC84:AE84" si="485">IFERROR(AB84/$G84," ")</f>
        <v xml:space="preserve"> </v>
      </c>
      <c r="AD84" s="95" t="s">
        <v>781</v>
      </c>
      <c r="AE84" s="204" t="str">
        <f t="shared" si="485"/>
        <v xml:space="preserve"> </v>
      </c>
      <c r="AF84" s="95" t="s">
        <v>781</v>
      </c>
      <c r="AG84" s="204" t="str">
        <f t="shared" ref="AG84:AI84" si="486">IFERROR(AF84/$G84," ")</f>
        <v xml:space="preserve"> </v>
      </c>
      <c r="AH84" s="95" t="s">
        <v>781</v>
      </c>
      <c r="AI84" s="204" t="str">
        <f t="shared" si="486"/>
        <v xml:space="preserve"> </v>
      </c>
      <c r="AJ84" s="95" t="s">
        <v>781</v>
      </c>
      <c r="AK84" s="204" t="str">
        <f t="shared" ref="AK84:AM84" si="487">IFERROR(AJ84/$G84," ")</f>
        <v xml:space="preserve"> </v>
      </c>
      <c r="AL84" s="95" t="s">
        <v>781</v>
      </c>
      <c r="AM84" s="204" t="str">
        <f t="shared" si="487"/>
        <v xml:space="preserve"> </v>
      </c>
      <c r="AN84" s="95"/>
      <c r="AO84" s="94" t="str">
        <f t="shared" si="410"/>
        <v xml:space="preserve"> </v>
      </c>
      <c r="AP84" s="94" t="str">
        <f t="shared" si="400"/>
        <v xml:space="preserve"> </v>
      </c>
      <c r="AQ84" s="94" t="str">
        <f t="shared" si="401"/>
        <v xml:space="preserve"> </v>
      </c>
      <c r="AR84" s="94" t="str">
        <f t="shared" si="411"/>
        <v xml:space="preserve"> </v>
      </c>
      <c r="AS84" s="94" t="str">
        <f t="shared" si="412"/>
        <v xml:space="preserve"> </v>
      </c>
      <c r="AT84" s="94" t="str">
        <f t="shared" si="413"/>
        <v xml:space="preserve"> </v>
      </c>
      <c r="AU84" s="94" t="str">
        <f t="shared" si="414"/>
        <v xml:space="preserve"> </v>
      </c>
      <c r="AV84" s="94" t="str">
        <f t="shared" si="415"/>
        <v xml:space="preserve"> </v>
      </c>
      <c r="AW84" s="94" t="str">
        <f t="shared" si="416"/>
        <v xml:space="preserve"> </v>
      </c>
      <c r="AX84" s="94" t="str">
        <f t="shared" si="417"/>
        <v xml:space="preserve"> </v>
      </c>
      <c r="AY84" s="94" t="str">
        <f t="shared" si="418"/>
        <v xml:space="preserve"> </v>
      </c>
      <c r="AZ84" s="94" t="str">
        <f t="shared" si="419"/>
        <v xml:space="preserve"> </v>
      </c>
      <c r="BA84" s="94" t="str">
        <f t="shared" si="420"/>
        <v xml:space="preserve"> </v>
      </c>
      <c r="BB84" s="94" t="str">
        <f t="shared" si="421"/>
        <v xml:space="preserve"> </v>
      </c>
    </row>
    <row r="85" spans="1:54" x14ac:dyDescent="0.25">
      <c r="A85" s="80">
        <v>31</v>
      </c>
      <c r="B85" s="95" t="s">
        <v>2869</v>
      </c>
      <c r="C85" s="201" t="s">
        <v>179</v>
      </c>
      <c r="D85" s="80" t="s">
        <v>89</v>
      </c>
      <c r="E85" s="94">
        <f>IFERROR(VLOOKUP(A85,Estimate!A:Q,17,FALSE)," ")</f>
        <v>2313</v>
      </c>
      <c r="F85" s="202">
        <v>16</v>
      </c>
      <c r="G85" s="202">
        <v>16</v>
      </c>
      <c r="H85" s="203">
        <v>181.6</v>
      </c>
      <c r="I85" s="203">
        <v>2905.6</v>
      </c>
      <c r="J85" s="203">
        <v>2905.6</v>
      </c>
      <c r="K85" s="203"/>
      <c r="L85" s="202"/>
      <c r="M85" s="204">
        <f t="shared" si="403"/>
        <v>0</v>
      </c>
      <c r="N85" s="95"/>
      <c r="O85" s="204">
        <f t="shared" si="403"/>
        <v>0</v>
      </c>
      <c r="P85" s="95"/>
      <c r="Q85" s="204">
        <f t="shared" ref="Q85:S85" si="488">IFERROR(P85/$G85," ")</f>
        <v>0</v>
      </c>
      <c r="R85" s="95"/>
      <c r="S85" s="204">
        <f t="shared" si="488"/>
        <v>0</v>
      </c>
      <c r="T85" s="95"/>
      <c r="U85" s="204">
        <f t="shared" ref="U85:W85" si="489">IFERROR(T85/$G85," ")</f>
        <v>0</v>
      </c>
      <c r="V85" s="95"/>
      <c r="W85" s="204">
        <f t="shared" si="489"/>
        <v>0</v>
      </c>
      <c r="X85" s="95"/>
      <c r="Y85" s="204">
        <f t="shared" ref="Y85:AA85" si="490">IFERROR(X85/$G85," ")</f>
        <v>0</v>
      </c>
      <c r="Z85" s="95"/>
      <c r="AA85" s="204">
        <f t="shared" si="490"/>
        <v>0</v>
      </c>
      <c r="AB85" s="95"/>
      <c r="AC85" s="204">
        <f t="shared" ref="AC85:AE85" si="491">IFERROR(AB85/$G85," ")</f>
        <v>0</v>
      </c>
      <c r="AD85" s="95">
        <v>16</v>
      </c>
      <c r="AE85" s="204">
        <f t="shared" si="491"/>
        <v>1</v>
      </c>
      <c r="AF85" s="95">
        <v>16</v>
      </c>
      <c r="AG85" s="204">
        <f t="shared" ref="AG85:AI85" si="492">IFERROR(AF85/$G85," ")</f>
        <v>1</v>
      </c>
      <c r="AH85" s="95">
        <v>16</v>
      </c>
      <c r="AI85" s="204">
        <f t="shared" si="492"/>
        <v>1</v>
      </c>
      <c r="AJ85" s="95">
        <v>16</v>
      </c>
      <c r="AK85" s="204">
        <f t="shared" ref="AK85:AM85" si="493">IFERROR(AJ85/$G85," ")</f>
        <v>1</v>
      </c>
      <c r="AL85" s="95">
        <v>16</v>
      </c>
      <c r="AM85" s="204">
        <f t="shared" si="493"/>
        <v>1</v>
      </c>
      <c r="AN85" s="95"/>
      <c r="AO85" s="94">
        <f t="shared" si="410"/>
        <v>0</v>
      </c>
      <c r="AP85" s="94">
        <f t="shared" si="400"/>
        <v>0</v>
      </c>
      <c r="AQ85" s="94">
        <f t="shared" si="401"/>
        <v>0</v>
      </c>
      <c r="AR85" s="94">
        <f t="shared" si="411"/>
        <v>0</v>
      </c>
      <c r="AS85" s="94">
        <f t="shared" si="412"/>
        <v>0</v>
      </c>
      <c r="AT85" s="94">
        <f t="shared" si="413"/>
        <v>0</v>
      </c>
      <c r="AU85" s="94">
        <f t="shared" si="414"/>
        <v>0</v>
      </c>
      <c r="AV85" s="94">
        <f t="shared" si="415"/>
        <v>0</v>
      </c>
      <c r="AW85" s="94">
        <f t="shared" si="416"/>
        <v>0</v>
      </c>
      <c r="AX85" s="94">
        <f t="shared" si="417"/>
        <v>2905.6</v>
      </c>
      <c r="AY85" s="94">
        <f t="shared" si="418"/>
        <v>2905.6</v>
      </c>
      <c r="AZ85" s="94">
        <f t="shared" si="419"/>
        <v>2905.6</v>
      </c>
      <c r="BA85" s="94">
        <f t="shared" si="420"/>
        <v>2905.6</v>
      </c>
      <c r="BB85" s="94">
        <f t="shared" si="421"/>
        <v>2905.6</v>
      </c>
    </row>
    <row r="86" spans="1:54" x14ac:dyDescent="0.25">
      <c r="A86" s="80">
        <v>32</v>
      </c>
      <c r="B86" s="95" t="s">
        <v>2870</v>
      </c>
      <c r="C86" s="201" t="s">
        <v>182</v>
      </c>
      <c r="D86" s="80" t="s">
        <v>29</v>
      </c>
      <c r="E86" s="94">
        <f>IFERROR(VLOOKUP(A86,Estimate!A:Q,17,FALSE)," ")</f>
        <v>3750</v>
      </c>
      <c r="F86" s="202">
        <v>1</v>
      </c>
      <c r="G86" s="202">
        <v>1</v>
      </c>
      <c r="H86" s="203">
        <v>4710.8500000000004</v>
      </c>
      <c r="I86" s="203">
        <v>4710.8500000000004</v>
      </c>
      <c r="J86" s="203">
        <v>4710.8500000000004</v>
      </c>
      <c r="K86" s="203"/>
      <c r="L86" s="202"/>
      <c r="M86" s="204">
        <f t="shared" si="403"/>
        <v>0</v>
      </c>
      <c r="N86" s="95"/>
      <c r="O86" s="204">
        <f t="shared" si="403"/>
        <v>0</v>
      </c>
      <c r="P86" s="95"/>
      <c r="Q86" s="204">
        <f t="shared" ref="Q86:S86" si="494">IFERROR(P86/$G86," ")</f>
        <v>0</v>
      </c>
      <c r="R86" s="95"/>
      <c r="S86" s="204">
        <f t="shared" si="494"/>
        <v>0</v>
      </c>
      <c r="T86" s="95"/>
      <c r="U86" s="204">
        <f t="shared" ref="U86:W86" si="495">IFERROR(T86/$G86," ")</f>
        <v>0</v>
      </c>
      <c r="V86" s="95"/>
      <c r="W86" s="204">
        <f t="shared" si="495"/>
        <v>0</v>
      </c>
      <c r="X86" s="95"/>
      <c r="Y86" s="204">
        <f t="shared" ref="Y86:AA86" si="496">IFERROR(X86/$G86," ")</f>
        <v>0</v>
      </c>
      <c r="Z86" s="95"/>
      <c r="AA86" s="204">
        <f t="shared" si="496"/>
        <v>0</v>
      </c>
      <c r="AB86" s="95"/>
      <c r="AC86" s="204">
        <f t="shared" ref="AC86:AE86" si="497">IFERROR(AB86/$G86," ")</f>
        <v>0</v>
      </c>
      <c r="AD86" s="95">
        <v>0.5</v>
      </c>
      <c r="AE86" s="204">
        <f t="shared" si="497"/>
        <v>0.5</v>
      </c>
      <c r="AF86" s="95">
        <v>1</v>
      </c>
      <c r="AG86" s="204">
        <f t="shared" ref="AG86:AI86" si="498">IFERROR(AF86/$G86," ")</f>
        <v>1</v>
      </c>
      <c r="AH86" s="95">
        <v>1</v>
      </c>
      <c r="AI86" s="204">
        <f t="shared" si="498"/>
        <v>1</v>
      </c>
      <c r="AJ86" s="95">
        <v>1</v>
      </c>
      <c r="AK86" s="204">
        <f t="shared" ref="AK86:AM86" si="499">IFERROR(AJ86/$G86," ")</f>
        <v>1</v>
      </c>
      <c r="AL86" s="95">
        <v>1</v>
      </c>
      <c r="AM86" s="204">
        <f t="shared" si="499"/>
        <v>1</v>
      </c>
      <c r="AN86" s="95"/>
      <c r="AO86" s="94">
        <f t="shared" si="410"/>
        <v>0</v>
      </c>
      <c r="AP86" s="94">
        <f t="shared" si="400"/>
        <v>0</v>
      </c>
      <c r="AQ86" s="94">
        <f t="shared" si="401"/>
        <v>0</v>
      </c>
      <c r="AR86" s="94">
        <f t="shared" si="411"/>
        <v>0</v>
      </c>
      <c r="AS86" s="94">
        <f t="shared" si="412"/>
        <v>0</v>
      </c>
      <c r="AT86" s="94">
        <f t="shared" si="413"/>
        <v>0</v>
      </c>
      <c r="AU86" s="94">
        <f t="shared" si="414"/>
        <v>0</v>
      </c>
      <c r="AV86" s="94">
        <f t="shared" si="415"/>
        <v>0</v>
      </c>
      <c r="AW86" s="94">
        <f t="shared" si="416"/>
        <v>0</v>
      </c>
      <c r="AX86" s="94">
        <f t="shared" si="417"/>
        <v>2355.4250000000002</v>
      </c>
      <c r="AY86" s="94">
        <f t="shared" si="418"/>
        <v>4710.8500000000004</v>
      </c>
      <c r="AZ86" s="94">
        <f t="shared" si="419"/>
        <v>4710.8500000000004</v>
      </c>
      <c r="BA86" s="94">
        <f t="shared" si="420"/>
        <v>4710.8500000000004</v>
      </c>
      <c r="BB86" s="94">
        <f t="shared" si="421"/>
        <v>4710.8500000000004</v>
      </c>
    </row>
    <row r="87" spans="1:54" x14ac:dyDescent="0.25">
      <c r="A87" s="80"/>
      <c r="B87" s="95" t="s">
        <v>2853</v>
      </c>
      <c r="C87" s="201" t="s">
        <v>98</v>
      </c>
      <c r="D87" s="80" t="s">
        <v>783</v>
      </c>
      <c r="E87" s="94" t="str">
        <f>IFERROR(VLOOKUP(A87,Estimate!A:Q,17,FALSE)," ")</f>
        <v xml:space="preserve"> </v>
      </c>
      <c r="F87" s="202" t="s">
        <v>781</v>
      </c>
      <c r="G87" s="202" t="s">
        <v>781</v>
      </c>
      <c r="H87" s="203" t="s">
        <v>781</v>
      </c>
      <c r="I87" s="203" t="s">
        <v>781</v>
      </c>
      <c r="J87" s="203" t="s">
        <v>781</v>
      </c>
      <c r="K87" s="203"/>
      <c r="L87" s="202" t="s">
        <v>781</v>
      </c>
      <c r="M87" s="204" t="str">
        <f t="shared" si="403"/>
        <v xml:space="preserve"> </v>
      </c>
      <c r="N87" s="95" t="s">
        <v>781</v>
      </c>
      <c r="O87" s="204" t="str">
        <f t="shared" si="403"/>
        <v xml:space="preserve"> </v>
      </c>
      <c r="P87" s="95" t="s">
        <v>781</v>
      </c>
      <c r="Q87" s="204" t="str">
        <f t="shared" ref="Q87:S87" si="500">IFERROR(P87/$G87," ")</f>
        <v xml:space="preserve"> </v>
      </c>
      <c r="R87" s="95" t="s">
        <v>781</v>
      </c>
      <c r="S87" s="204" t="str">
        <f t="shared" si="500"/>
        <v xml:space="preserve"> </v>
      </c>
      <c r="T87" s="95" t="s">
        <v>781</v>
      </c>
      <c r="U87" s="204" t="str">
        <f t="shared" ref="U87:W87" si="501">IFERROR(T87/$G87," ")</f>
        <v xml:space="preserve"> </v>
      </c>
      <c r="V87" s="95" t="s">
        <v>781</v>
      </c>
      <c r="W87" s="204" t="str">
        <f t="shared" si="501"/>
        <v xml:space="preserve"> </v>
      </c>
      <c r="X87" s="95" t="s">
        <v>781</v>
      </c>
      <c r="Y87" s="204" t="str">
        <f t="shared" ref="Y87:AA87" si="502">IFERROR(X87/$G87," ")</f>
        <v xml:space="preserve"> </v>
      </c>
      <c r="Z87" s="95" t="s">
        <v>781</v>
      </c>
      <c r="AA87" s="204" t="str">
        <f t="shared" si="502"/>
        <v xml:space="preserve"> </v>
      </c>
      <c r="AB87" s="95" t="s">
        <v>781</v>
      </c>
      <c r="AC87" s="204" t="str">
        <f t="shared" ref="AC87:AE87" si="503">IFERROR(AB87/$G87," ")</f>
        <v xml:space="preserve"> </v>
      </c>
      <c r="AD87" s="95" t="s">
        <v>781</v>
      </c>
      <c r="AE87" s="204" t="str">
        <f t="shared" si="503"/>
        <v xml:space="preserve"> </v>
      </c>
      <c r="AF87" s="95" t="s">
        <v>781</v>
      </c>
      <c r="AG87" s="204" t="str">
        <f t="shared" ref="AG87:AI87" si="504">IFERROR(AF87/$G87," ")</f>
        <v xml:space="preserve"> </v>
      </c>
      <c r="AH87" s="95" t="s">
        <v>781</v>
      </c>
      <c r="AI87" s="204" t="str">
        <f t="shared" si="504"/>
        <v xml:space="preserve"> </v>
      </c>
      <c r="AJ87" s="95" t="s">
        <v>781</v>
      </c>
      <c r="AK87" s="204" t="str">
        <f t="shared" ref="AK87:AM87" si="505">IFERROR(AJ87/$G87," ")</f>
        <v xml:space="preserve"> </v>
      </c>
      <c r="AL87" s="95" t="s">
        <v>781</v>
      </c>
      <c r="AM87" s="204" t="str">
        <f t="shared" si="505"/>
        <v xml:space="preserve"> </v>
      </c>
      <c r="AN87" s="95"/>
      <c r="AO87" s="94" t="str">
        <f t="shared" si="410"/>
        <v xml:space="preserve"> </v>
      </c>
      <c r="AP87" s="94" t="str">
        <f t="shared" si="400"/>
        <v xml:space="preserve"> </v>
      </c>
      <c r="AQ87" s="94" t="str">
        <f t="shared" si="401"/>
        <v xml:space="preserve"> </v>
      </c>
      <c r="AR87" s="94" t="str">
        <f t="shared" si="411"/>
        <v xml:space="preserve"> </v>
      </c>
      <c r="AS87" s="94" t="str">
        <f t="shared" si="412"/>
        <v xml:space="preserve"> </v>
      </c>
      <c r="AT87" s="94" t="str">
        <f t="shared" si="413"/>
        <v xml:space="preserve"> </v>
      </c>
      <c r="AU87" s="94" t="str">
        <f t="shared" si="414"/>
        <v xml:space="preserve"> </v>
      </c>
      <c r="AV87" s="94" t="str">
        <f t="shared" si="415"/>
        <v xml:space="preserve"> </v>
      </c>
      <c r="AW87" s="94" t="str">
        <f t="shared" si="416"/>
        <v xml:space="preserve"> </v>
      </c>
      <c r="AX87" s="94" t="str">
        <f t="shared" si="417"/>
        <v xml:space="preserve"> </v>
      </c>
      <c r="AY87" s="94" t="str">
        <f t="shared" si="418"/>
        <v xml:space="preserve"> </v>
      </c>
      <c r="AZ87" s="94" t="str">
        <f t="shared" si="419"/>
        <v xml:space="preserve"> </v>
      </c>
      <c r="BA87" s="94" t="str">
        <f t="shared" si="420"/>
        <v xml:space="preserve"> </v>
      </c>
      <c r="BB87" s="94" t="str">
        <f t="shared" si="421"/>
        <v xml:space="preserve"> </v>
      </c>
    </row>
    <row r="88" spans="1:54" x14ac:dyDescent="0.25">
      <c r="A88" s="80">
        <v>33</v>
      </c>
      <c r="B88" s="95" t="s">
        <v>2871</v>
      </c>
      <c r="C88" s="201" t="s">
        <v>186</v>
      </c>
      <c r="D88" s="80" t="s">
        <v>107</v>
      </c>
      <c r="E88" s="94">
        <f>IFERROR(VLOOKUP(A88,Estimate!A:Q,17,FALSE)," ")</f>
        <v>356.1444444444445</v>
      </c>
      <c r="F88" s="202">
        <v>5</v>
      </c>
      <c r="G88" s="202">
        <v>5</v>
      </c>
      <c r="H88" s="203">
        <v>89.48</v>
      </c>
      <c r="I88" s="203">
        <v>447.4</v>
      </c>
      <c r="J88" s="203">
        <v>447.4</v>
      </c>
      <c r="K88" s="203"/>
      <c r="L88" s="202"/>
      <c r="M88" s="204">
        <f t="shared" si="403"/>
        <v>0</v>
      </c>
      <c r="N88" s="95"/>
      <c r="O88" s="204">
        <f t="shared" si="403"/>
        <v>0</v>
      </c>
      <c r="P88" s="95"/>
      <c r="Q88" s="204">
        <f t="shared" ref="Q88:S88" si="506">IFERROR(P88/$G88," ")</f>
        <v>0</v>
      </c>
      <c r="R88" s="95"/>
      <c r="S88" s="204">
        <f t="shared" si="506"/>
        <v>0</v>
      </c>
      <c r="T88" s="95"/>
      <c r="U88" s="204">
        <f t="shared" ref="U88:W88" si="507">IFERROR(T88/$G88," ")</f>
        <v>0</v>
      </c>
      <c r="V88" s="95"/>
      <c r="W88" s="204">
        <f t="shared" si="507"/>
        <v>0</v>
      </c>
      <c r="X88" s="95"/>
      <c r="Y88" s="204">
        <f t="shared" ref="Y88:AA88" si="508">IFERROR(X88/$G88," ")</f>
        <v>0</v>
      </c>
      <c r="Z88" s="95"/>
      <c r="AA88" s="204">
        <f t="shared" si="508"/>
        <v>0</v>
      </c>
      <c r="AB88" s="95"/>
      <c r="AC88" s="204">
        <f t="shared" ref="AC88:AE88" si="509">IFERROR(AB88/$G88," ")</f>
        <v>0</v>
      </c>
      <c r="AD88" s="95">
        <v>5</v>
      </c>
      <c r="AE88" s="204">
        <f t="shared" si="509"/>
        <v>1</v>
      </c>
      <c r="AF88" s="95">
        <v>5</v>
      </c>
      <c r="AG88" s="204">
        <f t="shared" ref="AG88:AI88" si="510">IFERROR(AF88/$G88," ")</f>
        <v>1</v>
      </c>
      <c r="AH88" s="95">
        <v>5</v>
      </c>
      <c r="AI88" s="204">
        <f t="shared" si="510"/>
        <v>1</v>
      </c>
      <c r="AJ88" s="95">
        <v>5</v>
      </c>
      <c r="AK88" s="204">
        <f t="shared" ref="AK88:AM88" si="511">IFERROR(AJ88/$G88," ")</f>
        <v>1</v>
      </c>
      <c r="AL88" s="95">
        <v>5</v>
      </c>
      <c r="AM88" s="204">
        <f t="shared" si="511"/>
        <v>1</v>
      </c>
      <c r="AN88" s="95"/>
      <c r="AO88" s="94">
        <f t="shared" si="410"/>
        <v>0</v>
      </c>
      <c r="AP88" s="94">
        <f t="shared" si="400"/>
        <v>0</v>
      </c>
      <c r="AQ88" s="94">
        <f t="shared" si="401"/>
        <v>0</v>
      </c>
      <c r="AR88" s="94">
        <f t="shared" si="411"/>
        <v>0</v>
      </c>
      <c r="AS88" s="94">
        <f t="shared" si="412"/>
        <v>0</v>
      </c>
      <c r="AT88" s="94">
        <f t="shared" si="413"/>
        <v>0</v>
      </c>
      <c r="AU88" s="94">
        <f t="shared" si="414"/>
        <v>0</v>
      </c>
      <c r="AV88" s="94">
        <f t="shared" si="415"/>
        <v>0</v>
      </c>
      <c r="AW88" s="94">
        <f t="shared" si="416"/>
        <v>0</v>
      </c>
      <c r="AX88" s="94">
        <f t="shared" si="417"/>
        <v>447.4</v>
      </c>
      <c r="AY88" s="94">
        <f t="shared" si="418"/>
        <v>447.4</v>
      </c>
      <c r="AZ88" s="94">
        <f t="shared" si="419"/>
        <v>447.4</v>
      </c>
      <c r="BA88" s="94">
        <f t="shared" si="420"/>
        <v>447.4</v>
      </c>
      <c r="BB88" s="94">
        <f t="shared" si="421"/>
        <v>447.4</v>
      </c>
    </row>
    <row r="89" spans="1:54" x14ac:dyDescent="0.25">
      <c r="A89" s="80">
        <v>34</v>
      </c>
      <c r="B89" s="95" t="s">
        <v>2872</v>
      </c>
      <c r="C89" s="201" t="s">
        <v>195</v>
      </c>
      <c r="D89" s="80" t="s">
        <v>89</v>
      </c>
      <c r="E89" s="94">
        <f>IFERROR(VLOOKUP(A89,Estimate!A:Q,17,FALSE)," ")</f>
        <v>10526.278604651163</v>
      </c>
      <c r="F89" s="202">
        <v>198</v>
      </c>
      <c r="G89" s="202">
        <v>198</v>
      </c>
      <c r="H89" s="203">
        <v>66.78</v>
      </c>
      <c r="I89" s="203">
        <v>13222.44</v>
      </c>
      <c r="J89" s="203">
        <v>13222.44</v>
      </c>
      <c r="K89" s="203"/>
      <c r="L89" s="202"/>
      <c r="M89" s="204">
        <f t="shared" si="403"/>
        <v>0</v>
      </c>
      <c r="N89" s="95"/>
      <c r="O89" s="204">
        <f t="shared" si="403"/>
        <v>0</v>
      </c>
      <c r="P89" s="95"/>
      <c r="Q89" s="204">
        <f t="shared" ref="Q89:S89" si="512">IFERROR(P89/$G89," ")</f>
        <v>0</v>
      </c>
      <c r="R89" s="95"/>
      <c r="S89" s="204">
        <f t="shared" si="512"/>
        <v>0</v>
      </c>
      <c r="T89" s="95"/>
      <c r="U89" s="204">
        <f t="shared" ref="U89:W89" si="513">IFERROR(T89/$G89," ")</f>
        <v>0</v>
      </c>
      <c r="V89" s="95"/>
      <c r="W89" s="204">
        <f t="shared" si="513"/>
        <v>0</v>
      </c>
      <c r="X89" s="95"/>
      <c r="Y89" s="204">
        <f t="shared" ref="Y89:AA89" si="514">IFERROR(X89/$G89," ")</f>
        <v>0</v>
      </c>
      <c r="Z89" s="95"/>
      <c r="AA89" s="204">
        <f t="shared" si="514"/>
        <v>0</v>
      </c>
      <c r="AB89" s="95">
        <v>178.2</v>
      </c>
      <c r="AC89" s="204">
        <f t="shared" ref="AC89:AE89" si="515">IFERROR(AB89/$G89," ")</f>
        <v>0.89999999999999991</v>
      </c>
      <c r="AD89" s="95">
        <v>198</v>
      </c>
      <c r="AE89" s="204">
        <f t="shared" si="515"/>
        <v>1</v>
      </c>
      <c r="AF89" s="95">
        <v>198</v>
      </c>
      <c r="AG89" s="204">
        <f t="shared" ref="AG89:AI89" si="516">IFERROR(AF89/$G89," ")</f>
        <v>1</v>
      </c>
      <c r="AH89" s="95">
        <v>198</v>
      </c>
      <c r="AI89" s="204">
        <f t="shared" si="516"/>
        <v>1</v>
      </c>
      <c r="AJ89" s="95">
        <v>198</v>
      </c>
      <c r="AK89" s="204">
        <f t="shared" ref="AK89:AM89" si="517">IFERROR(AJ89/$G89," ")</f>
        <v>1</v>
      </c>
      <c r="AL89" s="95">
        <v>198</v>
      </c>
      <c r="AM89" s="204">
        <f t="shared" si="517"/>
        <v>1</v>
      </c>
      <c r="AN89" s="95"/>
      <c r="AO89" s="94">
        <f t="shared" si="410"/>
        <v>0</v>
      </c>
      <c r="AP89" s="94">
        <f t="shared" si="400"/>
        <v>0</v>
      </c>
      <c r="AQ89" s="94">
        <f t="shared" si="401"/>
        <v>0</v>
      </c>
      <c r="AR89" s="94">
        <f t="shared" si="411"/>
        <v>0</v>
      </c>
      <c r="AS89" s="94">
        <f t="shared" si="412"/>
        <v>0</v>
      </c>
      <c r="AT89" s="94">
        <f t="shared" si="413"/>
        <v>0</v>
      </c>
      <c r="AU89" s="94">
        <f t="shared" si="414"/>
        <v>0</v>
      </c>
      <c r="AV89" s="94">
        <f t="shared" si="415"/>
        <v>0</v>
      </c>
      <c r="AW89" s="94">
        <f t="shared" si="416"/>
        <v>11900.196</v>
      </c>
      <c r="AX89" s="94">
        <f t="shared" si="417"/>
        <v>13222.44</v>
      </c>
      <c r="AY89" s="94">
        <f t="shared" si="418"/>
        <v>13222.44</v>
      </c>
      <c r="AZ89" s="94">
        <f t="shared" si="419"/>
        <v>13222.44</v>
      </c>
      <c r="BA89" s="94">
        <f t="shared" si="420"/>
        <v>13222.44</v>
      </c>
      <c r="BB89" s="94">
        <f t="shared" si="421"/>
        <v>13222.44</v>
      </c>
    </row>
    <row r="90" spans="1:54" x14ac:dyDescent="0.25">
      <c r="A90" s="80">
        <v>35</v>
      </c>
      <c r="B90" s="95" t="s">
        <v>2873</v>
      </c>
      <c r="C90" s="201" t="s">
        <v>200</v>
      </c>
      <c r="D90" s="80" t="s">
        <v>89</v>
      </c>
      <c r="E90" s="94">
        <f>IFERROR(VLOOKUP(A90,Estimate!A:Q,17,FALSE)," ")</f>
        <v>6633.57</v>
      </c>
      <c r="F90" s="202">
        <v>51</v>
      </c>
      <c r="G90" s="202">
        <v>51</v>
      </c>
      <c r="H90" s="203">
        <v>163.4</v>
      </c>
      <c r="I90" s="203">
        <v>8333.4</v>
      </c>
      <c r="J90" s="203">
        <v>8333.4</v>
      </c>
      <c r="K90" s="203"/>
      <c r="L90" s="202"/>
      <c r="M90" s="204">
        <f t="shared" si="403"/>
        <v>0</v>
      </c>
      <c r="N90" s="95"/>
      <c r="O90" s="204">
        <f t="shared" si="403"/>
        <v>0</v>
      </c>
      <c r="P90" s="95"/>
      <c r="Q90" s="204">
        <f t="shared" ref="Q90:S90" si="518">IFERROR(P90/$G90," ")</f>
        <v>0</v>
      </c>
      <c r="R90" s="95"/>
      <c r="S90" s="204">
        <f t="shared" si="518"/>
        <v>0</v>
      </c>
      <c r="T90" s="95"/>
      <c r="U90" s="204">
        <f t="shared" ref="U90:W90" si="519">IFERROR(T90/$G90," ")</f>
        <v>0</v>
      </c>
      <c r="V90" s="95"/>
      <c r="W90" s="204">
        <f t="shared" si="519"/>
        <v>0</v>
      </c>
      <c r="X90" s="95"/>
      <c r="Y90" s="204">
        <f t="shared" ref="Y90:AA90" si="520">IFERROR(X90/$G90," ")</f>
        <v>0</v>
      </c>
      <c r="Z90" s="95"/>
      <c r="AA90" s="204">
        <f t="shared" si="520"/>
        <v>0</v>
      </c>
      <c r="AB90" s="95"/>
      <c r="AC90" s="204">
        <f t="shared" ref="AC90:AE90" si="521">IFERROR(AB90/$G90," ")</f>
        <v>0</v>
      </c>
      <c r="AD90" s="95">
        <v>30</v>
      </c>
      <c r="AE90" s="204">
        <f t="shared" si="521"/>
        <v>0.58823529411764708</v>
      </c>
      <c r="AF90" s="95">
        <v>51</v>
      </c>
      <c r="AG90" s="204">
        <f t="shared" ref="AG90:AI90" si="522">IFERROR(AF90/$G90," ")</f>
        <v>1</v>
      </c>
      <c r="AH90" s="95">
        <v>51</v>
      </c>
      <c r="AI90" s="204">
        <f t="shared" si="522"/>
        <v>1</v>
      </c>
      <c r="AJ90" s="95">
        <v>51</v>
      </c>
      <c r="AK90" s="204">
        <f t="shared" ref="AK90:AM90" si="523">IFERROR(AJ90/$G90," ")</f>
        <v>1</v>
      </c>
      <c r="AL90" s="95">
        <v>51</v>
      </c>
      <c r="AM90" s="204">
        <f t="shared" si="523"/>
        <v>1</v>
      </c>
      <c r="AN90" s="95"/>
      <c r="AO90" s="94">
        <f t="shared" si="410"/>
        <v>0</v>
      </c>
      <c r="AP90" s="94">
        <f t="shared" si="400"/>
        <v>0</v>
      </c>
      <c r="AQ90" s="94">
        <f t="shared" si="401"/>
        <v>0</v>
      </c>
      <c r="AR90" s="94">
        <f t="shared" si="411"/>
        <v>0</v>
      </c>
      <c r="AS90" s="94">
        <f t="shared" si="412"/>
        <v>0</v>
      </c>
      <c r="AT90" s="94">
        <f t="shared" si="413"/>
        <v>0</v>
      </c>
      <c r="AU90" s="94">
        <f t="shared" si="414"/>
        <v>0</v>
      </c>
      <c r="AV90" s="94">
        <f t="shared" si="415"/>
        <v>0</v>
      </c>
      <c r="AW90" s="94">
        <f t="shared" si="416"/>
        <v>0</v>
      </c>
      <c r="AX90" s="94">
        <f t="shared" si="417"/>
        <v>4902</v>
      </c>
      <c r="AY90" s="94">
        <f t="shared" si="418"/>
        <v>8333.4</v>
      </c>
      <c r="AZ90" s="94">
        <f t="shared" si="419"/>
        <v>8333.4</v>
      </c>
      <c r="BA90" s="94">
        <f t="shared" si="420"/>
        <v>8333.4</v>
      </c>
      <c r="BB90" s="94">
        <f t="shared" si="421"/>
        <v>8333.4</v>
      </c>
    </row>
    <row r="91" spans="1:54" x14ac:dyDescent="0.25">
      <c r="A91" s="80">
        <v>36</v>
      </c>
      <c r="B91" s="95" t="s">
        <v>2874</v>
      </c>
      <c r="C91" s="201" t="s">
        <v>202</v>
      </c>
      <c r="D91" s="80" t="s">
        <v>89</v>
      </c>
      <c r="E91" s="94">
        <f>IFERROR(VLOOKUP(A91,Estimate!A:Q,17,FALSE)," ")</f>
        <v>2551.826</v>
      </c>
      <c r="F91" s="202">
        <v>48</v>
      </c>
      <c r="G91" s="202">
        <v>48</v>
      </c>
      <c r="H91" s="203">
        <v>66.78</v>
      </c>
      <c r="I91" s="203">
        <v>3205.44</v>
      </c>
      <c r="J91" s="203">
        <v>3205.44</v>
      </c>
      <c r="K91" s="203"/>
      <c r="L91" s="202"/>
      <c r="M91" s="204">
        <f t="shared" si="403"/>
        <v>0</v>
      </c>
      <c r="N91" s="95"/>
      <c r="O91" s="204">
        <f t="shared" si="403"/>
        <v>0</v>
      </c>
      <c r="P91" s="95"/>
      <c r="Q91" s="204">
        <f t="shared" ref="Q91:S91" si="524">IFERROR(P91/$G91," ")</f>
        <v>0</v>
      </c>
      <c r="R91" s="95"/>
      <c r="S91" s="204">
        <f t="shared" si="524"/>
        <v>0</v>
      </c>
      <c r="T91" s="95"/>
      <c r="U91" s="204">
        <f t="shared" ref="U91:W91" si="525">IFERROR(T91/$G91," ")</f>
        <v>0</v>
      </c>
      <c r="V91" s="95"/>
      <c r="W91" s="204">
        <f t="shared" si="525"/>
        <v>0</v>
      </c>
      <c r="X91" s="95"/>
      <c r="Y91" s="204">
        <f t="shared" ref="Y91:AA91" si="526">IFERROR(X91/$G91," ")</f>
        <v>0</v>
      </c>
      <c r="Z91" s="95"/>
      <c r="AA91" s="204">
        <f t="shared" si="526"/>
        <v>0</v>
      </c>
      <c r="AB91" s="95">
        <v>48</v>
      </c>
      <c r="AC91" s="204">
        <f t="shared" ref="AC91:AE91" si="527">IFERROR(AB91/$G91," ")</f>
        <v>1</v>
      </c>
      <c r="AD91" s="95">
        <v>48</v>
      </c>
      <c r="AE91" s="204">
        <f t="shared" si="527"/>
        <v>1</v>
      </c>
      <c r="AF91" s="95">
        <v>48</v>
      </c>
      <c r="AG91" s="204">
        <f t="shared" ref="AG91:AI91" si="528">IFERROR(AF91/$G91," ")</f>
        <v>1</v>
      </c>
      <c r="AH91" s="95">
        <v>48</v>
      </c>
      <c r="AI91" s="204">
        <f t="shared" si="528"/>
        <v>1</v>
      </c>
      <c r="AJ91" s="95">
        <v>48</v>
      </c>
      <c r="AK91" s="204">
        <f t="shared" ref="AK91:AM91" si="529">IFERROR(AJ91/$G91," ")</f>
        <v>1</v>
      </c>
      <c r="AL91" s="95">
        <v>48</v>
      </c>
      <c r="AM91" s="204">
        <f t="shared" si="529"/>
        <v>1</v>
      </c>
      <c r="AN91" s="95"/>
      <c r="AO91" s="94">
        <f t="shared" si="410"/>
        <v>0</v>
      </c>
      <c r="AP91" s="94">
        <f t="shared" si="400"/>
        <v>0</v>
      </c>
      <c r="AQ91" s="94">
        <f t="shared" si="401"/>
        <v>0</v>
      </c>
      <c r="AR91" s="94">
        <f t="shared" si="411"/>
        <v>0</v>
      </c>
      <c r="AS91" s="94">
        <f t="shared" si="412"/>
        <v>0</v>
      </c>
      <c r="AT91" s="94">
        <f t="shared" si="413"/>
        <v>0</v>
      </c>
      <c r="AU91" s="94">
        <f t="shared" si="414"/>
        <v>0</v>
      </c>
      <c r="AV91" s="94">
        <f t="shared" si="415"/>
        <v>0</v>
      </c>
      <c r="AW91" s="94">
        <f t="shared" si="416"/>
        <v>3205.44</v>
      </c>
      <c r="AX91" s="94">
        <f t="shared" si="417"/>
        <v>3205.44</v>
      </c>
      <c r="AY91" s="94">
        <f t="shared" si="418"/>
        <v>3205.44</v>
      </c>
      <c r="AZ91" s="94">
        <f t="shared" si="419"/>
        <v>3205.44</v>
      </c>
      <c r="BA91" s="94">
        <f t="shared" si="420"/>
        <v>3205.44</v>
      </c>
      <c r="BB91" s="94">
        <f t="shared" si="421"/>
        <v>3205.44</v>
      </c>
    </row>
    <row r="92" spans="1:54" x14ac:dyDescent="0.25">
      <c r="A92" s="80"/>
      <c r="B92" s="95" t="s">
        <v>2417</v>
      </c>
      <c r="C92" s="201" t="s">
        <v>2837</v>
      </c>
      <c r="D92" s="80" t="s">
        <v>783</v>
      </c>
      <c r="E92" s="94" t="str">
        <f>IFERROR(VLOOKUP(A92,Estimate!A:Q,17,FALSE)," ")</f>
        <v xml:space="preserve"> </v>
      </c>
      <c r="F92" s="202" t="s">
        <v>781</v>
      </c>
      <c r="G92" s="202" t="s">
        <v>781</v>
      </c>
      <c r="H92" s="203" t="s">
        <v>781</v>
      </c>
      <c r="I92" s="203" t="s">
        <v>781</v>
      </c>
      <c r="J92" s="203" t="s">
        <v>781</v>
      </c>
      <c r="K92" s="203"/>
      <c r="L92" s="202" t="s">
        <v>781</v>
      </c>
      <c r="M92" s="204" t="str">
        <f t="shared" si="403"/>
        <v xml:space="preserve"> </v>
      </c>
      <c r="N92" s="95" t="s">
        <v>781</v>
      </c>
      <c r="O92" s="204" t="str">
        <f t="shared" si="403"/>
        <v xml:space="preserve"> </v>
      </c>
      <c r="P92" s="95" t="s">
        <v>781</v>
      </c>
      <c r="Q92" s="204" t="str">
        <f t="shared" ref="Q92:S92" si="530">IFERROR(P92/$G92," ")</f>
        <v xml:space="preserve"> </v>
      </c>
      <c r="R92" s="95" t="s">
        <v>781</v>
      </c>
      <c r="S92" s="204" t="str">
        <f t="shared" si="530"/>
        <v xml:space="preserve"> </v>
      </c>
      <c r="T92" s="95" t="s">
        <v>781</v>
      </c>
      <c r="U92" s="204" t="str">
        <f t="shared" ref="U92:W92" si="531">IFERROR(T92/$G92," ")</f>
        <v xml:space="preserve"> </v>
      </c>
      <c r="V92" s="95" t="s">
        <v>781</v>
      </c>
      <c r="W92" s="204" t="str">
        <f t="shared" si="531"/>
        <v xml:space="preserve"> </v>
      </c>
      <c r="X92" s="95" t="s">
        <v>781</v>
      </c>
      <c r="Y92" s="204" t="str">
        <f t="shared" ref="Y92:AA92" si="532">IFERROR(X92/$G92," ")</f>
        <v xml:space="preserve"> </v>
      </c>
      <c r="Z92" s="95" t="s">
        <v>781</v>
      </c>
      <c r="AA92" s="204" t="str">
        <f t="shared" si="532"/>
        <v xml:space="preserve"> </v>
      </c>
      <c r="AB92" s="95" t="s">
        <v>781</v>
      </c>
      <c r="AC92" s="204" t="str">
        <f t="shared" ref="AC92:AE92" si="533">IFERROR(AB92/$G92," ")</f>
        <v xml:space="preserve"> </v>
      </c>
      <c r="AD92" s="95" t="s">
        <v>781</v>
      </c>
      <c r="AE92" s="204" t="str">
        <f t="shared" si="533"/>
        <v xml:space="preserve"> </v>
      </c>
      <c r="AF92" s="95" t="s">
        <v>781</v>
      </c>
      <c r="AG92" s="204" t="str">
        <f t="shared" ref="AG92:AI92" si="534">IFERROR(AF92/$G92," ")</f>
        <v xml:space="preserve"> </v>
      </c>
      <c r="AH92" s="95" t="s">
        <v>781</v>
      </c>
      <c r="AI92" s="204" t="str">
        <f t="shared" si="534"/>
        <v xml:space="preserve"> </v>
      </c>
      <c r="AJ92" s="95" t="s">
        <v>781</v>
      </c>
      <c r="AK92" s="204" t="str">
        <f t="shared" ref="AK92:AM92" si="535">IFERROR(AJ92/$G92," ")</f>
        <v xml:space="preserve"> </v>
      </c>
      <c r="AL92" s="95" t="s">
        <v>781</v>
      </c>
      <c r="AM92" s="204" t="str">
        <f t="shared" si="535"/>
        <v xml:space="preserve"> </v>
      </c>
      <c r="AN92" s="95"/>
      <c r="AO92" s="94" t="str">
        <f t="shared" si="410"/>
        <v xml:space="preserve"> </v>
      </c>
      <c r="AP92" s="94" t="str">
        <f t="shared" si="400"/>
        <v xml:space="preserve"> </v>
      </c>
      <c r="AQ92" s="94" t="str">
        <f t="shared" si="401"/>
        <v xml:space="preserve"> </v>
      </c>
      <c r="AR92" s="94" t="str">
        <f t="shared" si="411"/>
        <v xml:space="preserve"> </v>
      </c>
      <c r="AS92" s="94" t="str">
        <f t="shared" si="412"/>
        <v xml:space="preserve"> </v>
      </c>
      <c r="AT92" s="94" t="str">
        <f t="shared" si="413"/>
        <v xml:space="preserve"> </v>
      </c>
      <c r="AU92" s="94" t="str">
        <f t="shared" si="414"/>
        <v xml:space="preserve"> </v>
      </c>
      <c r="AV92" s="94" t="str">
        <f t="shared" si="415"/>
        <v xml:space="preserve"> </v>
      </c>
      <c r="AW92" s="94" t="str">
        <f t="shared" si="416"/>
        <v xml:space="preserve"> </v>
      </c>
      <c r="AX92" s="94" t="str">
        <f t="shared" si="417"/>
        <v xml:space="preserve"> </v>
      </c>
      <c r="AY92" s="94" t="str">
        <f t="shared" si="418"/>
        <v xml:space="preserve"> </v>
      </c>
      <c r="AZ92" s="94" t="str">
        <f t="shared" si="419"/>
        <v xml:space="preserve"> </v>
      </c>
      <c r="BA92" s="94" t="str">
        <f t="shared" si="420"/>
        <v xml:space="preserve"> </v>
      </c>
      <c r="BB92" s="94" t="str">
        <f t="shared" si="421"/>
        <v xml:space="preserve"> </v>
      </c>
    </row>
    <row r="93" spans="1:54" x14ac:dyDescent="0.25">
      <c r="A93" s="80"/>
      <c r="B93" s="95" t="s">
        <v>2417</v>
      </c>
      <c r="C93" s="201" t="s">
        <v>204</v>
      </c>
      <c r="D93" s="80" t="s">
        <v>783</v>
      </c>
      <c r="E93" s="94" t="str">
        <f>IFERROR(VLOOKUP(A93,Estimate!A:Q,17,FALSE)," ")</f>
        <v xml:space="preserve"> </v>
      </c>
      <c r="F93" s="202" t="s">
        <v>781</v>
      </c>
      <c r="G93" s="202" t="s">
        <v>781</v>
      </c>
      <c r="H93" s="203" t="s">
        <v>781</v>
      </c>
      <c r="I93" s="203" t="s">
        <v>781</v>
      </c>
      <c r="J93" s="203" t="s">
        <v>781</v>
      </c>
      <c r="K93" s="203"/>
      <c r="L93" s="202" t="s">
        <v>781</v>
      </c>
      <c r="M93" s="204" t="str">
        <f t="shared" si="403"/>
        <v xml:space="preserve"> </v>
      </c>
      <c r="N93" s="95" t="s">
        <v>781</v>
      </c>
      <c r="O93" s="204" t="str">
        <f t="shared" si="403"/>
        <v xml:space="preserve"> </v>
      </c>
      <c r="P93" s="95" t="s">
        <v>781</v>
      </c>
      <c r="Q93" s="204" t="str">
        <f t="shared" ref="Q93:S93" si="536">IFERROR(P93/$G93," ")</f>
        <v xml:space="preserve"> </v>
      </c>
      <c r="R93" s="95" t="s">
        <v>781</v>
      </c>
      <c r="S93" s="204" t="str">
        <f t="shared" si="536"/>
        <v xml:space="preserve"> </v>
      </c>
      <c r="T93" s="95" t="s">
        <v>781</v>
      </c>
      <c r="U93" s="204" t="str">
        <f t="shared" ref="U93:W93" si="537">IFERROR(T93/$G93," ")</f>
        <v xml:space="preserve"> </v>
      </c>
      <c r="V93" s="95" t="s">
        <v>781</v>
      </c>
      <c r="W93" s="204" t="str">
        <f t="shared" si="537"/>
        <v xml:space="preserve"> </v>
      </c>
      <c r="X93" s="95" t="s">
        <v>781</v>
      </c>
      <c r="Y93" s="204" t="str">
        <f t="shared" ref="Y93:AA93" si="538">IFERROR(X93/$G93," ")</f>
        <v xml:space="preserve"> </v>
      </c>
      <c r="Z93" s="95" t="s">
        <v>781</v>
      </c>
      <c r="AA93" s="204" t="str">
        <f t="shared" si="538"/>
        <v xml:space="preserve"> </v>
      </c>
      <c r="AB93" s="95" t="s">
        <v>781</v>
      </c>
      <c r="AC93" s="204" t="str">
        <f t="shared" ref="AC93:AE93" si="539">IFERROR(AB93/$G93," ")</f>
        <v xml:space="preserve"> </v>
      </c>
      <c r="AD93" s="95" t="s">
        <v>781</v>
      </c>
      <c r="AE93" s="204" t="str">
        <f t="shared" si="539"/>
        <v xml:space="preserve"> </v>
      </c>
      <c r="AF93" s="95" t="s">
        <v>781</v>
      </c>
      <c r="AG93" s="204" t="str">
        <f t="shared" ref="AG93:AI93" si="540">IFERROR(AF93/$G93," ")</f>
        <v xml:space="preserve"> </v>
      </c>
      <c r="AH93" s="95" t="s">
        <v>781</v>
      </c>
      <c r="AI93" s="204" t="str">
        <f t="shared" si="540"/>
        <v xml:space="preserve"> </v>
      </c>
      <c r="AJ93" s="95" t="s">
        <v>781</v>
      </c>
      <c r="AK93" s="204" t="str">
        <f t="shared" ref="AK93:AM93" si="541">IFERROR(AJ93/$G93," ")</f>
        <v xml:space="preserve"> </v>
      </c>
      <c r="AL93" s="95" t="s">
        <v>781</v>
      </c>
      <c r="AM93" s="204" t="str">
        <f t="shared" si="541"/>
        <v xml:space="preserve"> </v>
      </c>
      <c r="AN93" s="95"/>
      <c r="AO93" s="94" t="str">
        <f t="shared" si="410"/>
        <v xml:space="preserve"> </v>
      </c>
      <c r="AP93" s="94" t="str">
        <f t="shared" si="400"/>
        <v xml:space="preserve"> </v>
      </c>
      <c r="AQ93" s="94" t="str">
        <f t="shared" si="401"/>
        <v xml:space="preserve"> </v>
      </c>
      <c r="AR93" s="94" t="str">
        <f t="shared" si="411"/>
        <v xml:space="preserve"> </v>
      </c>
      <c r="AS93" s="94" t="str">
        <f t="shared" si="412"/>
        <v xml:space="preserve"> </v>
      </c>
      <c r="AT93" s="94" t="str">
        <f t="shared" si="413"/>
        <v xml:space="preserve"> </v>
      </c>
      <c r="AU93" s="94" t="str">
        <f t="shared" si="414"/>
        <v xml:space="preserve"> </v>
      </c>
      <c r="AV93" s="94" t="str">
        <f t="shared" si="415"/>
        <v xml:space="preserve"> </v>
      </c>
      <c r="AW93" s="94" t="str">
        <f t="shared" si="416"/>
        <v xml:space="preserve"> </v>
      </c>
      <c r="AX93" s="94" t="str">
        <f t="shared" si="417"/>
        <v xml:space="preserve"> </v>
      </c>
      <c r="AY93" s="94" t="str">
        <f t="shared" si="418"/>
        <v xml:space="preserve"> </v>
      </c>
      <c r="AZ93" s="94" t="str">
        <f t="shared" si="419"/>
        <v xml:space="preserve"> </v>
      </c>
      <c r="BA93" s="94" t="str">
        <f t="shared" si="420"/>
        <v xml:space="preserve"> </v>
      </c>
      <c r="BB93" s="94" t="str">
        <f t="shared" si="421"/>
        <v xml:space="preserve"> </v>
      </c>
    </row>
    <row r="94" spans="1:54" x14ac:dyDescent="0.25">
      <c r="A94" s="80"/>
      <c r="B94" s="95" t="s">
        <v>2875</v>
      </c>
      <c r="C94" s="201" t="s">
        <v>206</v>
      </c>
      <c r="D94" s="80" t="s">
        <v>783</v>
      </c>
      <c r="E94" s="94" t="str">
        <f>IFERROR(VLOOKUP(A94,Estimate!A:Q,17,FALSE)," ")</f>
        <v xml:space="preserve"> </v>
      </c>
      <c r="F94" s="202" t="s">
        <v>781</v>
      </c>
      <c r="G94" s="202" t="s">
        <v>781</v>
      </c>
      <c r="H94" s="203" t="s">
        <v>781</v>
      </c>
      <c r="I94" s="203" t="s">
        <v>781</v>
      </c>
      <c r="J94" s="203" t="s">
        <v>781</v>
      </c>
      <c r="K94" s="203"/>
      <c r="L94" s="202" t="s">
        <v>781</v>
      </c>
      <c r="M94" s="204" t="str">
        <f t="shared" si="403"/>
        <v xml:space="preserve"> </v>
      </c>
      <c r="N94" s="95" t="s">
        <v>781</v>
      </c>
      <c r="O94" s="204" t="str">
        <f t="shared" si="403"/>
        <v xml:space="preserve"> </v>
      </c>
      <c r="P94" s="95" t="s">
        <v>781</v>
      </c>
      <c r="Q94" s="204" t="str">
        <f t="shared" ref="Q94:S94" si="542">IFERROR(P94/$G94," ")</f>
        <v xml:space="preserve"> </v>
      </c>
      <c r="R94" s="95" t="s">
        <v>781</v>
      </c>
      <c r="S94" s="204" t="str">
        <f t="shared" si="542"/>
        <v xml:space="preserve"> </v>
      </c>
      <c r="T94" s="95" t="s">
        <v>781</v>
      </c>
      <c r="U94" s="204" t="str">
        <f t="shared" ref="U94:W94" si="543">IFERROR(T94/$G94," ")</f>
        <v xml:space="preserve"> </v>
      </c>
      <c r="V94" s="95" t="s">
        <v>781</v>
      </c>
      <c r="W94" s="204" t="str">
        <f t="shared" si="543"/>
        <v xml:space="preserve"> </v>
      </c>
      <c r="X94" s="95" t="s">
        <v>781</v>
      </c>
      <c r="Y94" s="204" t="str">
        <f t="shared" ref="Y94:AA94" si="544">IFERROR(X94/$G94," ")</f>
        <v xml:space="preserve"> </v>
      </c>
      <c r="Z94" s="95" t="s">
        <v>781</v>
      </c>
      <c r="AA94" s="204" t="str">
        <f t="shared" si="544"/>
        <v xml:space="preserve"> </v>
      </c>
      <c r="AB94" s="95" t="s">
        <v>781</v>
      </c>
      <c r="AC94" s="204" t="str">
        <f t="shared" ref="AC94:AE94" si="545">IFERROR(AB94/$G94," ")</f>
        <v xml:space="preserve"> </v>
      </c>
      <c r="AD94" s="95" t="s">
        <v>781</v>
      </c>
      <c r="AE94" s="204" t="str">
        <f t="shared" si="545"/>
        <v xml:space="preserve"> </v>
      </c>
      <c r="AF94" s="95" t="s">
        <v>781</v>
      </c>
      <c r="AG94" s="204" t="str">
        <f t="shared" ref="AG94:AI94" si="546">IFERROR(AF94/$G94," ")</f>
        <v xml:space="preserve"> </v>
      </c>
      <c r="AH94" s="95" t="s">
        <v>781</v>
      </c>
      <c r="AI94" s="204" t="str">
        <f t="shared" si="546"/>
        <v xml:space="preserve"> </v>
      </c>
      <c r="AJ94" s="95" t="s">
        <v>781</v>
      </c>
      <c r="AK94" s="204" t="str">
        <f t="shared" ref="AK94:AM94" si="547">IFERROR(AJ94/$G94," ")</f>
        <v xml:space="preserve"> </v>
      </c>
      <c r="AL94" s="95" t="s">
        <v>781</v>
      </c>
      <c r="AM94" s="204" t="str">
        <f t="shared" si="547"/>
        <v xml:space="preserve"> </v>
      </c>
      <c r="AN94" s="95"/>
      <c r="AO94" s="94" t="str">
        <f t="shared" si="410"/>
        <v xml:space="preserve"> </v>
      </c>
      <c r="AP94" s="94" t="str">
        <f t="shared" si="400"/>
        <v xml:space="preserve"> </v>
      </c>
      <c r="AQ94" s="94" t="str">
        <f t="shared" si="401"/>
        <v xml:space="preserve"> </v>
      </c>
      <c r="AR94" s="94" t="str">
        <f t="shared" si="411"/>
        <v xml:space="preserve"> </v>
      </c>
      <c r="AS94" s="94" t="str">
        <f t="shared" si="412"/>
        <v xml:space="preserve"> </v>
      </c>
      <c r="AT94" s="94" t="str">
        <f t="shared" si="413"/>
        <v xml:space="preserve"> </v>
      </c>
      <c r="AU94" s="94" t="str">
        <f t="shared" si="414"/>
        <v xml:space="preserve"> </v>
      </c>
      <c r="AV94" s="94" t="str">
        <f t="shared" si="415"/>
        <v xml:space="preserve"> </v>
      </c>
      <c r="AW94" s="94" t="str">
        <f t="shared" si="416"/>
        <v xml:space="preserve"> </v>
      </c>
      <c r="AX94" s="94" t="str">
        <f t="shared" si="417"/>
        <v xml:space="preserve"> </v>
      </c>
      <c r="AY94" s="94" t="str">
        <f t="shared" si="418"/>
        <v xml:space="preserve"> </v>
      </c>
      <c r="AZ94" s="94" t="str">
        <f t="shared" si="419"/>
        <v xml:space="preserve"> </v>
      </c>
      <c r="BA94" s="94" t="str">
        <f t="shared" si="420"/>
        <v xml:space="preserve"> </v>
      </c>
      <c r="BB94" s="94" t="str">
        <f t="shared" si="421"/>
        <v xml:space="preserve"> </v>
      </c>
    </row>
    <row r="95" spans="1:54" x14ac:dyDescent="0.25">
      <c r="A95" s="80">
        <v>37</v>
      </c>
      <c r="B95" s="95" t="s">
        <v>2876</v>
      </c>
      <c r="C95" s="201" t="s">
        <v>208</v>
      </c>
      <c r="D95" s="80" t="s">
        <v>89</v>
      </c>
      <c r="E95" s="94">
        <f>IFERROR(VLOOKUP(A95,Estimate!A:Q,17,FALSE)," ")</f>
        <v>15356.991726372637</v>
      </c>
      <c r="F95" s="202">
        <v>372</v>
      </c>
      <c r="G95" s="202">
        <v>372</v>
      </c>
      <c r="H95" s="203">
        <v>51.86</v>
      </c>
      <c r="I95" s="203">
        <v>19291.919999999998</v>
      </c>
      <c r="J95" s="203">
        <v>19291.919999999998</v>
      </c>
      <c r="K95" s="203"/>
      <c r="L95" s="202"/>
      <c r="M95" s="204">
        <f t="shared" si="403"/>
        <v>0</v>
      </c>
      <c r="N95" s="95"/>
      <c r="O95" s="204">
        <f t="shared" si="403"/>
        <v>0</v>
      </c>
      <c r="P95" s="95"/>
      <c r="Q95" s="204">
        <f t="shared" ref="Q95:S95" si="548">IFERROR(P95/$G95," ")</f>
        <v>0</v>
      </c>
      <c r="R95" s="95"/>
      <c r="S95" s="204">
        <f t="shared" si="548"/>
        <v>0</v>
      </c>
      <c r="T95" s="95"/>
      <c r="U95" s="204">
        <f t="shared" ref="U95:W95" si="549">IFERROR(T95/$G95," ")</f>
        <v>0</v>
      </c>
      <c r="V95" s="95"/>
      <c r="W95" s="204">
        <f t="shared" si="549"/>
        <v>0</v>
      </c>
      <c r="X95" s="95"/>
      <c r="Y95" s="204">
        <f t="shared" ref="Y95:AA95" si="550">IFERROR(X95/$G95," ")</f>
        <v>0</v>
      </c>
      <c r="Z95" s="95">
        <v>100</v>
      </c>
      <c r="AA95" s="204">
        <f t="shared" si="550"/>
        <v>0.26881720430107525</v>
      </c>
      <c r="AB95" s="95">
        <v>372</v>
      </c>
      <c r="AC95" s="204">
        <f t="shared" ref="AC95:AE95" si="551">IFERROR(AB95/$G95," ")</f>
        <v>1</v>
      </c>
      <c r="AD95" s="95">
        <v>372</v>
      </c>
      <c r="AE95" s="204">
        <f t="shared" si="551"/>
        <v>1</v>
      </c>
      <c r="AF95" s="95">
        <v>372</v>
      </c>
      <c r="AG95" s="204">
        <f t="shared" ref="AG95:AI95" si="552">IFERROR(AF95/$G95," ")</f>
        <v>1</v>
      </c>
      <c r="AH95" s="95">
        <v>372</v>
      </c>
      <c r="AI95" s="204">
        <f t="shared" si="552"/>
        <v>1</v>
      </c>
      <c r="AJ95" s="95">
        <v>372</v>
      </c>
      <c r="AK95" s="204">
        <f t="shared" ref="AK95:AM95" si="553">IFERROR(AJ95/$G95," ")</f>
        <v>1</v>
      </c>
      <c r="AL95" s="95">
        <v>372</v>
      </c>
      <c r="AM95" s="204">
        <f t="shared" si="553"/>
        <v>1</v>
      </c>
      <c r="AN95" s="95"/>
      <c r="AO95" s="94">
        <f t="shared" si="410"/>
        <v>0</v>
      </c>
      <c r="AP95" s="94">
        <f t="shared" si="400"/>
        <v>0</v>
      </c>
      <c r="AQ95" s="94">
        <f t="shared" si="401"/>
        <v>0</v>
      </c>
      <c r="AR95" s="94">
        <f t="shared" si="411"/>
        <v>0</v>
      </c>
      <c r="AS95" s="94">
        <f t="shared" si="412"/>
        <v>0</v>
      </c>
      <c r="AT95" s="94">
        <f t="shared" si="413"/>
        <v>0</v>
      </c>
      <c r="AU95" s="94">
        <f t="shared" si="414"/>
        <v>0</v>
      </c>
      <c r="AV95" s="94">
        <f t="shared" si="415"/>
        <v>5185.9999999999991</v>
      </c>
      <c r="AW95" s="94">
        <f t="shared" si="416"/>
        <v>19291.919999999998</v>
      </c>
      <c r="AX95" s="94">
        <f t="shared" si="417"/>
        <v>19291.919999999998</v>
      </c>
      <c r="AY95" s="94">
        <f t="shared" si="418"/>
        <v>19291.919999999998</v>
      </c>
      <c r="AZ95" s="94">
        <f t="shared" si="419"/>
        <v>19291.919999999998</v>
      </c>
      <c r="BA95" s="94">
        <f t="shared" si="420"/>
        <v>19291.919999999998</v>
      </c>
      <c r="BB95" s="94">
        <f t="shared" si="421"/>
        <v>19291.919999999998</v>
      </c>
    </row>
    <row r="96" spans="1:54" x14ac:dyDescent="0.25">
      <c r="A96" s="80">
        <v>38</v>
      </c>
      <c r="B96" s="95" t="s">
        <v>2877</v>
      </c>
      <c r="C96" s="201" t="s">
        <v>213</v>
      </c>
      <c r="D96" s="80" t="s">
        <v>29</v>
      </c>
      <c r="E96" s="94">
        <f>IFERROR(VLOOKUP(A96,Estimate!A:Q,17,FALSE)," ")</f>
        <v>715</v>
      </c>
      <c r="F96" s="202">
        <v>5</v>
      </c>
      <c r="G96" s="202">
        <v>5</v>
      </c>
      <c r="H96" s="203">
        <v>179.64</v>
      </c>
      <c r="I96" s="203">
        <v>898.2</v>
      </c>
      <c r="J96" s="203">
        <v>898.2</v>
      </c>
      <c r="K96" s="203"/>
      <c r="L96" s="202"/>
      <c r="M96" s="204">
        <f t="shared" si="403"/>
        <v>0</v>
      </c>
      <c r="N96" s="95"/>
      <c r="O96" s="204">
        <f t="shared" si="403"/>
        <v>0</v>
      </c>
      <c r="P96" s="95"/>
      <c r="Q96" s="204">
        <f t="shared" ref="Q96:S96" si="554">IFERROR(P96/$G96," ")</f>
        <v>0</v>
      </c>
      <c r="R96" s="95"/>
      <c r="S96" s="204">
        <f t="shared" si="554"/>
        <v>0</v>
      </c>
      <c r="T96" s="95"/>
      <c r="U96" s="204">
        <f t="shared" ref="U96:W96" si="555">IFERROR(T96/$G96," ")</f>
        <v>0</v>
      </c>
      <c r="V96" s="95"/>
      <c r="W96" s="204">
        <f t="shared" si="555"/>
        <v>0</v>
      </c>
      <c r="X96" s="95"/>
      <c r="Y96" s="204">
        <f t="shared" ref="Y96:AA96" si="556">IFERROR(X96/$G96," ")</f>
        <v>0</v>
      </c>
      <c r="Z96" s="95"/>
      <c r="AA96" s="204">
        <f t="shared" si="556"/>
        <v>0</v>
      </c>
      <c r="AB96" s="95"/>
      <c r="AC96" s="204">
        <f t="shared" ref="AC96:AE96" si="557">IFERROR(AB96/$G96," ")</f>
        <v>0</v>
      </c>
      <c r="AD96" s="95">
        <v>2.5</v>
      </c>
      <c r="AE96" s="204">
        <f t="shared" si="557"/>
        <v>0.5</v>
      </c>
      <c r="AF96" s="95">
        <v>5</v>
      </c>
      <c r="AG96" s="204">
        <f t="shared" ref="AG96:AI96" si="558">IFERROR(AF96/$G96," ")</f>
        <v>1</v>
      </c>
      <c r="AH96" s="95">
        <v>5</v>
      </c>
      <c r="AI96" s="204">
        <f t="shared" si="558"/>
        <v>1</v>
      </c>
      <c r="AJ96" s="95">
        <v>5</v>
      </c>
      <c r="AK96" s="204">
        <f t="shared" ref="AK96:AM96" si="559">IFERROR(AJ96/$G96," ")</f>
        <v>1</v>
      </c>
      <c r="AL96" s="95">
        <v>5</v>
      </c>
      <c r="AM96" s="204">
        <f t="shared" si="559"/>
        <v>1</v>
      </c>
      <c r="AN96" s="95"/>
      <c r="AO96" s="94">
        <f t="shared" si="410"/>
        <v>0</v>
      </c>
      <c r="AP96" s="94">
        <f t="shared" si="400"/>
        <v>0</v>
      </c>
      <c r="AQ96" s="94">
        <f t="shared" si="401"/>
        <v>0</v>
      </c>
      <c r="AR96" s="94">
        <f t="shared" si="411"/>
        <v>0</v>
      </c>
      <c r="AS96" s="94">
        <f t="shared" si="412"/>
        <v>0</v>
      </c>
      <c r="AT96" s="94">
        <f t="shared" si="413"/>
        <v>0</v>
      </c>
      <c r="AU96" s="94">
        <f t="shared" si="414"/>
        <v>0</v>
      </c>
      <c r="AV96" s="94">
        <f t="shared" si="415"/>
        <v>0</v>
      </c>
      <c r="AW96" s="94">
        <f t="shared" si="416"/>
        <v>0</v>
      </c>
      <c r="AX96" s="94">
        <f t="shared" si="417"/>
        <v>449.1</v>
      </c>
      <c r="AY96" s="94">
        <f t="shared" si="418"/>
        <v>898.2</v>
      </c>
      <c r="AZ96" s="94">
        <f t="shared" si="419"/>
        <v>898.2</v>
      </c>
      <c r="BA96" s="94">
        <f t="shared" si="420"/>
        <v>898.2</v>
      </c>
      <c r="BB96" s="94">
        <f t="shared" si="421"/>
        <v>898.2</v>
      </c>
    </row>
    <row r="97" spans="1:54" x14ac:dyDescent="0.25">
      <c r="A97" s="80"/>
      <c r="B97" s="95" t="s">
        <v>2417</v>
      </c>
      <c r="C97" s="201" t="s">
        <v>2837</v>
      </c>
      <c r="D97" s="80" t="s">
        <v>783</v>
      </c>
      <c r="E97" s="94" t="str">
        <f>IFERROR(VLOOKUP(A97,Estimate!A:Q,17,FALSE)," ")</f>
        <v xml:space="preserve"> </v>
      </c>
      <c r="F97" s="202" t="s">
        <v>781</v>
      </c>
      <c r="G97" s="202" t="s">
        <v>781</v>
      </c>
      <c r="H97" s="203" t="s">
        <v>781</v>
      </c>
      <c r="I97" s="203" t="s">
        <v>781</v>
      </c>
      <c r="J97" s="203" t="s">
        <v>781</v>
      </c>
      <c r="K97" s="203"/>
      <c r="L97" s="202" t="s">
        <v>781</v>
      </c>
      <c r="M97" s="204" t="str">
        <f t="shared" si="403"/>
        <v xml:space="preserve"> </v>
      </c>
      <c r="N97" s="95" t="s">
        <v>781</v>
      </c>
      <c r="O97" s="204" t="str">
        <f t="shared" si="403"/>
        <v xml:space="preserve"> </v>
      </c>
      <c r="P97" s="95" t="s">
        <v>781</v>
      </c>
      <c r="Q97" s="204" t="str">
        <f t="shared" ref="Q97:S97" si="560">IFERROR(P97/$G97," ")</f>
        <v xml:space="preserve"> </v>
      </c>
      <c r="R97" s="95" t="s">
        <v>781</v>
      </c>
      <c r="S97" s="204" t="str">
        <f t="shared" si="560"/>
        <v xml:space="preserve"> </v>
      </c>
      <c r="T97" s="95" t="s">
        <v>781</v>
      </c>
      <c r="U97" s="204" t="str">
        <f t="shared" ref="U97:W97" si="561">IFERROR(T97/$G97," ")</f>
        <v xml:space="preserve"> </v>
      </c>
      <c r="V97" s="95" t="s">
        <v>781</v>
      </c>
      <c r="W97" s="204" t="str">
        <f t="shared" si="561"/>
        <v xml:space="preserve"> </v>
      </c>
      <c r="X97" s="95" t="s">
        <v>781</v>
      </c>
      <c r="Y97" s="204" t="str">
        <f t="shared" ref="Y97:AA97" si="562">IFERROR(X97/$G97," ")</f>
        <v xml:space="preserve"> </v>
      </c>
      <c r="Z97" s="95" t="s">
        <v>781</v>
      </c>
      <c r="AA97" s="204" t="str">
        <f t="shared" si="562"/>
        <v xml:space="preserve"> </v>
      </c>
      <c r="AB97" s="95" t="s">
        <v>781</v>
      </c>
      <c r="AC97" s="204" t="str">
        <f t="shared" ref="AC97:AE97" si="563">IFERROR(AB97/$G97," ")</f>
        <v xml:space="preserve"> </v>
      </c>
      <c r="AD97" s="95" t="s">
        <v>781</v>
      </c>
      <c r="AE97" s="204" t="str">
        <f t="shared" si="563"/>
        <v xml:space="preserve"> </v>
      </c>
      <c r="AF97" s="95" t="s">
        <v>781</v>
      </c>
      <c r="AG97" s="204" t="str">
        <f t="shared" ref="AG97:AI97" si="564">IFERROR(AF97/$G97," ")</f>
        <v xml:space="preserve"> </v>
      </c>
      <c r="AH97" s="95" t="s">
        <v>781</v>
      </c>
      <c r="AI97" s="204" t="str">
        <f t="shared" si="564"/>
        <v xml:space="preserve"> </v>
      </c>
      <c r="AJ97" s="95" t="s">
        <v>781</v>
      </c>
      <c r="AK97" s="204" t="str">
        <f t="shared" ref="AK97:AM97" si="565">IFERROR(AJ97/$G97," ")</f>
        <v xml:space="preserve"> </v>
      </c>
      <c r="AL97" s="95" t="s">
        <v>781</v>
      </c>
      <c r="AM97" s="204" t="str">
        <f t="shared" si="565"/>
        <v xml:space="preserve"> </v>
      </c>
      <c r="AN97" s="95"/>
      <c r="AO97" s="94" t="str">
        <f t="shared" si="410"/>
        <v xml:space="preserve"> </v>
      </c>
      <c r="AP97" s="94" t="str">
        <f t="shared" si="400"/>
        <v xml:space="preserve"> </v>
      </c>
      <c r="AQ97" s="94" t="str">
        <f t="shared" si="401"/>
        <v xml:space="preserve"> </v>
      </c>
      <c r="AR97" s="94" t="str">
        <f t="shared" si="411"/>
        <v xml:space="preserve"> </v>
      </c>
      <c r="AS97" s="94" t="str">
        <f t="shared" si="412"/>
        <v xml:space="preserve"> </v>
      </c>
      <c r="AT97" s="94" t="str">
        <f t="shared" si="413"/>
        <v xml:space="preserve"> </v>
      </c>
      <c r="AU97" s="94" t="str">
        <f t="shared" si="414"/>
        <v xml:space="preserve"> </v>
      </c>
      <c r="AV97" s="94" t="str">
        <f t="shared" si="415"/>
        <v xml:space="preserve"> </v>
      </c>
      <c r="AW97" s="94" t="str">
        <f t="shared" si="416"/>
        <v xml:space="preserve"> </v>
      </c>
      <c r="AX97" s="94" t="str">
        <f t="shared" si="417"/>
        <v xml:space="preserve"> </v>
      </c>
      <c r="AY97" s="94" t="str">
        <f t="shared" si="418"/>
        <v xml:space="preserve"> </v>
      </c>
      <c r="AZ97" s="94" t="str">
        <f t="shared" si="419"/>
        <v xml:space="preserve"> </v>
      </c>
      <c r="BA97" s="94" t="str">
        <f t="shared" si="420"/>
        <v xml:space="preserve"> </v>
      </c>
      <c r="BB97" s="94" t="str">
        <f t="shared" si="421"/>
        <v xml:space="preserve"> </v>
      </c>
    </row>
    <row r="98" spans="1:54" x14ac:dyDescent="0.25">
      <c r="A98" s="80"/>
      <c r="B98" s="95" t="s">
        <v>2417</v>
      </c>
      <c r="C98" s="201" t="s">
        <v>102</v>
      </c>
      <c r="D98" s="80" t="s">
        <v>783</v>
      </c>
      <c r="E98" s="94" t="str">
        <f>IFERROR(VLOOKUP(A98,Estimate!A:Q,17,FALSE)," ")</f>
        <v xml:space="preserve"> </v>
      </c>
      <c r="F98" s="202" t="s">
        <v>781</v>
      </c>
      <c r="G98" s="202" t="s">
        <v>781</v>
      </c>
      <c r="H98" s="203" t="s">
        <v>781</v>
      </c>
      <c r="I98" s="203" t="s">
        <v>781</v>
      </c>
      <c r="J98" s="203" t="s">
        <v>781</v>
      </c>
      <c r="K98" s="203"/>
      <c r="L98" s="202" t="s">
        <v>781</v>
      </c>
      <c r="M98" s="204" t="str">
        <f t="shared" si="403"/>
        <v xml:space="preserve"> </v>
      </c>
      <c r="N98" s="95" t="s">
        <v>781</v>
      </c>
      <c r="O98" s="204" t="str">
        <f t="shared" si="403"/>
        <v xml:space="preserve"> </v>
      </c>
      <c r="P98" s="95" t="s">
        <v>781</v>
      </c>
      <c r="Q98" s="204" t="str">
        <f t="shared" ref="Q98:S98" si="566">IFERROR(P98/$G98," ")</f>
        <v xml:space="preserve"> </v>
      </c>
      <c r="R98" s="95" t="s">
        <v>781</v>
      </c>
      <c r="S98" s="204" t="str">
        <f t="shared" si="566"/>
        <v xml:space="preserve"> </v>
      </c>
      <c r="T98" s="95" t="s">
        <v>781</v>
      </c>
      <c r="U98" s="204" t="str">
        <f t="shared" ref="U98:W98" si="567">IFERROR(T98/$G98," ")</f>
        <v xml:space="preserve"> </v>
      </c>
      <c r="V98" s="95" t="s">
        <v>781</v>
      </c>
      <c r="W98" s="204" t="str">
        <f t="shared" si="567"/>
        <v xml:space="preserve"> </v>
      </c>
      <c r="X98" s="95" t="s">
        <v>781</v>
      </c>
      <c r="Y98" s="204" t="str">
        <f t="shared" ref="Y98:AA98" si="568">IFERROR(X98/$G98," ")</f>
        <v xml:space="preserve"> </v>
      </c>
      <c r="Z98" s="95" t="s">
        <v>781</v>
      </c>
      <c r="AA98" s="204" t="str">
        <f t="shared" si="568"/>
        <v xml:space="preserve"> </v>
      </c>
      <c r="AB98" s="95" t="s">
        <v>781</v>
      </c>
      <c r="AC98" s="204" t="str">
        <f t="shared" ref="AC98:AE98" si="569">IFERROR(AB98/$G98," ")</f>
        <v xml:space="preserve"> </v>
      </c>
      <c r="AD98" s="95" t="s">
        <v>781</v>
      </c>
      <c r="AE98" s="204" t="str">
        <f t="shared" si="569"/>
        <v xml:space="preserve"> </v>
      </c>
      <c r="AF98" s="95" t="s">
        <v>781</v>
      </c>
      <c r="AG98" s="204" t="str">
        <f t="shared" ref="AG98:AI98" si="570">IFERROR(AF98/$G98," ")</f>
        <v xml:space="preserve"> </v>
      </c>
      <c r="AH98" s="95" t="s">
        <v>781</v>
      </c>
      <c r="AI98" s="204" t="str">
        <f t="shared" si="570"/>
        <v xml:space="preserve"> </v>
      </c>
      <c r="AJ98" s="95" t="s">
        <v>781</v>
      </c>
      <c r="AK98" s="204" t="str">
        <f t="shared" ref="AK98:AM98" si="571">IFERROR(AJ98/$G98," ")</f>
        <v xml:space="preserve"> </v>
      </c>
      <c r="AL98" s="95" t="s">
        <v>781</v>
      </c>
      <c r="AM98" s="204" t="str">
        <f t="shared" si="571"/>
        <v xml:space="preserve"> </v>
      </c>
      <c r="AN98" s="95"/>
      <c r="AO98" s="94" t="str">
        <f t="shared" si="410"/>
        <v xml:space="preserve"> </v>
      </c>
      <c r="AP98" s="94" t="str">
        <f t="shared" si="400"/>
        <v xml:space="preserve"> </v>
      </c>
      <c r="AQ98" s="94" t="str">
        <f t="shared" si="401"/>
        <v xml:space="preserve"> </v>
      </c>
      <c r="AR98" s="94" t="str">
        <f t="shared" si="411"/>
        <v xml:space="preserve"> </v>
      </c>
      <c r="AS98" s="94" t="str">
        <f t="shared" si="412"/>
        <v xml:space="preserve"> </v>
      </c>
      <c r="AT98" s="94" t="str">
        <f t="shared" si="413"/>
        <v xml:space="preserve"> </v>
      </c>
      <c r="AU98" s="94" t="str">
        <f t="shared" si="414"/>
        <v xml:space="preserve"> </v>
      </c>
      <c r="AV98" s="94" t="str">
        <f t="shared" si="415"/>
        <v xml:space="preserve"> </v>
      </c>
      <c r="AW98" s="94" t="str">
        <f t="shared" si="416"/>
        <v xml:space="preserve"> </v>
      </c>
      <c r="AX98" s="94" t="str">
        <f t="shared" si="417"/>
        <v xml:space="preserve"> </v>
      </c>
      <c r="AY98" s="94" t="str">
        <f t="shared" si="418"/>
        <v xml:space="preserve"> </v>
      </c>
      <c r="AZ98" s="94" t="str">
        <f t="shared" si="419"/>
        <v xml:space="preserve"> </v>
      </c>
      <c r="BA98" s="94" t="str">
        <f t="shared" si="420"/>
        <v xml:space="preserve"> </v>
      </c>
      <c r="BB98" s="94" t="str">
        <f t="shared" si="421"/>
        <v xml:space="preserve"> </v>
      </c>
    </row>
    <row r="99" spans="1:54" x14ac:dyDescent="0.25">
      <c r="A99" s="80"/>
      <c r="B99" s="95" t="s">
        <v>2856</v>
      </c>
      <c r="C99" s="201" t="s">
        <v>111</v>
      </c>
      <c r="D99" s="80" t="s">
        <v>783</v>
      </c>
      <c r="E99" s="94" t="str">
        <f>IFERROR(VLOOKUP(A99,Estimate!A:Q,17,FALSE)," ")</f>
        <v xml:space="preserve"> </v>
      </c>
      <c r="F99" s="202" t="s">
        <v>781</v>
      </c>
      <c r="G99" s="202" t="s">
        <v>781</v>
      </c>
      <c r="H99" s="203" t="s">
        <v>781</v>
      </c>
      <c r="I99" s="203" t="s">
        <v>781</v>
      </c>
      <c r="J99" s="203" t="s">
        <v>781</v>
      </c>
      <c r="K99" s="203"/>
      <c r="L99" s="202" t="s">
        <v>781</v>
      </c>
      <c r="M99" s="204" t="str">
        <f t="shared" si="403"/>
        <v xml:space="preserve"> </v>
      </c>
      <c r="N99" s="95" t="s">
        <v>781</v>
      </c>
      <c r="O99" s="204" t="str">
        <f t="shared" si="403"/>
        <v xml:space="preserve"> </v>
      </c>
      <c r="P99" s="95" t="s">
        <v>781</v>
      </c>
      <c r="Q99" s="204" t="str">
        <f t="shared" ref="Q99:S99" si="572">IFERROR(P99/$G99," ")</f>
        <v xml:space="preserve"> </v>
      </c>
      <c r="R99" s="95" t="s">
        <v>781</v>
      </c>
      <c r="S99" s="204" t="str">
        <f t="shared" si="572"/>
        <v xml:space="preserve"> </v>
      </c>
      <c r="T99" s="95" t="s">
        <v>781</v>
      </c>
      <c r="U99" s="204" t="str">
        <f t="shared" ref="U99:W99" si="573">IFERROR(T99/$G99," ")</f>
        <v xml:space="preserve"> </v>
      </c>
      <c r="V99" s="95" t="s">
        <v>781</v>
      </c>
      <c r="W99" s="204" t="str">
        <f t="shared" si="573"/>
        <v xml:space="preserve"> </v>
      </c>
      <c r="X99" s="95" t="s">
        <v>781</v>
      </c>
      <c r="Y99" s="204" t="str">
        <f t="shared" ref="Y99:AA99" si="574">IFERROR(X99/$G99," ")</f>
        <v xml:space="preserve"> </v>
      </c>
      <c r="Z99" s="95" t="s">
        <v>781</v>
      </c>
      <c r="AA99" s="204" t="str">
        <f t="shared" si="574"/>
        <v xml:space="preserve"> </v>
      </c>
      <c r="AB99" s="95" t="s">
        <v>781</v>
      </c>
      <c r="AC99" s="204" t="str">
        <f t="shared" ref="AC99:AE99" si="575">IFERROR(AB99/$G99," ")</f>
        <v xml:space="preserve"> </v>
      </c>
      <c r="AD99" s="95" t="s">
        <v>781</v>
      </c>
      <c r="AE99" s="204" t="str">
        <f t="shared" si="575"/>
        <v xml:space="preserve"> </v>
      </c>
      <c r="AF99" s="95" t="s">
        <v>781</v>
      </c>
      <c r="AG99" s="204" t="str">
        <f t="shared" ref="AG99:AI99" si="576">IFERROR(AF99/$G99," ")</f>
        <v xml:space="preserve"> </v>
      </c>
      <c r="AH99" s="95" t="s">
        <v>781</v>
      </c>
      <c r="AI99" s="204" t="str">
        <f t="shared" si="576"/>
        <v xml:space="preserve"> </v>
      </c>
      <c r="AJ99" s="95" t="s">
        <v>781</v>
      </c>
      <c r="AK99" s="204" t="str">
        <f t="shared" ref="AK99:AM99" si="577">IFERROR(AJ99/$G99," ")</f>
        <v xml:space="preserve"> </v>
      </c>
      <c r="AL99" s="95" t="s">
        <v>781</v>
      </c>
      <c r="AM99" s="204" t="str">
        <f t="shared" si="577"/>
        <v xml:space="preserve"> </v>
      </c>
      <c r="AN99" s="95"/>
      <c r="AO99" s="94" t="str">
        <f t="shared" si="410"/>
        <v xml:space="preserve"> </v>
      </c>
      <c r="AP99" s="94" t="str">
        <f t="shared" si="400"/>
        <v xml:space="preserve"> </v>
      </c>
      <c r="AQ99" s="94" t="str">
        <f t="shared" si="401"/>
        <v xml:space="preserve"> </v>
      </c>
      <c r="AR99" s="94" t="str">
        <f t="shared" si="411"/>
        <v xml:space="preserve"> </v>
      </c>
      <c r="AS99" s="94" t="str">
        <f t="shared" si="412"/>
        <v xml:space="preserve"> </v>
      </c>
      <c r="AT99" s="94" t="str">
        <f t="shared" si="413"/>
        <v xml:space="preserve"> </v>
      </c>
      <c r="AU99" s="94" t="str">
        <f t="shared" si="414"/>
        <v xml:space="preserve"> </v>
      </c>
      <c r="AV99" s="94" t="str">
        <f t="shared" si="415"/>
        <v xml:space="preserve"> </v>
      </c>
      <c r="AW99" s="94" t="str">
        <f t="shared" si="416"/>
        <v xml:space="preserve"> </v>
      </c>
      <c r="AX99" s="94" t="str">
        <f t="shared" si="417"/>
        <v xml:space="preserve"> </v>
      </c>
      <c r="AY99" s="94" t="str">
        <f t="shared" si="418"/>
        <v xml:space="preserve"> </v>
      </c>
      <c r="AZ99" s="94" t="str">
        <f t="shared" si="419"/>
        <v xml:space="preserve"> </v>
      </c>
      <c r="BA99" s="94" t="str">
        <f t="shared" si="420"/>
        <v xml:space="preserve"> </v>
      </c>
      <c r="BB99" s="94" t="str">
        <f t="shared" si="421"/>
        <v xml:space="preserve"> </v>
      </c>
    </row>
    <row r="100" spans="1:54" x14ac:dyDescent="0.25">
      <c r="A100" s="80">
        <v>39</v>
      </c>
      <c r="B100" s="95">
        <v>491</v>
      </c>
      <c r="C100" s="201" t="s">
        <v>217</v>
      </c>
      <c r="D100" s="80" t="s">
        <v>62</v>
      </c>
      <c r="E100" s="94">
        <f>IFERROR(VLOOKUP(A100,Estimate!A:Q,17,FALSE)," ")</f>
        <v>13363.04142846717</v>
      </c>
      <c r="F100" s="202">
        <v>236</v>
      </c>
      <c r="G100" s="202">
        <v>236</v>
      </c>
      <c r="H100" s="203">
        <v>71.13</v>
      </c>
      <c r="I100" s="203">
        <v>16786.68</v>
      </c>
      <c r="J100" s="203">
        <v>16786.68</v>
      </c>
      <c r="K100" s="203"/>
      <c r="L100" s="202"/>
      <c r="M100" s="204">
        <f t="shared" si="403"/>
        <v>0</v>
      </c>
      <c r="N100" s="95"/>
      <c r="O100" s="204">
        <f t="shared" si="403"/>
        <v>0</v>
      </c>
      <c r="P100" s="95"/>
      <c r="Q100" s="204">
        <f t="shared" ref="Q100:S100" si="578">IFERROR(P100/$G100," ")</f>
        <v>0</v>
      </c>
      <c r="R100" s="95"/>
      <c r="S100" s="204">
        <f t="shared" si="578"/>
        <v>0</v>
      </c>
      <c r="T100" s="95"/>
      <c r="U100" s="204">
        <f t="shared" ref="U100:W100" si="579">IFERROR(T100/$G100," ")</f>
        <v>0</v>
      </c>
      <c r="V100" s="95"/>
      <c r="W100" s="204">
        <f t="shared" si="579"/>
        <v>0</v>
      </c>
      <c r="X100" s="95"/>
      <c r="Y100" s="204">
        <f t="shared" ref="Y100:AA100" si="580">IFERROR(X100/$G100," ")</f>
        <v>0</v>
      </c>
      <c r="Z100" s="95">
        <v>41</v>
      </c>
      <c r="AA100" s="204">
        <f t="shared" si="580"/>
        <v>0.17372881355932204</v>
      </c>
      <c r="AB100" s="95">
        <v>236</v>
      </c>
      <c r="AC100" s="204">
        <f t="shared" ref="AC100:AE100" si="581">IFERROR(AB100/$G100," ")</f>
        <v>1</v>
      </c>
      <c r="AD100" s="95">
        <v>236</v>
      </c>
      <c r="AE100" s="204">
        <f t="shared" si="581"/>
        <v>1</v>
      </c>
      <c r="AF100" s="95">
        <v>236</v>
      </c>
      <c r="AG100" s="204">
        <f t="shared" ref="AG100:AI100" si="582">IFERROR(AF100/$G100," ")</f>
        <v>1</v>
      </c>
      <c r="AH100" s="95">
        <v>236</v>
      </c>
      <c r="AI100" s="204">
        <f t="shared" si="582"/>
        <v>1</v>
      </c>
      <c r="AJ100" s="95">
        <v>236</v>
      </c>
      <c r="AK100" s="204">
        <f t="shared" ref="AK100:AM100" si="583">IFERROR(AJ100/$G100," ")</f>
        <v>1</v>
      </c>
      <c r="AL100" s="95">
        <v>236</v>
      </c>
      <c r="AM100" s="204">
        <f t="shared" si="583"/>
        <v>1</v>
      </c>
      <c r="AN100" s="95"/>
      <c r="AO100" s="94">
        <f t="shared" si="410"/>
        <v>0</v>
      </c>
      <c r="AP100" s="94">
        <f t="shared" si="400"/>
        <v>0</v>
      </c>
      <c r="AQ100" s="94">
        <f t="shared" si="401"/>
        <v>0</v>
      </c>
      <c r="AR100" s="94">
        <f t="shared" si="411"/>
        <v>0</v>
      </c>
      <c r="AS100" s="94">
        <f t="shared" si="412"/>
        <v>0</v>
      </c>
      <c r="AT100" s="94">
        <f t="shared" si="413"/>
        <v>0</v>
      </c>
      <c r="AU100" s="94">
        <f t="shared" si="414"/>
        <v>0</v>
      </c>
      <c r="AV100" s="94">
        <f t="shared" si="415"/>
        <v>2916.3300000000004</v>
      </c>
      <c r="AW100" s="94">
        <f t="shared" si="416"/>
        <v>16786.68</v>
      </c>
      <c r="AX100" s="94">
        <f t="shared" si="417"/>
        <v>16786.68</v>
      </c>
      <c r="AY100" s="94">
        <f t="shared" si="418"/>
        <v>16786.68</v>
      </c>
      <c r="AZ100" s="94">
        <f t="shared" si="419"/>
        <v>16786.68</v>
      </c>
      <c r="BA100" s="94">
        <f t="shared" si="420"/>
        <v>16786.68</v>
      </c>
      <c r="BB100" s="94">
        <f t="shared" si="421"/>
        <v>16786.68</v>
      </c>
    </row>
    <row r="101" spans="1:54" x14ac:dyDescent="0.25">
      <c r="A101" s="80">
        <v>40</v>
      </c>
      <c r="B101" s="95">
        <v>490</v>
      </c>
      <c r="C101" s="201" t="s">
        <v>219</v>
      </c>
      <c r="D101" s="80" t="s">
        <v>62</v>
      </c>
      <c r="E101" s="94">
        <f>IFERROR(VLOOKUP(A101,Estimate!A:Q,17,FALSE)," ")</f>
        <v>33426.432461099124</v>
      </c>
      <c r="F101" s="202">
        <v>488</v>
      </c>
      <c r="G101" s="202">
        <v>488</v>
      </c>
      <c r="H101" s="203">
        <v>85.99</v>
      </c>
      <c r="I101" s="203">
        <v>41963.12</v>
      </c>
      <c r="J101" s="203">
        <v>41963.12</v>
      </c>
      <c r="K101" s="203"/>
      <c r="L101" s="202"/>
      <c r="M101" s="204">
        <f t="shared" si="403"/>
        <v>0</v>
      </c>
      <c r="N101" s="95"/>
      <c r="O101" s="204">
        <f t="shared" si="403"/>
        <v>0</v>
      </c>
      <c r="P101" s="95"/>
      <c r="Q101" s="204">
        <f t="shared" ref="Q101:S101" si="584">IFERROR(P101/$G101," ")</f>
        <v>0</v>
      </c>
      <c r="R101" s="95"/>
      <c r="S101" s="204">
        <f t="shared" si="584"/>
        <v>0</v>
      </c>
      <c r="T101" s="95"/>
      <c r="U101" s="204">
        <f t="shared" ref="U101:W101" si="585">IFERROR(T101/$G101," ")</f>
        <v>0</v>
      </c>
      <c r="V101" s="95"/>
      <c r="W101" s="204">
        <f t="shared" si="585"/>
        <v>0</v>
      </c>
      <c r="X101" s="95"/>
      <c r="Y101" s="204">
        <f t="shared" ref="Y101:AA101" si="586">IFERROR(X101/$G101," ")</f>
        <v>0</v>
      </c>
      <c r="Z101" s="95"/>
      <c r="AA101" s="204">
        <f t="shared" si="586"/>
        <v>0</v>
      </c>
      <c r="AB101" s="95">
        <v>48.8</v>
      </c>
      <c r="AC101" s="204">
        <f t="shared" ref="AC101:AE101" si="587">IFERROR(AB101/$G101," ")</f>
        <v>9.9999999999999992E-2</v>
      </c>
      <c r="AD101" s="95">
        <v>365.8</v>
      </c>
      <c r="AE101" s="204">
        <f t="shared" si="587"/>
        <v>0.74959016393442623</v>
      </c>
      <c r="AF101" s="95">
        <v>488</v>
      </c>
      <c r="AG101" s="204">
        <f t="shared" ref="AG101:AI101" si="588">IFERROR(AF101/$G101," ")</f>
        <v>1</v>
      </c>
      <c r="AH101" s="95">
        <v>488</v>
      </c>
      <c r="AI101" s="204">
        <f t="shared" si="588"/>
        <v>1</v>
      </c>
      <c r="AJ101" s="95">
        <v>488</v>
      </c>
      <c r="AK101" s="204">
        <f t="shared" ref="AK101:AM101" si="589">IFERROR(AJ101/$G101," ")</f>
        <v>1</v>
      </c>
      <c r="AL101" s="95">
        <v>488</v>
      </c>
      <c r="AM101" s="204">
        <f t="shared" si="589"/>
        <v>1</v>
      </c>
      <c r="AN101" s="95"/>
      <c r="AO101" s="94">
        <f t="shared" si="410"/>
        <v>0</v>
      </c>
      <c r="AP101" s="94">
        <f t="shared" si="400"/>
        <v>0</v>
      </c>
      <c r="AQ101" s="94">
        <f t="shared" si="401"/>
        <v>0</v>
      </c>
      <c r="AR101" s="94">
        <f t="shared" si="411"/>
        <v>0</v>
      </c>
      <c r="AS101" s="94">
        <f t="shared" si="412"/>
        <v>0</v>
      </c>
      <c r="AT101" s="94">
        <f t="shared" si="413"/>
        <v>0</v>
      </c>
      <c r="AU101" s="94">
        <f t="shared" si="414"/>
        <v>0</v>
      </c>
      <c r="AV101" s="94">
        <f t="shared" si="415"/>
        <v>0</v>
      </c>
      <c r="AW101" s="94">
        <f t="shared" si="416"/>
        <v>4196.3119999999999</v>
      </c>
      <c r="AX101" s="94">
        <f t="shared" si="417"/>
        <v>31455.142000000003</v>
      </c>
      <c r="AY101" s="94">
        <f t="shared" si="418"/>
        <v>41963.12</v>
      </c>
      <c r="AZ101" s="94">
        <f t="shared" si="419"/>
        <v>41963.12</v>
      </c>
      <c r="BA101" s="94">
        <f t="shared" si="420"/>
        <v>41963.12</v>
      </c>
      <c r="BB101" s="94">
        <f t="shared" si="421"/>
        <v>41963.12</v>
      </c>
    </row>
    <row r="102" spans="1:54" x14ac:dyDescent="0.25">
      <c r="A102" s="80">
        <v>41</v>
      </c>
      <c r="B102" s="95">
        <v>538</v>
      </c>
      <c r="C102" s="201" t="s">
        <v>221</v>
      </c>
      <c r="D102" s="80" t="s">
        <v>107</v>
      </c>
      <c r="E102" s="94">
        <f>IFERROR(VLOOKUP(A102,Estimate!A:Q,17,FALSE)," ")</f>
        <v>11638.886368421054</v>
      </c>
      <c r="F102" s="202">
        <v>1953</v>
      </c>
      <c r="G102" s="202">
        <v>1953</v>
      </c>
      <c r="H102" s="203">
        <v>7.49</v>
      </c>
      <c r="I102" s="203">
        <v>14627.97</v>
      </c>
      <c r="J102" s="203">
        <v>14627.97</v>
      </c>
      <c r="K102" s="203"/>
      <c r="L102" s="202"/>
      <c r="M102" s="204">
        <f t="shared" si="403"/>
        <v>0</v>
      </c>
      <c r="N102" s="95"/>
      <c r="O102" s="204">
        <f t="shared" si="403"/>
        <v>0</v>
      </c>
      <c r="P102" s="95"/>
      <c r="Q102" s="204">
        <f t="shared" ref="Q102:S102" si="590">IFERROR(P102/$G102," ")</f>
        <v>0</v>
      </c>
      <c r="R102" s="95"/>
      <c r="S102" s="204">
        <f t="shared" si="590"/>
        <v>0</v>
      </c>
      <c r="T102" s="95"/>
      <c r="U102" s="204">
        <f t="shared" ref="U102:W102" si="591">IFERROR(T102/$G102," ")</f>
        <v>0</v>
      </c>
      <c r="V102" s="95"/>
      <c r="W102" s="204">
        <f t="shared" si="591"/>
        <v>0</v>
      </c>
      <c r="X102" s="95"/>
      <c r="Y102" s="204">
        <f t="shared" ref="Y102:AA102" si="592">IFERROR(X102/$G102," ")</f>
        <v>0</v>
      </c>
      <c r="Z102" s="95">
        <v>195</v>
      </c>
      <c r="AA102" s="204">
        <f t="shared" si="592"/>
        <v>9.9846390168970817E-2</v>
      </c>
      <c r="AB102" s="95">
        <v>1953</v>
      </c>
      <c r="AC102" s="204">
        <f t="shared" ref="AC102:AE102" si="593">IFERROR(AB102/$G102," ")</f>
        <v>1</v>
      </c>
      <c r="AD102" s="95">
        <v>1953</v>
      </c>
      <c r="AE102" s="204">
        <f t="shared" si="593"/>
        <v>1</v>
      </c>
      <c r="AF102" s="95">
        <v>1953</v>
      </c>
      <c r="AG102" s="204">
        <f t="shared" ref="AG102:AI102" si="594">IFERROR(AF102/$G102," ")</f>
        <v>1</v>
      </c>
      <c r="AH102" s="95">
        <v>1953</v>
      </c>
      <c r="AI102" s="204">
        <f t="shared" si="594"/>
        <v>1</v>
      </c>
      <c r="AJ102" s="95">
        <v>1953</v>
      </c>
      <c r="AK102" s="204">
        <f t="shared" ref="AK102:AM102" si="595">IFERROR(AJ102/$G102," ")</f>
        <v>1</v>
      </c>
      <c r="AL102" s="95">
        <v>1953</v>
      </c>
      <c r="AM102" s="204">
        <f t="shared" si="595"/>
        <v>1</v>
      </c>
      <c r="AN102" s="95"/>
      <c r="AO102" s="94">
        <f t="shared" si="410"/>
        <v>0</v>
      </c>
      <c r="AP102" s="94">
        <f t="shared" si="400"/>
        <v>0</v>
      </c>
      <c r="AQ102" s="94">
        <f t="shared" si="401"/>
        <v>0</v>
      </c>
      <c r="AR102" s="94">
        <f t="shared" si="411"/>
        <v>0</v>
      </c>
      <c r="AS102" s="94">
        <f t="shared" si="412"/>
        <v>0</v>
      </c>
      <c r="AT102" s="94">
        <f t="shared" si="413"/>
        <v>0</v>
      </c>
      <c r="AU102" s="94">
        <f t="shared" si="414"/>
        <v>0</v>
      </c>
      <c r="AV102" s="94">
        <f t="shared" si="415"/>
        <v>1460.55</v>
      </c>
      <c r="AW102" s="94">
        <f t="shared" si="416"/>
        <v>14627.97</v>
      </c>
      <c r="AX102" s="94">
        <f t="shared" si="417"/>
        <v>14627.97</v>
      </c>
      <c r="AY102" s="94">
        <f t="shared" si="418"/>
        <v>14627.97</v>
      </c>
      <c r="AZ102" s="94">
        <f t="shared" si="419"/>
        <v>14627.97</v>
      </c>
      <c r="BA102" s="94">
        <f t="shared" si="420"/>
        <v>14627.97</v>
      </c>
      <c r="BB102" s="94">
        <f t="shared" si="421"/>
        <v>14627.97</v>
      </c>
    </row>
    <row r="103" spans="1:54" x14ac:dyDescent="0.25">
      <c r="A103" s="80">
        <v>42</v>
      </c>
      <c r="B103" s="95">
        <v>539</v>
      </c>
      <c r="C103" s="201" t="s">
        <v>223</v>
      </c>
      <c r="D103" s="80" t="s">
        <v>107</v>
      </c>
      <c r="E103" s="94">
        <f>IFERROR(VLOOKUP(A103,Estimate!A:Q,17,FALSE)," ")</f>
        <v>3088.6523684210529</v>
      </c>
      <c r="F103" s="202">
        <v>1953</v>
      </c>
      <c r="G103" s="202">
        <v>1953</v>
      </c>
      <c r="H103" s="203">
        <v>1.99</v>
      </c>
      <c r="I103" s="203">
        <v>3886.47</v>
      </c>
      <c r="J103" s="203">
        <v>3886.47</v>
      </c>
      <c r="K103" s="203"/>
      <c r="L103" s="202"/>
      <c r="M103" s="204">
        <f t="shared" si="403"/>
        <v>0</v>
      </c>
      <c r="N103" s="95"/>
      <c r="O103" s="204">
        <f t="shared" si="403"/>
        <v>0</v>
      </c>
      <c r="P103" s="95"/>
      <c r="Q103" s="204">
        <f t="shared" ref="Q103:S103" si="596">IFERROR(P103/$G103," ")</f>
        <v>0</v>
      </c>
      <c r="R103" s="95"/>
      <c r="S103" s="204">
        <f t="shared" si="596"/>
        <v>0</v>
      </c>
      <c r="T103" s="95"/>
      <c r="U103" s="204">
        <f t="shared" ref="U103:W103" si="597">IFERROR(T103/$G103," ")</f>
        <v>0</v>
      </c>
      <c r="V103" s="95"/>
      <c r="W103" s="204">
        <f t="shared" si="597"/>
        <v>0</v>
      </c>
      <c r="X103" s="95"/>
      <c r="Y103" s="204">
        <f t="shared" ref="Y103:AA103" si="598">IFERROR(X103/$G103," ")</f>
        <v>0</v>
      </c>
      <c r="Z103" s="95">
        <v>195</v>
      </c>
      <c r="AA103" s="204">
        <f t="shared" si="598"/>
        <v>9.9846390168970817E-2</v>
      </c>
      <c r="AB103" s="95">
        <v>1953</v>
      </c>
      <c r="AC103" s="204">
        <f t="shared" ref="AC103:AE103" si="599">IFERROR(AB103/$G103," ")</f>
        <v>1</v>
      </c>
      <c r="AD103" s="95">
        <v>1953</v>
      </c>
      <c r="AE103" s="204">
        <f t="shared" si="599"/>
        <v>1</v>
      </c>
      <c r="AF103" s="95">
        <v>1953</v>
      </c>
      <c r="AG103" s="204">
        <f t="shared" ref="AG103:AI103" si="600">IFERROR(AF103/$G103," ")</f>
        <v>1</v>
      </c>
      <c r="AH103" s="95">
        <v>1953</v>
      </c>
      <c r="AI103" s="204">
        <f t="shared" si="600"/>
        <v>1</v>
      </c>
      <c r="AJ103" s="95">
        <v>1953</v>
      </c>
      <c r="AK103" s="204">
        <f t="shared" ref="AK103:AM103" si="601">IFERROR(AJ103/$G103," ")</f>
        <v>1</v>
      </c>
      <c r="AL103" s="95">
        <v>1953</v>
      </c>
      <c r="AM103" s="204">
        <f t="shared" si="601"/>
        <v>1</v>
      </c>
      <c r="AN103" s="95"/>
      <c r="AO103" s="94">
        <f t="shared" si="410"/>
        <v>0</v>
      </c>
      <c r="AP103" s="94">
        <f t="shared" si="400"/>
        <v>0</v>
      </c>
      <c r="AQ103" s="94">
        <f t="shared" si="401"/>
        <v>0</v>
      </c>
      <c r="AR103" s="94">
        <f t="shared" si="411"/>
        <v>0</v>
      </c>
      <c r="AS103" s="94">
        <f t="shared" si="412"/>
        <v>0</v>
      </c>
      <c r="AT103" s="94">
        <f t="shared" si="413"/>
        <v>0</v>
      </c>
      <c r="AU103" s="94">
        <f t="shared" si="414"/>
        <v>0</v>
      </c>
      <c r="AV103" s="94">
        <f t="shared" si="415"/>
        <v>388.05</v>
      </c>
      <c r="AW103" s="94">
        <f t="shared" si="416"/>
        <v>3886.47</v>
      </c>
      <c r="AX103" s="94">
        <f t="shared" si="417"/>
        <v>3886.47</v>
      </c>
      <c r="AY103" s="94">
        <f t="shared" si="418"/>
        <v>3886.47</v>
      </c>
      <c r="AZ103" s="94">
        <f t="shared" si="419"/>
        <v>3886.47</v>
      </c>
      <c r="BA103" s="94">
        <f t="shared" si="420"/>
        <v>3886.47</v>
      </c>
      <c r="BB103" s="94">
        <f t="shared" si="421"/>
        <v>3886.47</v>
      </c>
    </row>
    <row r="104" spans="1:54" x14ac:dyDescent="0.25">
      <c r="A104" s="80">
        <v>43</v>
      </c>
      <c r="B104" s="95" t="s">
        <v>2859</v>
      </c>
      <c r="C104" s="201" t="s">
        <v>124</v>
      </c>
      <c r="D104" s="80" t="s">
        <v>107</v>
      </c>
      <c r="E104" s="94">
        <f>IFERROR(VLOOKUP(A104,Estimate!A:Q,17,FALSE)," ")</f>
        <v>15430.085999999999</v>
      </c>
      <c r="F104" s="202">
        <v>1812</v>
      </c>
      <c r="G104" s="202">
        <v>1812</v>
      </c>
      <c r="H104" s="203">
        <v>8.73</v>
      </c>
      <c r="I104" s="203">
        <v>15818.76</v>
      </c>
      <c r="J104" s="203">
        <v>15818.76</v>
      </c>
      <c r="K104" s="203"/>
      <c r="L104" s="202"/>
      <c r="M104" s="204">
        <f t="shared" si="403"/>
        <v>0</v>
      </c>
      <c r="N104" s="95"/>
      <c r="O104" s="204">
        <f t="shared" si="403"/>
        <v>0</v>
      </c>
      <c r="P104" s="95"/>
      <c r="Q104" s="204">
        <f t="shared" ref="Q104:S104" si="602">IFERROR(P104/$G104," ")</f>
        <v>0</v>
      </c>
      <c r="R104" s="95"/>
      <c r="S104" s="204">
        <f t="shared" si="602"/>
        <v>0</v>
      </c>
      <c r="T104" s="95"/>
      <c r="U104" s="204">
        <f t="shared" ref="U104:W104" si="603">IFERROR(T104/$G104," ")</f>
        <v>0</v>
      </c>
      <c r="V104" s="95"/>
      <c r="W104" s="204">
        <f t="shared" si="603"/>
        <v>0</v>
      </c>
      <c r="X104" s="95"/>
      <c r="Y104" s="204">
        <f t="shared" ref="Y104:AA104" si="604">IFERROR(X104/$G104," ")</f>
        <v>0</v>
      </c>
      <c r="Z104" s="95"/>
      <c r="AA104" s="204">
        <f t="shared" si="604"/>
        <v>0</v>
      </c>
      <c r="AB104" s="95"/>
      <c r="AC104" s="204">
        <f t="shared" ref="AC104:AE104" si="605">IFERROR(AB104/$G104," ")</f>
        <v>0</v>
      </c>
      <c r="AD104" s="95"/>
      <c r="AE104" s="204">
        <f t="shared" si="605"/>
        <v>0</v>
      </c>
      <c r="AF104" s="95">
        <v>1812</v>
      </c>
      <c r="AG104" s="204">
        <f t="shared" ref="AG104:AI104" si="606">IFERROR(AF104/$G104," ")</f>
        <v>1</v>
      </c>
      <c r="AH104" s="95">
        <v>1812</v>
      </c>
      <c r="AI104" s="204">
        <f t="shared" si="606"/>
        <v>1</v>
      </c>
      <c r="AJ104" s="95">
        <v>1812</v>
      </c>
      <c r="AK104" s="204">
        <f t="shared" ref="AK104:AM104" si="607">IFERROR(AJ104/$G104," ")</f>
        <v>1</v>
      </c>
      <c r="AL104" s="95">
        <v>1812</v>
      </c>
      <c r="AM104" s="204">
        <f t="shared" si="607"/>
        <v>1</v>
      </c>
      <c r="AN104" s="95"/>
      <c r="AO104" s="94">
        <f t="shared" si="410"/>
        <v>0</v>
      </c>
      <c r="AP104" s="94">
        <f t="shared" si="400"/>
        <v>0</v>
      </c>
      <c r="AQ104" s="94">
        <f t="shared" si="401"/>
        <v>0</v>
      </c>
      <c r="AR104" s="94">
        <f t="shared" si="411"/>
        <v>0</v>
      </c>
      <c r="AS104" s="94">
        <f t="shared" si="412"/>
        <v>0</v>
      </c>
      <c r="AT104" s="94">
        <f t="shared" si="413"/>
        <v>0</v>
      </c>
      <c r="AU104" s="94">
        <f t="shared" si="414"/>
        <v>0</v>
      </c>
      <c r="AV104" s="94">
        <f t="shared" si="415"/>
        <v>0</v>
      </c>
      <c r="AW104" s="94">
        <f t="shared" si="416"/>
        <v>0</v>
      </c>
      <c r="AX104" s="94">
        <f t="shared" si="417"/>
        <v>0</v>
      </c>
      <c r="AY104" s="94">
        <f t="shared" si="418"/>
        <v>15818.76</v>
      </c>
      <c r="AZ104" s="94">
        <f t="shared" si="419"/>
        <v>15818.76</v>
      </c>
      <c r="BA104" s="94">
        <f t="shared" si="420"/>
        <v>15818.76</v>
      </c>
      <c r="BB104" s="94">
        <f t="shared" si="421"/>
        <v>15818.76</v>
      </c>
    </row>
    <row r="105" spans="1:54" x14ac:dyDescent="0.25">
      <c r="A105" s="80"/>
      <c r="B105" s="95" t="s">
        <v>2878</v>
      </c>
      <c r="C105" s="201" t="s">
        <v>226</v>
      </c>
      <c r="D105" s="80" t="s">
        <v>783</v>
      </c>
      <c r="E105" s="94" t="str">
        <f>IFERROR(VLOOKUP(A105,Estimate!A:Q,17,FALSE)," ")</f>
        <v xml:space="preserve"> </v>
      </c>
      <c r="F105" s="202" t="s">
        <v>781</v>
      </c>
      <c r="G105" s="202" t="s">
        <v>781</v>
      </c>
      <c r="H105" s="203" t="s">
        <v>781</v>
      </c>
      <c r="I105" s="203" t="s">
        <v>781</v>
      </c>
      <c r="J105" s="203" t="s">
        <v>781</v>
      </c>
      <c r="K105" s="203"/>
      <c r="L105" s="202" t="s">
        <v>781</v>
      </c>
      <c r="M105" s="204" t="str">
        <f t="shared" si="403"/>
        <v xml:space="preserve"> </v>
      </c>
      <c r="N105" s="95" t="s">
        <v>781</v>
      </c>
      <c r="O105" s="204" t="str">
        <f t="shared" si="403"/>
        <v xml:space="preserve"> </v>
      </c>
      <c r="P105" s="95" t="s">
        <v>781</v>
      </c>
      <c r="Q105" s="204" t="str">
        <f t="shared" ref="Q105:S105" si="608">IFERROR(P105/$G105," ")</f>
        <v xml:space="preserve"> </v>
      </c>
      <c r="R105" s="95" t="s">
        <v>781</v>
      </c>
      <c r="S105" s="204" t="str">
        <f t="shared" si="608"/>
        <v xml:space="preserve"> </v>
      </c>
      <c r="T105" s="95" t="s">
        <v>781</v>
      </c>
      <c r="U105" s="204" t="str">
        <f t="shared" ref="U105:W105" si="609">IFERROR(T105/$G105," ")</f>
        <v xml:space="preserve"> </v>
      </c>
      <c r="V105" s="95" t="s">
        <v>781</v>
      </c>
      <c r="W105" s="204" t="str">
        <f t="shared" si="609"/>
        <v xml:space="preserve"> </v>
      </c>
      <c r="X105" s="95" t="s">
        <v>781</v>
      </c>
      <c r="Y105" s="204" t="str">
        <f t="shared" ref="Y105:AA105" si="610">IFERROR(X105/$G105," ")</f>
        <v xml:space="preserve"> </v>
      </c>
      <c r="Z105" s="95" t="s">
        <v>781</v>
      </c>
      <c r="AA105" s="204" t="str">
        <f t="shared" si="610"/>
        <v xml:space="preserve"> </v>
      </c>
      <c r="AB105" s="95" t="s">
        <v>781</v>
      </c>
      <c r="AC105" s="204" t="str">
        <f t="shared" ref="AC105:AE105" si="611">IFERROR(AB105/$G105," ")</f>
        <v xml:space="preserve"> </v>
      </c>
      <c r="AD105" s="95" t="s">
        <v>781</v>
      </c>
      <c r="AE105" s="204" t="str">
        <f t="shared" si="611"/>
        <v xml:space="preserve"> </v>
      </c>
      <c r="AF105" s="95" t="s">
        <v>781</v>
      </c>
      <c r="AG105" s="204" t="str">
        <f t="shared" ref="AG105:AI105" si="612">IFERROR(AF105/$G105," ")</f>
        <v xml:space="preserve"> </v>
      </c>
      <c r="AH105" s="95" t="s">
        <v>781</v>
      </c>
      <c r="AI105" s="204" t="str">
        <f t="shared" si="612"/>
        <v xml:space="preserve"> </v>
      </c>
      <c r="AJ105" s="95" t="s">
        <v>781</v>
      </c>
      <c r="AK105" s="204" t="str">
        <f t="shared" ref="AK105:AM105" si="613">IFERROR(AJ105/$G105," ")</f>
        <v xml:space="preserve"> </v>
      </c>
      <c r="AL105" s="95" t="s">
        <v>781</v>
      </c>
      <c r="AM105" s="204" t="str">
        <f t="shared" si="613"/>
        <v xml:space="preserve"> </v>
      </c>
      <c r="AN105" s="95"/>
      <c r="AO105" s="94" t="str">
        <f t="shared" si="410"/>
        <v xml:space="preserve"> </v>
      </c>
      <c r="AP105" s="94" t="str">
        <f t="shared" si="400"/>
        <v xml:space="preserve"> </v>
      </c>
      <c r="AQ105" s="94" t="str">
        <f t="shared" si="401"/>
        <v xml:space="preserve"> </v>
      </c>
      <c r="AR105" s="94" t="str">
        <f t="shared" ref="AR105:AR135" si="614">IFERROR(S105*$J105," ")</f>
        <v xml:space="preserve"> </v>
      </c>
      <c r="AS105" s="94" t="str">
        <f t="shared" si="412"/>
        <v xml:space="preserve"> </v>
      </c>
      <c r="AT105" s="94" t="str">
        <f t="shared" si="413"/>
        <v xml:space="preserve"> </v>
      </c>
      <c r="AU105" s="94" t="str">
        <f t="shared" si="414"/>
        <v xml:space="preserve"> </v>
      </c>
      <c r="AV105" s="94" t="str">
        <f t="shared" si="415"/>
        <v xml:space="preserve"> </v>
      </c>
      <c r="AW105" s="94" t="str">
        <f t="shared" si="416"/>
        <v xml:space="preserve"> </v>
      </c>
      <c r="AX105" s="94" t="str">
        <f t="shared" si="417"/>
        <v xml:space="preserve"> </v>
      </c>
      <c r="AY105" s="94" t="str">
        <f t="shared" si="418"/>
        <v xml:space="preserve"> </v>
      </c>
      <c r="AZ105" s="94" t="str">
        <f t="shared" si="419"/>
        <v xml:space="preserve"> </v>
      </c>
      <c r="BA105" s="94" t="str">
        <f t="shared" si="420"/>
        <v xml:space="preserve"> </v>
      </c>
      <c r="BB105" s="94" t="str">
        <f t="shared" si="421"/>
        <v xml:space="preserve"> </v>
      </c>
    </row>
    <row r="106" spans="1:54" x14ac:dyDescent="0.25">
      <c r="A106" s="80">
        <v>44</v>
      </c>
      <c r="B106" s="95" t="s">
        <v>2879</v>
      </c>
      <c r="C106" s="201" t="s">
        <v>228</v>
      </c>
      <c r="D106" s="80" t="s">
        <v>82</v>
      </c>
      <c r="E106" s="94">
        <f>IFERROR(VLOOKUP(A106,Estimate!A:Q,17,FALSE)," ")</f>
        <v>50317.05</v>
      </c>
      <c r="F106" s="202">
        <v>173</v>
      </c>
      <c r="G106" s="202">
        <v>173</v>
      </c>
      <c r="H106" s="203">
        <v>298.12</v>
      </c>
      <c r="I106" s="203">
        <v>51574.76</v>
      </c>
      <c r="J106" s="203">
        <v>51574.76</v>
      </c>
      <c r="K106" s="203"/>
      <c r="L106" s="202"/>
      <c r="M106" s="204">
        <f t="shared" si="403"/>
        <v>0</v>
      </c>
      <c r="N106" s="95"/>
      <c r="O106" s="204">
        <f t="shared" si="403"/>
        <v>0</v>
      </c>
      <c r="P106" s="95"/>
      <c r="Q106" s="204">
        <f t="shared" ref="Q106:S106" si="615">IFERROR(P106/$G106," ")</f>
        <v>0</v>
      </c>
      <c r="R106" s="95"/>
      <c r="S106" s="204">
        <f t="shared" si="615"/>
        <v>0</v>
      </c>
      <c r="T106" s="95"/>
      <c r="U106" s="204">
        <f t="shared" ref="U106:W106" si="616">IFERROR(T106/$G106," ")</f>
        <v>0</v>
      </c>
      <c r="V106" s="95"/>
      <c r="W106" s="204">
        <f t="shared" si="616"/>
        <v>0</v>
      </c>
      <c r="X106" s="95"/>
      <c r="Y106" s="204">
        <f t="shared" ref="Y106:AA106" si="617">IFERROR(X106/$G106," ")</f>
        <v>0</v>
      </c>
      <c r="Z106" s="95"/>
      <c r="AA106" s="204">
        <f t="shared" si="617"/>
        <v>0</v>
      </c>
      <c r="AB106" s="95"/>
      <c r="AC106" s="204">
        <f t="shared" ref="AC106:AE106" si="618">IFERROR(AB106/$G106," ")</f>
        <v>0</v>
      </c>
      <c r="AD106" s="95"/>
      <c r="AE106" s="204">
        <f t="shared" si="618"/>
        <v>0</v>
      </c>
      <c r="AF106" s="95">
        <v>173</v>
      </c>
      <c r="AG106" s="204">
        <f t="shared" ref="AG106:AI106" si="619">IFERROR(AF106/$G106," ")</f>
        <v>1</v>
      </c>
      <c r="AH106" s="95">
        <v>173</v>
      </c>
      <c r="AI106" s="204">
        <f t="shared" si="619"/>
        <v>1</v>
      </c>
      <c r="AJ106" s="95">
        <v>173</v>
      </c>
      <c r="AK106" s="204">
        <f t="shared" ref="AK106:AM106" si="620">IFERROR(AJ106/$G106," ")</f>
        <v>1</v>
      </c>
      <c r="AL106" s="95">
        <v>173</v>
      </c>
      <c r="AM106" s="204">
        <f t="shared" si="620"/>
        <v>1</v>
      </c>
      <c r="AN106" s="95"/>
      <c r="AO106" s="94">
        <f t="shared" si="410"/>
        <v>0</v>
      </c>
      <c r="AP106" s="94">
        <f t="shared" si="400"/>
        <v>0</v>
      </c>
      <c r="AQ106" s="94">
        <f t="shared" si="401"/>
        <v>0</v>
      </c>
      <c r="AR106" s="94">
        <f t="shared" si="614"/>
        <v>0</v>
      </c>
      <c r="AS106" s="94">
        <f t="shared" si="412"/>
        <v>0</v>
      </c>
      <c r="AT106" s="94">
        <f t="shared" si="413"/>
        <v>0</v>
      </c>
      <c r="AU106" s="94">
        <f t="shared" si="414"/>
        <v>0</v>
      </c>
      <c r="AV106" s="94">
        <f t="shared" si="415"/>
        <v>0</v>
      </c>
      <c r="AW106" s="94">
        <f t="shared" si="416"/>
        <v>0</v>
      </c>
      <c r="AX106" s="94">
        <f t="shared" si="417"/>
        <v>0</v>
      </c>
      <c r="AY106" s="94">
        <f t="shared" si="418"/>
        <v>51574.76</v>
      </c>
      <c r="AZ106" s="94">
        <f t="shared" si="419"/>
        <v>51574.76</v>
      </c>
      <c r="BA106" s="94">
        <f t="shared" si="420"/>
        <v>51574.76</v>
      </c>
      <c r="BB106" s="94">
        <f t="shared" si="421"/>
        <v>51574.76</v>
      </c>
    </row>
    <row r="107" spans="1:54" x14ac:dyDescent="0.25">
      <c r="A107" s="80"/>
      <c r="B107" s="95" t="s">
        <v>2417</v>
      </c>
      <c r="C107" s="201" t="s">
        <v>2837</v>
      </c>
      <c r="D107" s="80" t="s">
        <v>783</v>
      </c>
      <c r="E107" s="94" t="str">
        <f>IFERROR(VLOOKUP(A107,Estimate!A:Q,17,FALSE)," ")</f>
        <v xml:space="preserve"> </v>
      </c>
      <c r="F107" s="202" t="s">
        <v>781</v>
      </c>
      <c r="G107" s="202" t="s">
        <v>781</v>
      </c>
      <c r="H107" s="203" t="s">
        <v>781</v>
      </c>
      <c r="I107" s="203" t="s">
        <v>781</v>
      </c>
      <c r="J107" s="203" t="s">
        <v>781</v>
      </c>
      <c r="K107" s="203"/>
      <c r="L107" s="202" t="s">
        <v>781</v>
      </c>
      <c r="M107" s="204" t="str">
        <f t="shared" si="403"/>
        <v xml:space="preserve"> </v>
      </c>
      <c r="N107" s="95" t="s">
        <v>781</v>
      </c>
      <c r="O107" s="204" t="str">
        <f t="shared" si="403"/>
        <v xml:space="preserve"> </v>
      </c>
      <c r="P107" s="95" t="s">
        <v>781</v>
      </c>
      <c r="Q107" s="204" t="str">
        <f t="shared" ref="Q107:S107" si="621">IFERROR(P107/$G107," ")</f>
        <v xml:space="preserve"> </v>
      </c>
      <c r="R107" s="95" t="s">
        <v>781</v>
      </c>
      <c r="S107" s="204" t="str">
        <f t="shared" si="621"/>
        <v xml:space="preserve"> </v>
      </c>
      <c r="T107" s="95" t="s">
        <v>781</v>
      </c>
      <c r="U107" s="204" t="str">
        <f t="shared" ref="U107:W107" si="622">IFERROR(T107/$G107," ")</f>
        <v xml:space="preserve"> </v>
      </c>
      <c r="V107" s="95" t="s">
        <v>781</v>
      </c>
      <c r="W107" s="204" t="str">
        <f t="shared" si="622"/>
        <v xml:space="preserve"> </v>
      </c>
      <c r="X107" s="95" t="s">
        <v>781</v>
      </c>
      <c r="Y107" s="204" t="str">
        <f t="shared" ref="Y107:AA107" si="623">IFERROR(X107/$G107," ")</f>
        <v xml:space="preserve"> </v>
      </c>
      <c r="Z107" s="95" t="s">
        <v>781</v>
      </c>
      <c r="AA107" s="204" t="str">
        <f t="shared" si="623"/>
        <v xml:space="preserve"> </v>
      </c>
      <c r="AB107" s="95" t="s">
        <v>781</v>
      </c>
      <c r="AC107" s="204" t="str">
        <f t="shared" ref="AC107:AE107" si="624">IFERROR(AB107/$G107," ")</f>
        <v xml:space="preserve"> </v>
      </c>
      <c r="AD107" s="95" t="s">
        <v>781</v>
      </c>
      <c r="AE107" s="204" t="str">
        <f t="shared" si="624"/>
        <v xml:space="preserve"> </v>
      </c>
      <c r="AF107" s="95" t="s">
        <v>781</v>
      </c>
      <c r="AG107" s="204" t="str">
        <f t="shared" ref="AG107:AI107" si="625">IFERROR(AF107/$G107," ")</f>
        <v xml:space="preserve"> </v>
      </c>
      <c r="AH107" s="95" t="s">
        <v>781</v>
      </c>
      <c r="AI107" s="204" t="str">
        <f t="shared" si="625"/>
        <v xml:space="preserve"> </v>
      </c>
      <c r="AJ107" s="95" t="s">
        <v>781</v>
      </c>
      <c r="AK107" s="204" t="str">
        <f t="shared" ref="AK107:AM107" si="626">IFERROR(AJ107/$G107," ")</f>
        <v xml:space="preserve"> </v>
      </c>
      <c r="AL107" s="95" t="s">
        <v>781</v>
      </c>
      <c r="AM107" s="204" t="str">
        <f t="shared" si="626"/>
        <v xml:space="preserve"> </v>
      </c>
      <c r="AN107" s="95"/>
      <c r="AO107" s="94" t="str">
        <f t="shared" si="410"/>
        <v xml:space="preserve"> </v>
      </c>
      <c r="AP107" s="94" t="str">
        <f t="shared" si="400"/>
        <v xml:space="preserve"> </v>
      </c>
      <c r="AQ107" s="94" t="str">
        <f t="shared" si="401"/>
        <v xml:space="preserve"> </v>
      </c>
      <c r="AR107" s="94" t="str">
        <f t="shared" si="614"/>
        <v xml:space="preserve"> </v>
      </c>
      <c r="AS107" s="94" t="str">
        <f t="shared" si="412"/>
        <v xml:space="preserve"> </v>
      </c>
      <c r="AT107" s="94" t="str">
        <f t="shared" si="413"/>
        <v xml:space="preserve"> </v>
      </c>
      <c r="AU107" s="94" t="str">
        <f t="shared" si="414"/>
        <v xml:space="preserve"> </v>
      </c>
      <c r="AV107" s="94" t="str">
        <f t="shared" si="415"/>
        <v xml:space="preserve"> </v>
      </c>
      <c r="AW107" s="94" t="str">
        <f t="shared" si="416"/>
        <v xml:space="preserve"> </v>
      </c>
      <c r="AX107" s="94" t="str">
        <f t="shared" si="417"/>
        <v xml:space="preserve"> </v>
      </c>
      <c r="AY107" s="94" t="str">
        <f t="shared" si="418"/>
        <v xml:space="preserve"> </v>
      </c>
      <c r="AZ107" s="94" t="str">
        <f t="shared" si="419"/>
        <v xml:space="preserve"> </v>
      </c>
      <c r="BA107" s="94" t="str">
        <f t="shared" si="420"/>
        <v xml:space="preserve"> </v>
      </c>
      <c r="BB107" s="94" t="str">
        <f t="shared" si="421"/>
        <v xml:space="preserve"> </v>
      </c>
    </row>
    <row r="108" spans="1:54" x14ac:dyDescent="0.25">
      <c r="A108" s="80"/>
      <c r="B108" s="95" t="s">
        <v>2417</v>
      </c>
      <c r="C108" s="201" t="s">
        <v>136</v>
      </c>
      <c r="D108" s="80" t="s">
        <v>783</v>
      </c>
      <c r="E108" s="94" t="str">
        <f>IFERROR(VLOOKUP(A108,Estimate!A:Q,17,FALSE)," ")</f>
        <v xml:space="preserve"> </v>
      </c>
      <c r="F108" s="202" t="s">
        <v>781</v>
      </c>
      <c r="G108" s="202" t="s">
        <v>781</v>
      </c>
      <c r="H108" s="203" t="s">
        <v>781</v>
      </c>
      <c r="I108" s="203" t="s">
        <v>781</v>
      </c>
      <c r="J108" s="203" t="s">
        <v>781</v>
      </c>
      <c r="K108" s="203"/>
      <c r="L108" s="202" t="s">
        <v>781</v>
      </c>
      <c r="M108" s="204" t="str">
        <f t="shared" si="403"/>
        <v xml:space="preserve"> </v>
      </c>
      <c r="N108" s="95" t="s">
        <v>781</v>
      </c>
      <c r="O108" s="204" t="str">
        <f t="shared" si="403"/>
        <v xml:space="preserve"> </v>
      </c>
      <c r="P108" s="95" t="s">
        <v>781</v>
      </c>
      <c r="Q108" s="204" t="str">
        <f t="shared" ref="Q108:S108" si="627">IFERROR(P108/$G108," ")</f>
        <v xml:space="preserve"> </v>
      </c>
      <c r="R108" s="95" t="s">
        <v>781</v>
      </c>
      <c r="S108" s="204" t="str">
        <f t="shared" si="627"/>
        <v xml:space="preserve"> </v>
      </c>
      <c r="T108" s="95" t="s">
        <v>781</v>
      </c>
      <c r="U108" s="204" t="str">
        <f t="shared" ref="U108:W108" si="628">IFERROR(T108/$G108," ")</f>
        <v xml:space="preserve"> </v>
      </c>
      <c r="V108" s="95" t="s">
        <v>781</v>
      </c>
      <c r="W108" s="204" t="str">
        <f t="shared" si="628"/>
        <v xml:space="preserve"> </v>
      </c>
      <c r="X108" s="95" t="s">
        <v>781</v>
      </c>
      <c r="Y108" s="204" t="str">
        <f t="shared" ref="Y108:AA108" si="629">IFERROR(X108/$G108," ")</f>
        <v xml:space="preserve"> </v>
      </c>
      <c r="Z108" s="95" t="s">
        <v>781</v>
      </c>
      <c r="AA108" s="204" t="str">
        <f t="shared" si="629"/>
        <v xml:space="preserve"> </v>
      </c>
      <c r="AB108" s="95" t="s">
        <v>781</v>
      </c>
      <c r="AC108" s="204" t="str">
        <f t="shared" ref="AC108:AE108" si="630">IFERROR(AB108/$G108," ")</f>
        <v xml:space="preserve"> </v>
      </c>
      <c r="AD108" s="95" t="s">
        <v>781</v>
      </c>
      <c r="AE108" s="204" t="str">
        <f t="shared" si="630"/>
        <v xml:space="preserve"> </v>
      </c>
      <c r="AF108" s="95" t="s">
        <v>781</v>
      </c>
      <c r="AG108" s="204" t="str">
        <f t="shared" ref="AG108:AI108" si="631">IFERROR(AF108/$G108," ")</f>
        <v xml:space="preserve"> </v>
      </c>
      <c r="AH108" s="95" t="s">
        <v>781</v>
      </c>
      <c r="AI108" s="204" t="str">
        <f t="shared" si="631"/>
        <v xml:space="preserve"> </v>
      </c>
      <c r="AJ108" s="95" t="s">
        <v>781</v>
      </c>
      <c r="AK108" s="204" t="str">
        <f t="shared" ref="AK108:AM108" si="632">IFERROR(AJ108/$G108," ")</f>
        <v xml:space="preserve"> </v>
      </c>
      <c r="AL108" s="95" t="s">
        <v>781</v>
      </c>
      <c r="AM108" s="204" t="str">
        <f t="shared" si="632"/>
        <v xml:space="preserve"> </v>
      </c>
      <c r="AN108" s="95"/>
      <c r="AO108" s="94" t="str">
        <f t="shared" si="410"/>
        <v xml:space="preserve"> </v>
      </c>
      <c r="AP108" s="94" t="str">
        <f t="shared" si="400"/>
        <v xml:space="preserve"> </v>
      </c>
      <c r="AQ108" s="94" t="str">
        <f t="shared" si="401"/>
        <v xml:space="preserve"> </v>
      </c>
      <c r="AR108" s="94" t="str">
        <f t="shared" si="614"/>
        <v xml:space="preserve"> </v>
      </c>
      <c r="AS108" s="94" t="str">
        <f t="shared" si="412"/>
        <v xml:space="preserve"> </v>
      </c>
      <c r="AT108" s="94" t="str">
        <f t="shared" si="413"/>
        <v xml:space="preserve"> </v>
      </c>
      <c r="AU108" s="94" t="str">
        <f t="shared" si="414"/>
        <v xml:space="preserve"> </v>
      </c>
      <c r="AV108" s="94" t="str">
        <f t="shared" si="415"/>
        <v xml:space="preserve"> </v>
      </c>
      <c r="AW108" s="94" t="str">
        <f t="shared" si="416"/>
        <v xml:space="preserve"> </v>
      </c>
      <c r="AX108" s="94" t="str">
        <f t="shared" si="417"/>
        <v xml:space="preserve"> </v>
      </c>
      <c r="AY108" s="94" t="str">
        <f t="shared" si="418"/>
        <v xml:space="preserve"> </v>
      </c>
      <c r="AZ108" s="94" t="str">
        <f t="shared" si="419"/>
        <v xml:space="preserve"> </v>
      </c>
      <c r="BA108" s="94" t="str">
        <f t="shared" si="420"/>
        <v xml:space="preserve"> </v>
      </c>
      <c r="BB108" s="94" t="str">
        <f t="shared" si="421"/>
        <v xml:space="preserve"> </v>
      </c>
    </row>
    <row r="109" spans="1:54" x14ac:dyDescent="0.25">
      <c r="A109" s="80"/>
      <c r="B109" s="95" t="s">
        <v>2880</v>
      </c>
      <c r="C109" s="201" t="s">
        <v>231</v>
      </c>
      <c r="D109" s="80" t="s">
        <v>783</v>
      </c>
      <c r="E109" s="94" t="str">
        <f>IFERROR(VLOOKUP(A109,Estimate!A:Q,17,FALSE)," ")</f>
        <v xml:space="preserve"> </v>
      </c>
      <c r="F109" s="202" t="s">
        <v>781</v>
      </c>
      <c r="G109" s="202" t="s">
        <v>781</v>
      </c>
      <c r="H109" s="203" t="s">
        <v>781</v>
      </c>
      <c r="I109" s="203" t="s">
        <v>781</v>
      </c>
      <c r="J109" s="203" t="s">
        <v>781</v>
      </c>
      <c r="K109" s="203"/>
      <c r="L109" s="202" t="s">
        <v>781</v>
      </c>
      <c r="M109" s="204" t="str">
        <f t="shared" si="403"/>
        <v xml:space="preserve"> </v>
      </c>
      <c r="N109" s="95" t="s">
        <v>781</v>
      </c>
      <c r="O109" s="204" t="str">
        <f t="shared" si="403"/>
        <v xml:space="preserve"> </v>
      </c>
      <c r="P109" s="95" t="s">
        <v>781</v>
      </c>
      <c r="Q109" s="204" t="str">
        <f t="shared" ref="Q109:S109" si="633">IFERROR(P109/$G109," ")</f>
        <v xml:space="preserve"> </v>
      </c>
      <c r="R109" s="95" t="s">
        <v>781</v>
      </c>
      <c r="S109" s="204" t="str">
        <f t="shared" si="633"/>
        <v xml:space="preserve"> </v>
      </c>
      <c r="T109" s="95" t="s">
        <v>781</v>
      </c>
      <c r="U109" s="204" t="str">
        <f t="shared" ref="U109:W109" si="634">IFERROR(T109/$G109," ")</f>
        <v xml:space="preserve"> </v>
      </c>
      <c r="V109" s="95" t="s">
        <v>781</v>
      </c>
      <c r="W109" s="204" t="str">
        <f t="shared" si="634"/>
        <v xml:space="preserve"> </v>
      </c>
      <c r="X109" s="95" t="s">
        <v>781</v>
      </c>
      <c r="Y109" s="204" t="str">
        <f t="shared" ref="Y109:AA109" si="635">IFERROR(X109/$G109," ")</f>
        <v xml:space="preserve"> </v>
      </c>
      <c r="Z109" s="95" t="s">
        <v>781</v>
      </c>
      <c r="AA109" s="204" t="str">
        <f t="shared" si="635"/>
        <v xml:space="preserve"> </v>
      </c>
      <c r="AB109" s="95" t="s">
        <v>781</v>
      </c>
      <c r="AC109" s="204" t="str">
        <f t="shared" ref="AC109:AE109" si="636">IFERROR(AB109/$G109," ")</f>
        <v xml:space="preserve"> </v>
      </c>
      <c r="AD109" s="95" t="s">
        <v>781</v>
      </c>
      <c r="AE109" s="204" t="str">
        <f t="shared" si="636"/>
        <v xml:space="preserve"> </v>
      </c>
      <c r="AF109" s="95" t="s">
        <v>781</v>
      </c>
      <c r="AG109" s="204" t="str">
        <f t="shared" ref="AG109:AI109" si="637">IFERROR(AF109/$G109," ")</f>
        <v xml:space="preserve"> </v>
      </c>
      <c r="AH109" s="95" t="s">
        <v>781</v>
      </c>
      <c r="AI109" s="204" t="str">
        <f t="shared" si="637"/>
        <v xml:space="preserve"> </v>
      </c>
      <c r="AJ109" s="95" t="s">
        <v>781</v>
      </c>
      <c r="AK109" s="204" t="str">
        <f t="shared" ref="AK109:AM109" si="638">IFERROR(AJ109/$G109," ")</f>
        <v xml:space="preserve"> </v>
      </c>
      <c r="AL109" s="95" t="s">
        <v>781</v>
      </c>
      <c r="AM109" s="204" t="str">
        <f t="shared" si="638"/>
        <v xml:space="preserve"> </v>
      </c>
      <c r="AN109" s="95"/>
      <c r="AO109" s="94" t="str">
        <f t="shared" si="410"/>
        <v xml:space="preserve"> </v>
      </c>
      <c r="AP109" s="94" t="str">
        <f t="shared" si="400"/>
        <v xml:space="preserve"> </v>
      </c>
      <c r="AQ109" s="94" t="str">
        <f t="shared" si="401"/>
        <v xml:space="preserve"> </v>
      </c>
      <c r="AR109" s="94" t="str">
        <f t="shared" si="614"/>
        <v xml:space="preserve"> </v>
      </c>
      <c r="AS109" s="94" t="str">
        <f t="shared" si="412"/>
        <v xml:space="preserve"> </v>
      </c>
      <c r="AT109" s="94" t="str">
        <f t="shared" si="413"/>
        <v xml:space="preserve"> </v>
      </c>
      <c r="AU109" s="94" t="str">
        <f t="shared" si="414"/>
        <v xml:space="preserve"> </v>
      </c>
      <c r="AV109" s="94" t="str">
        <f t="shared" si="415"/>
        <v xml:space="preserve"> </v>
      </c>
      <c r="AW109" s="94" t="str">
        <f t="shared" si="416"/>
        <v xml:space="preserve"> </v>
      </c>
      <c r="AX109" s="94" t="str">
        <f t="shared" si="417"/>
        <v xml:space="preserve"> </v>
      </c>
      <c r="AY109" s="94" t="str">
        <f t="shared" si="418"/>
        <v xml:space="preserve"> </v>
      </c>
      <c r="AZ109" s="94" t="str">
        <f t="shared" si="419"/>
        <v xml:space="preserve"> </v>
      </c>
      <c r="BA109" s="94" t="str">
        <f t="shared" si="420"/>
        <v xml:space="preserve"> </v>
      </c>
      <c r="BB109" s="94" t="str">
        <f t="shared" si="421"/>
        <v xml:space="preserve"> </v>
      </c>
    </row>
    <row r="110" spans="1:54" x14ac:dyDescent="0.25">
      <c r="A110" s="80">
        <v>45</v>
      </c>
      <c r="B110" s="95" t="s">
        <v>2881</v>
      </c>
      <c r="C110" s="201" t="s">
        <v>233</v>
      </c>
      <c r="D110" s="80" t="s">
        <v>107</v>
      </c>
      <c r="E110" s="94">
        <f>IFERROR(VLOOKUP(A110,Estimate!A:Q,17,FALSE)," ")</f>
        <v>3775.1311111111108</v>
      </c>
      <c r="F110" s="202">
        <v>53</v>
      </c>
      <c r="G110" s="202">
        <v>53</v>
      </c>
      <c r="H110" s="203">
        <v>89.48</v>
      </c>
      <c r="I110" s="203">
        <v>4742.4399999999996</v>
      </c>
      <c r="J110" s="203">
        <v>4742.4399999999996</v>
      </c>
      <c r="K110" s="203"/>
      <c r="L110" s="202"/>
      <c r="M110" s="204">
        <f t="shared" si="403"/>
        <v>0</v>
      </c>
      <c r="N110" s="95"/>
      <c r="O110" s="204">
        <f t="shared" si="403"/>
        <v>0</v>
      </c>
      <c r="P110" s="95"/>
      <c r="Q110" s="204">
        <f t="shared" ref="Q110:S110" si="639">IFERROR(P110/$G110," ")</f>
        <v>0</v>
      </c>
      <c r="R110" s="95"/>
      <c r="S110" s="204">
        <f t="shared" si="639"/>
        <v>0</v>
      </c>
      <c r="T110" s="95"/>
      <c r="U110" s="204">
        <f t="shared" ref="U110:W110" si="640">IFERROR(T110/$G110," ")</f>
        <v>0</v>
      </c>
      <c r="V110" s="95"/>
      <c r="W110" s="204">
        <f t="shared" si="640"/>
        <v>0</v>
      </c>
      <c r="X110" s="95"/>
      <c r="Y110" s="204">
        <f t="shared" ref="Y110:AA110" si="641">IFERROR(X110/$G110," ")</f>
        <v>0</v>
      </c>
      <c r="Z110" s="95"/>
      <c r="AA110" s="204">
        <f t="shared" si="641"/>
        <v>0</v>
      </c>
      <c r="AB110" s="95"/>
      <c r="AC110" s="204">
        <f t="shared" ref="AC110:AE110" si="642">IFERROR(AB110/$G110," ")</f>
        <v>0</v>
      </c>
      <c r="AD110" s="95">
        <v>53</v>
      </c>
      <c r="AE110" s="204">
        <f t="shared" si="642"/>
        <v>1</v>
      </c>
      <c r="AF110" s="95">
        <v>53</v>
      </c>
      <c r="AG110" s="204">
        <f t="shared" ref="AG110:AI110" si="643">IFERROR(AF110/$G110," ")</f>
        <v>1</v>
      </c>
      <c r="AH110" s="95">
        <v>53</v>
      </c>
      <c r="AI110" s="204">
        <f t="shared" si="643"/>
        <v>1</v>
      </c>
      <c r="AJ110" s="95">
        <v>53</v>
      </c>
      <c r="AK110" s="204">
        <f t="shared" ref="AK110:AM110" si="644">IFERROR(AJ110/$G110," ")</f>
        <v>1</v>
      </c>
      <c r="AL110" s="95">
        <v>53</v>
      </c>
      <c r="AM110" s="204">
        <f t="shared" si="644"/>
        <v>1</v>
      </c>
      <c r="AN110" s="95"/>
      <c r="AO110" s="94">
        <f t="shared" si="410"/>
        <v>0</v>
      </c>
      <c r="AP110" s="94">
        <f t="shared" si="400"/>
        <v>0</v>
      </c>
      <c r="AQ110" s="94">
        <f t="shared" si="401"/>
        <v>0</v>
      </c>
      <c r="AR110" s="94">
        <f t="shared" si="614"/>
        <v>0</v>
      </c>
      <c r="AS110" s="94">
        <f t="shared" si="412"/>
        <v>0</v>
      </c>
      <c r="AT110" s="94">
        <f t="shared" si="413"/>
        <v>0</v>
      </c>
      <c r="AU110" s="94">
        <f t="shared" si="414"/>
        <v>0</v>
      </c>
      <c r="AV110" s="94">
        <f t="shared" si="415"/>
        <v>0</v>
      </c>
      <c r="AW110" s="94">
        <f t="shared" si="416"/>
        <v>0</v>
      </c>
      <c r="AX110" s="94">
        <f t="shared" si="417"/>
        <v>4742.4399999999996</v>
      </c>
      <c r="AY110" s="94">
        <f t="shared" si="418"/>
        <v>4742.4399999999996</v>
      </c>
      <c r="AZ110" s="94">
        <f t="shared" si="419"/>
        <v>4742.4399999999996</v>
      </c>
      <c r="BA110" s="94">
        <f t="shared" si="420"/>
        <v>4742.4399999999996</v>
      </c>
      <c r="BB110" s="94">
        <f t="shared" si="421"/>
        <v>4742.4399999999996</v>
      </c>
    </row>
    <row r="111" spans="1:54" x14ac:dyDescent="0.25">
      <c r="A111" s="80">
        <v>46</v>
      </c>
      <c r="B111" s="95" t="s">
        <v>2882</v>
      </c>
      <c r="C111" s="201" t="s">
        <v>235</v>
      </c>
      <c r="D111" s="80" t="s">
        <v>29</v>
      </c>
      <c r="E111" s="94">
        <f>IFERROR(VLOOKUP(A111,Estimate!A:Q,17,FALSE)," ")</f>
        <v>1570</v>
      </c>
      <c r="F111" s="202">
        <v>2</v>
      </c>
      <c r="G111" s="202">
        <v>2</v>
      </c>
      <c r="H111" s="203">
        <v>986.14</v>
      </c>
      <c r="I111" s="203">
        <v>1972.28</v>
      </c>
      <c r="J111" s="203">
        <v>1972.28</v>
      </c>
      <c r="K111" s="203"/>
      <c r="L111" s="202"/>
      <c r="M111" s="204">
        <f t="shared" si="403"/>
        <v>0</v>
      </c>
      <c r="N111" s="95"/>
      <c r="O111" s="204">
        <f t="shared" si="403"/>
        <v>0</v>
      </c>
      <c r="P111" s="95"/>
      <c r="Q111" s="204">
        <f t="shared" ref="Q111:S111" si="645">IFERROR(P111/$G111," ")</f>
        <v>0</v>
      </c>
      <c r="R111" s="95"/>
      <c r="S111" s="204">
        <f t="shared" si="645"/>
        <v>0</v>
      </c>
      <c r="T111" s="95"/>
      <c r="U111" s="204">
        <f t="shared" ref="U111:W111" si="646">IFERROR(T111/$G111," ")</f>
        <v>0</v>
      </c>
      <c r="V111" s="95"/>
      <c r="W111" s="204">
        <f t="shared" si="646"/>
        <v>0</v>
      </c>
      <c r="X111" s="95"/>
      <c r="Y111" s="204">
        <f t="shared" ref="Y111:AA111" si="647">IFERROR(X111/$G111," ")</f>
        <v>0</v>
      </c>
      <c r="Z111" s="95"/>
      <c r="AA111" s="204">
        <f t="shared" si="647"/>
        <v>0</v>
      </c>
      <c r="AB111" s="95"/>
      <c r="AC111" s="204">
        <f t="shared" ref="AC111:AE111" si="648">IFERROR(AB111/$G111," ")</f>
        <v>0</v>
      </c>
      <c r="AD111" s="95">
        <v>2</v>
      </c>
      <c r="AE111" s="204">
        <f t="shared" si="648"/>
        <v>1</v>
      </c>
      <c r="AF111" s="95">
        <v>2</v>
      </c>
      <c r="AG111" s="204">
        <f t="shared" ref="AG111:AI111" si="649">IFERROR(AF111/$G111," ")</f>
        <v>1</v>
      </c>
      <c r="AH111" s="95">
        <v>2</v>
      </c>
      <c r="AI111" s="204">
        <f t="shared" si="649"/>
        <v>1</v>
      </c>
      <c r="AJ111" s="95">
        <v>2</v>
      </c>
      <c r="AK111" s="204">
        <f t="shared" ref="AK111:AM111" si="650">IFERROR(AJ111/$G111," ")</f>
        <v>1</v>
      </c>
      <c r="AL111" s="95">
        <v>2</v>
      </c>
      <c r="AM111" s="204">
        <f t="shared" si="650"/>
        <v>1</v>
      </c>
      <c r="AN111" s="95"/>
      <c r="AO111" s="94">
        <f t="shared" si="410"/>
        <v>0</v>
      </c>
      <c r="AP111" s="94">
        <f t="shared" si="400"/>
        <v>0</v>
      </c>
      <c r="AQ111" s="94">
        <f t="shared" si="401"/>
        <v>0</v>
      </c>
      <c r="AR111" s="94">
        <f t="shared" si="614"/>
        <v>0</v>
      </c>
      <c r="AS111" s="94">
        <f t="shared" si="412"/>
        <v>0</v>
      </c>
      <c r="AT111" s="94">
        <f t="shared" si="413"/>
        <v>0</v>
      </c>
      <c r="AU111" s="94">
        <f t="shared" si="414"/>
        <v>0</v>
      </c>
      <c r="AV111" s="94">
        <f t="shared" si="415"/>
        <v>0</v>
      </c>
      <c r="AW111" s="94">
        <f t="shared" si="416"/>
        <v>0</v>
      </c>
      <c r="AX111" s="94">
        <f t="shared" si="417"/>
        <v>1972.28</v>
      </c>
      <c r="AY111" s="94">
        <f t="shared" si="418"/>
        <v>1972.28</v>
      </c>
      <c r="AZ111" s="94">
        <f t="shared" si="419"/>
        <v>1972.28</v>
      </c>
      <c r="BA111" s="94">
        <f t="shared" si="420"/>
        <v>1972.28</v>
      </c>
      <c r="BB111" s="94">
        <f t="shared" si="421"/>
        <v>1972.28</v>
      </c>
    </row>
    <row r="112" spans="1:54" x14ac:dyDescent="0.25">
      <c r="A112" s="80">
        <v>47</v>
      </c>
      <c r="B112" s="95" t="s">
        <v>2883</v>
      </c>
      <c r="C112" s="201" t="s">
        <v>238</v>
      </c>
      <c r="D112" s="80" t="s">
        <v>29</v>
      </c>
      <c r="E112" s="94">
        <f>IFERROR(VLOOKUP(A112,Estimate!A:Q,17,FALSE)," ")</f>
        <v>1534.5700000000002</v>
      </c>
      <c r="F112" s="202">
        <v>1</v>
      </c>
      <c r="G112" s="202">
        <v>1</v>
      </c>
      <c r="H112" s="203">
        <v>1927.77</v>
      </c>
      <c r="I112" s="203">
        <v>1927.77</v>
      </c>
      <c r="J112" s="203">
        <v>1927.77</v>
      </c>
      <c r="K112" s="203"/>
      <c r="L112" s="202"/>
      <c r="M112" s="204">
        <f t="shared" si="403"/>
        <v>0</v>
      </c>
      <c r="N112" s="95"/>
      <c r="O112" s="204">
        <f t="shared" si="403"/>
        <v>0</v>
      </c>
      <c r="P112" s="95"/>
      <c r="Q112" s="204">
        <f t="shared" ref="Q112:S112" si="651">IFERROR(P112/$G112," ")</f>
        <v>0</v>
      </c>
      <c r="R112" s="95"/>
      <c r="S112" s="204">
        <f t="shared" si="651"/>
        <v>0</v>
      </c>
      <c r="T112" s="95"/>
      <c r="U112" s="204">
        <f t="shared" ref="U112:W112" si="652">IFERROR(T112/$G112," ")</f>
        <v>0</v>
      </c>
      <c r="V112" s="95"/>
      <c r="W112" s="204">
        <f t="shared" si="652"/>
        <v>0</v>
      </c>
      <c r="X112" s="95"/>
      <c r="Y112" s="204">
        <f t="shared" ref="Y112:AA112" si="653">IFERROR(X112/$G112," ")</f>
        <v>0</v>
      </c>
      <c r="Z112" s="95"/>
      <c r="AA112" s="204">
        <f t="shared" si="653"/>
        <v>0</v>
      </c>
      <c r="AB112" s="95"/>
      <c r="AC112" s="204">
        <f t="shared" ref="AC112:AE112" si="654">IFERROR(AB112/$G112," ")</f>
        <v>0</v>
      </c>
      <c r="AD112" s="95">
        <v>1</v>
      </c>
      <c r="AE112" s="204">
        <f t="shared" si="654"/>
        <v>1</v>
      </c>
      <c r="AF112" s="95">
        <v>1</v>
      </c>
      <c r="AG112" s="204">
        <f t="shared" ref="AG112:AI112" si="655">IFERROR(AF112/$G112," ")</f>
        <v>1</v>
      </c>
      <c r="AH112" s="95">
        <v>1</v>
      </c>
      <c r="AI112" s="204">
        <f t="shared" si="655"/>
        <v>1</v>
      </c>
      <c r="AJ112" s="95">
        <v>1</v>
      </c>
      <c r="AK112" s="204">
        <f t="shared" ref="AK112:AM112" si="656">IFERROR(AJ112/$G112," ")</f>
        <v>1</v>
      </c>
      <c r="AL112" s="95">
        <v>1</v>
      </c>
      <c r="AM112" s="204">
        <f t="shared" si="656"/>
        <v>1</v>
      </c>
      <c r="AN112" s="95"/>
      <c r="AO112" s="94">
        <f t="shared" si="410"/>
        <v>0</v>
      </c>
      <c r="AP112" s="94">
        <f t="shared" si="400"/>
        <v>0</v>
      </c>
      <c r="AQ112" s="94">
        <f t="shared" si="401"/>
        <v>0</v>
      </c>
      <c r="AR112" s="94">
        <f t="shared" si="614"/>
        <v>0</v>
      </c>
      <c r="AS112" s="94">
        <f t="shared" si="412"/>
        <v>0</v>
      </c>
      <c r="AT112" s="94">
        <f t="shared" si="413"/>
        <v>0</v>
      </c>
      <c r="AU112" s="94">
        <f t="shared" si="414"/>
        <v>0</v>
      </c>
      <c r="AV112" s="94">
        <f t="shared" si="415"/>
        <v>0</v>
      </c>
      <c r="AW112" s="94">
        <f t="shared" si="416"/>
        <v>0</v>
      </c>
      <c r="AX112" s="94">
        <f t="shared" si="417"/>
        <v>1927.77</v>
      </c>
      <c r="AY112" s="94">
        <f t="shared" si="418"/>
        <v>1927.77</v>
      </c>
      <c r="AZ112" s="94">
        <f t="shared" si="419"/>
        <v>1927.77</v>
      </c>
      <c r="BA112" s="94">
        <f t="shared" si="420"/>
        <v>1927.77</v>
      </c>
      <c r="BB112" s="94">
        <f t="shared" si="421"/>
        <v>1927.77</v>
      </c>
    </row>
    <row r="113" spans="1:54" x14ac:dyDescent="0.25">
      <c r="A113" s="80"/>
      <c r="B113" s="95" t="s">
        <v>2863</v>
      </c>
      <c r="C113" s="201" t="s">
        <v>138</v>
      </c>
      <c r="D113" s="80" t="s">
        <v>783</v>
      </c>
      <c r="E113" s="94" t="str">
        <f>IFERROR(VLOOKUP(A113,Estimate!A:Q,17,FALSE)," ")</f>
        <v xml:space="preserve"> </v>
      </c>
      <c r="F113" s="202" t="s">
        <v>781</v>
      </c>
      <c r="G113" s="202" t="s">
        <v>781</v>
      </c>
      <c r="H113" s="203" t="s">
        <v>781</v>
      </c>
      <c r="I113" s="203" t="s">
        <v>781</v>
      </c>
      <c r="J113" s="203" t="s">
        <v>781</v>
      </c>
      <c r="K113" s="203"/>
      <c r="L113" s="202" t="s">
        <v>781</v>
      </c>
      <c r="M113" s="204" t="str">
        <f t="shared" si="403"/>
        <v xml:space="preserve"> </v>
      </c>
      <c r="N113" s="95" t="s">
        <v>781</v>
      </c>
      <c r="O113" s="204" t="str">
        <f t="shared" si="403"/>
        <v xml:space="preserve"> </v>
      </c>
      <c r="P113" s="95" t="s">
        <v>781</v>
      </c>
      <c r="Q113" s="204" t="str">
        <f t="shared" ref="Q113:S113" si="657">IFERROR(P113/$G113," ")</f>
        <v xml:space="preserve"> </v>
      </c>
      <c r="R113" s="95" t="s">
        <v>781</v>
      </c>
      <c r="S113" s="204" t="str">
        <f t="shared" si="657"/>
        <v xml:space="preserve"> </v>
      </c>
      <c r="T113" s="95" t="s">
        <v>781</v>
      </c>
      <c r="U113" s="204" t="str">
        <f t="shared" ref="U113:W113" si="658">IFERROR(T113/$G113," ")</f>
        <v xml:space="preserve"> </v>
      </c>
      <c r="V113" s="95" t="s">
        <v>781</v>
      </c>
      <c r="W113" s="204" t="str">
        <f t="shared" si="658"/>
        <v xml:space="preserve"> </v>
      </c>
      <c r="X113" s="95" t="s">
        <v>781</v>
      </c>
      <c r="Y113" s="204" t="str">
        <f t="shared" ref="Y113:AA113" si="659">IFERROR(X113/$G113," ")</f>
        <v xml:space="preserve"> </v>
      </c>
      <c r="Z113" s="95" t="s">
        <v>781</v>
      </c>
      <c r="AA113" s="204" t="str">
        <f t="shared" si="659"/>
        <v xml:space="preserve"> </v>
      </c>
      <c r="AB113" s="95" t="s">
        <v>781</v>
      </c>
      <c r="AC113" s="204" t="str">
        <f t="shared" ref="AC113:AE113" si="660">IFERROR(AB113/$G113," ")</f>
        <v xml:space="preserve"> </v>
      </c>
      <c r="AD113" s="95" t="s">
        <v>781</v>
      </c>
      <c r="AE113" s="204" t="str">
        <f t="shared" si="660"/>
        <v xml:space="preserve"> </v>
      </c>
      <c r="AF113" s="95" t="s">
        <v>781</v>
      </c>
      <c r="AG113" s="204" t="str">
        <f t="shared" ref="AG113:AI113" si="661">IFERROR(AF113/$G113," ")</f>
        <v xml:space="preserve"> </v>
      </c>
      <c r="AH113" s="95" t="s">
        <v>781</v>
      </c>
      <c r="AI113" s="204" t="str">
        <f t="shared" si="661"/>
        <v xml:space="preserve"> </v>
      </c>
      <c r="AJ113" s="95" t="s">
        <v>781</v>
      </c>
      <c r="AK113" s="204" t="str">
        <f t="shared" ref="AK113:AM113" si="662">IFERROR(AJ113/$G113," ")</f>
        <v xml:space="preserve"> </v>
      </c>
      <c r="AL113" s="95" t="s">
        <v>781</v>
      </c>
      <c r="AM113" s="204" t="str">
        <f t="shared" si="662"/>
        <v xml:space="preserve"> </v>
      </c>
      <c r="AN113" s="95"/>
      <c r="AO113" s="94" t="str">
        <f t="shared" si="410"/>
        <v xml:space="preserve"> </v>
      </c>
      <c r="AP113" s="94" t="str">
        <f t="shared" si="400"/>
        <v xml:space="preserve"> </v>
      </c>
      <c r="AQ113" s="94" t="str">
        <f t="shared" si="401"/>
        <v xml:space="preserve"> </v>
      </c>
      <c r="AR113" s="94" t="str">
        <f t="shared" si="614"/>
        <v xml:space="preserve"> </v>
      </c>
      <c r="AS113" s="94" t="str">
        <f t="shared" si="412"/>
        <v xml:space="preserve"> </v>
      </c>
      <c r="AT113" s="94" t="str">
        <f t="shared" si="413"/>
        <v xml:space="preserve"> </v>
      </c>
      <c r="AU113" s="94" t="str">
        <f t="shared" si="414"/>
        <v xml:space="preserve"> </v>
      </c>
      <c r="AV113" s="94" t="str">
        <f t="shared" si="415"/>
        <v xml:space="preserve"> </v>
      </c>
      <c r="AW113" s="94" t="str">
        <f t="shared" si="416"/>
        <v xml:space="preserve"> </v>
      </c>
      <c r="AX113" s="94" t="str">
        <f t="shared" si="417"/>
        <v xml:space="preserve"> </v>
      </c>
      <c r="AY113" s="94" t="str">
        <f t="shared" si="418"/>
        <v xml:space="preserve"> </v>
      </c>
      <c r="AZ113" s="94" t="str">
        <f t="shared" si="419"/>
        <v xml:space="preserve"> </v>
      </c>
      <c r="BA113" s="94" t="str">
        <f t="shared" si="420"/>
        <v xml:space="preserve"> </v>
      </c>
      <c r="BB113" s="94" t="str">
        <f t="shared" si="421"/>
        <v xml:space="preserve"> </v>
      </c>
    </row>
    <row r="114" spans="1:54" x14ac:dyDescent="0.25">
      <c r="A114" s="80">
        <v>48</v>
      </c>
      <c r="B114" s="95" t="s">
        <v>2884</v>
      </c>
      <c r="C114" s="201" t="s">
        <v>241</v>
      </c>
      <c r="D114" s="80" t="s">
        <v>107</v>
      </c>
      <c r="E114" s="94">
        <f>IFERROR(VLOOKUP(A114,Estimate!A:Q,17,FALSE)," ")</f>
        <v>1338.75</v>
      </c>
      <c r="F114" s="202">
        <v>150</v>
      </c>
      <c r="G114" s="202">
        <v>150</v>
      </c>
      <c r="H114" s="203">
        <v>11.21</v>
      </c>
      <c r="I114" s="203">
        <v>1681.5</v>
      </c>
      <c r="J114" s="203">
        <v>1681.5</v>
      </c>
      <c r="K114" s="203"/>
      <c r="L114" s="202"/>
      <c r="M114" s="204">
        <f t="shared" si="403"/>
        <v>0</v>
      </c>
      <c r="N114" s="95"/>
      <c r="O114" s="204">
        <f t="shared" si="403"/>
        <v>0</v>
      </c>
      <c r="P114" s="95"/>
      <c r="Q114" s="204">
        <f t="shared" ref="Q114:S114" si="663">IFERROR(P114/$G114," ")</f>
        <v>0</v>
      </c>
      <c r="R114" s="95"/>
      <c r="S114" s="204">
        <f t="shared" si="663"/>
        <v>0</v>
      </c>
      <c r="T114" s="95"/>
      <c r="U114" s="204">
        <f t="shared" ref="U114:W114" si="664">IFERROR(T114/$G114," ")</f>
        <v>0</v>
      </c>
      <c r="V114" s="95"/>
      <c r="W114" s="204">
        <f t="shared" si="664"/>
        <v>0</v>
      </c>
      <c r="X114" s="95"/>
      <c r="Y114" s="204">
        <f t="shared" ref="Y114:AA114" si="665">IFERROR(X114/$G114," ")</f>
        <v>0</v>
      </c>
      <c r="Z114" s="95"/>
      <c r="AA114" s="204">
        <f t="shared" si="665"/>
        <v>0</v>
      </c>
      <c r="AB114" s="95"/>
      <c r="AC114" s="204">
        <f t="shared" ref="AC114:AE114" si="666">IFERROR(AB114/$G114," ")</f>
        <v>0</v>
      </c>
      <c r="AD114" s="95"/>
      <c r="AE114" s="204">
        <f t="shared" si="666"/>
        <v>0</v>
      </c>
      <c r="AF114" s="95"/>
      <c r="AG114" s="204">
        <f t="shared" ref="AG114:AI114" si="667">IFERROR(AF114/$G114," ")</f>
        <v>0</v>
      </c>
      <c r="AH114" s="95">
        <v>150</v>
      </c>
      <c r="AI114" s="204">
        <f t="shared" si="667"/>
        <v>1</v>
      </c>
      <c r="AJ114" s="95">
        <v>150</v>
      </c>
      <c r="AK114" s="204">
        <f t="shared" ref="AK114:AM114" si="668">IFERROR(AJ114/$G114," ")</f>
        <v>1</v>
      </c>
      <c r="AL114" s="95">
        <v>150</v>
      </c>
      <c r="AM114" s="204">
        <f t="shared" si="668"/>
        <v>1</v>
      </c>
      <c r="AN114" s="95"/>
      <c r="AO114" s="94">
        <f t="shared" si="410"/>
        <v>0</v>
      </c>
      <c r="AP114" s="94">
        <f t="shared" si="400"/>
        <v>0</v>
      </c>
      <c r="AQ114" s="94">
        <f t="shared" si="401"/>
        <v>0</v>
      </c>
      <c r="AR114" s="94">
        <f t="shared" si="614"/>
        <v>0</v>
      </c>
      <c r="AS114" s="94">
        <f t="shared" si="412"/>
        <v>0</v>
      </c>
      <c r="AT114" s="94">
        <f t="shared" si="413"/>
        <v>0</v>
      </c>
      <c r="AU114" s="94">
        <f t="shared" si="414"/>
        <v>0</v>
      </c>
      <c r="AV114" s="94">
        <f t="shared" si="415"/>
        <v>0</v>
      </c>
      <c r="AW114" s="94">
        <f t="shared" si="416"/>
        <v>0</v>
      </c>
      <c r="AX114" s="94">
        <f t="shared" si="417"/>
        <v>0</v>
      </c>
      <c r="AY114" s="94">
        <f t="shared" si="418"/>
        <v>0</v>
      </c>
      <c r="AZ114" s="94">
        <f t="shared" si="419"/>
        <v>1681.5</v>
      </c>
      <c r="BA114" s="94">
        <f t="shared" si="420"/>
        <v>1681.5</v>
      </c>
      <c r="BB114" s="94">
        <f t="shared" si="421"/>
        <v>1681.5</v>
      </c>
    </row>
    <row r="115" spans="1:54" x14ac:dyDescent="0.25">
      <c r="A115" s="80">
        <v>49</v>
      </c>
      <c r="B115" s="95" t="s">
        <v>2417</v>
      </c>
      <c r="C115" s="201" t="s">
        <v>244</v>
      </c>
      <c r="D115" s="80" t="s">
        <v>62</v>
      </c>
      <c r="E115" s="94">
        <f>IFERROR(VLOOKUP(A115,Estimate!A:Q,17,FALSE)," ")</f>
        <v>972.5</v>
      </c>
      <c r="F115" s="202">
        <v>15</v>
      </c>
      <c r="G115" s="202">
        <v>15</v>
      </c>
      <c r="H115" s="203">
        <v>81.45</v>
      </c>
      <c r="I115" s="203">
        <v>1221.75</v>
      </c>
      <c r="J115" s="203">
        <v>1221.75</v>
      </c>
      <c r="K115" s="203"/>
      <c r="L115" s="202"/>
      <c r="M115" s="204">
        <f t="shared" si="403"/>
        <v>0</v>
      </c>
      <c r="N115" s="95"/>
      <c r="O115" s="204">
        <f t="shared" si="403"/>
        <v>0</v>
      </c>
      <c r="P115" s="95"/>
      <c r="Q115" s="204">
        <f t="shared" ref="Q115:S115" si="669">IFERROR(P115/$G115," ")</f>
        <v>0</v>
      </c>
      <c r="R115" s="95"/>
      <c r="S115" s="204">
        <f t="shared" si="669"/>
        <v>0</v>
      </c>
      <c r="T115" s="95"/>
      <c r="U115" s="204">
        <f t="shared" ref="U115:W115" si="670">IFERROR(T115/$G115," ")</f>
        <v>0</v>
      </c>
      <c r="V115" s="95"/>
      <c r="W115" s="204">
        <f t="shared" si="670"/>
        <v>0</v>
      </c>
      <c r="X115" s="95"/>
      <c r="Y115" s="204">
        <f t="shared" ref="Y115:AA115" si="671">IFERROR(X115/$G115," ")</f>
        <v>0</v>
      </c>
      <c r="Z115" s="95"/>
      <c r="AA115" s="204">
        <f t="shared" si="671"/>
        <v>0</v>
      </c>
      <c r="AB115" s="95"/>
      <c r="AC115" s="204">
        <f t="shared" ref="AC115:AE115" si="672">IFERROR(AB115/$G115," ")</f>
        <v>0</v>
      </c>
      <c r="AD115" s="95"/>
      <c r="AE115" s="204">
        <f t="shared" si="672"/>
        <v>0</v>
      </c>
      <c r="AF115" s="95"/>
      <c r="AG115" s="204">
        <f t="shared" ref="AG115:AI115" si="673">IFERROR(AF115/$G115," ")</f>
        <v>0</v>
      </c>
      <c r="AH115" s="95">
        <v>15</v>
      </c>
      <c r="AI115" s="204">
        <f t="shared" si="673"/>
        <v>1</v>
      </c>
      <c r="AJ115" s="95">
        <v>15</v>
      </c>
      <c r="AK115" s="204">
        <f t="shared" ref="AK115:AM115" si="674">IFERROR(AJ115/$G115," ")</f>
        <v>1</v>
      </c>
      <c r="AL115" s="95">
        <v>15</v>
      </c>
      <c r="AM115" s="204">
        <f t="shared" si="674"/>
        <v>1</v>
      </c>
      <c r="AN115" s="95"/>
      <c r="AO115" s="94">
        <f t="shared" si="410"/>
        <v>0</v>
      </c>
      <c r="AP115" s="94">
        <f t="shared" si="400"/>
        <v>0</v>
      </c>
      <c r="AQ115" s="94">
        <f t="shared" si="401"/>
        <v>0</v>
      </c>
      <c r="AR115" s="94">
        <f t="shared" si="614"/>
        <v>0</v>
      </c>
      <c r="AS115" s="94">
        <f t="shared" si="412"/>
        <v>0</v>
      </c>
      <c r="AT115" s="94">
        <f t="shared" si="413"/>
        <v>0</v>
      </c>
      <c r="AU115" s="94">
        <f t="shared" si="414"/>
        <v>0</v>
      </c>
      <c r="AV115" s="94">
        <f t="shared" si="415"/>
        <v>0</v>
      </c>
      <c r="AW115" s="94">
        <f t="shared" si="416"/>
        <v>0</v>
      </c>
      <c r="AX115" s="94">
        <f t="shared" si="417"/>
        <v>0</v>
      </c>
      <c r="AY115" s="94">
        <f t="shared" si="418"/>
        <v>0</v>
      </c>
      <c r="AZ115" s="94">
        <f t="shared" si="419"/>
        <v>1221.75</v>
      </c>
      <c r="BA115" s="94">
        <f t="shared" si="420"/>
        <v>1221.75</v>
      </c>
      <c r="BB115" s="94">
        <f t="shared" si="421"/>
        <v>1221.75</v>
      </c>
    </row>
    <row r="116" spans="1:54" x14ac:dyDescent="0.25">
      <c r="A116" s="80"/>
      <c r="B116" s="95" t="s">
        <v>2417</v>
      </c>
      <c r="C116" s="201" t="s">
        <v>2837</v>
      </c>
      <c r="D116" s="80" t="s">
        <v>783</v>
      </c>
      <c r="E116" s="94" t="str">
        <f>IFERROR(VLOOKUP(A116,Estimate!A:Q,17,FALSE)," ")</f>
        <v xml:space="preserve"> </v>
      </c>
      <c r="F116" s="202" t="s">
        <v>781</v>
      </c>
      <c r="G116" s="202" t="s">
        <v>781</v>
      </c>
      <c r="H116" s="203" t="s">
        <v>781</v>
      </c>
      <c r="I116" s="203" t="s">
        <v>781</v>
      </c>
      <c r="J116" s="203" t="s">
        <v>781</v>
      </c>
      <c r="K116" s="203"/>
      <c r="L116" s="202" t="s">
        <v>781</v>
      </c>
      <c r="M116" s="204" t="str">
        <f t="shared" si="403"/>
        <v xml:space="preserve"> </v>
      </c>
      <c r="N116" s="95" t="s">
        <v>781</v>
      </c>
      <c r="O116" s="204" t="str">
        <f t="shared" si="403"/>
        <v xml:space="preserve"> </v>
      </c>
      <c r="P116" s="95" t="s">
        <v>781</v>
      </c>
      <c r="Q116" s="204" t="str">
        <f t="shared" ref="Q116:S116" si="675">IFERROR(P116/$G116," ")</f>
        <v xml:space="preserve"> </v>
      </c>
      <c r="R116" s="95" t="s">
        <v>781</v>
      </c>
      <c r="S116" s="204" t="str">
        <f t="shared" si="675"/>
        <v xml:space="preserve"> </v>
      </c>
      <c r="T116" s="95" t="s">
        <v>781</v>
      </c>
      <c r="U116" s="204" t="str">
        <f t="shared" ref="U116:W116" si="676">IFERROR(T116/$G116," ")</f>
        <v xml:space="preserve"> </v>
      </c>
      <c r="V116" s="95" t="s">
        <v>781</v>
      </c>
      <c r="W116" s="204" t="str">
        <f t="shared" si="676"/>
        <v xml:space="preserve"> </v>
      </c>
      <c r="X116" s="95" t="s">
        <v>781</v>
      </c>
      <c r="Y116" s="204" t="str">
        <f t="shared" ref="Y116:AA116" si="677">IFERROR(X116/$G116," ")</f>
        <v xml:space="preserve"> </v>
      </c>
      <c r="Z116" s="95" t="s">
        <v>781</v>
      </c>
      <c r="AA116" s="204" t="str">
        <f t="shared" si="677"/>
        <v xml:space="preserve"> </v>
      </c>
      <c r="AB116" s="95" t="s">
        <v>781</v>
      </c>
      <c r="AC116" s="204" t="str">
        <f t="shared" ref="AC116:AE116" si="678">IFERROR(AB116/$G116," ")</f>
        <v xml:space="preserve"> </v>
      </c>
      <c r="AD116" s="95" t="s">
        <v>781</v>
      </c>
      <c r="AE116" s="204" t="str">
        <f t="shared" si="678"/>
        <v xml:space="preserve"> </v>
      </c>
      <c r="AF116" s="95" t="s">
        <v>781</v>
      </c>
      <c r="AG116" s="204" t="str">
        <f t="shared" ref="AG116:AI116" si="679">IFERROR(AF116/$G116," ")</f>
        <v xml:space="preserve"> </v>
      </c>
      <c r="AH116" s="95" t="s">
        <v>781</v>
      </c>
      <c r="AI116" s="204" t="str">
        <f t="shared" si="679"/>
        <v xml:space="preserve"> </v>
      </c>
      <c r="AJ116" s="95" t="s">
        <v>781</v>
      </c>
      <c r="AK116" s="204" t="str">
        <f t="shared" ref="AK116:AM116" si="680">IFERROR(AJ116/$G116," ")</f>
        <v xml:space="preserve"> </v>
      </c>
      <c r="AL116" s="95" t="s">
        <v>781</v>
      </c>
      <c r="AM116" s="204" t="str">
        <f t="shared" si="680"/>
        <v xml:space="preserve"> </v>
      </c>
      <c r="AN116" s="95"/>
      <c r="AO116" s="94" t="str">
        <f t="shared" si="410"/>
        <v xml:space="preserve"> </v>
      </c>
      <c r="AP116" s="94" t="str">
        <f t="shared" si="400"/>
        <v xml:space="preserve"> </v>
      </c>
      <c r="AQ116" s="94" t="str">
        <f t="shared" si="401"/>
        <v xml:space="preserve"> </v>
      </c>
      <c r="AR116" s="94" t="str">
        <f t="shared" si="614"/>
        <v xml:space="preserve"> </v>
      </c>
      <c r="AS116" s="94" t="str">
        <f t="shared" si="412"/>
        <v xml:space="preserve"> </v>
      </c>
      <c r="AT116" s="94" t="str">
        <f t="shared" si="413"/>
        <v xml:space="preserve"> </v>
      </c>
      <c r="AU116" s="94" t="str">
        <f t="shared" si="414"/>
        <v xml:space="preserve"> </v>
      </c>
      <c r="AV116" s="94" t="str">
        <f t="shared" si="415"/>
        <v xml:space="preserve"> </v>
      </c>
      <c r="AW116" s="94" t="str">
        <f t="shared" si="416"/>
        <v xml:space="preserve"> </v>
      </c>
      <c r="AX116" s="94" t="str">
        <f t="shared" si="417"/>
        <v xml:space="preserve"> </v>
      </c>
      <c r="AY116" s="94" t="str">
        <f t="shared" si="418"/>
        <v xml:space="preserve"> </v>
      </c>
      <c r="AZ116" s="94" t="str">
        <f t="shared" si="419"/>
        <v xml:space="preserve"> </v>
      </c>
      <c r="BA116" s="94" t="str">
        <f t="shared" si="420"/>
        <v xml:space="preserve"> </v>
      </c>
      <c r="BB116" s="94" t="str">
        <f t="shared" si="421"/>
        <v xml:space="preserve"> </v>
      </c>
    </row>
    <row r="117" spans="1:54" x14ac:dyDescent="0.25">
      <c r="A117" s="80"/>
      <c r="B117" s="95" t="s">
        <v>2417</v>
      </c>
      <c r="C117" s="201" t="s">
        <v>145</v>
      </c>
      <c r="D117" s="80" t="s">
        <v>783</v>
      </c>
      <c r="E117" s="94" t="str">
        <f>IFERROR(VLOOKUP(A117,Estimate!A:Q,17,FALSE)," ")</f>
        <v xml:space="preserve"> </v>
      </c>
      <c r="F117" s="202" t="s">
        <v>781</v>
      </c>
      <c r="G117" s="202" t="s">
        <v>781</v>
      </c>
      <c r="H117" s="203" t="s">
        <v>781</v>
      </c>
      <c r="I117" s="203" t="s">
        <v>781</v>
      </c>
      <c r="J117" s="203" t="s">
        <v>781</v>
      </c>
      <c r="K117" s="203"/>
      <c r="L117" s="202" t="s">
        <v>781</v>
      </c>
      <c r="M117" s="204" t="str">
        <f t="shared" si="403"/>
        <v xml:space="preserve"> </v>
      </c>
      <c r="N117" s="95" t="s">
        <v>781</v>
      </c>
      <c r="O117" s="204" t="str">
        <f t="shared" si="403"/>
        <v xml:space="preserve"> </v>
      </c>
      <c r="P117" s="95" t="s">
        <v>781</v>
      </c>
      <c r="Q117" s="204" t="str">
        <f t="shared" ref="Q117:S117" si="681">IFERROR(P117/$G117," ")</f>
        <v xml:space="preserve"> </v>
      </c>
      <c r="R117" s="95" t="s">
        <v>781</v>
      </c>
      <c r="S117" s="204" t="str">
        <f t="shared" si="681"/>
        <v xml:space="preserve"> </v>
      </c>
      <c r="T117" s="95" t="s">
        <v>781</v>
      </c>
      <c r="U117" s="204" t="str">
        <f t="shared" ref="U117:W117" si="682">IFERROR(T117/$G117," ")</f>
        <v xml:space="preserve"> </v>
      </c>
      <c r="V117" s="95" t="s">
        <v>781</v>
      </c>
      <c r="W117" s="204" t="str">
        <f t="shared" si="682"/>
        <v xml:space="preserve"> </v>
      </c>
      <c r="X117" s="95" t="s">
        <v>781</v>
      </c>
      <c r="Y117" s="204" t="str">
        <f t="shared" ref="Y117:AA117" si="683">IFERROR(X117/$G117," ")</f>
        <v xml:space="preserve"> </v>
      </c>
      <c r="Z117" s="95" t="s">
        <v>781</v>
      </c>
      <c r="AA117" s="204" t="str">
        <f t="shared" si="683"/>
        <v xml:space="preserve"> </v>
      </c>
      <c r="AB117" s="95" t="s">
        <v>781</v>
      </c>
      <c r="AC117" s="204" t="str">
        <f t="shared" ref="AC117:AE117" si="684">IFERROR(AB117/$G117," ")</f>
        <v xml:space="preserve"> </v>
      </c>
      <c r="AD117" s="95" t="s">
        <v>781</v>
      </c>
      <c r="AE117" s="204" t="str">
        <f t="shared" si="684"/>
        <v xml:space="preserve"> </v>
      </c>
      <c r="AF117" s="95" t="s">
        <v>781</v>
      </c>
      <c r="AG117" s="204" t="str">
        <f t="shared" ref="AG117:AI117" si="685">IFERROR(AF117/$G117," ")</f>
        <v xml:space="preserve"> </v>
      </c>
      <c r="AH117" s="95" t="s">
        <v>781</v>
      </c>
      <c r="AI117" s="204" t="str">
        <f t="shared" si="685"/>
        <v xml:space="preserve"> </v>
      </c>
      <c r="AJ117" s="95" t="s">
        <v>781</v>
      </c>
      <c r="AK117" s="204" t="str">
        <f t="shared" ref="AK117:AM117" si="686">IFERROR(AJ117/$G117," ")</f>
        <v xml:space="preserve"> </v>
      </c>
      <c r="AL117" s="95" t="s">
        <v>781</v>
      </c>
      <c r="AM117" s="204" t="str">
        <f t="shared" si="686"/>
        <v xml:space="preserve"> </v>
      </c>
      <c r="AN117" s="95"/>
      <c r="AO117" s="94" t="str">
        <f t="shared" si="410"/>
        <v xml:space="preserve"> </v>
      </c>
      <c r="AP117" s="94" t="str">
        <f t="shared" si="400"/>
        <v xml:space="preserve"> </v>
      </c>
      <c r="AQ117" s="94" t="str">
        <f t="shared" si="401"/>
        <v xml:space="preserve"> </v>
      </c>
      <c r="AR117" s="94" t="str">
        <f t="shared" si="614"/>
        <v xml:space="preserve"> </v>
      </c>
      <c r="AS117" s="94" t="str">
        <f t="shared" si="412"/>
        <v xml:space="preserve"> </v>
      </c>
      <c r="AT117" s="94" t="str">
        <f t="shared" si="413"/>
        <v xml:space="preserve"> </v>
      </c>
      <c r="AU117" s="94" t="str">
        <f t="shared" si="414"/>
        <v xml:space="preserve"> </v>
      </c>
      <c r="AV117" s="94" t="str">
        <f t="shared" si="415"/>
        <v xml:space="preserve"> </v>
      </c>
      <c r="AW117" s="94" t="str">
        <f t="shared" si="416"/>
        <v xml:space="preserve"> </v>
      </c>
      <c r="AX117" s="94" t="str">
        <f t="shared" si="417"/>
        <v xml:space="preserve"> </v>
      </c>
      <c r="AY117" s="94" t="str">
        <f t="shared" si="418"/>
        <v xml:space="preserve"> </v>
      </c>
      <c r="AZ117" s="94" t="str">
        <f t="shared" si="419"/>
        <v xml:space="preserve"> </v>
      </c>
      <c r="BA117" s="94" t="str">
        <f t="shared" si="420"/>
        <v xml:space="preserve"> </v>
      </c>
      <c r="BB117" s="94" t="str">
        <f t="shared" si="421"/>
        <v xml:space="preserve"> </v>
      </c>
    </row>
    <row r="118" spans="1:54" x14ac:dyDescent="0.25">
      <c r="A118" s="80">
        <v>50</v>
      </c>
      <c r="B118" s="95" t="s">
        <v>2417</v>
      </c>
      <c r="C118" s="201" t="s">
        <v>147</v>
      </c>
      <c r="D118" s="80" t="s">
        <v>20</v>
      </c>
      <c r="E118" s="94">
        <f>IFERROR(VLOOKUP(A118,Estimate!A:Q,17,FALSE)," ")</f>
        <v>4500</v>
      </c>
      <c r="F118" s="202">
        <v>1</v>
      </c>
      <c r="G118" s="202">
        <v>1</v>
      </c>
      <c r="H118" s="203">
        <v>5653.03</v>
      </c>
      <c r="I118" s="203">
        <v>5653.03</v>
      </c>
      <c r="J118" s="203">
        <v>5653.03</v>
      </c>
      <c r="K118" s="203"/>
      <c r="L118" s="202"/>
      <c r="M118" s="204">
        <f t="shared" si="403"/>
        <v>0</v>
      </c>
      <c r="N118" s="95"/>
      <c r="O118" s="204">
        <f t="shared" si="403"/>
        <v>0</v>
      </c>
      <c r="P118" s="95"/>
      <c r="Q118" s="204">
        <f t="shared" ref="Q118:S118" si="687">IFERROR(P118/$G118," ")</f>
        <v>0</v>
      </c>
      <c r="R118" s="95"/>
      <c r="S118" s="204">
        <f t="shared" si="687"/>
        <v>0</v>
      </c>
      <c r="T118" s="95"/>
      <c r="U118" s="204">
        <f t="shared" ref="U118:W118" si="688">IFERROR(T118/$G118," ")</f>
        <v>0</v>
      </c>
      <c r="V118" s="95"/>
      <c r="W118" s="204">
        <f t="shared" si="688"/>
        <v>0</v>
      </c>
      <c r="X118" s="95"/>
      <c r="Y118" s="204">
        <f t="shared" ref="Y118:AA118" si="689">IFERROR(X118/$G118," ")</f>
        <v>0</v>
      </c>
      <c r="Z118" s="95"/>
      <c r="AA118" s="204">
        <f t="shared" si="689"/>
        <v>0</v>
      </c>
      <c r="AB118" s="95">
        <v>0.4</v>
      </c>
      <c r="AC118" s="204">
        <f t="shared" ref="AC118:AE118" si="690">IFERROR(AB118/$G118," ")</f>
        <v>0.4</v>
      </c>
      <c r="AD118" s="95">
        <v>0.6</v>
      </c>
      <c r="AE118" s="204">
        <f t="shared" si="690"/>
        <v>0.6</v>
      </c>
      <c r="AF118" s="95">
        <v>0.6</v>
      </c>
      <c r="AG118" s="204">
        <f t="shared" ref="AG118:AI118" si="691">IFERROR(AF118/$G118," ")</f>
        <v>0.6</v>
      </c>
      <c r="AH118" s="95">
        <v>1</v>
      </c>
      <c r="AI118" s="204">
        <f t="shared" si="691"/>
        <v>1</v>
      </c>
      <c r="AJ118" s="95">
        <v>1</v>
      </c>
      <c r="AK118" s="204">
        <f t="shared" ref="AK118:AM118" si="692">IFERROR(AJ118/$G118," ")</f>
        <v>1</v>
      </c>
      <c r="AL118" s="95">
        <v>1</v>
      </c>
      <c r="AM118" s="204">
        <f t="shared" si="692"/>
        <v>1</v>
      </c>
      <c r="AN118" s="95"/>
      <c r="AO118" s="94">
        <f t="shared" si="410"/>
        <v>0</v>
      </c>
      <c r="AP118" s="94">
        <f t="shared" si="400"/>
        <v>0</v>
      </c>
      <c r="AQ118" s="94">
        <f t="shared" si="401"/>
        <v>0</v>
      </c>
      <c r="AR118" s="94">
        <f t="shared" si="614"/>
        <v>0</v>
      </c>
      <c r="AS118" s="94">
        <f t="shared" si="412"/>
        <v>0</v>
      </c>
      <c r="AT118" s="94">
        <f t="shared" si="413"/>
        <v>0</v>
      </c>
      <c r="AU118" s="94">
        <f t="shared" si="414"/>
        <v>0</v>
      </c>
      <c r="AV118" s="94">
        <f t="shared" si="415"/>
        <v>0</v>
      </c>
      <c r="AW118" s="94">
        <f t="shared" si="416"/>
        <v>2261.212</v>
      </c>
      <c r="AX118" s="94">
        <f t="shared" si="417"/>
        <v>3391.8179999999998</v>
      </c>
      <c r="AY118" s="94">
        <f t="shared" si="418"/>
        <v>3391.8179999999998</v>
      </c>
      <c r="AZ118" s="94">
        <f t="shared" si="419"/>
        <v>5653.03</v>
      </c>
      <c r="BA118" s="94">
        <f t="shared" si="420"/>
        <v>5653.03</v>
      </c>
      <c r="BB118" s="94">
        <f t="shared" si="421"/>
        <v>5653.03</v>
      </c>
    </row>
    <row r="119" spans="1:54" x14ac:dyDescent="0.25">
      <c r="A119" s="80"/>
      <c r="B119" s="95" t="s">
        <v>2417</v>
      </c>
      <c r="C119" s="201" t="s">
        <v>2837</v>
      </c>
      <c r="D119" s="80" t="s">
        <v>783</v>
      </c>
      <c r="E119" s="94" t="str">
        <f>IFERROR(VLOOKUP(A119,Estimate!A:Q,17,FALSE)," ")</f>
        <v xml:space="preserve"> </v>
      </c>
      <c r="F119" s="202" t="s">
        <v>781</v>
      </c>
      <c r="G119" s="202" t="s">
        <v>781</v>
      </c>
      <c r="H119" s="203" t="s">
        <v>781</v>
      </c>
      <c r="I119" s="203" t="s">
        <v>781</v>
      </c>
      <c r="J119" s="203" t="s">
        <v>781</v>
      </c>
      <c r="K119" s="203"/>
      <c r="L119" s="202" t="s">
        <v>781</v>
      </c>
      <c r="M119" s="204" t="str">
        <f t="shared" si="403"/>
        <v xml:space="preserve"> </v>
      </c>
      <c r="N119" s="95" t="s">
        <v>781</v>
      </c>
      <c r="O119" s="204" t="str">
        <f t="shared" si="403"/>
        <v xml:space="preserve"> </v>
      </c>
      <c r="P119" s="95" t="s">
        <v>781</v>
      </c>
      <c r="Q119" s="204" t="str">
        <f t="shared" ref="Q119:S119" si="693">IFERROR(P119/$G119," ")</f>
        <v xml:space="preserve"> </v>
      </c>
      <c r="R119" s="95" t="s">
        <v>781</v>
      </c>
      <c r="S119" s="204" t="str">
        <f t="shared" si="693"/>
        <v xml:space="preserve"> </v>
      </c>
      <c r="T119" s="95" t="s">
        <v>781</v>
      </c>
      <c r="U119" s="204" t="str">
        <f t="shared" ref="U119:W119" si="694">IFERROR(T119/$G119," ")</f>
        <v xml:space="preserve"> </v>
      </c>
      <c r="V119" s="95" t="s">
        <v>781</v>
      </c>
      <c r="W119" s="204" t="str">
        <f t="shared" si="694"/>
        <v xml:space="preserve"> </v>
      </c>
      <c r="X119" s="95" t="s">
        <v>781</v>
      </c>
      <c r="Y119" s="204" t="str">
        <f t="shared" ref="Y119:AA119" si="695">IFERROR(X119/$G119," ")</f>
        <v xml:space="preserve"> </v>
      </c>
      <c r="Z119" s="95" t="s">
        <v>781</v>
      </c>
      <c r="AA119" s="204" t="str">
        <f t="shared" si="695"/>
        <v xml:space="preserve"> </v>
      </c>
      <c r="AB119" s="95" t="s">
        <v>781</v>
      </c>
      <c r="AC119" s="204" t="str">
        <f t="shared" ref="AC119:AE119" si="696">IFERROR(AB119/$G119," ")</f>
        <v xml:space="preserve"> </v>
      </c>
      <c r="AD119" s="95" t="s">
        <v>781</v>
      </c>
      <c r="AE119" s="204" t="str">
        <f t="shared" si="696"/>
        <v xml:space="preserve"> </v>
      </c>
      <c r="AF119" s="95" t="s">
        <v>781</v>
      </c>
      <c r="AG119" s="204" t="str">
        <f t="shared" ref="AG119:AI119" si="697">IFERROR(AF119/$G119," ")</f>
        <v xml:space="preserve"> </v>
      </c>
      <c r="AH119" s="95" t="s">
        <v>781</v>
      </c>
      <c r="AI119" s="204" t="str">
        <f t="shared" si="697"/>
        <v xml:space="preserve"> </v>
      </c>
      <c r="AJ119" s="95" t="s">
        <v>781</v>
      </c>
      <c r="AK119" s="204" t="str">
        <f t="shared" ref="AK119:AM119" si="698">IFERROR(AJ119/$G119," ")</f>
        <v xml:space="preserve"> </v>
      </c>
      <c r="AL119" s="95" t="s">
        <v>781</v>
      </c>
      <c r="AM119" s="204" t="str">
        <f t="shared" si="698"/>
        <v xml:space="preserve"> </v>
      </c>
      <c r="AN119" s="95"/>
      <c r="AO119" s="94" t="str">
        <f t="shared" si="410"/>
        <v xml:space="preserve"> </v>
      </c>
      <c r="AP119" s="94" t="str">
        <f t="shared" si="400"/>
        <v xml:space="preserve"> </v>
      </c>
      <c r="AQ119" s="94" t="str">
        <f t="shared" si="401"/>
        <v xml:space="preserve"> </v>
      </c>
      <c r="AR119" s="94" t="str">
        <f t="shared" si="614"/>
        <v xml:space="preserve"> </v>
      </c>
      <c r="AS119" s="94" t="str">
        <f t="shared" si="412"/>
        <v xml:space="preserve"> </v>
      </c>
      <c r="AT119" s="94" t="str">
        <f t="shared" si="413"/>
        <v xml:space="preserve"> </v>
      </c>
      <c r="AU119" s="94" t="str">
        <f t="shared" si="414"/>
        <v xml:space="preserve"> </v>
      </c>
      <c r="AV119" s="94" t="str">
        <f t="shared" si="415"/>
        <v xml:space="preserve"> </v>
      </c>
      <c r="AW119" s="94" t="str">
        <f t="shared" si="416"/>
        <v xml:space="preserve"> </v>
      </c>
      <c r="AX119" s="94" t="str">
        <f t="shared" si="417"/>
        <v xml:space="preserve"> </v>
      </c>
      <c r="AY119" s="94" t="str">
        <f t="shared" si="418"/>
        <v xml:space="preserve"> </v>
      </c>
      <c r="AZ119" s="94" t="str">
        <f t="shared" si="419"/>
        <v xml:space="preserve"> </v>
      </c>
      <c r="BA119" s="94" t="str">
        <f t="shared" si="420"/>
        <v xml:space="preserve"> </v>
      </c>
      <c r="BB119" s="94" t="str">
        <f t="shared" si="421"/>
        <v xml:space="preserve"> </v>
      </c>
    </row>
    <row r="120" spans="1:54" x14ac:dyDescent="0.25">
      <c r="A120" s="80"/>
      <c r="B120" s="205" t="s">
        <v>2417</v>
      </c>
      <c r="C120" s="206" t="s">
        <v>1916</v>
      </c>
      <c r="D120" s="207" t="s">
        <v>783</v>
      </c>
      <c r="E120" s="94" t="str">
        <f>IFERROR(VLOOKUP(A120,Estimate!A:Q,17,FALSE)," ")</f>
        <v xml:space="preserve"> </v>
      </c>
      <c r="F120" s="208" t="s">
        <v>781</v>
      </c>
      <c r="G120" s="208" t="s">
        <v>781</v>
      </c>
      <c r="H120" s="209" t="s">
        <v>781</v>
      </c>
      <c r="I120" s="209">
        <v>329438.42</v>
      </c>
      <c r="J120" s="209" t="s">
        <v>781</v>
      </c>
      <c r="K120" s="209"/>
      <c r="L120" s="208" t="s">
        <v>781</v>
      </c>
      <c r="M120" s="204" t="str">
        <f t="shared" si="403"/>
        <v xml:space="preserve"> </v>
      </c>
      <c r="N120" s="95" t="s">
        <v>781</v>
      </c>
      <c r="O120" s="204" t="str">
        <f t="shared" si="403"/>
        <v xml:space="preserve"> </v>
      </c>
      <c r="P120" s="95" t="s">
        <v>781</v>
      </c>
      <c r="Q120" s="204" t="str">
        <f t="shared" ref="Q120:S120" si="699">IFERROR(P120/$G120," ")</f>
        <v xml:space="preserve"> </v>
      </c>
      <c r="R120" s="95" t="s">
        <v>781</v>
      </c>
      <c r="S120" s="204" t="str">
        <f t="shared" si="699"/>
        <v xml:space="preserve"> </v>
      </c>
      <c r="T120" s="95" t="s">
        <v>781</v>
      </c>
      <c r="U120" s="204" t="str">
        <f t="shared" ref="U120:W120" si="700">IFERROR(T120/$G120," ")</f>
        <v xml:space="preserve"> </v>
      </c>
      <c r="V120" s="95" t="s">
        <v>781</v>
      </c>
      <c r="W120" s="204" t="str">
        <f t="shared" si="700"/>
        <v xml:space="preserve"> </v>
      </c>
      <c r="X120" s="95" t="s">
        <v>781</v>
      </c>
      <c r="Y120" s="204" t="str">
        <f t="shared" ref="Y120:AA120" si="701">IFERROR(X120/$G120," ")</f>
        <v xml:space="preserve"> </v>
      </c>
      <c r="Z120" s="95" t="s">
        <v>781</v>
      </c>
      <c r="AA120" s="204" t="str">
        <f t="shared" si="701"/>
        <v xml:space="preserve"> </v>
      </c>
      <c r="AB120" s="95" t="s">
        <v>781</v>
      </c>
      <c r="AC120" s="204" t="str">
        <f t="shared" ref="AC120:AE120" si="702">IFERROR(AB120/$G120," ")</f>
        <v xml:space="preserve"> </v>
      </c>
      <c r="AD120" s="95" t="s">
        <v>781</v>
      </c>
      <c r="AE120" s="204" t="str">
        <f t="shared" si="702"/>
        <v xml:space="preserve"> </v>
      </c>
      <c r="AF120" s="95" t="s">
        <v>781</v>
      </c>
      <c r="AG120" s="204" t="str">
        <f t="shared" ref="AG120:AI120" si="703">IFERROR(AF120/$G120," ")</f>
        <v xml:space="preserve"> </v>
      </c>
      <c r="AH120" s="95" t="s">
        <v>781</v>
      </c>
      <c r="AI120" s="204" t="str">
        <f t="shared" si="703"/>
        <v xml:space="preserve"> </v>
      </c>
      <c r="AJ120" s="95" t="s">
        <v>781</v>
      </c>
      <c r="AK120" s="204" t="str">
        <f t="shared" ref="AK120:AM120" si="704">IFERROR(AJ120/$G120," ")</f>
        <v xml:space="preserve"> </v>
      </c>
      <c r="AL120" s="95" t="s">
        <v>781</v>
      </c>
      <c r="AM120" s="204" t="str">
        <f t="shared" si="704"/>
        <v xml:space="preserve"> </v>
      </c>
      <c r="AN120" s="95"/>
      <c r="AO120" s="94" t="str">
        <f t="shared" si="410"/>
        <v xml:space="preserve"> </v>
      </c>
      <c r="AP120" s="94" t="str">
        <f t="shared" si="400"/>
        <v xml:space="preserve"> </v>
      </c>
      <c r="AQ120" s="94" t="str">
        <f t="shared" si="401"/>
        <v xml:space="preserve"> </v>
      </c>
      <c r="AR120" s="94" t="str">
        <f t="shared" si="614"/>
        <v xml:space="preserve"> </v>
      </c>
      <c r="AS120" s="94" t="str">
        <f t="shared" si="412"/>
        <v xml:space="preserve"> </v>
      </c>
      <c r="AT120" s="94" t="str">
        <f t="shared" si="413"/>
        <v xml:space="preserve"> </v>
      </c>
      <c r="AU120" s="94" t="str">
        <f t="shared" si="414"/>
        <v xml:space="preserve"> </v>
      </c>
      <c r="AV120" s="94" t="str">
        <f t="shared" si="415"/>
        <v xml:space="preserve"> </v>
      </c>
      <c r="AW120" s="94" t="str">
        <f t="shared" si="416"/>
        <v xml:space="preserve"> </v>
      </c>
      <c r="AX120" s="94" t="str">
        <f t="shared" si="417"/>
        <v xml:space="preserve"> </v>
      </c>
      <c r="AY120" s="94" t="str">
        <f t="shared" si="418"/>
        <v xml:space="preserve"> </v>
      </c>
      <c r="AZ120" s="94" t="str">
        <f t="shared" si="419"/>
        <v xml:space="preserve"> </v>
      </c>
      <c r="BA120" s="94" t="str">
        <f t="shared" si="420"/>
        <v xml:space="preserve"> </v>
      </c>
      <c r="BB120" s="94" t="str">
        <f t="shared" si="421"/>
        <v xml:space="preserve"> </v>
      </c>
    </row>
    <row r="121" spans="1:54" x14ac:dyDescent="0.25">
      <c r="A121" s="80"/>
      <c r="B121" s="95" t="s">
        <v>2417</v>
      </c>
      <c r="C121" s="201" t="s">
        <v>781</v>
      </c>
      <c r="D121" s="80" t="s">
        <v>783</v>
      </c>
      <c r="E121" s="94" t="str">
        <f>IFERROR(VLOOKUP(A121,Estimate!A:Q,17,FALSE)," ")</f>
        <v xml:space="preserve"> </v>
      </c>
      <c r="F121" s="202" t="s">
        <v>781</v>
      </c>
      <c r="G121" s="202" t="s">
        <v>781</v>
      </c>
      <c r="H121" s="203" t="s">
        <v>781</v>
      </c>
      <c r="I121" s="203" t="s">
        <v>781</v>
      </c>
      <c r="J121" s="203" t="s">
        <v>781</v>
      </c>
      <c r="K121" s="203"/>
      <c r="L121" s="202" t="s">
        <v>781</v>
      </c>
      <c r="M121" s="204" t="str">
        <f t="shared" si="403"/>
        <v xml:space="preserve"> </v>
      </c>
      <c r="N121" s="95" t="s">
        <v>781</v>
      </c>
      <c r="O121" s="204" t="str">
        <f t="shared" si="403"/>
        <v xml:space="preserve"> </v>
      </c>
      <c r="P121" s="95" t="s">
        <v>781</v>
      </c>
      <c r="Q121" s="204" t="str">
        <f t="shared" ref="Q121:S121" si="705">IFERROR(P121/$G121," ")</f>
        <v xml:space="preserve"> </v>
      </c>
      <c r="R121" s="95" t="s">
        <v>781</v>
      </c>
      <c r="S121" s="204" t="str">
        <f t="shared" si="705"/>
        <v xml:space="preserve"> </v>
      </c>
      <c r="T121" s="95" t="s">
        <v>781</v>
      </c>
      <c r="U121" s="204" t="str">
        <f t="shared" ref="U121:W121" si="706">IFERROR(T121/$G121," ")</f>
        <v xml:space="preserve"> </v>
      </c>
      <c r="V121" s="95" t="s">
        <v>781</v>
      </c>
      <c r="W121" s="204" t="str">
        <f t="shared" si="706"/>
        <v xml:space="preserve"> </v>
      </c>
      <c r="X121" s="95" t="s">
        <v>781</v>
      </c>
      <c r="Y121" s="204" t="str">
        <f t="shared" ref="Y121:AA121" si="707">IFERROR(X121/$G121," ")</f>
        <v xml:space="preserve"> </v>
      </c>
      <c r="Z121" s="95" t="s">
        <v>781</v>
      </c>
      <c r="AA121" s="204" t="str">
        <f t="shared" si="707"/>
        <v xml:space="preserve"> </v>
      </c>
      <c r="AB121" s="95" t="s">
        <v>781</v>
      </c>
      <c r="AC121" s="204" t="str">
        <f t="shared" ref="AC121:AE121" si="708">IFERROR(AB121/$G121," ")</f>
        <v xml:space="preserve"> </v>
      </c>
      <c r="AD121" s="95" t="s">
        <v>781</v>
      </c>
      <c r="AE121" s="204" t="str">
        <f t="shared" si="708"/>
        <v xml:space="preserve"> </v>
      </c>
      <c r="AF121" s="95" t="s">
        <v>781</v>
      </c>
      <c r="AG121" s="204" t="str">
        <f t="shared" ref="AG121:AI121" si="709">IFERROR(AF121/$G121," ")</f>
        <v xml:space="preserve"> </v>
      </c>
      <c r="AH121" s="95" t="s">
        <v>781</v>
      </c>
      <c r="AI121" s="204" t="str">
        <f t="shared" si="709"/>
        <v xml:space="preserve"> </v>
      </c>
      <c r="AJ121" s="95" t="s">
        <v>781</v>
      </c>
      <c r="AK121" s="204" t="str">
        <f t="shared" ref="AK121:AM121" si="710">IFERROR(AJ121/$G121," ")</f>
        <v xml:space="preserve"> </v>
      </c>
      <c r="AL121" s="95" t="s">
        <v>781</v>
      </c>
      <c r="AM121" s="204" t="str">
        <f t="shared" si="710"/>
        <v xml:space="preserve"> </v>
      </c>
      <c r="AN121" s="95"/>
      <c r="AO121" s="94" t="str">
        <f t="shared" si="410"/>
        <v xml:space="preserve"> </v>
      </c>
      <c r="AP121" s="94" t="str">
        <f t="shared" si="400"/>
        <v xml:space="preserve"> </v>
      </c>
      <c r="AQ121" s="94" t="str">
        <f t="shared" si="401"/>
        <v xml:space="preserve"> </v>
      </c>
      <c r="AR121" s="94" t="str">
        <f t="shared" si="614"/>
        <v xml:space="preserve"> </v>
      </c>
      <c r="AS121" s="94" t="str">
        <f t="shared" si="412"/>
        <v xml:space="preserve"> </v>
      </c>
      <c r="AT121" s="94" t="str">
        <f t="shared" si="413"/>
        <v xml:space="preserve"> </v>
      </c>
      <c r="AU121" s="94" t="str">
        <f t="shared" si="414"/>
        <v xml:space="preserve"> </v>
      </c>
      <c r="AV121" s="94" t="str">
        <f t="shared" si="415"/>
        <v xml:space="preserve"> </v>
      </c>
      <c r="AW121" s="94" t="str">
        <f t="shared" si="416"/>
        <v xml:space="preserve"> </v>
      </c>
      <c r="AX121" s="94" t="str">
        <f t="shared" si="417"/>
        <v xml:space="preserve"> </v>
      </c>
      <c r="AY121" s="94" t="str">
        <f t="shared" si="418"/>
        <v xml:space="preserve"> </v>
      </c>
      <c r="AZ121" s="94" t="str">
        <f t="shared" si="419"/>
        <v xml:space="preserve"> </v>
      </c>
      <c r="BA121" s="94" t="str">
        <f t="shared" si="420"/>
        <v xml:space="preserve"> </v>
      </c>
      <c r="BB121" s="94" t="str">
        <f t="shared" si="421"/>
        <v xml:space="preserve"> </v>
      </c>
    </row>
    <row r="122" spans="1:54" x14ac:dyDescent="0.25">
      <c r="A122" s="80"/>
      <c r="B122" s="95" t="s">
        <v>2417</v>
      </c>
      <c r="C122" s="201" t="s">
        <v>248</v>
      </c>
      <c r="D122" s="80" t="s">
        <v>783</v>
      </c>
      <c r="E122" s="94" t="str">
        <f>IFERROR(VLOOKUP(A122,Estimate!A:Q,17,FALSE)," ")</f>
        <v xml:space="preserve"> </v>
      </c>
      <c r="F122" s="202" t="s">
        <v>781</v>
      </c>
      <c r="G122" s="202" t="s">
        <v>781</v>
      </c>
      <c r="H122" s="203" t="s">
        <v>781</v>
      </c>
      <c r="I122" s="203" t="s">
        <v>781</v>
      </c>
      <c r="J122" s="203" t="s">
        <v>781</v>
      </c>
      <c r="K122" s="203"/>
      <c r="L122" s="202" t="s">
        <v>781</v>
      </c>
      <c r="M122" s="204" t="str">
        <f t="shared" si="403"/>
        <v xml:space="preserve"> </v>
      </c>
      <c r="N122" s="95" t="s">
        <v>781</v>
      </c>
      <c r="O122" s="204" t="str">
        <f t="shared" si="403"/>
        <v xml:space="preserve"> </v>
      </c>
      <c r="P122" s="95" t="s">
        <v>781</v>
      </c>
      <c r="Q122" s="204" t="str">
        <f t="shared" ref="Q122:S122" si="711">IFERROR(P122/$G122," ")</f>
        <v xml:space="preserve"> </v>
      </c>
      <c r="R122" s="95" t="s">
        <v>781</v>
      </c>
      <c r="S122" s="204" t="str">
        <f t="shared" si="711"/>
        <v xml:space="preserve"> </v>
      </c>
      <c r="T122" s="95" t="s">
        <v>781</v>
      </c>
      <c r="U122" s="204" t="str">
        <f t="shared" ref="U122:W122" si="712">IFERROR(T122/$G122," ")</f>
        <v xml:space="preserve"> </v>
      </c>
      <c r="V122" s="95" t="s">
        <v>781</v>
      </c>
      <c r="W122" s="204" t="str">
        <f t="shared" si="712"/>
        <v xml:space="preserve"> </v>
      </c>
      <c r="X122" s="95" t="s">
        <v>781</v>
      </c>
      <c r="Y122" s="204" t="str">
        <f t="shared" ref="Y122:AA122" si="713">IFERROR(X122/$G122," ")</f>
        <v xml:space="preserve"> </v>
      </c>
      <c r="Z122" s="95" t="s">
        <v>781</v>
      </c>
      <c r="AA122" s="204" t="str">
        <f t="shared" si="713"/>
        <v xml:space="preserve"> </v>
      </c>
      <c r="AB122" s="95" t="s">
        <v>781</v>
      </c>
      <c r="AC122" s="204" t="str">
        <f t="shared" ref="AC122:AE122" si="714">IFERROR(AB122/$G122," ")</f>
        <v xml:space="preserve"> </v>
      </c>
      <c r="AD122" s="95" t="s">
        <v>781</v>
      </c>
      <c r="AE122" s="204" t="str">
        <f t="shared" si="714"/>
        <v xml:space="preserve"> </v>
      </c>
      <c r="AF122" s="95" t="s">
        <v>781</v>
      </c>
      <c r="AG122" s="204" t="str">
        <f t="shared" ref="AG122:AI122" si="715">IFERROR(AF122/$G122," ")</f>
        <v xml:space="preserve"> </v>
      </c>
      <c r="AH122" s="95" t="s">
        <v>781</v>
      </c>
      <c r="AI122" s="204" t="str">
        <f t="shared" si="715"/>
        <v xml:space="preserve"> </v>
      </c>
      <c r="AJ122" s="95" t="s">
        <v>781</v>
      </c>
      <c r="AK122" s="204" t="str">
        <f t="shared" ref="AK122:AM122" si="716">IFERROR(AJ122/$G122," ")</f>
        <v xml:space="preserve"> </v>
      </c>
      <c r="AL122" s="95" t="s">
        <v>781</v>
      </c>
      <c r="AM122" s="204" t="str">
        <f t="shared" si="716"/>
        <v xml:space="preserve"> </v>
      </c>
      <c r="AN122" s="95"/>
      <c r="AO122" s="94" t="str">
        <f t="shared" si="410"/>
        <v xml:space="preserve"> </v>
      </c>
      <c r="AP122" s="94" t="str">
        <f t="shared" si="400"/>
        <v xml:space="preserve"> </v>
      </c>
      <c r="AQ122" s="94" t="str">
        <f t="shared" si="401"/>
        <v xml:space="preserve"> </v>
      </c>
      <c r="AR122" s="94" t="str">
        <f t="shared" si="614"/>
        <v xml:space="preserve"> </v>
      </c>
      <c r="AS122" s="94" t="str">
        <f t="shared" si="412"/>
        <v xml:space="preserve"> </v>
      </c>
      <c r="AT122" s="94" t="str">
        <f t="shared" si="413"/>
        <v xml:space="preserve"> </v>
      </c>
      <c r="AU122" s="94" t="str">
        <f t="shared" si="414"/>
        <v xml:space="preserve"> </v>
      </c>
      <c r="AV122" s="94" t="str">
        <f t="shared" si="415"/>
        <v xml:space="preserve"> </v>
      </c>
      <c r="AW122" s="94" t="str">
        <f t="shared" si="416"/>
        <v xml:space="preserve"> </v>
      </c>
      <c r="AX122" s="94" t="str">
        <f t="shared" si="417"/>
        <v xml:space="preserve"> </v>
      </c>
      <c r="AY122" s="94" t="str">
        <f t="shared" si="418"/>
        <v xml:space="preserve"> </v>
      </c>
      <c r="AZ122" s="94" t="str">
        <f t="shared" si="419"/>
        <v xml:space="preserve"> </v>
      </c>
      <c r="BA122" s="94" t="str">
        <f t="shared" si="420"/>
        <v xml:space="preserve"> </v>
      </c>
      <c r="BB122" s="94" t="str">
        <f t="shared" si="421"/>
        <v xml:space="preserve"> </v>
      </c>
    </row>
    <row r="123" spans="1:54" x14ac:dyDescent="0.25">
      <c r="A123" s="80"/>
      <c r="B123" s="95" t="s">
        <v>2417</v>
      </c>
      <c r="C123" s="201" t="s">
        <v>781</v>
      </c>
      <c r="D123" s="80" t="s">
        <v>783</v>
      </c>
      <c r="E123" s="94" t="str">
        <f>IFERROR(VLOOKUP(A123,Estimate!A:Q,17,FALSE)," ")</f>
        <v xml:space="preserve"> </v>
      </c>
      <c r="F123" s="202" t="s">
        <v>781</v>
      </c>
      <c r="G123" s="202" t="s">
        <v>781</v>
      </c>
      <c r="H123" s="203" t="s">
        <v>781</v>
      </c>
      <c r="I123" s="203" t="s">
        <v>781</v>
      </c>
      <c r="J123" s="203" t="s">
        <v>781</v>
      </c>
      <c r="K123" s="203"/>
      <c r="L123" s="202" t="s">
        <v>781</v>
      </c>
      <c r="M123" s="204" t="str">
        <f t="shared" si="403"/>
        <v xml:space="preserve"> </v>
      </c>
      <c r="N123" s="95" t="s">
        <v>781</v>
      </c>
      <c r="O123" s="204" t="str">
        <f t="shared" si="403"/>
        <v xml:space="preserve"> </v>
      </c>
      <c r="P123" s="95" t="s">
        <v>781</v>
      </c>
      <c r="Q123" s="204" t="str">
        <f t="shared" ref="Q123:S123" si="717">IFERROR(P123/$G123," ")</f>
        <v xml:space="preserve"> </v>
      </c>
      <c r="R123" s="95" t="s">
        <v>781</v>
      </c>
      <c r="S123" s="204" t="str">
        <f t="shared" si="717"/>
        <v xml:space="preserve"> </v>
      </c>
      <c r="T123" s="95" t="s">
        <v>781</v>
      </c>
      <c r="U123" s="204" t="str">
        <f t="shared" ref="U123:W123" si="718">IFERROR(T123/$G123," ")</f>
        <v xml:space="preserve"> </v>
      </c>
      <c r="V123" s="95" t="s">
        <v>781</v>
      </c>
      <c r="W123" s="204" t="str">
        <f t="shared" si="718"/>
        <v xml:space="preserve"> </v>
      </c>
      <c r="X123" s="95" t="s">
        <v>781</v>
      </c>
      <c r="Y123" s="204" t="str">
        <f t="shared" ref="Y123:AA123" si="719">IFERROR(X123/$G123," ")</f>
        <v xml:space="preserve"> </v>
      </c>
      <c r="Z123" s="95" t="s">
        <v>781</v>
      </c>
      <c r="AA123" s="204" t="str">
        <f t="shared" si="719"/>
        <v xml:space="preserve"> </v>
      </c>
      <c r="AB123" s="95" t="s">
        <v>781</v>
      </c>
      <c r="AC123" s="204" t="str">
        <f t="shared" ref="AC123:AE123" si="720">IFERROR(AB123/$G123," ")</f>
        <v xml:space="preserve"> </v>
      </c>
      <c r="AD123" s="95" t="s">
        <v>781</v>
      </c>
      <c r="AE123" s="204" t="str">
        <f t="shared" si="720"/>
        <v xml:space="preserve"> </v>
      </c>
      <c r="AF123" s="95" t="s">
        <v>781</v>
      </c>
      <c r="AG123" s="204" t="str">
        <f t="shared" ref="AG123:AI123" si="721">IFERROR(AF123/$G123," ")</f>
        <v xml:space="preserve"> </v>
      </c>
      <c r="AH123" s="95" t="s">
        <v>781</v>
      </c>
      <c r="AI123" s="204" t="str">
        <f t="shared" si="721"/>
        <v xml:space="preserve"> </v>
      </c>
      <c r="AJ123" s="95" t="s">
        <v>781</v>
      </c>
      <c r="AK123" s="204" t="str">
        <f t="shared" ref="AK123:AM123" si="722">IFERROR(AJ123/$G123," ")</f>
        <v xml:space="preserve"> </v>
      </c>
      <c r="AL123" s="95" t="s">
        <v>781</v>
      </c>
      <c r="AM123" s="204" t="str">
        <f t="shared" si="722"/>
        <v xml:space="preserve"> </v>
      </c>
      <c r="AN123" s="95"/>
      <c r="AO123" s="94" t="str">
        <f t="shared" si="410"/>
        <v xml:space="preserve"> </v>
      </c>
      <c r="AP123" s="94" t="str">
        <f t="shared" si="400"/>
        <v xml:space="preserve"> </v>
      </c>
      <c r="AQ123" s="94" t="str">
        <f t="shared" si="401"/>
        <v xml:space="preserve"> </v>
      </c>
      <c r="AR123" s="94" t="str">
        <f t="shared" si="614"/>
        <v xml:space="preserve"> </v>
      </c>
      <c r="AS123" s="94" t="str">
        <f t="shared" si="412"/>
        <v xml:space="preserve"> </v>
      </c>
      <c r="AT123" s="94" t="str">
        <f t="shared" si="413"/>
        <v xml:space="preserve"> </v>
      </c>
      <c r="AU123" s="94" t="str">
        <f t="shared" si="414"/>
        <v xml:space="preserve"> </v>
      </c>
      <c r="AV123" s="94" t="str">
        <f t="shared" si="415"/>
        <v xml:space="preserve"> </v>
      </c>
      <c r="AW123" s="94" t="str">
        <f t="shared" si="416"/>
        <v xml:space="preserve"> </v>
      </c>
      <c r="AX123" s="94" t="str">
        <f t="shared" si="417"/>
        <v xml:space="preserve"> </v>
      </c>
      <c r="AY123" s="94" t="str">
        <f t="shared" si="418"/>
        <v xml:space="preserve"> </v>
      </c>
      <c r="AZ123" s="94" t="str">
        <f t="shared" si="419"/>
        <v xml:space="preserve"> </v>
      </c>
      <c r="BA123" s="94" t="str">
        <f t="shared" si="420"/>
        <v xml:space="preserve"> </v>
      </c>
      <c r="BB123" s="94" t="str">
        <f t="shared" si="421"/>
        <v xml:space="preserve"> </v>
      </c>
    </row>
    <row r="124" spans="1:54" x14ac:dyDescent="0.25">
      <c r="A124" s="80"/>
      <c r="B124" s="95" t="s">
        <v>2417</v>
      </c>
      <c r="C124" s="201" t="s">
        <v>17</v>
      </c>
      <c r="D124" s="80" t="s">
        <v>783</v>
      </c>
      <c r="E124" s="94" t="str">
        <f>IFERROR(VLOOKUP(A124,Estimate!A:Q,17,FALSE)," ")</f>
        <v xml:space="preserve"> </v>
      </c>
      <c r="F124" s="202" t="s">
        <v>781</v>
      </c>
      <c r="G124" s="202" t="s">
        <v>781</v>
      </c>
      <c r="H124" s="203" t="s">
        <v>781</v>
      </c>
      <c r="I124" s="203" t="s">
        <v>781</v>
      </c>
      <c r="J124" s="203" t="s">
        <v>781</v>
      </c>
      <c r="K124" s="203"/>
      <c r="L124" s="202" t="s">
        <v>781</v>
      </c>
      <c r="M124" s="204" t="str">
        <f t="shared" si="403"/>
        <v xml:space="preserve"> </v>
      </c>
      <c r="N124" s="95" t="s">
        <v>781</v>
      </c>
      <c r="O124" s="204" t="str">
        <f t="shared" si="403"/>
        <v xml:space="preserve"> </v>
      </c>
      <c r="P124" s="95" t="s">
        <v>781</v>
      </c>
      <c r="Q124" s="204" t="str">
        <f t="shared" ref="Q124:S124" si="723">IFERROR(P124/$G124," ")</f>
        <v xml:space="preserve"> </v>
      </c>
      <c r="R124" s="95" t="s">
        <v>781</v>
      </c>
      <c r="S124" s="204" t="str">
        <f t="shared" si="723"/>
        <v xml:space="preserve"> </v>
      </c>
      <c r="T124" s="95" t="s">
        <v>781</v>
      </c>
      <c r="U124" s="204" t="str">
        <f t="shared" ref="U124:W124" si="724">IFERROR(T124/$G124," ")</f>
        <v xml:space="preserve"> </v>
      </c>
      <c r="V124" s="95" t="s">
        <v>781</v>
      </c>
      <c r="W124" s="204" t="str">
        <f t="shared" si="724"/>
        <v xml:space="preserve"> </v>
      </c>
      <c r="X124" s="95" t="s">
        <v>781</v>
      </c>
      <c r="Y124" s="204" t="str">
        <f t="shared" ref="Y124:AA124" si="725">IFERROR(X124/$G124," ")</f>
        <v xml:space="preserve"> </v>
      </c>
      <c r="Z124" s="95" t="s">
        <v>781</v>
      </c>
      <c r="AA124" s="204" t="str">
        <f t="shared" si="725"/>
        <v xml:space="preserve"> </v>
      </c>
      <c r="AB124" s="95" t="s">
        <v>781</v>
      </c>
      <c r="AC124" s="204" t="str">
        <f t="shared" ref="AC124:AE124" si="726">IFERROR(AB124/$G124," ")</f>
        <v xml:space="preserve"> </v>
      </c>
      <c r="AD124" s="95" t="s">
        <v>781</v>
      </c>
      <c r="AE124" s="204" t="str">
        <f t="shared" si="726"/>
        <v xml:space="preserve"> </v>
      </c>
      <c r="AF124" s="95" t="s">
        <v>781</v>
      </c>
      <c r="AG124" s="204" t="str">
        <f t="shared" ref="AG124:AI124" si="727">IFERROR(AF124/$G124," ")</f>
        <v xml:space="preserve"> </v>
      </c>
      <c r="AH124" s="95" t="s">
        <v>781</v>
      </c>
      <c r="AI124" s="204" t="str">
        <f t="shared" si="727"/>
        <v xml:space="preserve"> </v>
      </c>
      <c r="AJ124" s="95" t="s">
        <v>781</v>
      </c>
      <c r="AK124" s="204" t="str">
        <f t="shared" ref="AK124:AM124" si="728">IFERROR(AJ124/$G124," ")</f>
        <v xml:space="preserve"> </v>
      </c>
      <c r="AL124" s="95" t="s">
        <v>781</v>
      </c>
      <c r="AM124" s="204" t="str">
        <f t="shared" si="728"/>
        <v xml:space="preserve"> </v>
      </c>
      <c r="AN124" s="95"/>
      <c r="AO124" s="94" t="str">
        <f t="shared" si="410"/>
        <v xml:space="preserve"> </v>
      </c>
      <c r="AP124" s="94" t="str">
        <f t="shared" si="400"/>
        <v xml:space="preserve"> </v>
      </c>
      <c r="AQ124" s="94" t="str">
        <f t="shared" si="401"/>
        <v xml:space="preserve"> </v>
      </c>
      <c r="AR124" s="94" t="str">
        <f t="shared" si="614"/>
        <v xml:space="preserve"> </v>
      </c>
      <c r="AS124" s="94" t="str">
        <f t="shared" si="412"/>
        <v xml:space="preserve"> </v>
      </c>
      <c r="AT124" s="94" t="str">
        <f t="shared" si="413"/>
        <v xml:space="preserve"> </v>
      </c>
      <c r="AU124" s="94" t="str">
        <f t="shared" si="414"/>
        <v xml:space="preserve"> </v>
      </c>
      <c r="AV124" s="94" t="str">
        <f t="shared" si="415"/>
        <v xml:space="preserve"> </v>
      </c>
      <c r="AW124" s="94" t="str">
        <f t="shared" si="416"/>
        <v xml:space="preserve"> </v>
      </c>
      <c r="AX124" s="94" t="str">
        <f t="shared" si="417"/>
        <v xml:space="preserve"> </v>
      </c>
      <c r="AY124" s="94" t="str">
        <f t="shared" si="418"/>
        <v xml:space="preserve"> </v>
      </c>
      <c r="AZ124" s="94" t="str">
        <f t="shared" si="419"/>
        <v xml:space="preserve"> </v>
      </c>
      <c r="BA124" s="94" t="str">
        <f t="shared" si="420"/>
        <v xml:space="preserve"> </v>
      </c>
      <c r="BB124" s="94" t="str">
        <f t="shared" si="421"/>
        <v xml:space="preserve"> </v>
      </c>
    </row>
    <row r="125" spans="1:54" x14ac:dyDescent="0.25">
      <c r="A125" s="80"/>
      <c r="B125" s="95" t="s">
        <v>2835</v>
      </c>
      <c r="C125" s="201" t="s">
        <v>25</v>
      </c>
      <c r="D125" s="80" t="s">
        <v>783</v>
      </c>
      <c r="E125" s="94" t="str">
        <f>IFERROR(VLOOKUP(A125,Estimate!A:Q,17,FALSE)," ")</f>
        <v xml:space="preserve"> </v>
      </c>
      <c r="F125" s="202" t="s">
        <v>781</v>
      </c>
      <c r="G125" s="202" t="s">
        <v>781</v>
      </c>
      <c r="H125" s="203" t="s">
        <v>781</v>
      </c>
      <c r="I125" s="203" t="s">
        <v>781</v>
      </c>
      <c r="J125" s="203" t="s">
        <v>781</v>
      </c>
      <c r="K125" s="203"/>
      <c r="L125" s="202" t="s">
        <v>781</v>
      </c>
      <c r="M125" s="204" t="str">
        <f t="shared" si="403"/>
        <v xml:space="preserve"> </v>
      </c>
      <c r="N125" s="95" t="s">
        <v>781</v>
      </c>
      <c r="O125" s="204" t="str">
        <f t="shared" si="403"/>
        <v xml:space="preserve"> </v>
      </c>
      <c r="P125" s="95" t="s">
        <v>781</v>
      </c>
      <c r="Q125" s="204" t="str">
        <f t="shared" ref="Q125:S125" si="729">IFERROR(P125/$G125," ")</f>
        <v xml:space="preserve"> </v>
      </c>
      <c r="R125" s="95" t="s">
        <v>781</v>
      </c>
      <c r="S125" s="204" t="str">
        <f t="shared" si="729"/>
        <v xml:space="preserve"> </v>
      </c>
      <c r="T125" s="95" t="s">
        <v>781</v>
      </c>
      <c r="U125" s="204" t="str">
        <f t="shared" ref="U125:W125" si="730">IFERROR(T125/$G125," ")</f>
        <v xml:space="preserve"> </v>
      </c>
      <c r="V125" s="95" t="s">
        <v>781</v>
      </c>
      <c r="W125" s="204" t="str">
        <f t="shared" si="730"/>
        <v xml:space="preserve"> </v>
      </c>
      <c r="X125" s="95" t="s">
        <v>781</v>
      </c>
      <c r="Y125" s="204" t="str">
        <f t="shared" ref="Y125:AA125" si="731">IFERROR(X125/$G125," ")</f>
        <v xml:space="preserve"> </v>
      </c>
      <c r="Z125" s="95" t="s">
        <v>781</v>
      </c>
      <c r="AA125" s="204" t="str">
        <f t="shared" si="731"/>
        <v xml:space="preserve"> </v>
      </c>
      <c r="AB125" s="95" t="s">
        <v>781</v>
      </c>
      <c r="AC125" s="204" t="str">
        <f t="shared" ref="AC125:AE125" si="732">IFERROR(AB125/$G125," ")</f>
        <v xml:space="preserve"> </v>
      </c>
      <c r="AD125" s="95" t="s">
        <v>781</v>
      </c>
      <c r="AE125" s="204" t="str">
        <f t="shared" si="732"/>
        <v xml:space="preserve"> </v>
      </c>
      <c r="AF125" s="95" t="s">
        <v>781</v>
      </c>
      <c r="AG125" s="204" t="str">
        <f t="shared" ref="AG125:AI125" si="733">IFERROR(AF125/$G125," ")</f>
        <v xml:space="preserve"> </v>
      </c>
      <c r="AH125" s="95" t="s">
        <v>781</v>
      </c>
      <c r="AI125" s="204" t="str">
        <f t="shared" si="733"/>
        <v xml:space="preserve"> </v>
      </c>
      <c r="AJ125" s="95" t="s">
        <v>781</v>
      </c>
      <c r="AK125" s="204" t="str">
        <f t="shared" ref="AK125:AM125" si="734">IFERROR(AJ125/$G125," ")</f>
        <v xml:space="preserve"> </v>
      </c>
      <c r="AL125" s="95" t="s">
        <v>781</v>
      </c>
      <c r="AM125" s="204" t="str">
        <f t="shared" si="734"/>
        <v xml:space="preserve"> </v>
      </c>
      <c r="AN125" s="95"/>
      <c r="AO125" s="94" t="str">
        <f t="shared" si="410"/>
        <v xml:space="preserve"> </v>
      </c>
      <c r="AP125" s="94" t="str">
        <f t="shared" si="400"/>
        <v xml:space="preserve"> </v>
      </c>
      <c r="AQ125" s="94" t="str">
        <f t="shared" si="401"/>
        <v xml:space="preserve"> </v>
      </c>
      <c r="AR125" s="94" t="str">
        <f t="shared" si="614"/>
        <v xml:space="preserve"> </v>
      </c>
      <c r="AS125" s="94" t="str">
        <f t="shared" si="412"/>
        <v xml:space="preserve"> </v>
      </c>
      <c r="AT125" s="94" t="str">
        <f t="shared" si="413"/>
        <v xml:space="preserve"> </v>
      </c>
      <c r="AU125" s="94" t="str">
        <f t="shared" si="414"/>
        <v xml:space="preserve"> </v>
      </c>
      <c r="AV125" s="94" t="str">
        <f t="shared" si="415"/>
        <v xml:space="preserve"> </v>
      </c>
      <c r="AW125" s="94" t="str">
        <f t="shared" si="416"/>
        <v xml:space="preserve"> </v>
      </c>
      <c r="AX125" s="94" t="str">
        <f t="shared" si="417"/>
        <v xml:space="preserve"> </v>
      </c>
      <c r="AY125" s="94" t="str">
        <f t="shared" si="418"/>
        <v xml:space="preserve"> </v>
      </c>
      <c r="AZ125" s="94" t="str">
        <f t="shared" si="419"/>
        <v xml:space="preserve"> </v>
      </c>
      <c r="BA125" s="94" t="str">
        <f t="shared" si="420"/>
        <v xml:space="preserve"> </v>
      </c>
      <c r="BB125" s="94" t="str">
        <f t="shared" si="421"/>
        <v xml:space="preserve"> </v>
      </c>
    </row>
    <row r="126" spans="1:54" x14ac:dyDescent="0.25">
      <c r="A126" s="80">
        <v>51</v>
      </c>
      <c r="B126" s="95" t="s">
        <v>2836</v>
      </c>
      <c r="C126" s="201" t="s">
        <v>27</v>
      </c>
      <c r="D126" s="80" t="s">
        <v>20</v>
      </c>
      <c r="E126" s="94">
        <f>IFERROR(VLOOKUP(A126,Estimate!A:Q,17,FALSE)," ")</f>
        <v>8360</v>
      </c>
      <c r="F126" s="202">
        <v>1</v>
      </c>
      <c r="G126" s="202">
        <v>1</v>
      </c>
      <c r="H126" s="203">
        <v>10502.06</v>
      </c>
      <c r="I126" s="203">
        <v>10502.06</v>
      </c>
      <c r="J126" s="203">
        <v>10502.06</v>
      </c>
      <c r="K126" s="203"/>
      <c r="L126" s="202"/>
      <c r="M126" s="204">
        <f t="shared" si="403"/>
        <v>0</v>
      </c>
      <c r="N126" s="95"/>
      <c r="O126" s="204">
        <f t="shared" si="403"/>
        <v>0</v>
      </c>
      <c r="P126" s="95"/>
      <c r="Q126" s="204">
        <f t="shared" ref="Q126:S126" si="735">IFERROR(P126/$G126," ")</f>
        <v>0</v>
      </c>
      <c r="R126" s="95"/>
      <c r="S126" s="204">
        <f t="shared" si="735"/>
        <v>0</v>
      </c>
      <c r="T126" s="95"/>
      <c r="U126" s="204">
        <f t="shared" ref="U126:W126" si="736">IFERROR(T126/$G126," ")</f>
        <v>0</v>
      </c>
      <c r="V126" s="95">
        <v>0.1</v>
      </c>
      <c r="W126" s="204">
        <f t="shared" si="736"/>
        <v>0.1</v>
      </c>
      <c r="X126" s="95">
        <v>0.1</v>
      </c>
      <c r="Y126" s="204">
        <f t="shared" ref="Y126:AA126" si="737">IFERROR(X126/$G126," ")</f>
        <v>0.1</v>
      </c>
      <c r="Z126" s="95">
        <v>0.5</v>
      </c>
      <c r="AA126" s="204">
        <f t="shared" si="737"/>
        <v>0.5</v>
      </c>
      <c r="AB126" s="95">
        <v>0.85</v>
      </c>
      <c r="AC126" s="204">
        <f t="shared" ref="AC126:AE126" si="738">IFERROR(AB126/$G126," ")</f>
        <v>0.85</v>
      </c>
      <c r="AD126" s="95">
        <v>0.95</v>
      </c>
      <c r="AE126" s="204">
        <f t="shared" si="738"/>
        <v>0.95</v>
      </c>
      <c r="AF126" s="95">
        <v>1</v>
      </c>
      <c r="AG126" s="204">
        <f t="shared" ref="AG126:AI126" si="739">IFERROR(AF126/$G126," ")</f>
        <v>1</v>
      </c>
      <c r="AH126" s="95">
        <v>1</v>
      </c>
      <c r="AI126" s="204">
        <f t="shared" si="739"/>
        <v>1</v>
      </c>
      <c r="AJ126" s="95">
        <v>1</v>
      </c>
      <c r="AK126" s="204">
        <f t="shared" ref="AK126:AM126" si="740">IFERROR(AJ126/$G126," ")</f>
        <v>1</v>
      </c>
      <c r="AL126" s="95">
        <v>1</v>
      </c>
      <c r="AM126" s="204">
        <f t="shared" si="740"/>
        <v>1</v>
      </c>
      <c r="AN126" s="95"/>
      <c r="AO126" s="94">
        <f t="shared" si="410"/>
        <v>0</v>
      </c>
      <c r="AP126" s="94">
        <f t="shared" si="400"/>
        <v>0</v>
      </c>
      <c r="AQ126" s="94">
        <f t="shared" si="401"/>
        <v>0</v>
      </c>
      <c r="AR126" s="94">
        <f t="shared" si="614"/>
        <v>0</v>
      </c>
      <c r="AS126" s="94">
        <f t="shared" si="412"/>
        <v>0</v>
      </c>
      <c r="AT126" s="94">
        <f t="shared" si="413"/>
        <v>1050.2059999999999</v>
      </c>
      <c r="AU126" s="94">
        <f t="shared" si="414"/>
        <v>1050.2059999999999</v>
      </c>
      <c r="AV126" s="94">
        <f t="shared" si="415"/>
        <v>5251.03</v>
      </c>
      <c r="AW126" s="94">
        <f t="shared" si="416"/>
        <v>8926.7510000000002</v>
      </c>
      <c r="AX126" s="94">
        <f t="shared" si="417"/>
        <v>9976.9569999999985</v>
      </c>
      <c r="AY126" s="94">
        <f t="shared" si="418"/>
        <v>10502.06</v>
      </c>
      <c r="AZ126" s="94">
        <f t="shared" si="419"/>
        <v>10502.06</v>
      </c>
      <c r="BA126" s="94">
        <f t="shared" si="420"/>
        <v>10502.06</v>
      </c>
      <c r="BB126" s="94">
        <f t="shared" si="421"/>
        <v>10502.06</v>
      </c>
    </row>
    <row r="127" spans="1:54" x14ac:dyDescent="0.25">
      <c r="A127" s="80"/>
      <c r="B127" s="95" t="s">
        <v>2417</v>
      </c>
      <c r="C127" s="201" t="s">
        <v>2837</v>
      </c>
      <c r="D127" s="80" t="s">
        <v>783</v>
      </c>
      <c r="E127" s="94" t="str">
        <f>IFERROR(VLOOKUP(A127,Estimate!A:Q,17,FALSE)," ")</f>
        <v xml:space="preserve"> </v>
      </c>
      <c r="F127" s="202" t="s">
        <v>781</v>
      </c>
      <c r="G127" s="202" t="s">
        <v>781</v>
      </c>
      <c r="H127" s="203" t="s">
        <v>781</v>
      </c>
      <c r="I127" s="203" t="s">
        <v>781</v>
      </c>
      <c r="J127" s="203" t="s">
        <v>781</v>
      </c>
      <c r="K127" s="203"/>
      <c r="L127" s="202" t="s">
        <v>781</v>
      </c>
      <c r="M127" s="204" t="str">
        <f t="shared" si="403"/>
        <v xml:space="preserve"> </v>
      </c>
      <c r="N127" s="95" t="s">
        <v>781</v>
      </c>
      <c r="O127" s="204" t="str">
        <f t="shared" si="403"/>
        <v xml:space="preserve"> </v>
      </c>
      <c r="P127" s="95" t="s">
        <v>781</v>
      </c>
      <c r="Q127" s="204" t="str">
        <f t="shared" ref="Q127:S127" si="741">IFERROR(P127/$G127," ")</f>
        <v xml:space="preserve"> </v>
      </c>
      <c r="R127" s="95" t="s">
        <v>781</v>
      </c>
      <c r="S127" s="204" t="str">
        <f t="shared" si="741"/>
        <v xml:space="preserve"> </v>
      </c>
      <c r="T127" s="95" t="s">
        <v>781</v>
      </c>
      <c r="U127" s="204" t="str">
        <f t="shared" ref="U127:W127" si="742">IFERROR(T127/$G127," ")</f>
        <v xml:space="preserve"> </v>
      </c>
      <c r="V127" s="95" t="s">
        <v>781</v>
      </c>
      <c r="W127" s="204" t="str">
        <f t="shared" si="742"/>
        <v xml:space="preserve"> </v>
      </c>
      <c r="X127" s="95" t="s">
        <v>781</v>
      </c>
      <c r="Y127" s="204" t="str">
        <f t="shared" ref="Y127:AA127" si="743">IFERROR(X127/$G127," ")</f>
        <v xml:space="preserve"> </v>
      </c>
      <c r="Z127" s="95" t="s">
        <v>781</v>
      </c>
      <c r="AA127" s="204" t="str">
        <f t="shared" si="743"/>
        <v xml:space="preserve"> </v>
      </c>
      <c r="AB127" s="95" t="s">
        <v>781</v>
      </c>
      <c r="AC127" s="204" t="str">
        <f t="shared" ref="AC127:AE127" si="744">IFERROR(AB127/$G127," ")</f>
        <v xml:space="preserve"> </v>
      </c>
      <c r="AD127" s="95" t="s">
        <v>781</v>
      </c>
      <c r="AE127" s="204" t="str">
        <f t="shared" si="744"/>
        <v xml:space="preserve"> </v>
      </c>
      <c r="AF127" s="95" t="s">
        <v>781</v>
      </c>
      <c r="AG127" s="204" t="str">
        <f t="shared" ref="AG127:AI127" si="745">IFERROR(AF127/$G127," ")</f>
        <v xml:space="preserve"> </v>
      </c>
      <c r="AH127" s="95" t="s">
        <v>781</v>
      </c>
      <c r="AI127" s="204" t="str">
        <f t="shared" si="745"/>
        <v xml:space="preserve"> </v>
      </c>
      <c r="AJ127" s="95" t="s">
        <v>781</v>
      </c>
      <c r="AK127" s="204" t="str">
        <f t="shared" ref="AK127:AM127" si="746">IFERROR(AJ127/$G127," ")</f>
        <v xml:space="preserve"> </v>
      </c>
      <c r="AL127" s="95" t="s">
        <v>781</v>
      </c>
      <c r="AM127" s="204" t="str">
        <f t="shared" si="746"/>
        <v xml:space="preserve"> </v>
      </c>
      <c r="AN127" s="95"/>
      <c r="AO127" s="94" t="str">
        <f t="shared" si="410"/>
        <v xml:space="preserve"> </v>
      </c>
      <c r="AP127" s="94" t="str">
        <f t="shared" si="400"/>
        <v xml:space="preserve"> </v>
      </c>
      <c r="AQ127" s="94" t="str">
        <f t="shared" si="401"/>
        <v xml:space="preserve"> </v>
      </c>
      <c r="AR127" s="94" t="str">
        <f t="shared" si="614"/>
        <v xml:space="preserve"> </v>
      </c>
      <c r="AS127" s="94" t="str">
        <f t="shared" si="412"/>
        <v xml:space="preserve"> </v>
      </c>
      <c r="AT127" s="94" t="str">
        <f t="shared" si="413"/>
        <v xml:space="preserve"> </v>
      </c>
      <c r="AU127" s="94" t="str">
        <f t="shared" si="414"/>
        <v xml:space="preserve"> </v>
      </c>
      <c r="AV127" s="94" t="str">
        <f t="shared" si="415"/>
        <v xml:space="preserve"> </v>
      </c>
      <c r="AW127" s="94" t="str">
        <f t="shared" si="416"/>
        <v xml:space="preserve"> </v>
      </c>
      <c r="AX127" s="94" t="str">
        <f t="shared" si="417"/>
        <v xml:space="preserve"> </v>
      </c>
      <c r="AY127" s="94" t="str">
        <f t="shared" si="418"/>
        <v xml:space="preserve"> </v>
      </c>
      <c r="AZ127" s="94" t="str">
        <f t="shared" si="419"/>
        <v xml:space="preserve"> </v>
      </c>
      <c r="BA127" s="94" t="str">
        <f t="shared" si="420"/>
        <v xml:space="preserve"> </v>
      </c>
      <c r="BB127" s="94" t="str">
        <f t="shared" si="421"/>
        <v xml:space="preserve"> </v>
      </c>
    </row>
    <row r="128" spans="1:54" x14ac:dyDescent="0.25">
      <c r="A128" s="80"/>
      <c r="B128" s="95" t="s">
        <v>2417</v>
      </c>
      <c r="C128" s="201" t="s">
        <v>35</v>
      </c>
      <c r="D128" s="80" t="s">
        <v>783</v>
      </c>
      <c r="E128" s="94" t="str">
        <f>IFERROR(VLOOKUP(A128,Estimate!A:Q,17,FALSE)," ")</f>
        <v xml:space="preserve"> </v>
      </c>
      <c r="F128" s="202" t="s">
        <v>781</v>
      </c>
      <c r="G128" s="202" t="s">
        <v>781</v>
      </c>
      <c r="H128" s="203" t="s">
        <v>781</v>
      </c>
      <c r="I128" s="203" t="s">
        <v>781</v>
      </c>
      <c r="J128" s="203" t="s">
        <v>781</v>
      </c>
      <c r="K128" s="203"/>
      <c r="L128" s="202" t="s">
        <v>781</v>
      </c>
      <c r="M128" s="204" t="str">
        <f t="shared" si="403"/>
        <v xml:space="preserve"> </v>
      </c>
      <c r="N128" s="95" t="s">
        <v>781</v>
      </c>
      <c r="O128" s="204" t="str">
        <f t="shared" si="403"/>
        <v xml:space="preserve"> </v>
      </c>
      <c r="P128" s="95" t="s">
        <v>781</v>
      </c>
      <c r="Q128" s="204" t="str">
        <f t="shared" ref="Q128:S128" si="747">IFERROR(P128/$G128," ")</f>
        <v xml:space="preserve"> </v>
      </c>
      <c r="R128" s="95" t="s">
        <v>781</v>
      </c>
      <c r="S128" s="204" t="str">
        <f t="shared" si="747"/>
        <v xml:space="preserve"> </v>
      </c>
      <c r="T128" s="95" t="s">
        <v>781</v>
      </c>
      <c r="U128" s="204" t="str">
        <f t="shared" ref="U128:W128" si="748">IFERROR(T128/$G128," ")</f>
        <v xml:space="preserve"> </v>
      </c>
      <c r="V128" s="95" t="s">
        <v>781</v>
      </c>
      <c r="W128" s="204" t="str">
        <f t="shared" si="748"/>
        <v xml:space="preserve"> </v>
      </c>
      <c r="X128" s="95" t="s">
        <v>781</v>
      </c>
      <c r="Y128" s="204" t="str">
        <f t="shared" ref="Y128:AA128" si="749">IFERROR(X128/$G128," ")</f>
        <v xml:space="preserve"> </v>
      </c>
      <c r="Z128" s="95" t="s">
        <v>781</v>
      </c>
      <c r="AA128" s="204" t="str">
        <f t="shared" si="749"/>
        <v xml:space="preserve"> </v>
      </c>
      <c r="AB128" s="95" t="s">
        <v>781</v>
      </c>
      <c r="AC128" s="204" t="str">
        <f t="shared" ref="AC128:AE128" si="750">IFERROR(AB128/$G128," ")</f>
        <v xml:space="preserve"> </v>
      </c>
      <c r="AD128" s="95" t="s">
        <v>781</v>
      </c>
      <c r="AE128" s="204" t="str">
        <f t="shared" si="750"/>
        <v xml:space="preserve"> </v>
      </c>
      <c r="AF128" s="95" t="s">
        <v>781</v>
      </c>
      <c r="AG128" s="204" t="str">
        <f t="shared" ref="AG128:AI128" si="751">IFERROR(AF128/$G128," ")</f>
        <v xml:space="preserve"> </v>
      </c>
      <c r="AH128" s="95" t="s">
        <v>781</v>
      </c>
      <c r="AI128" s="204" t="str">
        <f t="shared" si="751"/>
        <v xml:space="preserve"> </v>
      </c>
      <c r="AJ128" s="95" t="s">
        <v>781</v>
      </c>
      <c r="AK128" s="204" t="str">
        <f t="shared" ref="AK128:AM128" si="752">IFERROR(AJ128/$G128," ")</f>
        <v xml:space="preserve"> </v>
      </c>
      <c r="AL128" s="95" t="s">
        <v>781</v>
      </c>
      <c r="AM128" s="204" t="str">
        <f t="shared" si="752"/>
        <v xml:space="preserve"> </v>
      </c>
      <c r="AN128" s="95"/>
      <c r="AO128" s="94" t="str">
        <f t="shared" si="410"/>
        <v xml:space="preserve"> </v>
      </c>
      <c r="AP128" s="94" t="str">
        <f t="shared" si="400"/>
        <v xml:space="preserve"> </v>
      </c>
      <c r="AQ128" s="94" t="str">
        <f t="shared" si="401"/>
        <v xml:space="preserve"> </v>
      </c>
      <c r="AR128" s="94" t="str">
        <f t="shared" si="614"/>
        <v xml:space="preserve"> </v>
      </c>
      <c r="AS128" s="94" t="str">
        <f t="shared" si="412"/>
        <v xml:space="preserve"> </v>
      </c>
      <c r="AT128" s="94" t="str">
        <f t="shared" si="413"/>
        <v xml:space="preserve"> </v>
      </c>
      <c r="AU128" s="94" t="str">
        <f t="shared" si="414"/>
        <v xml:space="preserve"> </v>
      </c>
      <c r="AV128" s="94" t="str">
        <f t="shared" si="415"/>
        <v xml:space="preserve"> </v>
      </c>
      <c r="AW128" s="94" t="str">
        <f t="shared" si="416"/>
        <v xml:space="preserve"> </v>
      </c>
      <c r="AX128" s="94" t="str">
        <f t="shared" si="417"/>
        <v xml:space="preserve"> </v>
      </c>
      <c r="AY128" s="94" t="str">
        <f t="shared" si="418"/>
        <v xml:space="preserve"> </v>
      </c>
      <c r="AZ128" s="94" t="str">
        <f t="shared" si="419"/>
        <v xml:space="preserve"> </v>
      </c>
      <c r="BA128" s="94" t="str">
        <f t="shared" si="420"/>
        <v xml:space="preserve"> </v>
      </c>
      <c r="BB128" s="94" t="str">
        <f t="shared" si="421"/>
        <v xml:space="preserve"> </v>
      </c>
    </row>
    <row r="129" spans="1:54" x14ac:dyDescent="0.25">
      <c r="A129" s="80">
        <v>52</v>
      </c>
      <c r="B129" s="95" t="s">
        <v>2841</v>
      </c>
      <c r="C129" s="201" t="s">
        <v>54</v>
      </c>
      <c r="D129" s="80" t="s">
        <v>20</v>
      </c>
      <c r="E129" s="94">
        <f>IFERROR(VLOOKUP(A129,Estimate!A:Q,17,FALSE)," ")</f>
        <v>11646.24</v>
      </c>
      <c r="F129" s="202">
        <v>1</v>
      </c>
      <c r="G129" s="202">
        <v>1</v>
      </c>
      <c r="H129" s="203">
        <v>14630.33</v>
      </c>
      <c r="I129" s="203">
        <v>14630.33</v>
      </c>
      <c r="J129" s="203">
        <v>14630.33</v>
      </c>
      <c r="K129" s="203"/>
      <c r="L129" s="202"/>
      <c r="M129" s="204">
        <f t="shared" si="403"/>
        <v>0</v>
      </c>
      <c r="N129" s="95"/>
      <c r="O129" s="204">
        <f t="shared" si="403"/>
        <v>0</v>
      </c>
      <c r="P129" s="95"/>
      <c r="Q129" s="204">
        <f t="shared" ref="Q129:S129" si="753">IFERROR(P129/$G129," ")</f>
        <v>0</v>
      </c>
      <c r="R129" s="95"/>
      <c r="S129" s="204">
        <f t="shared" si="753"/>
        <v>0</v>
      </c>
      <c r="T129" s="95"/>
      <c r="U129" s="204">
        <f t="shared" ref="U129:W129" si="754">IFERROR(T129/$G129," ")</f>
        <v>0</v>
      </c>
      <c r="V129" s="95">
        <v>0.2</v>
      </c>
      <c r="W129" s="204">
        <f t="shared" si="754"/>
        <v>0.2</v>
      </c>
      <c r="X129" s="95">
        <v>0.2</v>
      </c>
      <c r="Y129" s="204">
        <f t="shared" ref="Y129:AA129" si="755">IFERROR(X129/$G129," ")</f>
        <v>0.2</v>
      </c>
      <c r="Z129" s="95">
        <v>0.5</v>
      </c>
      <c r="AA129" s="204">
        <f t="shared" si="755"/>
        <v>0.5</v>
      </c>
      <c r="AB129" s="95">
        <v>0.85</v>
      </c>
      <c r="AC129" s="204">
        <f t="shared" ref="AC129:AE129" si="756">IFERROR(AB129/$G129," ")</f>
        <v>0.85</v>
      </c>
      <c r="AD129" s="95">
        <v>0.95</v>
      </c>
      <c r="AE129" s="204">
        <f t="shared" si="756"/>
        <v>0.95</v>
      </c>
      <c r="AF129" s="95">
        <v>1</v>
      </c>
      <c r="AG129" s="204">
        <f t="shared" ref="AG129:AI129" si="757">IFERROR(AF129/$G129," ")</f>
        <v>1</v>
      </c>
      <c r="AH129" s="95">
        <v>1</v>
      </c>
      <c r="AI129" s="204">
        <f t="shared" si="757"/>
        <v>1</v>
      </c>
      <c r="AJ129" s="95">
        <v>1</v>
      </c>
      <c r="AK129" s="204">
        <f t="shared" ref="AK129:AM129" si="758">IFERROR(AJ129/$G129," ")</f>
        <v>1</v>
      </c>
      <c r="AL129" s="95">
        <v>1</v>
      </c>
      <c r="AM129" s="204">
        <f t="shared" si="758"/>
        <v>1</v>
      </c>
      <c r="AN129" s="95"/>
      <c r="AO129" s="94">
        <f t="shared" si="410"/>
        <v>0</v>
      </c>
      <c r="AP129" s="94">
        <f t="shared" si="400"/>
        <v>0</v>
      </c>
      <c r="AQ129" s="94">
        <f t="shared" si="401"/>
        <v>0</v>
      </c>
      <c r="AR129" s="94">
        <f t="shared" si="614"/>
        <v>0</v>
      </c>
      <c r="AS129" s="94">
        <f t="shared" si="412"/>
        <v>0</v>
      </c>
      <c r="AT129" s="94">
        <f t="shared" si="413"/>
        <v>2926.0660000000003</v>
      </c>
      <c r="AU129" s="94">
        <f t="shared" si="414"/>
        <v>2926.0660000000003</v>
      </c>
      <c r="AV129" s="94">
        <f t="shared" si="415"/>
        <v>7315.165</v>
      </c>
      <c r="AW129" s="94">
        <f t="shared" si="416"/>
        <v>12435.780499999999</v>
      </c>
      <c r="AX129" s="94">
        <f t="shared" si="417"/>
        <v>13898.813499999998</v>
      </c>
      <c r="AY129" s="94">
        <f t="shared" si="418"/>
        <v>14630.33</v>
      </c>
      <c r="AZ129" s="94">
        <f t="shared" si="419"/>
        <v>14630.33</v>
      </c>
      <c r="BA129" s="94">
        <f t="shared" si="420"/>
        <v>14630.33</v>
      </c>
      <c r="BB129" s="94">
        <f t="shared" si="421"/>
        <v>14630.33</v>
      </c>
    </row>
    <row r="130" spans="1:54" x14ac:dyDescent="0.25">
      <c r="A130" s="80"/>
      <c r="B130" s="95" t="s">
        <v>2417</v>
      </c>
      <c r="C130" s="201" t="s">
        <v>2837</v>
      </c>
      <c r="D130" s="80" t="s">
        <v>783</v>
      </c>
      <c r="E130" s="94" t="str">
        <f>IFERROR(VLOOKUP(A130,Estimate!A:Q,17,FALSE)," ")</f>
        <v xml:space="preserve"> </v>
      </c>
      <c r="F130" s="202" t="s">
        <v>781</v>
      </c>
      <c r="G130" s="202" t="s">
        <v>781</v>
      </c>
      <c r="H130" s="203" t="s">
        <v>781</v>
      </c>
      <c r="I130" s="203" t="s">
        <v>781</v>
      </c>
      <c r="J130" s="203" t="s">
        <v>781</v>
      </c>
      <c r="K130" s="203"/>
      <c r="L130" s="202" t="s">
        <v>781</v>
      </c>
      <c r="M130" s="204" t="str">
        <f t="shared" si="403"/>
        <v xml:space="preserve"> </v>
      </c>
      <c r="N130" s="95" t="s">
        <v>781</v>
      </c>
      <c r="O130" s="204" t="str">
        <f t="shared" si="403"/>
        <v xml:space="preserve"> </v>
      </c>
      <c r="P130" s="95" t="s">
        <v>781</v>
      </c>
      <c r="Q130" s="204" t="str">
        <f t="shared" ref="Q130:S130" si="759">IFERROR(P130/$G130," ")</f>
        <v xml:space="preserve"> </v>
      </c>
      <c r="R130" s="95" t="s">
        <v>781</v>
      </c>
      <c r="S130" s="204" t="str">
        <f t="shared" si="759"/>
        <v xml:space="preserve"> </v>
      </c>
      <c r="T130" s="95" t="s">
        <v>781</v>
      </c>
      <c r="U130" s="204" t="str">
        <f t="shared" ref="U130:W130" si="760">IFERROR(T130/$G130," ")</f>
        <v xml:space="preserve"> </v>
      </c>
      <c r="V130" s="95" t="s">
        <v>781</v>
      </c>
      <c r="W130" s="204" t="str">
        <f t="shared" si="760"/>
        <v xml:space="preserve"> </v>
      </c>
      <c r="X130" s="95" t="s">
        <v>781</v>
      </c>
      <c r="Y130" s="204" t="str">
        <f t="shared" ref="Y130:AA130" si="761">IFERROR(X130/$G130," ")</f>
        <v xml:space="preserve"> </v>
      </c>
      <c r="Z130" s="95" t="s">
        <v>781</v>
      </c>
      <c r="AA130" s="204" t="str">
        <f t="shared" si="761"/>
        <v xml:space="preserve"> </v>
      </c>
      <c r="AB130" s="95" t="s">
        <v>781</v>
      </c>
      <c r="AC130" s="204" t="str">
        <f t="shared" ref="AC130:AE130" si="762">IFERROR(AB130/$G130," ")</f>
        <v xml:space="preserve"> </v>
      </c>
      <c r="AD130" s="95" t="s">
        <v>781</v>
      </c>
      <c r="AE130" s="204" t="str">
        <f t="shared" si="762"/>
        <v xml:space="preserve"> </v>
      </c>
      <c r="AF130" s="95" t="s">
        <v>781</v>
      </c>
      <c r="AG130" s="204" t="str">
        <f t="shared" ref="AG130:AI130" si="763">IFERROR(AF130/$G130," ")</f>
        <v xml:space="preserve"> </v>
      </c>
      <c r="AH130" s="95" t="s">
        <v>781</v>
      </c>
      <c r="AI130" s="204" t="str">
        <f t="shared" si="763"/>
        <v xml:space="preserve"> </v>
      </c>
      <c r="AJ130" s="95" t="s">
        <v>781</v>
      </c>
      <c r="AK130" s="204" t="str">
        <f t="shared" ref="AK130:AM130" si="764">IFERROR(AJ130/$G130," ")</f>
        <v xml:space="preserve"> </v>
      </c>
      <c r="AL130" s="95" t="s">
        <v>781</v>
      </c>
      <c r="AM130" s="204" t="str">
        <f t="shared" si="764"/>
        <v xml:space="preserve"> </v>
      </c>
      <c r="AN130" s="95"/>
      <c r="AO130" s="94" t="str">
        <f t="shared" si="410"/>
        <v xml:space="preserve"> </v>
      </c>
      <c r="AP130" s="94" t="str">
        <f t="shared" si="400"/>
        <v xml:space="preserve"> </v>
      </c>
      <c r="AQ130" s="94" t="str">
        <f t="shared" si="401"/>
        <v xml:space="preserve"> </v>
      </c>
      <c r="AR130" s="94" t="str">
        <f t="shared" si="614"/>
        <v xml:space="preserve"> </v>
      </c>
      <c r="AS130" s="94" t="str">
        <f t="shared" si="412"/>
        <v xml:space="preserve"> </v>
      </c>
      <c r="AT130" s="94" t="str">
        <f t="shared" si="413"/>
        <v xml:space="preserve"> </v>
      </c>
      <c r="AU130" s="94" t="str">
        <f t="shared" si="414"/>
        <v xml:space="preserve"> </v>
      </c>
      <c r="AV130" s="94" t="str">
        <f t="shared" si="415"/>
        <v xml:space="preserve"> </v>
      </c>
      <c r="AW130" s="94" t="str">
        <f t="shared" si="416"/>
        <v xml:space="preserve"> </v>
      </c>
      <c r="AX130" s="94" t="str">
        <f t="shared" si="417"/>
        <v xml:space="preserve"> </v>
      </c>
      <c r="AY130" s="94" t="str">
        <f t="shared" si="418"/>
        <v xml:space="preserve"> </v>
      </c>
      <c r="AZ130" s="94" t="str">
        <f t="shared" si="419"/>
        <v xml:space="preserve"> </v>
      </c>
      <c r="BA130" s="94" t="str">
        <f t="shared" si="420"/>
        <v xml:space="preserve"> </v>
      </c>
      <c r="BB130" s="94" t="str">
        <f t="shared" si="421"/>
        <v xml:space="preserve"> </v>
      </c>
    </row>
    <row r="131" spans="1:54" x14ac:dyDescent="0.25">
      <c r="A131" s="80"/>
      <c r="B131" s="95" t="s">
        <v>2417</v>
      </c>
      <c r="C131" s="201" t="s">
        <v>50</v>
      </c>
      <c r="D131" s="80" t="s">
        <v>783</v>
      </c>
      <c r="E131" s="94" t="str">
        <f>IFERROR(VLOOKUP(A131,Estimate!A:Q,17,FALSE)," ")</f>
        <v xml:space="preserve"> </v>
      </c>
      <c r="F131" s="202" t="s">
        <v>781</v>
      </c>
      <c r="G131" s="202" t="s">
        <v>781</v>
      </c>
      <c r="H131" s="203" t="s">
        <v>781</v>
      </c>
      <c r="I131" s="203" t="s">
        <v>781</v>
      </c>
      <c r="J131" s="203" t="s">
        <v>781</v>
      </c>
      <c r="K131" s="203"/>
      <c r="L131" s="202" t="s">
        <v>781</v>
      </c>
      <c r="M131" s="204" t="str">
        <f t="shared" si="403"/>
        <v xml:space="preserve"> </v>
      </c>
      <c r="N131" s="95" t="s">
        <v>781</v>
      </c>
      <c r="O131" s="204" t="str">
        <f t="shared" si="403"/>
        <v xml:space="preserve"> </v>
      </c>
      <c r="P131" s="95" t="s">
        <v>781</v>
      </c>
      <c r="Q131" s="204" t="str">
        <f t="shared" ref="Q131:S131" si="765">IFERROR(P131/$G131," ")</f>
        <v xml:space="preserve"> </v>
      </c>
      <c r="R131" s="95" t="s">
        <v>781</v>
      </c>
      <c r="S131" s="204" t="str">
        <f t="shared" si="765"/>
        <v xml:space="preserve"> </v>
      </c>
      <c r="T131" s="95" t="s">
        <v>781</v>
      </c>
      <c r="U131" s="204" t="str">
        <f t="shared" ref="U131:W131" si="766">IFERROR(T131/$G131," ")</f>
        <v xml:space="preserve"> </v>
      </c>
      <c r="V131" s="95" t="s">
        <v>781</v>
      </c>
      <c r="W131" s="204" t="str">
        <f t="shared" si="766"/>
        <v xml:space="preserve"> </v>
      </c>
      <c r="X131" s="95" t="s">
        <v>781</v>
      </c>
      <c r="Y131" s="204" t="str">
        <f t="shared" ref="Y131:AA131" si="767">IFERROR(X131/$G131," ")</f>
        <v xml:space="preserve"> </v>
      </c>
      <c r="Z131" s="95" t="s">
        <v>781</v>
      </c>
      <c r="AA131" s="204" t="str">
        <f t="shared" si="767"/>
        <v xml:space="preserve"> </v>
      </c>
      <c r="AB131" s="95" t="s">
        <v>781</v>
      </c>
      <c r="AC131" s="204" t="str">
        <f t="shared" ref="AC131:AE131" si="768">IFERROR(AB131/$G131," ")</f>
        <v xml:space="preserve"> </v>
      </c>
      <c r="AD131" s="95" t="s">
        <v>781</v>
      </c>
      <c r="AE131" s="204" t="str">
        <f t="shared" si="768"/>
        <v xml:space="preserve"> </v>
      </c>
      <c r="AF131" s="95" t="s">
        <v>781</v>
      </c>
      <c r="AG131" s="204" t="str">
        <f t="shared" ref="AG131:AI131" si="769">IFERROR(AF131/$G131," ")</f>
        <v xml:space="preserve"> </v>
      </c>
      <c r="AH131" s="95" t="s">
        <v>781</v>
      </c>
      <c r="AI131" s="204" t="str">
        <f t="shared" si="769"/>
        <v xml:space="preserve"> </v>
      </c>
      <c r="AJ131" s="95" t="s">
        <v>781</v>
      </c>
      <c r="AK131" s="204" t="str">
        <f t="shared" ref="AK131:AM131" si="770">IFERROR(AJ131/$G131," ")</f>
        <v xml:space="preserve"> </v>
      </c>
      <c r="AL131" s="95" t="s">
        <v>781</v>
      </c>
      <c r="AM131" s="204" t="str">
        <f t="shared" si="770"/>
        <v xml:space="preserve"> </v>
      </c>
      <c r="AN131" s="95"/>
      <c r="AO131" s="94" t="str">
        <f t="shared" si="410"/>
        <v xml:space="preserve"> </v>
      </c>
      <c r="AP131" s="94" t="str">
        <f t="shared" si="400"/>
        <v xml:space="preserve"> </v>
      </c>
      <c r="AQ131" s="94" t="str">
        <f t="shared" si="401"/>
        <v xml:space="preserve"> </v>
      </c>
      <c r="AR131" s="94" t="str">
        <f t="shared" si="614"/>
        <v xml:space="preserve"> </v>
      </c>
      <c r="AS131" s="94" t="str">
        <f t="shared" si="412"/>
        <v xml:space="preserve"> </v>
      </c>
      <c r="AT131" s="94" t="str">
        <f t="shared" si="413"/>
        <v xml:space="preserve"> </v>
      </c>
      <c r="AU131" s="94" t="str">
        <f t="shared" si="414"/>
        <v xml:space="preserve"> </v>
      </c>
      <c r="AV131" s="94" t="str">
        <f t="shared" si="415"/>
        <v xml:space="preserve"> </v>
      </c>
      <c r="AW131" s="94" t="str">
        <f t="shared" si="416"/>
        <v xml:space="preserve"> </v>
      </c>
      <c r="AX131" s="94" t="str">
        <f t="shared" si="417"/>
        <v xml:space="preserve"> </v>
      </c>
      <c r="AY131" s="94" t="str">
        <f t="shared" si="418"/>
        <v xml:space="preserve"> </v>
      </c>
      <c r="AZ131" s="94" t="str">
        <f t="shared" si="419"/>
        <v xml:space="preserve"> </v>
      </c>
      <c r="BA131" s="94" t="str">
        <f t="shared" si="420"/>
        <v xml:space="preserve"> </v>
      </c>
      <c r="BB131" s="94" t="str">
        <f t="shared" si="421"/>
        <v xml:space="preserve"> </v>
      </c>
    </row>
    <row r="132" spans="1:54" x14ac:dyDescent="0.25">
      <c r="A132" s="80"/>
      <c r="B132" s="95" t="s">
        <v>2843</v>
      </c>
      <c r="C132" s="201" t="s">
        <v>59</v>
      </c>
      <c r="D132" s="80" t="s">
        <v>783</v>
      </c>
      <c r="E132" s="94" t="str">
        <f>IFERROR(VLOOKUP(A132,Estimate!A:Q,17,FALSE)," ")</f>
        <v xml:space="preserve"> </v>
      </c>
      <c r="F132" s="202" t="s">
        <v>781</v>
      </c>
      <c r="G132" s="202" t="s">
        <v>781</v>
      </c>
      <c r="H132" s="203" t="s">
        <v>781</v>
      </c>
      <c r="I132" s="203" t="s">
        <v>781</v>
      </c>
      <c r="J132" s="203" t="s">
        <v>781</v>
      </c>
      <c r="K132" s="203"/>
      <c r="L132" s="202" t="s">
        <v>781</v>
      </c>
      <c r="M132" s="204" t="str">
        <f t="shared" si="403"/>
        <v xml:space="preserve"> </v>
      </c>
      <c r="N132" s="95" t="s">
        <v>781</v>
      </c>
      <c r="O132" s="204" t="str">
        <f t="shared" si="403"/>
        <v xml:space="preserve"> </v>
      </c>
      <c r="P132" s="95" t="s">
        <v>781</v>
      </c>
      <c r="Q132" s="204" t="str">
        <f t="shared" ref="Q132:S132" si="771">IFERROR(P132/$G132," ")</f>
        <v xml:space="preserve"> </v>
      </c>
      <c r="R132" s="95" t="s">
        <v>781</v>
      </c>
      <c r="S132" s="204" t="str">
        <f t="shared" si="771"/>
        <v xml:space="preserve"> </v>
      </c>
      <c r="T132" s="95" t="s">
        <v>781</v>
      </c>
      <c r="U132" s="204" t="str">
        <f t="shared" ref="U132:W132" si="772">IFERROR(T132/$G132," ")</f>
        <v xml:space="preserve"> </v>
      </c>
      <c r="V132" s="95" t="s">
        <v>781</v>
      </c>
      <c r="W132" s="204" t="str">
        <f t="shared" si="772"/>
        <v xml:space="preserve"> </v>
      </c>
      <c r="X132" s="95" t="s">
        <v>781</v>
      </c>
      <c r="Y132" s="204" t="str">
        <f t="shared" ref="Y132:AA132" si="773">IFERROR(X132/$G132," ")</f>
        <v xml:space="preserve"> </v>
      </c>
      <c r="Z132" s="95" t="s">
        <v>781</v>
      </c>
      <c r="AA132" s="204" t="str">
        <f t="shared" si="773"/>
        <v xml:space="preserve"> </v>
      </c>
      <c r="AB132" s="95" t="s">
        <v>781</v>
      </c>
      <c r="AC132" s="204" t="str">
        <f t="shared" ref="AC132:AE132" si="774">IFERROR(AB132/$G132," ")</f>
        <v xml:space="preserve"> </v>
      </c>
      <c r="AD132" s="95" t="s">
        <v>781</v>
      </c>
      <c r="AE132" s="204" t="str">
        <f t="shared" si="774"/>
        <v xml:space="preserve"> </v>
      </c>
      <c r="AF132" s="95" t="s">
        <v>781</v>
      </c>
      <c r="AG132" s="204" t="str">
        <f t="shared" ref="AG132:AI132" si="775">IFERROR(AF132/$G132," ")</f>
        <v xml:space="preserve"> </v>
      </c>
      <c r="AH132" s="95" t="s">
        <v>781</v>
      </c>
      <c r="AI132" s="204" t="str">
        <f t="shared" si="775"/>
        <v xml:space="preserve"> </v>
      </c>
      <c r="AJ132" s="95" t="s">
        <v>781</v>
      </c>
      <c r="AK132" s="204" t="str">
        <f t="shared" ref="AK132:AM132" si="776">IFERROR(AJ132/$G132," ")</f>
        <v xml:space="preserve"> </v>
      </c>
      <c r="AL132" s="95" t="s">
        <v>781</v>
      </c>
      <c r="AM132" s="204" t="str">
        <f t="shared" si="776"/>
        <v xml:space="preserve"> </v>
      </c>
      <c r="AN132" s="95"/>
      <c r="AO132" s="94" t="str">
        <f t="shared" si="410"/>
        <v xml:space="preserve"> </v>
      </c>
      <c r="AP132" s="94" t="str">
        <f t="shared" si="400"/>
        <v xml:space="preserve"> </v>
      </c>
      <c r="AQ132" s="94" t="str">
        <f t="shared" si="401"/>
        <v xml:space="preserve"> </v>
      </c>
      <c r="AR132" s="94" t="str">
        <f t="shared" si="614"/>
        <v xml:space="preserve"> </v>
      </c>
      <c r="AS132" s="94" t="str">
        <f t="shared" si="412"/>
        <v xml:space="preserve"> </v>
      </c>
      <c r="AT132" s="94" t="str">
        <f t="shared" si="413"/>
        <v xml:space="preserve"> </v>
      </c>
      <c r="AU132" s="94" t="str">
        <f t="shared" si="414"/>
        <v xml:space="preserve"> </v>
      </c>
      <c r="AV132" s="94" t="str">
        <f t="shared" si="415"/>
        <v xml:space="preserve"> </v>
      </c>
      <c r="AW132" s="94" t="str">
        <f t="shared" si="416"/>
        <v xml:space="preserve"> </v>
      </c>
      <c r="AX132" s="94" t="str">
        <f t="shared" si="417"/>
        <v xml:space="preserve"> </v>
      </c>
      <c r="AY132" s="94" t="str">
        <f t="shared" si="418"/>
        <v xml:space="preserve"> </v>
      </c>
      <c r="AZ132" s="94" t="str">
        <f t="shared" si="419"/>
        <v xml:space="preserve"> </v>
      </c>
      <c r="BA132" s="94" t="str">
        <f t="shared" si="420"/>
        <v xml:space="preserve"> </v>
      </c>
      <c r="BB132" s="94" t="str">
        <f t="shared" si="421"/>
        <v xml:space="preserve"> </v>
      </c>
    </row>
    <row r="133" spans="1:54" x14ac:dyDescent="0.25">
      <c r="A133" s="80">
        <v>53</v>
      </c>
      <c r="B133" s="95" t="s">
        <v>2844</v>
      </c>
      <c r="C133" s="201" t="s">
        <v>61</v>
      </c>
      <c r="D133" s="80" t="s">
        <v>62</v>
      </c>
      <c r="E133" s="94">
        <f>IFERROR(VLOOKUP(A133,Estimate!A:Q,17,FALSE)," ")</f>
        <v>19053.614043583537</v>
      </c>
      <c r="F133" s="202">
        <v>869</v>
      </c>
      <c r="G133" s="202">
        <v>869</v>
      </c>
      <c r="H133" s="203">
        <v>27.54</v>
      </c>
      <c r="I133" s="203">
        <v>23932.26</v>
      </c>
      <c r="J133" s="203">
        <v>23932.26</v>
      </c>
      <c r="K133" s="203"/>
      <c r="L133" s="202"/>
      <c r="M133" s="204">
        <f t="shared" si="403"/>
        <v>0</v>
      </c>
      <c r="N133" s="95"/>
      <c r="O133" s="204">
        <f t="shared" si="403"/>
        <v>0</v>
      </c>
      <c r="P133" s="95"/>
      <c r="Q133" s="204">
        <f t="shared" ref="Q133:S133" si="777">IFERROR(P133/$G133," ")</f>
        <v>0</v>
      </c>
      <c r="R133" s="95"/>
      <c r="S133" s="204">
        <f t="shared" si="777"/>
        <v>0</v>
      </c>
      <c r="T133" s="95"/>
      <c r="U133" s="204">
        <f t="shared" ref="U133:W133" si="778">IFERROR(T133/$G133," ")</f>
        <v>0</v>
      </c>
      <c r="V133" s="95">
        <v>869</v>
      </c>
      <c r="W133" s="204">
        <f t="shared" si="778"/>
        <v>1</v>
      </c>
      <c r="X133" s="95">
        <v>869</v>
      </c>
      <c r="Y133" s="204">
        <f t="shared" ref="Y133:AA133" si="779">IFERROR(X133/$G133," ")</f>
        <v>1</v>
      </c>
      <c r="Z133" s="95">
        <v>869</v>
      </c>
      <c r="AA133" s="204">
        <f t="shared" si="779"/>
        <v>1</v>
      </c>
      <c r="AB133" s="95">
        <v>869</v>
      </c>
      <c r="AC133" s="204">
        <f t="shared" ref="AC133:AE133" si="780">IFERROR(AB133/$G133," ")</f>
        <v>1</v>
      </c>
      <c r="AD133" s="95">
        <v>869</v>
      </c>
      <c r="AE133" s="204">
        <f t="shared" si="780"/>
        <v>1</v>
      </c>
      <c r="AF133" s="95">
        <v>869</v>
      </c>
      <c r="AG133" s="204">
        <f t="shared" ref="AG133:AI133" si="781">IFERROR(AF133/$G133," ")</f>
        <v>1</v>
      </c>
      <c r="AH133" s="95">
        <v>869</v>
      </c>
      <c r="AI133" s="204">
        <f t="shared" si="781"/>
        <v>1</v>
      </c>
      <c r="AJ133" s="95">
        <v>869</v>
      </c>
      <c r="AK133" s="204">
        <f t="shared" ref="AK133:AM133" si="782">IFERROR(AJ133/$G133," ")</f>
        <v>1</v>
      </c>
      <c r="AL133" s="95">
        <v>869</v>
      </c>
      <c r="AM133" s="204">
        <f t="shared" si="782"/>
        <v>1</v>
      </c>
      <c r="AN133" s="95"/>
      <c r="AO133" s="94">
        <f t="shared" si="410"/>
        <v>0</v>
      </c>
      <c r="AP133" s="94">
        <f t="shared" si="400"/>
        <v>0</v>
      </c>
      <c r="AQ133" s="94">
        <f t="shared" si="401"/>
        <v>0</v>
      </c>
      <c r="AR133" s="94">
        <f t="shared" si="614"/>
        <v>0</v>
      </c>
      <c r="AS133" s="94">
        <f t="shared" si="412"/>
        <v>0</v>
      </c>
      <c r="AT133" s="94">
        <f t="shared" si="413"/>
        <v>23932.26</v>
      </c>
      <c r="AU133" s="94">
        <f t="shared" si="414"/>
        <v>23932.26</v>
      </c>
      <c r="AV133" s="94">
        <f t="shared" si="415"/>
        <v>23932.26</v>
      </c>
      <c r="AW133" s="94">
        <f t="shared" si="416"/>
        <v>23932.26</v>
      </c>
      <c r="AX133" s="94">
        <f t="shared" si="417"/>
        <v>23932.26</v>
      </c>
      <c r="AY133" s="94">
        <f t="shared" si="418"/>
        <v>23932.26</v>
      </c>
      <c r="AZ133" s="94">
        <f t="shared" si="419"/>
        <v>23932.26</v>
      </c>
      <c r="BA133" s="94">
        <f t="shared" si="420"/>
        <v>23932.26</v>
      </c>
      <c r="BB133" s="94">
        <f t="shared" si="421"/>
        <v>23932.26</v>
      </c>
    </row>
    <row r="134" spans="1:54" x14ac:dyDescent="0.25">
      <c r="A134" s="80">
        <v>54</v>
      </c>
      <c r="B134" s="95" t="s">
        <v>2885</v>
      </c>
      <c r="C134" s="201" t="s">
        <v>258</v>
      </c>
      <c r="D134" s="80" t="s">
        <v>62</v>
      </c>
      <c r="E134" s="94">
        <f>IFERROR(VLOOKUP(A134,Estimate!A:Q,17,FALSE)," ")</f>
        <v>112.2</v>
      </c>
      <c r="F134" s="202">
        <v>4</v>
      </c>
      <c r="G134" s="202">
        <v>4</v>
      </c>
      <c r="H134" s="203">
        <v>35.24</v>
      </c>
      <c r="I134" s="203">
        <v>140.96</v>
      </c>
      <c r="J134" s="203">
        <v>140.96</v>
      </c>
      <c r="K134" s="203"/>
      <c r="L134" s="202"/>
      <c r="M134" s="204">
        <f t="shared" si="403"/>
        <v>0</v>
      </c>
      <c r="N134" s="95"/>
      <c r="O134" s="204">
        <f t="shared" si="403"/>
        <v>0</v>
      </c>
      <c r="P134" s="95"/>
      <c r="Q134" s="204">
        <f t="shared" ref="Q134:S134" si="783">IFERROR(P134/$G134," ")</f>
        <v>0</v>
      </c>
      <c r="R134" s="95"/>
      <c r="S134" s="204">
        <f t="shared" si="783"/>
        <v>0</v>
      </c>
      <c r="T134" s="95"/>
      <c r="U134" s="204">
        <f t="shared" ref="U134:W134" si="784">IFERROR(T134/$G134," ")</f>
        <v>0</v>
      </c>
      <c r="V134" s="95">
        <v>4</v>
      </c>
      <c r="W134" s="204">
        <f t="shared" si="784"/>
        <v>1</v>
      </c>
      <c r="X134" s="95">
        <v>4</v>
      </c>
      <c r="Y134" s="204">
        <f t="shared" ref="Y134:AA134" si="785">IFERROR(X134/$G134," ")</f>
        <v>1</v>
      </c>
      <c r="Z134" s="95">
        <v>4</v>
      </c>
      <c r="AA134" s="204">
        <f t="shared" si="785"/>
        <v>1</v>
      </c>
      <c r="AB134" s="95">
        <v>4</v>
      </c>
      <c r="AC134" s="204">
        <f t="shared" ref="AC134:AE134" si="786">IFERROR(AB134/$G134," ")</f>
        <v>1</v>
      </c>
      <c r="AD134" s="95">
        <v>4</v>
      </c>
      <c r="AE134" s="204">
        <f t="shared" si="786"/>
        <v>1</v>
      </c>
      <c r="AF134" s="95">
        <v>4</v>
      </c>
      <c r="AG134" s="204">
        <f t="shared" ref="AG134:AI134" si="787">IFERROR(AF134/$G134," ")</f>
        <v>1</v>
      </c>
      <c r="AH134" s="95">
        <v>4</v>
      </c>
      <c r="AI134" s="204">
        <f t="shared" si="787"/>
        <v>1</v>
      </c>
      <c r="AJ134" s="95">
        <v>4</v>
      </c>
      <c r="AK134" s="204">
        <f t="shared" ref="AK134:AM134" si="788">IFERROR(AJ134/$G134," ")</f>
        <v>1</v>
      </c>
      <c r="AL134" s="95">
        <v>4</v>
      </c>
      <c r="AM134" s="204">
        <f t="shared" si="788"/>
        <v>1</v>
      </c>
      <c r="AN134" s="95"/>
      <c r="AO134" s="94">
        <f t="shared" si="410"/>
        <v>0</v>
      </c>
      <c r="AP134" s="94">
        <f t="shared" si="400"/>
        <v>0</v>
      </c>
      <c r="AQ134" s="94">
        <f t="shared" si="401"/>
        <v>0</v>
      </c>
      <c r="AR134" s="94">
        <f t="shared" si="614"/>
        <v>0</v>
      </c>
      <c r="AS134" s="94">
        <f t="shared" si="412"/>
        <v>0</v>
      </c>
      <c r="AT134" s="94">
        <f t="shared" si="413"/>
        <v>140.96</v>
      </c>
      <c r="AU134" s="94">
        <f t="shared" si="414"/>
        <v>140.96</v>
      </c>
      <c r="AV134" s="94">
        <f t="shared" si="415"/>
        <v>140.96</v>
      </c>
      <c r="AW134" s="94">
        <f t="shared" si="416"/>
        <v>140.96</v>
      </c>
      <c r="AX134" s="94">
        <f t="shared" si="417"/>
        <v>140.96</v>
      </c>
      <c r="AY134" s="94">
        <f t="shared" si="418"/>
        <v>140.96</v>
      </c>
      <c r="AZ134" s="94">
        <f t="shared" si="419"/>
        <v>140.96</v>
      </c>
      <c r="BA134" s="94">
        <f t="shared" si="420"/>
        <v>140.96</v>
      </c>
      <c r="BB134" s="94">
        <f t="shared" si="421"/>
        <v>140.96</v>
      </c>
    </row>
    <row r="135" spans="1:54" ht="30" x14ac:dyDescent="0.25">
      <c r="A135" s="80">
        <v>55</v>
      </c>
      <c r="B135" s="95" t="s">
        <v>2845</v>
      </c>
      <c r="C135" s="201" t="s">
        <v>167</v>
      </c>
      <c r="D135" s="80" t="s">
        <v>62</v>
      </c>
      <c r="E135" s="94">
        <f>IFERROR(VLOOKUP(A135,Estimate!A:Q,17,FALSE)," ")</f>
        <v>655.33333333333337</v>
      </c>
      <c r="F135" s="202">
        <v>10</v>
      </c>
      <c r="G135" s="202">
        <v>10</v>
      </c>
      <c r="H135" s="203">
        <v>65.53</v>
      </c>
      <c r="I135" s="203">
        <v>655.29999999999995</v>
      </c>
      <c r="J135" s="203">
        <v>655.29999999999995</v>
      </c>
      <c r="K135" s="203"/>
      <c r="L135" s="202"/>
      <c r="M135" s="204">
        <f t="shared" si="403"/>
        <v>0</v>
      </c>
      <c r="N135" s="95"/>
      <c r="O135" s="204">
        <f t="shared" si="403"/>
        <v>0</v>
      </c>
      <c r="P135" s="95"/>
      <c r="Q135" s="204">
        <f t="shared" ref="Q135:S135" si="789">IFERROR(P135/$G135," ")</f>
        <v>0</v>
      </c>
      <c r="R135" s="95"/>
      <c r="S135" s="204">
        <f t="shared" si="789"/>
        <v>0</v>
      </c>
      <c r="T135" s="95"/>
      <c r="U135" s="204">
        <f t="shared" ref="U135:W135" si="790">IFERROR(T135/$G135," ")</f>
        <v>0</v>
      </c>
      <c r="V135" s="95"/>
      <c r="W135" s="204">
        <f t="shared" si="790"/>
        <v>0</v>
      </c>
      <c r="X135" s="95"/>
      <c r="Y135" s="204">
        <f t="shared" ref="Y135:AA135" si="791">IFERROR(X135/$G135," ")</f>
        <v>0</v>
      </c>
      <c r="Z135" s="95"/>
      <c r="AA135" s="204">
        <f t="shared" si="791"/>
        <v>0</v>
      </c>
      <c r="AB135" s="95">
        <v>10</v>
      </c>
      <c r="AC135" s="204">
        <f t="shared" ref="AC135:AE135" si="792">IFERROR(AB135/$G135," ")</f>
        <v>1</v>
      </c>
      <c r="AD135" s="95">
        <v>10</v>
      </c>
      <c r="AE135" s="204">
        <f t="shared" si="792"/>
        <v>1</v>
      </c>
      <c r="AF135" s="95">
        <v>10</v>
      </c>
      <c r="AG135" s="204">
        <f t="shared" ref="AG135:AI135" si="793">IFERROR(AF135/$G135," ")</f>
        <v>1</v>
      </c>
      <c r="AH135" s="95">
        <v>10</v>
      </c>
      <c r="AI135" s="204">
        <f t="shared" si="793"/>
        <v>1</v>
      </c>
      <c r="AJ135" s="95"/>
      <c r="AK135" s="204">
        <f t="shared" ref="AK135:AM135" si="794">IFERROR(AJ135/$G135," ")</f>
        <v>0</v>
      </c>
      <c r="AL135" s="95"/>
      <c r="AM135" s="204">
        <f t="shared" si="794"/>
        <v>0</v>
      </c>
      <c r="AN135" s="95"/>
      <c r="AO135" s="94">
        <f t="shared" si="410"/>
        <v>0</v>
      </c>
      <c r="AP135" s="94">
        <f t="shared" si="400"/>
        <v>0</v>
      </c>
      <c r="AQ135" s="94">
        <f t="shared" si="401"/>
        <v>0</v>
      </c>
      <c r="AR135" s="94">
        <f t="shared" si="614"/>
        <v>0</v>
      </c>
      <c r="AS135" s="94">
        <f t="shared" si="412"/>
        <v>0</v>
      </c>
      <c r="AT135" s="94">
        <f t="shared" si="413"/>
        <v>0</v>
      </c>
      <c r="AU135" s="94">
        <f t="shared" si="414"/>
        <v>0</v>
      </c>
      <c r="AV135" s="94">
        <f t="shared" si="415"/>
        <v>0</v>
      </c>
      <c r="AW135" s="94">
        <f t="shared" si="416"/>
        <v>655.29999999999995</v>
      </c>
      <c r="AX135" s="94">
        <f t="shared" si="417"/>
        <v>655.29999999999995</v>
      </c>
      <c r="AY135" s="94">
        <f t="shared" si="418"/>
        <v>655.29999999999995</v>
      </c>
      <c r="AZ135" s="94">
        <f t="shared" si="419"/>
        <v>655.29999999999995</v>
      </c>
      <c r="BA135" s="94">
        <f t="shared" si="420"/>
        <v>0</v>
      </c>
      <c r="BB135" s="94">
        <f t="shared" si="421"/>
        <v>0</v>
      </c>
    </row>
    <row r="136" spans="1:54" ht="30" x14ac:dyDescent="0.25">
      <c r="A136" s="80">
        <v>56</v>
      </c>
      <c r="B136" s="95" t="s">
        <v>2417</v>
      </c>
      <c r="C136" s="201" t="s">
        <v>261</v>
      </c>
      <c r="D136" s="80" t="s">
        <v>20</v>
      </c>
      <c r="E136" s="94">
        <f>IFERROR(VLOOKUP(A136,Estimate!A:Q,17,FALSE)," ")</f>
        <v>1200</v>
      </c>
      <c r="F136" s="202">
        <v>1</v>
      </c>
      <c r="G136" s="202">
        <v>1</v>
      </c>
      <c r="H136" s="203">
        <v>1507.47</v>
      </c>
      <c r="I136" s="203">
        <v>1507.47</v>
      </c>
      <c r="J136" s="203">
        <v>1507.47</v>
      </c>
      <c r="K136" s="203"/>
      <c r="L136" s="202"/>
      <c r="M136" s="204">
        <f t="shared" si="403"/>
        <v>0</v>
      </c>
      <c r="N136" s="95"/>
      <c r="O136" s="204">
        <f t="shared" si="403"/>
        <v>0</v>
      </c>
      <c r="P136" s="95"/>
      <c r="Q136" s="204">
        <f t="shared" ref="Q136:S136" si="795">IFERROR(P136/$G136," ")</f>
        <v>0</v>
      </c>
      <c r="R136" s="95"/>
      <c r="S136" s="204">
        <f t="shared" si="795"/>
        <v>0</v>
      </c>
      <c r="T136" s="95"/>
      <c r="U136" s="204">
        <f t="shared" ref="U136:W136" si="796">IFERROR(T136/$G136," ")</f>
        <v>0</v>
      </c>
      <c r="V136" s="95">
        <v>1</v>
      </c>
      <c r="W136" s="204">
        <f t="shared" si="796"/>
        <v>1</v>
      </c>
      <c r="X136" s="95">
        <v>1</v>
      </c>
      <c r="Y136" s="204">
        <f t="shared" ref="Y136:AA136" si="797">IFERROR(X136/$G136," ")</f>
        <v>1</v>
      </c>
      <c r="Z136" s="95">
        <v>1</v>
      </c>
      <c r="AA136" s="204">
        <f t="shared" si="797"/>
        <v>1</v>
      </c>
      <c r="AB136" s="95">
        <v>1</v>
      </c>
      <c r="AC136" s="204">
        <f t="shared" ref="AC136:AE136" si="798">IFERROR(AB136/$G136," ")</f>
        <v>1</v>
      </c>
      <c r="AD136" s="95">
        <v>1</v>
      </c>
      <c r="AE136" s="204">
        <f t="shared" si="798"/>
        <v>1</v>
      </c>
      <c r="AF136" s="95">
        <v>1</v>
      </c>
      <c r="AG136" s="204">
        <f t="shared" ref="AG136:AI136" si="799">IFERROR(AF136/$G136," ")</f>
        <v>1</v>
      </c>
      <c r="AH136" s="95">
        <v>1</v>
      </c>
      <c r="AI136" s="204">
        <f t="shared" si="799"/>
        <v>1</v>
      </c>
      <c r="AJ136" s="95">
        <v>1</v>
      </c>
      <c r="AK136" s="204">
        <f t="shared" ref="AK136:AM136" si="800">IFERROR(AJ136/$G136," ")</f>
        <v>1</v>
      </c>
      <c r="AL136" s="95">
        <v>1</v>
      </c>
      <c r="AM136" s="204">
        <f t="shared" si="800"/>
        <v>1</v>
      </c>
      <c r="AN136" s="95"/>
      <c r="AO136" s="94">
        <f t="shared" si="410"/>
        <v>0</v>
      </c>
      <c r="AP136" s="94">
        <f t="shared" ref="AP136:AP199" si="801">IFERROR(O136*$J136," ")</f>
        <v>0</v>
      </c>
      <c r="AQ136" s="94">
        <f t="shared" ref="AQ136:AQ199" si="802">IFERROR(Q136*$J136," ")</f>
        <v>0</v>
      </c>
      <c r="AR136" s="94">
        <f t="shared" ref="AR136" si="803">IFERROR(S136*$J136," ")</f>
        <v>0</v>
      </c>
      <c r="AS136" s="94">
        <f t="shared" si="412"/>
        <v>0</v>
      </c>
      <c r="AT136" s="94">
        <f t="shared" si="413"/>
        <v>1507.47</v>
      </c>
      <c r="AU136" s="94">
        <f t="shared" si="414"/>
        <v>1507.47</v>
      </c>
      <c r="AV136" s="94">
        <f t="shared" si="415"/>
        <v>1507.47</v>
      </c>
      <c r="AW136" s="94">
        <f t="shared" si="416"/>
        <v>1507.47</v>
      </c>
      <c r="AX136" s="94">
        <f t="shared" si="417"/>
        <v>1507.47</v>
      </c>
      <c r="AY136" s="94">
        <f t="shared" si="418"/>
        <v>1507.47</v>
      </c>
      <c r="AZ136" s="94">
        <f t="shared" si="419"/>
        <v>1507.47</v>
      </c>
      <c r="BA136" s="94">
        <f t="shared" si="420"/>
        <v>1507.47</v>
      </c>
      <c r="BB136" s="94">
        <f t="shared" si="421"/>
        <v>1507.47</v>
      </c>
    </row>
    <row r="137" spans="1:54" x14ac:dyDescent="0.25">
      <c r="A137" s="80">
        <v>57</v>
      </c>
      <c r="B137" s="95" t="s">
        <v>2886</v>
      </c>
      <c r="C137" s="201" t="s">
        <v>263</v>
      </c>
      <c r="D137" s="80" t="s">
        <v>89</v>
      </c>
      <c r="E137" s="94">
        <f>IFERROR(VLOOKUP(A137,Estimate!A:Q,17,FALSE)," ")</f>
        <v>2628</v>
      </c>
      <c r="F137" s="202">
        <v>21</v>
      </c>
      <c r="G137" s="202">
        <v>21</v>
      </c>
      <c r="H137" s="203">
        <v>157.21</v>
      </c>
      <c r="I137" s="203">
        <v>3301.41</v>
      </c>
      <c r="J137" s="203">
        <v>3301.41</v>
      </c>
      <c r="K137" s="203"/>
      <c r="L137" s="202"/>
      <c r="M137" s="204">
        <f t="shared" ref="M137:O200" si="804">IFERROR(L137/$G137," ")</f>
        <v>0</v>
      </c>
      <c r="N137" s="95"/>
      <c r="O137" s="204">
        <f t="shared" si="804"/>
        <v>0</v>
      </c>
      <c r="P137" s="95"/>
      <c r="Q137" s="204">
        <f t="shared" ref="Q137:S137" si="805">IFERROR(P137/$G137," ")</f>
        <v>0</v>
      </c>
      <c r="R137" s="95"/>
      <c r="S137" s="204">
        <f t="shared" si="805"/>
        <v>0</v>
      </c>
      <c r="T137" s="95"/>
      <c r="U137" s="204">
        <f t="shared" ref="U137:W137" si="806">IFERROR(T137/$G137," ")</f>
        <v>0</v>
      </c>
      <c r="V137" s="95">
        <v>21</v>
      </c>
      <c r="W137" s="204">
        <f t="shared" si="806"/>
        <v>1</v>
      </c>
      <c r="X137" s="95">
        <v>21</v>
      </c>
      <c r="Y137" s="204">
        <f t="shared" ref="Y137:AA137" si="807">IFERROR(X137/$G137," ")</f>
        <v>1</v>
      </c>
      <c r="Z137" s="95">
        <v>21</v>
      </c>
      <c r="AA137" s="204">
        <f t="shared" si="807"/>
        <v>1</v>
      </c>
      <c r="AB137" s="95">
        <v>21</v>
      </c>
      <c r="AC137" s="204">
        <f t="shared" ref="AC137:AE137" si="808">IFERROR(AB137/$G137," ")</f>
        <v>1</v>
      </c>
      <c r="AD137" s="95">
        <v>21</v>
      </c>
      <c r="AE137" s="204">
        <f t="shared" si="808"/>
        <v>1</v>
      </c>
      <c r="AF137" s="95">
        <v>21</v>
      </c>
      <c r="AG137" s="204">
        <f t="shared" ref="AG137:AI137" si="809">IFERROR(AF137/$G137," ")</f>
        <v>1</v>
      </c>
      <c r="AH137" s="95">
        <v>21</v>
      </c>
      <c r="AI137" s="204">
        <f t="shared" si="809"/>
        <v>1</v>
      </c>
      <c r="AJ137" s="95">
        <v>21</v>
      </c>
      <c r="AK137" s="204">
        <f t="shared" ref="AK137:AM137" si="810">IFERROR(AJ137/$G137," ")</f>
        <v>1</v>
      </c>
      <c r="AL137" s="95">
        <v>21</v>
      </c>
      <c r="AM137" s="204">
        <f t="shared" si="810"/>
        <v>1</v>
      </c>
      <c r="AN137" s="95"/>
      <c r="AO137" s="94">
        <f t="shared" ref="AO137:AO200" si="811">IFERROR(M137*$J137," ")</f>
        <v>0</v>
      </c>
      <c r="AP137" s="94">
        <f t="shared" si="801"/>
        <v>0</v>
      </c>
      <c r="AQ137" s="94">
        <f t="shared" si="802"/>
        <v>0</v>
      </c>
      <c r="AR137" s="94">
        <f t="shared" ref="AR137:AR168" si="812">IFERROR(S137*$J137," ")</f>
        <v>0</v>
      </c>
      <c r="AS137" s="94">
        <f t="shared" ref="AS137:AS200" si="813">IFERROR(U137*$J137," ")</f>
        <v>0</v>
      </c>
      <c r="AT137" s="94">
        <f t="shared" ref="AT137:AT200" si="814">IFERROR(W137*$J137," ")</f>
        <v>3301.41</v>
      </c>
      <c r="AU137" s="94">
        <f t="shared" ref="AU137:AU200" si="815">IFERROR(Y137*$J137," ")</f>
        <v>3301.41</v>
      </c>
      <c r="AV137" s="94">
        <f t="shared" ref="AV137:AV200" si="816">IFERROR(AA137*$J137," ")</f>
        <v>3301.41</v>
      </c>
      <c r="AW137" s="94">
        <f t="shared" ref="AW137:AW200" si="817">IFERROR(AC137*$J137," ")</f>
        <v>3301.41</v>
      </c>
      <c r="AX137" s="94">
        <f t="shared" ref="AX137:AX200" si="818">IFERROR(AE137*$J137," ")</f>
        <v>3301.41</v>
      </c>
      <c r="AY137" s="94">
        <f t="shared" ref="AY137:AY200" si="819">IFERROR(AG137*$J137," ")</f>
        <v>3301.41</v>
      </c>
      <c r="AZ137" s="94">
        <f t="shared" ref="AZ137:AZ200" si="820">IFERROR(AI137*$J137," ")</f>
        <v>3301.41</v>
      </c>
      <c r="BA137" s="94">
        <f t="shared" ref="BA137:BA200" si="821">IFERROR(AK137*$J137," ")</f>
        <v>3301.41</v>
      </c>
      <c r="BB137" s="94">
        <f t="shared" ref="BB137:BB200" si="822">IFERROR(AM137*$J137," ")</f>
        <v>3301.41</v>
      </c>
    </row>
    <row r="138" spans="1:54" x14ac:dyDescent="0.25">
      <c r="A138" s="80">
        <v>58</v>
      </c>
      <c r="B138" s="95" t="s">
        <v>2847</v>
      </c>
      <c r="C138" s="201" t="s">
        <v>265</v>
      </c>
      <c r="D138" s="80" t="s">
        <v>20</v>
      </c>
      <c r="E138" s="94">
        <f>IFERROR(VLOOKUP(A138,Estimate!A:Q,17,FALSE)," ")</f>
        <v>3950</v>
      </c>
      <c r="F138" s="202">
        <v>1</v>
      </c>
      <c r="G138" s="202">
        <v>1</v>
      </c>
      <c r="H138" s="203">
        <v>4962.1000000000004</v>
      </c>
      <c r="I138" s="203">
        <v>4962.1000000000004</v>
      </c>
      <c r="J138" s="203">
        <v>4962.1000000000004</v>
      </c>
      <c r="K138" s="203"/>
      <c r="L138" s="202"/>
      <c r="M138" s="204">
        <f t="shared" si="804"/>
        <v>0</v>
      </c>
      <c r="N138" s="95"/>
      <c r="O138" s="204">
        <f t="shared" si="804"/>
        <v>0</v>
      </c>
      <c r="P138" s="95"/>
      <c r="Q138" s="204">
        <f t="shared" ref="Q138:S138" si="823">IFERROR(P138/$G138," ")</f>
        <v>0</v>
      </c>
      <c r="R138" s="95"/>
      <c r="S138" s="204">
        <f t="shared" si="823"/>
        <v>0</v>
      </c>
      <c r="T138" s="95"/>
      <c r="U138" s="204">
        <f t="shared" ref="U138:W138" si="824">IFERROR(T138/$G138," ")</f>
        <v>0</v>
      </c>
      <c r="V138" s="95"/>
      <c r="W138" s="204">
        <f t="shared" si="824"/>
        <v>0</v>
      </c>
      <c r="X138" s="95"/>
      <c r="Y138" s="204">
        <f t="shared" ref="Y138:AA138" si="825">IFERROR(X138/$G138," ")</f>
        <v>0</v>
      </c>
      <c r="Z138" s="95">
        <v>1</v>
      </c>
      <c r="AA138" s="204">
        <f t="shared" si="825"/>
        <v>1</v>
      </c>
      <c r="AB138" s="95">
        <v>1</v>
      </c>
      <c r="AC138" s="204">
        <f t="shared" ref="AC138:AE138" si="826">IFERROR(AB138/$G138," ")</f>
        <v>1</v>
      </c>
      <c r="AD138" s="95">
        <v>1</v>
      </c>
      <c r="AE138" s="204">
        <f t="shared" si="826"/>
        <v>1</v>
      </c>
      <c r="AF138" s="95">
        <v>1</v>
      </c>
      <c r="AG138" s="204">
        <f t="shared" ref="AG138:AI138" si="827">IFERROR(AF138/$G138," ")</f>
        <v>1</v>
      </c>
      <c r="AH138" s="95">
        <v>1</v>
      </c>
      <c r="AI138" s="204">
        <f t="shared" si="827"/>
        <v>1</v>
      </c>
      <c r="AJ138" s="95">
        <v>1</v>
      </c>
      <c r="AK138" s="204">
        <f t="shared" ref="AK138:AM138" si="828">IFERROR(AJ138/$G138," ")</f>
        <v>1</v>
      </c>
      <c r="AL138" s="95">
        <v>1</v>
      </c>
      <c r="AM138" s="204">
        <f t="shared" si="828"/>
        <v>1</v>
      </c>
      <c r="AN138" s="95"/>
      <c r="AO138" s="94">
        <f t="shared" si="811"/>
        <v>0</v>
      </c>
      <c r="AP138" s="94">
        <f t="shared" si="801"/>
        <v>0</v>
      </c>
      <c r="AQ138" s="94">
        <f t="shared" si="802"/>
        <v>0</v>
      </c>
      <c r="AR138" s="94">
        <f t="shared" si="812"/>
        <v>0</v>
      </c>
      <c r="AS138" s="94">
        <f t="shared" si="813"/>
        <v>0</v>
      </c>
      <c r="AT138" s="94">
        <f t="shared" si="814"/>
        <v>0</v>
      </c>
      <c r="AU138" s="94">
        <f t="shared" si="815"/>
        <v>0</v>
      </c>
      <c r="AV138" s="94">
        <f t="shared" si="816"/>
        <v>4962.1000000000004</v>
      </c>
      <c r="AW138" s="94">
        <f t="shared" si="817"/>
        <v>4962.1000000000004</v>
      </c>
      <c r="AX138" s="94">
        <f t="shared" si="818"/>
        <v>4962.1000000000004</v>
      </c>
      <c r="AY138" s="94">
        <f t="shared" si="819"/>
        <v>4962.1000000000004</v>
      </c>
      <c r="AZ138" s="94">
        <f t="shared" si="820"/>
        <v>4962.1000000000004</v>
      </c>
      <c r="BA138" s="94">
        <f t="shared" si="821"/>
        <v>4962.1000000000004</v>
      </c>
      <c r="BB138" s="94">
        <f t="shared" si="822"/>
        <v>4962.1000000000004</v>
      </c>
    </row>
    <row r="139" spans="1:54" ht="30" x14ac:dyDescent="0.25">
      <c r="A139" s="80">
        <v>59</v>
      </c>
      <c r="B139" s="95" t="s">
        <v>2887</v>
      </c>
      <c r="C139" s="201" t="s">
        <v>270</v>
      </c>
      <c r="D139" s="80" t="s">
        <v>29</v>
      </c>
      <c r="E139" s="94">
        <f>IFERROR(VLOOKUP(A139,Estimate!A:Q,17,FALSE)," ")</f>
        <v>2400</v>
      </c>
      <c r="F139" s="202">
        <v>1</v>
      </c>
      <c r="G139" s="202">
        <v>1</v>
      </c>
      <c r="H139" s="203">
        <v>3014.95</v>
      </c>
      <c r="I139" s="203">
        <v>3014.95</v>
      </c>
      <c r="J139" s="203">
        <v>3014.95</v>
      </c>
      <c r="K139" s="203"/>
      <c r="L139" s="202"/>
      <c r="M139" s="204">
        <f t="shared" si="804"/>
        <v>0</v>
      </c>
      <c r="N139" s="95"/>
      <c r="O139" s="204">
        <f t="shared" si="804"/>
        <v>0</v>
      </c>
      <c r="P139" s="95"/>
      <c r="Q139" s="204">
        <f t="shared" ref="Q139:S139" si="829">IFERROR(P139/$G139," ")</f>
        <v>0</v>
      </c>
      <c r="R139" s="95"/>
      <c r="S139" s="204">
        <f t="shared" si="829"/>
        <v>0</v>
      </c>
      <c r="T139" s="95"/>
      <c r="U139" s="204">
        <f t="shared" ref="U139:W139" si="830">IFERROR(T139/$G139," ")</f>
        <v>0</v>
      </c>
      <c r="V139" s="95">
        <v>1</v>
      </c>
      <c r="W139" s="204">
        <f t="shared" si="830"/>
        <v>1</v>
      </c>
      <c r="X139" s="95">
        <v>1</v>
      </c>
      <c r="Y139" s="204">
        <f t="shared" ref="Y139:AA139" si="831">IFERROR(X139/$G139," ")</f>
        <v>1</v>
      </c>
      <c r="Z139" s="95">
        <v>1</v>
      </c>
      <c r="AA139" s="204">
        <f t="shared" si="831"/>
        <v>1</v>
      </c>
      <c r="AB139" s="95">
        <v>1</v>
      </c>
      <c r="AC139" s="204">
        <f t="shared" ref="AC139:AE139" si="832">IFERROR(AB139/$G139," ")</f>
        <v>1</v>
      </c>
      <c r="AD139" s="95">
        <v>1</v>
      </c>
      <c r="AE139" s="204">
        <f t="shared" si="832"/>
        <v>1</v>
      </c>
      <c r="AF139" s="95">
        <v>1</v>
      </c>
      <c r="AG139" s="204">
        <f t="shared" ref="AG139:AI139" si="833">IFERROR(AF139/$G139," ")</f>
        <v>1</v>
      </c>
      <c r="AH139" s="95">
        <v>1</v>
      </c>
      <c r="AI139" s="204">
        <f t="shared" si="833"/>
        <v>1</v>
      </c>
      <c r="AJ139" s="95">
        <v>1</v>
      </c>
      <c r="AK139" s="204">
        <f t="shared" ref="AK139:AM139" si="834">IFERROR(AJ139/$G139," ")</f>
        <v>1</v>
      </c>
      <c r="AL139" s="95">
        <v>1</v>
      </c>
      <c r="AM139" s="204">
        <f t="shared" si="834"/>
        <v>1</v>
      </c>
      <c r="AN139" s="95"/>
      <c r="AO139" s="94">
        <f t="shared" si="811"/>
        <v>0</v>
      </c>
      <c r="AP139" s="94">
        <f t="shared" si="801"/>
        <v>0</v>
      </c>
      <c r="AQ139" s="94">
        <f t="shared" si="802"/>
        <v>0</v>
      </c>
      <c r="AR139" s="94">
        <f t="shared" si="812"/>
        <v>0</v>
      </c>
      <c r="AS139" s="94">
        <f t="shared" si="813"/>
        <v>0</v>
      </c>
      <c r="AT139" s="94">
        <f t="shared" si="814"/>
        <v>3014.95</v>
      </c>
      <c r="AU139" s="94">
        <f t="shared" si="815"/>
        <v>3014.95</v>
      </c>
      <c r="AV139" s="94">
        <f t="shared" si="816"/>
        <v>3014.95</v>
      </c>
      <c r="AW139" s="94">
        <f t="shared" si="817"/>
        <v>3014.95</v>
      </c>
      <c r="AX139" s="94">
        <f t="shared" si="818"/>
        <v>3014.95</v>
      </c>
      <c r="AY139" s="94">
        <f t="shared" si="819"/>
        <v>3014.95</v>
      </c>
      <c r="AZ139" s="94">
        <f t="shared" si="820"/>
        <v>3014.95</v>
      </c>
      <c r="BA139" s="94">
        <f t="shared" si="821"/>
        <v>3014.95</v>
      </c>
      <c r="BB139" s="94">
        <f t="shared" si="822"/>
        <v>3014.95</v>
      </c>
    </row>
    <row r="140" spans="1:54" x14ac:dyDescent="0.25">
      <c r="A140" s="80">
        <v>60</v>
      </c>
      <c r="B140" s="95" t="s">
        <v>2872</v>
      </c>
      <c r="C140" s="201" t="s">
        <v>195</v>
      </c>
      <c r="D140" s="80" t="s">
        <v>89</v>
      </c>
      <c r="E140" s="94">
        <f>IFERROR(VLOOKUP(A140,Estimate!A:Q,17,FALSE)," ")</f>
        <v>4253.0418604651168</v>
      </c>
      <c r="F140" s="202">
        <v>80</v>
      </c>
      <c r="G140" s="202">
        <v>80</v>
      </c>
      <c r="H140" s="203">
        <v>66.78</v>
      </c>
      <c r="I140" s="203">
        <v>5342.4</v>
      </c>
      <c r="J140" s="203">
        <v>5342.4</v>
      </c>
      <c r="K140" s="203"/>
      <c r="L140" s="202"/>
      <c r="M140" s="204">
        <f t="shared" si="804"/>
        <v>0</v>
      </c>
      <c r="N140" s="95"/>
      <c r="O140" s="204">
        <f t="shared" si="804"/>
        <v>0</v>
      </c>
      <c r="P140" s="95"/>
      <c r="Q140" s="204">
        <f t="shared" ref="Q140:S140" si="835">IFERROR(P140/$G140," ")</f>
        <v>0</v>
      </c>
      <c r="R140" s="95"/>
      <c r="S140" s="204">
        <f t="shared" si="835"/>
        <v>0</v>
      </c>
      <c r="T140" s="95"/>
      <c r="U140" s="204">
        <f t="shared" ref="U140:W140" si="836">IFERROR(T140/$G140," ")</f>
        <v>0</v>
      </c>
      <c r="V140" s="95"/>
      <c r="W140" s="204">
        <f t="shared" si="836"/>
        <v>0</v>
      </c>
      <c r="X140" s="95"/>
      <c r="Y140" s="204">
        <f t="shared" ref="Y140:AA140" si="837">IFERROR(X140/$G140," ")</f>
        <v>0</v>
      </c>
      <c r="Z140" s="95"/>
      <c r="AA140" s="204">
        <f t="shared" si="837"/>
        <v>0</v>
      </c>
      <c r="AB140" s="95">
        <v>80</v>
      </c>
      <c r="AC140" s="204">
        <f t="shared" ref="AC140:AE140" si="838">IFERROR(AB140/$G140," ")</f>
        <v>1</v>
      </c>
      <c r="AD140" s="95">
        <v>80</v>
      </c>
      <c r="AE140" s="204">
        <f t="shared" si="838"/>
        <v>1</v>
      </c>
      <c r="AF140" s="95">
        <v>80</v>
      </c>
      <c r="AG140" s="204">
        <f t="shared" ref="AG140:AI140" si="839">IFERROR(AF140/$G140," ")</f>
        <v>1</v>
      </c>
      <c r="AH140" s="95">
        <v>80</v>
      </c>
      <c r="AI140" s="204">
        <f t="shared" si="839"/>
        <v>1</v>
      </c>
      <c r="AJ140" s="95">
        <v>80</v>
      </c>
      <c r="AK140" s="204">
        <f t="shared" ref="AK140:AM140" si="840">IFERROR(AJ140/$G140," ")</f>
        <v>1</v>
      </c>
      <c r="AL140" s="95">
        <v>80</v>
      </c>
      <c r="AM140" s="204">
        <f t="shared" si="840"/>
        <v>1</v>
      </c>
      <c r="AN140" s="95"/>
      <c r="AO140" s="94">
        <f t="shared" si="811"/>
        <v>0</v>
      </c>
      <c r="AP140" s="94">
        <f t="shared" si="801"/>
        <v>0</v>
      </c>
      <c r="AQ140" s="94">
        <f t="shared" si="802"/>
        <v>0</v>
      </c>
      <c r="AR140" s="94">
        <f t="shared" si="812"/>
        <v>0</v>
      </c>
      <c r="AS140" s="94">
        <f t="shared" si="813"/>
        <v>0</v>
      </c>
      <c r="AT140" s="94">
        <f t="shared" si="814"/>
        <v>0</v>
      </c>
      <c r="AU140" s="94">
        <f t="shared" si="815"/>
        <v>0</v>
      </c>
      <c r="AV140" s="94">
        <f t="shared" si="816"/>
        <v>0</v>
      </c>
      <c r="AW140" s="94">
        <f t="shared" si="817"/>
        <v>5342.4</v>
      </c>
      <c r="AX140" s="94">
        <f t="shared" si="818"/>
        <v>5342.4</v>
      </c>
      <c r="AY140" s="94">
        <f t="shared" si="819"/>
        <v>5342.4</v>
      </c>
      <c r="AZ140" s="94">
        <f t="shared" si="820"/>
        <v>5342.4</v>
      </c>
      <c r="BA140" s="94">
        <f t="shared" si="821"/>
        <v>5342.4</v>
      </c>
      <c r="BB140" s="94">
        <f t="shared" si="822"/>
        <v>5342.4</v>
      </c>
    </row>
    <row r="141" spans="1:54" x14ac:dyDescent="0.25">
      <c r="A141" s="80">
        <v>61</v>
      </c>
      <c r="B141" s="95" t="s">
        <v>2873</v>
      </c>
      <c r="C141" s="201" t="s">
        <v>200</v>
      </c>
      <c r="D141" s="80" t="s">
        <v>89</v>
      </c>
      <c r="E141" s="94">
        <f>IFERROR(VLOOKUP(A141,Estimate!A:Q,17,FALSE)," ")</f>
        <v>1560.8400000000001</v>
      </c>
      <c r="F141" s="202">
        <v>12</v>
      </c>
      <c r="G141" s="202">
        <v>12</v>
      </c>
      <c r="H141" s="203">
        <v>163.4</v>
      </c>
      <c r="I141" s="203">
        <v>1960.8</v>
      </c>
      <c r="J141" s="203">
        <v>1960.8</v>
      </c>
      <c r="K141" s="203"/>
      <c r="L141" s="202"/>
      <c r="M141" s="204">
        <f t="shared" si="804"/>
        <v>0</v>
      </c>
      <c r="N141" s="95"/>
      <c r="O141" s="204">
        <f t="shared" si="804"/>
        <v>0</v>
      </c>
      <c r="P141" s="95"/>
      <c r="Q141" s="204">
        <f t="shared" ref="Q141:S141" si="841">IFERROR(P141/$G141," ")</f>
        <v>0</v>
      </c>
      <c r="R141" s="95"/>
      <c r="S141" s="204">
        <f t="shared" si="841"/>
        <v>0</v>
      </c>
      <c r="T141" s="95"/>
      <c r="U141" s="204">
        <f t="shared" ref="U141:W141" si="842">IFERROR(T141/$G141," ")</f>
        <v>0</v>
      </c>
      <c r="V141" s="95"/>
      <c r="W141" s="204">
        <f t="shared" si="842"/>
        <v>0</v>
      </c>
      <c r="X141" s="95"/>
      <c r="Y141" s="204">
        <f t="shared" ref="Y141:AA141" si="843">IFERROR(X141/$G141," ")</f>
        <v>0</v>
      </c>
      <c r="Z141" s="95">
        <v>12</v>
      </c>
      <c r="AA141" s="204">
        <f t="shared" si="843"/>
        <v>1</v>
      </c>
      <c r="AB141" s="95">
        <v>12</v>
      </c>
      <c r="AC141" s="204">
        <f t="shared" ref="AC141:AE141" si="844">IFERROR(AB141/$G141," ")</f>
        <v>1</v>
      </c>
      <c r="AD141" s="95">
        <v>12</v>
      </c>
      <c r="AE141" s="204">
        <f t="shared" si="844"/>
        <v>1</v>
      </c>
      <c r="AF141" s="95">
        <v>12</v>
      </c>
      <c r="AG141" s="204">
        <f t="shared" ref="AG141:AI141" si="845">IFERROR(AF141/$G141," ")</f>
        <v>1</v>
      </c>
      <c r="AH141" s="95">
        <v>12</v>
      </c>
      <c r="AI141" s="204">
        <f t="shared" si="845"/>
        <v>1</v>
      </c>
      <c r="AJ141" s="95">
        <v>12</v>
      </c>
      <c r="AK141" s="204">
        <f t="shared" ref="AK141:AM141" si="846">IFERROR(AJ141/$G141," ")</f>
        <v>1</v>
      </c>
      <c r="AL141" s="95">
        <v>12</v>
      </c>
      <c r="AM141" s="204">
        <f t="shared" si="846"/>
        <v>1</v>
      </c>
      <c r="AN141" s="95"/>
      <c r="AO141" s="94">
        <f t="shared" si="811"/>
        <v>0</v>
      </c>
      <c r="AP141" s="94">
        <f t="shared" si="801"/>
        <v>0</v>
      </c>
      <c r="AQ141" s="94">
        <f t="shared" si="802"/>
        <v>0</v>
      </c>
      <c r="AR141" s="94">
        <f t="shared" si="812"/>
        <v>0</v>
      </c>
      <c r="AS141" s="94">
        <f t="shared" si="813"/>
        <v>0</v>
      </c>
      <c r="AT141" s="94">
        <f t="shared" si="814"/>
        <v>0</v>
      </c>
      <c r="AU141" s="94">
        <f t="shared" si="815"/>
        <v>0</v>
      </c>
      <c r="AV141" s="94">
        <f t="shared" si="816"/>
        <v>1960.8</v>
      </c>
      <c r="AW141" s="94">
        <f t="shared" si="817"/>
        <v>1960.8</v>
      </c>
      <c r="AX141" s="94">
        <f t="shared" si="818"/>
        <v>1960.8</v>
      </c>
      <c r="AY141" s="94">
        <f t="shared" si="819"/>
        <v>1960.8</v>
      </c>
      <c r="AZ141" s="94">
        <f t="shared" si="820"/>
        <v>1960.8</v>
      </c>
      <c r="BA141" s="94">
        <f t="shared" si="821"/>
        <v>1960.8</v>
      </c>
      <c r="BB141" s="94">
        <f t="shared" si="822"/>
        <v>1960.8</v>
      </c>
    </row>
    <row r="142" spans="1:54" x14ac:dyDescent="0.25">
      <c r="A142" s="80">
        <v>62</v>
      </c>
      <c r="B142" s="95" t="s">
        <v>2874</v>
      </c>
      <c r="C142" s="201" t="s">
        <v>202</v>
      </c>
      <c r="D142" s="80" t="s">
        <v>89</v>
      </c>
      <c r="E142" s="94">
        <f>IFERROR(VLOOKUP(A142,Estimate!A:Q,17,FALSE)," ")</f>
        <v>4306.2048837209304</v>
      </c>
      <c r="F142" s="202">
        <v>81</v>
      </c>
      <c r="G142" s="202">
        <v>81</v>
      </c>
      <c r="H142" s="203">
        <v>66.78</v>
      </c>
      <c r="I142" s="203">
        <v>5409.18</v>
      </c>
      <c r="J142" s="203">
        <v>5409.18</v>
      </c>
      <c r="K142" s="203"/>
      <c r="L142" s="202"/>
      <c r="M142" s="204">
        <f t="shared" si="804"/>
        <v>0</v>
      </c>
      <c r="N142" s="95"/>
      <c r="O142" s="204">
        <f t="shared" si="804"/>
        <v>0</v>
      </c>
      <c r="P142" s="95"/>
      <c r="Q142" s="204">
        <f t="shared" ref="Q142:S142" si="847">IFERROR(P142/$G142," ")</f>
        <v>0</v>
      </c>
      <c r="R142" s="95"/>
      <c r="S142" s="204">
        <f t="shared" si="847"/>
        <v>0</v>
      </c>
      <c r="T142" s="95"/>
      <c r="U142" s="204">
        <f t="shared" ref="U142:W142" si="848">IFERROR(T142/$G142," ")</f>
        <v>0</v>
      </c>
      <c r="V142" s="95"/>
      <c r="W142" s="204">
        <f t="shared" si="848"/>
        <v>0</v>
      </c>
      <c r="X142" s="95"/>
      <c r="Y142" s="204">
        <f t="shared" ref="Y142:AA142" si="849">IFERROR(X142/$G142," ")</f>
        <v>0</v>
      </c>
      <c r="Z142" s="95"/>
      <c r="AA142" s="204">
        <f t="shared" si="849"/>
        <v>0</v>
      </c>
      <c r="AB142" s="95">
        <v>81</v>
      </c>
      <c r="AC142" s="204">
        <f t="shared" ref="AC142:AE142" si="850">IFERROR(AB142/$G142," ")</f>
        <v>1</v>
      </c>
      <c r="AD142" s="95">
        <v>81</v>
      </c>
      <c r="AE142" s="204">
        <f t="shared" si="850"/>
        <v>1</v>
      </c>
      <c r="AF142" s="95">
        <v>81</v>
      </c>
      <c r="AG142" s="204">
        <f t="shared" ref="AG142:AI142" si="851">IFERROR(AF142/$G142," ")</f>
        <v>1</v>
      </c>
      <c r="AH142" s="95">
        <v>81</v>
      </c>
      <c r="AI142" s="204">
        <f t="shared" si="851"/>
        <v>1</v>
      </c>
      <c r="AJ142" s="95">
        <v>81</v>
      </c>
      <c r="AK142" s="204">
        <f t="shared" ref="AK142:AM142" si="852">IFERROR(AJ142/$G142," ")</f>
        <v>1</v>
      </c>
      <c r="AL142" s="95">
        <v>81</v>
      </c>
      <c r="AM142" s="204">
        <f t="shared" si="852"/>
        <v>1</v>
      </c>
      <c r="AN142" s="95"/>
      <c r="AO142" s="94">
        <f t="shared" si="811"/>
        <v>0</v>
      </c>
      <c r="AP142" s="94">
        <f t="shared" si="801"/>
        <v>0</v>
      </c>
      <c r="AQ142" s="94">
        <f t="shared" si="802"/>
        <v>0</v>
      </c>
      <c r="AR142" s="94">
        <f t="shared" si="812"/>
        <v>0</v>
      </c>
      <c r="AS142" s="94">
        <f t="shared" si="813"/>
        <v>0</v>
      </c>
      <c r="AT142" s="94">
        <f t="shared" si="814"/>
        <v>0</v>
      </c>
      <c r="AU142" s="94">
        <f t="shared" si="815"/>
        <v>0</v>
      </c>
      <c r="AV142" s="94">
        <f t="shared" si="816"/>
        <v>0</v>
      </c>
      <c r="AW142" s="94">
        <f t="shared" si="817"/>
        <v>5409.18</v>
      </c>
      <c r="AX142" s="94">
        <f t="shared" si="818"/>
        <v>5409.18</v>
      </c>
      <c r="AY142" s="94">
        <f t="shared" si="819"/>
        <v>5409.18</v>
      </c>
      <c r="AZ142" s="94">
        <f t="shared" si="820"/>
        <v>5409.18</v>
      </c>
      <c r="BA142" s="94">
        <f t="shared" si="821"/>
        <v>5409.18</v>
      </c>
      <c r="BB142" s="94">
        <f t="shared" si="822"/>
        <v>5409.18</v>
      </c>
    </row>
    <row r="143" spans="1:54" x14ac:dyDescent="0.25">
      <c r="A143" s="80"/>
      <c r="B143" s="95" t="s">
        <v>2888</v>
      </c>
      <c r="C143" s="201" t="s">
        <v>275</v>
      </c>
      <c r="D143" s="80" t="s">
        <v>783</v>
      </c>
      <c r="E143" s="94" t="str">
        <f>IFERROR(VLOOKUP(A143,Estimate!A:Q,17,FALSE)," ")</f>
        <v xml:space="preserve"> </v>
      </c>
      <c r="F143" s="202" t="s">
        <v>781</v>
      </c>
      <c r="G143" s="202" t="s">
        <v>781</v>
      </c>
      <c r="H143" s="203" t="s">
        <v>781</v>
      </c>
      <c r="I143" s="203" t="s">
        <v>781</v>
      </c>
      <c r="J143" s="203" t="s">
        <v>781</v>
      </c>
      <c r="K143" s="203"/>
      <c r="L143" s="202" t="s">
        <v>781</v>
      </c>
      <c r="M143" s="204" t="str">
        <f t="shared" si="804"/>
        <v xml:space="preserve"> </v>
      </c>
      <c r="N143" s="95" t="s">
        <v>781</v>
      </c>
      <c r="O143" s="204" t="str">
        <f t="shared" si="804"/>
        <v xml:space="preserve"> </v>
      </c>
      <c r="P143" s="95" t="s">
        <v>781</v>
      </c>
      <c r="Q143" s="204" t="str">
        <f t="shared" ref="Q143:S143" si="853">IFERROR(P143/$G143," ")</f>
        <v xml:space="preserve"> </v>
      </c>
      <c r="R143" s="95" t="s">
        <v>781</v>
      </c>
      <c r="S143" s="204" t="str">
        <f t="shared" si="853"/>
        <v xml:space="preserve"> </v>
      </c>
      <c r="T143" s="95" t="s">
        <v>781</v>
      </c>
      <c r="U143" s="204" t="str">
        <f t="shared" ref="U143:W143" si="854">IFERROR(T143/$G143," ")</f>
        <v xml:space="preserve"> </v>
      </c>
      <c r="V143" s="95" t="s">
        <v>781</v>
      </c>
      <c r="W143" s="204" t="str">
        <f t="shared" si="854"/>
        <v xml:space="preserve"> </v>
      </c>
      <c r="X143" s="95" t="s">
        <v>781</v>
      </c>
      <c r="Y143" s="204" t="str">
        <f t="shared" ref="Y143:AA143" si="855">IFERROR(X143/$G143," ")</f>
        <v xml:space="preserve"> </v>
      </c>
      <c r="Z143" s="95" t="s">
        <v>781</v>
      </c>
      <c r="AA143" s="204" t="str">
        <f t="shared" si="855"/>
        <v xml:space="preserve"> </v>
      </c>
      <c r="AB143" s="95" t="s">
        <v>781</v>
      </c>
      <c r="AC143" s="204" t="str">
        <f t="shared" ref="AC143:AE143" si="856">IFERROR(AB143/$G143," ")</f>
        <v xml:space="preserve"> </v>
      </c>
      <c r="AD143" s="95" t="s">
        <v>781</v>
      </c>
      <c r="AE143" s="204" t="str">
        <f t="shared" si="856"/>
        <v xml:space="preserve"> </v>
      </c>
      <c r="AF143" s="95" t="s">
        <v>781</v>
      </c>
      <c r="AG143" s="204" t="str">
        <f t="shared" ref="AG143:AI143" si="857">IFERROR(AF143/$G143," ")</f>
        <v xml:space="preserve"> </v>
      </c>
      <c r="AH143" s="95" t="s">
        <v>781</v>
      </c>
      <c r="AI143" s="204" t="str">
        <f t="shared" si="857"/>
        <v xml:space="preserve"> </v>
      </c>
      <c r="AJ143" s="95" t="s">
        <v>781</v>
      </c>
      <c r="AK143" s="204" t="str">
        <f t="shared" ref="AK143:AM143" si="858">IFERROR(AJ143/$G143," ")</f>
        <v xml:space="preserve"> </v>
      </c>
      <c r="AL143" s="95" t="s">
        <v>781</v>
      </c>
      <c r="AM143" s="204" t="str">
        <f t="shared" si="858"/>
        <v xml:space="preserve"> </v>
      </c>
      <c r="AN143" s="95"/>
      <c r="AO143" s="94" t="str">
        <f t="shared" si="811"/>
        <v xml:space="preserve"> </v>
      </c>
      <c r="AP143" s="94" t="str">
        <f t="shared" si="801"/>
        <v xml:space="preserve"> </v>
      </c>
      <c r="AQ143" s="94" t="str">
        <f t="shared" si="802"/>
        <v xml:space="preserve"> </v>
      </c>
      <c r="AR143" s="94" t="str">
        <f t="shared" si="812"/>
        <v xml:space="preserve"> </v>
      </c>
      <c r="AS143" s="94" t="str">
        <f t="shared" si="813"/>
        <v xml:space="preserve"> </v>
      </c>
      <c r="AT143" s="94" t="str">
        <f t="shared" si="814"/>
        <v xml:space="preserve"> </v>
      </c>
      <c r="AU143" s="94" t="str">
        <f t="shared" si="815"/>
        <v xml:space="preserve"> </v>
      </c>
      <c r="AV143" s="94" t="str">
        <f t="shared" si="816"/>
        <v xml:space="preserve"> </v>
      </c>
      <c r="AW143" s="94" t="str">
        <f t="shared" si="817"/>
        <v xml:space="preserve"> </v>
      </c>
      <c r="AX143" s="94" t="str">
        <f t="shared" si="818"/>
        <v xml:space="preserve"> </v>
      </c>
      <c r="AY143" s="94" t="str">
        <f t="shared" si="819"/>
        <v xml:space="preserve"> </v>
      </c>
      <c r="AZ143" s="94" t="str">
        <f t="shared" si="820"/>
        <v xml:space="preserve"> </v>
      </c>
      <c r="BA143" s="94" t="str">
        <f t="shared" si="821"/>
        <v xml:space="preserve"> </v>
      </c>
      <c r="BB143" s="94" t="str">
        <f t="shared" si="822"/>
        <v xml:space="preserve"> </v>
      </c>
    </row>
    <row r="144" spans="1:54" x14ac:dyDescent="0.25">
      <c r="A144" s="80">
        <v>63</v>
      </c>
      <c r="B144" s="95" t="s">
        <v>2876</v>
      </c>
      <c r="C144" s="201" t="s">
        <v>208</v>
      </c>
      <c r="D144" s="80" t="s">
        <v>89</v>
      </c>
      <c r="E144" s="94">
        <f>IFERROR(VLOOKUP(A144,Estimate!A:Q,17,FALSE)," ")</f>
        <v>12880.057576957697</v>
      </c>
      <c r="F144" s="202">
        <v>312</v>
      </c>
      <c r="G144" s="202">
        <v>312</v>
      </c>
      <c r="H144" s="203">
        <v>51.86</v>
      </c>
      <c r="I144" s="203">
        <v>16180.32</v>
      </c>
      <c r="J144" s="203">
        <v>16180.32</v>
      </c>
      <c r="K144" s="203"/>
      <c r="L144" s="202"/>
      <c r="M144" s="204">
        <f t="shared" si="804"/>
        <v>0</v>
      </c>
      <c r="N144" s="95"/>
      <c r="O144" s="204">
        <f t="shared" si="804"/>
        <v>0</v>
      </c>
      <c r="P144" s="95"/>
      <c r="Q144" s="204">
        <f t="shared" ref="Q144:S144" si="859">IFERROR(P144/$G144," ")</f>
        <v>0</v>
      </c>
      <c r="R144" s="95"/>
      <c r="S144" s="204">
        <f t="shared" si="859"/>
        <v>0</v>
      </c>
      <c r="T144" s="95"/>
      <c r="U144" s="204">
        <f t="shared" ref="U144:W144" si="860">IFERROR(T144/$G144," ")</f>
        <v>0</v>
      </c>
      <c r="V144" s="95">
        <v>296</v>
      </c>
      <c r="W144" s="204">
        <f t="shared" si="860"/>
        <v>0.94871794871794868</v>
      </c>
      <c r="X144" s="95">
        <v>296</v>
      </c>
      <c r="Y144" s="204">
        <f t="shared" ref="Y144:AA144" si="861">IFERROR(X144/$G144," ")</f>
        <v>0.94871794871794868</v>
      </c>
      <c r="Z144" s="95">
        <v>312</v>
      </c>
      <c r="AA144" s="204">
        <f t="shared" si="861"/>
        <v>1</v>
      </c>
      <c r="AB144" s="95">
        <v>312</v>
      </c>
      <c r="AC144" s="204">
        <f t="shared" ref="AC144:AE144" si="862">IFERROR(AB144/$G144," ")</f>
        <v>1</v>
      </c>
      <c r="AD144" s="95">
        <v>312</v>
      </c>
      <c r="AE144" s="204">
        <f t="shared" si="862"/>
        <v>1</v>
      </c>
      <c r="AF144" s="95">
        <v>312</v>
      </c>
      <c r="AG144" s="204">
        <f t="shared" ref="AG144:AI144" si="863">IFERROR(AF144/$G144," ")</f>
        <v>1</v>
      </c>
      <c r="AH144" s="95">
        <v>312</v>
      </c>
      <c r="AI144" s="204">
        <f t="shared" si="863"/>
        <v>1</v>
      </c>
      <c r="AJ144" s="95">
        <v>312</v>
      </c>
      <c r="AK144" s="204">
        <f t="shared" ref="AK144:AM144" si="864">IFERROR(AJ144/$G144," ")</f>
        <v>1</v>
      </c>
      <c r="AL144" s="95">
        <v>312</v>
      </c>
      <c r="AM144" s="204">
        <f t="shared" si="864"/>
        <v>1</v>
      </c>
      <c r="AN144" s="95"/>
      <c r="AO144" s="94">
        <f t="shared" si="811"/>
        <v>0</v>
      </c>
      <c r="AP144" s="94">
        <f t="shared" si="801"/>
        <v>0</v>
      </c>
      <c r="AQ144" s="94">
        <f t="shared" si="802"/>
        <v>0</v>
      </c>
      <c r="AR144" s="94">
        <f t="shared" si="812"/>
        <v>0</v>
      </c>
      <c r="AS144" s="94">
        <f t="shared" si="813"/>
        <v>0</v>
      </c>
      <c r="AT144" s="94">
        <f t="shared" si="814"/>
        <v>15350.56</v>
      </c>
      <c r="AU144" s="94">
        <f t="shared" si="815"/>
        <v>15350.56</v>
      </c>
      <c r="AV144" s="94">
        <f t="shared" si="816"/>
        <v>16180.32</v>
      </c>
      <c r="AW144" s="94">
        <f t="shared" si="817"/>
        <v>16180.32</v>
      </c>
      <c r="AX144" s="94">
        <f t="shared" si="818"/>
        <v>16180.32</v>
      </c>
      <c r="AY144" s="94">
        <f t="shared" si="819"/>
        <v>16180.32</v>
      </c>
      <c r="AZ144" s="94">
        <f t="shared" si="820"/>
        <v>16180.32</v>
      </c>
      <c r="BA144" s="94">
        <f t="shared" si="821"/>
        <v>16180.32</v>
      </c>
      <c r="BB144" s="94">
        <f t="shared" si="822"/>
        <v>16180.32</v>
      </c>
    </row>
    <row r="145" spans="1:54" x14ac:dyDescent="0.25">
      <c r="A145" s="80">
        <v>64</v>
      </c>
      <c r="B145" s="95" t="s">
        <v>2877</v>
      </c>
      <c r="C145" s="201" t="s">
        <v>213</v>
      </c>
      <c r="D145" s="80" t="s">
        <v>29</v>
      </c>
      <c r="E145" s="94">
        <f>IFERROR(VLOOKUP(A145,Estimate!A:Q,17,FALSE)," ")</f>
        <v>715</v>
      </c>
      <c r="F145" s="202">
        <v>5</v>
      </c>
      <c r="G145" s="202">
        <v>5</v>
      </c>
      <c r="H145" s="203">
        <v>179.64</v>
      </c>
      <c r="I145" s="203">
        <v>898.2</v>
      </c>
      <c r="J145" s="203">
        <v>898.2</v>
      </c>
      <c r="K145" s="203"/>
      <c r="L145" s="202"/>
      <c r="M145" s="204">
        <f t="shared" si="804"/>
        <v>0</v>
      </c>
      <c r="N145" s="95"/>
      <c r="O145" s="204">
        <f t="shared" si="804"/>
        <v>0</v>
      </c>
      <c r="P145" s="95"/>
      <c r="Q145" s="204">
        <f t="shared" ref="Q145:S145" si="865">IFERROR(P145/$G145," ")</f>
        <v>0</v>
      </c>
      <c r="R145" s="95"/>
      <c r="S145" s="204">
        <f t="shared" si="865"/>
        <v>0</v>
      </c>
      <c r="T145" s="95"/>
      <c r="U145" s="204">
        <f t="shared" ref="U145:W145" si="866">IFERROR(T145/$G145," ")</f>
        <v>0</v>
      </c>
      <c r="V145" s="95"/>
      <c r="W145" s="204">
        <f t="shared" si="866"/>
        <v>0</v>
      </c>
      <c r="X145" s="95"/>
      <c r="Y145" s="204">
        <f t="shared" ref="Y145:AA145" si="867">IFERROR(X145/$G145," ")</f>
        <v>0</v>
      </c>
      <c r="Z145" s="95"/>
      <c r="AA145" s="204">
        <f t="shared" si="867"/>
        <v>0</v>
      </c>
      <c r="AB145" s="95">
        <v>5</v>
      </c>
      <c r="AC145" s="204">
        <f t="shared" ref="AC145:AE145" si="868">IFERROR(AB145/$G145," ")</f>
        <v>1</v>
      </c>
      <c r="AD145" s="95">
        <v>5</v>
      </c>
      <c r="AE145" s="204">
        <f t="shared" si="868"/>
        <v>1</v>
      </c>
      <c r="AF145" s="95">
        <v>5</v>
      </c>
      <c r="AG145" s="204">
        <f t="shared" ref="AG145:AI145" si="869">IFERROR(AF145/$G145," ")</f>
        <v>1</v>
      </c>
      <c r="AH145" s="95">
        <v>5</v>
      </c>
      <c r="AI145" s="204">
        <f t="shared" si="869"/>
        <v>1</v>
      </c>
      <c r="AJ145" s="95">
        <v>5</v>
      </c>
      <c r="AK145" s="204">
        <f t="shared" ref="AK145:AM145" si="870">IFERROR(AJ145/$G145," ")</f>
        <v>1</v>
      </c>
      <c r="AL145" s="95">
        <v>5</v>
      </c>
      <c r="AM145" s="204">
        <f t="shared" si="870"/>
        <v>1</v>
      </c>
      <c r="AN145" s="95"/>
      <c r="AO145" s="94">
        <f t="shared" si="811"/>
        <v>0</v>
      </c>
      <c r="AP145" s="94">
        <f t="shared" si="801"/>
        <v>0</v>
      </c>
      <c r="AQ145" s="94">
        <f t="shared" si="802"/>
        <v>0</v>
      </c>
      <c r="AR145" s="94">
        <f t="shared" si="812"/>
        <v>0</v>
      </c>
      <c r="AS145" s="94">
        <f t="shared" si="813"/>
        <v>0</v>
      </c>
      <c r="AT145" s="94">
        <f t="shared" si="814"/>
        <v>0</v>
      </c>
      <c r="AU145" s="94">
        <f t="shared" si="815"/>
        <v>0</v>
      </c>
      <c r="AV145" s="94">
        <f t="shared" si="816"/>
        <v>0</v>
      </c>
      <c r="AW145" s="94">
        <f t="shared" si="817"/>
        <v>898.2</v>
      </c>
      <c r="AX145" s="94">
        <f t="shared" si="818"/>
        <v>898.2</v>
      </c>
      <c r="AY145" s="94">
        <f t="shared" si="819"/>
        <v>898.2</v>
      </c>
      <c r="AZ145" s="94">
        <f t="shared" si="820"/>
        <v>898.2</v>
      </c>
      <c r="BA145" s="94">
        <f t="shared" si="821"/>
        <v>898.2</v>
      </c>
      <c r="BB145" s="94">
        <f t="shared" si="822"/>
        <v>898.2</v>
      </c>
    </row>
    <row r="146" spans="1:54" x14ac:dyDescent="0.25">
      <c r="A146" s="80"/>
      <c r="B146" s="95" t="s">
        <v>2417</v>
      </c>
      <c r="C146" s="201" t="s">
        <v>2837</v>
      </c>
      <c r="D146" s="80" t="s">
        <v>783</v>
      </c>
      <c r="E146" s="94" t="str">
        <f>IFERROR(VLOOKUP(A146,Estimate!A:Q,17,FALSE)," ")</f>
        <v xml:space="preserve"> </v>
      </c>
      <c r="F146" s="202" t="s">
        <v>781</v>
      </c>
      <c r="G146" s="202" t="s">
        <v>781</v>
      </c>
      <c r="H146" s="203" t="s">
        <v>781</v>
      </c>
      <c r="I146" s="203" t="s">
        <v>781</v>
      </c>
      <c r="J146" s="203" t="s">
        <v>781</v>
      </c>
      <c r="K146" s="203"/>
      <c r="L146" s="202" t="s">
        <v>781</v>
      </c>
      <c r="M146" s="204" t="str">
        <f t="shared" si="804"/>
        <v xml:space="preserve"> </v>
      </c>
      <c r="N146" s="95" t="s">
        <v>781</v>
      </c>
      <c r="O146" s="204" t="str">
        <f t="shared" si="804"/>
        <v xml:space="preserve"> </v>
      </c>
      <c r="P146" s="95" t="s">
        <v>781</v>
      </c>
      <c r="Q146" s="204" t="str">
        <f t="shared" ref="Q146:S146" si="871">IFERROR(P146/$G146," ")</f>
        <v xml:space="preserve"> </v>
      </c>
      <c r="R146" s="95" t="s">
        <v>781</v>
      </c>
      <c r="S146" s="204" t="str">
        <f t="shared" si="871"/>
        <v xml:space="preserve"> </v>
      </c>
      <c r="T146" s="95" t="s">
        <v>781</v>
      </c>
      <c r="U146" s="204" t="str">
        <f t="shared" ref="U146:W146" si="872">IFERROR(T146/$G146," ")</f>
        <v xml:space="preserve"> </v>
      </c>
      <c r="V146" s="95" t="s">
        <v>781</v>
      </c>
      <c r="W146" s="204" t="str">
        <f t="shared" si="872"/>
        <v xml:space="preserve"> </v>
      </c>
      <c r="X146" s="95" t="s">
        <v>781</v>
      </c>
      <c r="Y146" s="204" t="str">
        <f t="shared" ref="Y146:AA146" si="873">IFERROR(X146/$G146," ")</f>
        <v xml:space="preserve"> </v>
      </c>
      <c r="Z146" s="95" t="s">
        <v>781</v>
      </c>
      <c r="AA146" s="204" t="str">
        <f t="shared" si="873"/>
        <v xml:space="preserve"> </v>
      </c>
      <c r="AB146" s="95" t="s">
        <v>781</v>
      </c>
      <c r="AC146" s="204" t="str">
        <f t="shared" ref="AC146:AE146" si="874">IFERROR(AB146/$G146," ")</f>
        <v xml:space="preserve"> </v>
      </c>
      <c r="AD146" s="95" t="s">
        <v>781</v>
      </c>
      <c r="AE146" s="204" t="str">
        <f t="shared" si="874"/>
        <v xml:space="preserve"> </v>
      </c>
      <c r="AF146" s="95" t="s">
        <v>781</v>
      </c>
      <c r="AG146" s="204" t="str">
        <f t="shared" ref="AG146:AI146" si="875">IFERROR(AF146/$G146," ")</f>
        <v xml:space="preserve"> </v>
      </c>
      <c r="AH146" s="95" t="s">
        <v>781</v>
      </c>
      <c r="AI146" s="204" t="str">
        <f t="shared" si="875"/>
        <v xml:space="preserve"> </v>
      </c>
      <c r="AJ146" s="95" t="s">
        <v>781</v>
      </c>
      <c r="AK146" s="204" t="str">
        <f t="shared" ref="AK146:AM146" si="876">IFERROR(AJ146/$G146," ")</f>
        <v xml:space="preserve"> </v>
      </c>
      <c r="AL146" s="95" t="s">
        <v>781</v>
      </c>
      <c r="AM146" s="204" t="str">
        <f t="shared" si="876"/>
        <v xml:space="preserve"> </v>
      </c>
      <c r="AN146" s="95"/>
      <c r="AO146" s="94" t="str">
        <f t="shared" si="811"/>
        <v xml:space="preserve"> </v>
      </c>
      <c r="AP146" s="94" t="str">
        <f t="shared" si="801"/>
        <v xml:space="preserve"> </v>
      </c>
      <c r="AQ146" s="94" t="str">
        <f t="shared" si="802"/>
        <v xml:space="preserve"> </v>
      </c>
      <c r="AR146" s="94" t="str">
        <f t="shared" si="812"/>
        <v xml:space="preserve"> </v>
      </c>
      <c r="AS146" s="94" t="str">
        <f t="shared" si="813"/>
        <v xml:space="preserve"> </v>
      </c>
      <c r="AT146" s="94" t="str">
        <f t="shared" si="814"/>
        <v xml:space="preserve"> </v>
      </c>
      <c r="AU146" s="94" t="str">
        <f t="shared" si="815"/>
        <v xml:space="preserve"> </v>
      </c>
      <c r="AV146" s="94" t="str">
        <f t="shared" si="816"/>
        <v xml:space="preserve"> </v>
      </c>
      <c r="AW146" s="94" t="str">
        <f t="shared" si="817"/>
        <v xml:space="preserve"> </v>
      </c>
      <c r="AX146" s="94" t="str">
        <f t="shared" si="818"/>
        <v xml:space="preserve"> </v>
      </c>
      <c r="AY146" s="94" t="str">
        <f t="shared" si="819"/>
        <v xml:space="preserve"> </v>
      </c>
      <c r="AZ146" s="94" t="str">
        <f t="shared" si="820"/>
        <v xml:space="preserve"> </v>
      </c>
      <c r="BA146" s="94" t="str">
        <f t="shared" si="821"/>
        <v xml:space="preserve"> </v>
      </c>
      <c r="BB146" s="94" t="str">
        <f t="shared" si="822"/>
        <v xml:space="preserve"> </v>
      </c>
    </row>
    <row r="147" spans="1:54" x14ac:dyDescent="0.25">
      <c r="A147" s="80"/>
      <c r="B147" s="95" t="s">
        <v>2856</v>
      </c>
      <c r="C147" s="201" t="s">
        <v>111</v>
      </c>
      <c r="D147" s="80" t="s">
        <v>783</v>
      </c>
      <c r="E147" s="94" t="str">
        <f>IFERROR(VLOOKUP(A147,Estimate!A:Q,17,FALSE)," ")</f>
        <v xml:space="preserve"> </v>
      </c>
      <c r="F147" s="202" t="s">
        <v>781</v>
      </c>
      <c r="G147" s="202" t="s">
        <v>781</v>
      </c>
      <c r="H147" s="203" t="s">
        <v>781</v>
      </c>
      <c r="I147" s="203" t="s">
        <v>781</v>
      </c>
      <c r="J147" s="203" t="s">
        <v>781</v>
      </c>
      <c r="K147" s="203"/>
      <c r="L147" s="202" t="s">
        <v>781</v>
      </c>
      <c r="M147" s="204" t="str">
        <f t="shared" si="804"/>
        <v xml:space="preserve"> </v>
      </c>
      <c r="N147" s="95" t="s">
        <v>781</v>
      </c>
      <c r="O147" s="204" t="str">
        <f t="shared" si="804"/>
        <v xml:space="preserve"> </v>
      </c>
      <c r="P147" s="95" t="s">
        <v>781</v>
      </c>
      <c r="Q147" s="204" t="str">
        <f t="shared" ref="Q147:S147" si="877">IFERROR(P147/$G147," ")</f>
        <v xml:space="preserve"> </v>
      </c>
      <c r="R147" s="95" t="s">
        <v>781</v>
      </c>
      <c r="S147" s="204" t="str">
        <f t="shared" si="877"/>
        <v xml:space="preserve"> </v>
      </c>
      <c r="T147" s="95" t="s">
        <v>781</v>
      </c>
      <c r="U147" s="204" t="str">
        <f t="shared" ref="U147:W147" si="878">IFERROR(T147/$G147," ")</f>
        <v xml:space="preserve"> </v>
      </c>
      <c r="V147" s="95" t="s">
        <v>781</v>
      </c>
      <c r="W147" s="204" t="str">
        <f t="shared" si="878"/>
        <v xml:space="preserve"> </v>
      </c>
      <c r="X147" s="95" t="s">
        <v>781</v>
      </c>
      <c r="Y147" s="204" t="str">
        <f t="shared" ref="Y147:AA147" si="879">IFERROR(X147/$G147," ")</f>
        <v xml:space="preserve"> </v>
      </c>
      <c r="Z147" s="95" t="s">
        <v>781</v>
      </c>
      <c r="AA147" s="204" t="str">
        <f t="shared" si="879"/>
        <v xml:space="preserve"> </v>
      </c>
      <c r="AB147" s="95" t="s">
        <v>781</v>
      </c>
      <c r="AC147" s="204" t="str">
        <f t="shared" ref="AC147:AE147" si="880">IFERROR(AB147/$G147," ")</f>
        <v xml:space="preserve"> </v>
      </c>
      <c r="AD147" s="95" t="s">
        <v>781</v>
      </c>
      <c r="AE147" s="204" t="str">
        <f t="shared" si="880"/>
        <v xml:space="preserve"> </v>
      </c>
      <c r="AF147" s="95" t="s">
        <v>781</v>
      </c>
      <c r="AG147" s="204" t="str">
        <f t="shared" ref="AG147:AI147" si="881">IFERROR(AF147/$G147," ")</f>
        <v xml:space="preserve"> </v>
      </c>
      <c r="AH147" s="95" t="s">
        <v>781</v>
      </c>
      <c r="AI147" s="204" t="str">
        <f t="shared" si="881"/>
        <v xml:space="preserve"> </v>
      </c>
      <c r="AJ147" s="95" t="s">
        <v>781</v>
      </c>
      <c r="AK147" s="204" t="str">
        <f t="shared" ref="AK147:AM147" si="882">IFERROR(AJ147/$G147," ")</f>
        <v xml:space="preserve"> </v>
      </c>
      <c r="AL147" s="95" t="s">
        <v>781</v>
      </c>
      <c r="AM147" s="204" t="str">
        <f t="shared" si="882"/>
        <v xml:space="preserve"> </v>
      </c>
      <c r="AN147" s="95"/>
      <c r="AO147" s="94" t="str">
        <f t="shared" si="811"/>
        <v xml:space="preserve"> </v>
      </c>
      <c r="AP147" s="94" t="str">
        <f t="shared" si="801"/>
        <v xml:space="preserve"> </v>
      </c>
      <c r="AQ147" s="94" t="str">
        <f t="shared" si="802"/>
        <v xml:space="preserve"> </v>
      </c>
      <c r="AR147" s="94" t="str">
        <f t="shared" si="812"/>
        <v xml:space="preserve"> </v>
      </c>
      <c r="AS147" s="94" t="str">
        <f t="shared" si="813"/>
        <v xml:space="preserve"> </v>
      </c>
      <c r="AT147" s="94" t="str">
        <f t="shared" si="814"/>
        <v xml:space="preserve"> </v>
      </c>
      <c r="AU147" s="94" t="str">
        <f t="shared" si="815"/>
        <v xml:space="preserve"> </v>
      </c>
      <c r="AV147" s="94" t="str">
        <f t="shared" si="816"/>
        <v xml:space="preserve"> </v>
      </c>
      <c r="AW147" s="94" t="str">
        <f t="shared" si="817"/>
        <v xml:space="preserve"> </v>
      </c>
      <c r="AX147" s="94" t="str">
        <f t="shared" si="818"/>
        <v xml:space="preserve"> </v>
      </c>
      <c r="AY147" s="94" t="str">
        <f t="shared" si="819"/>
        <v xml:space="preserve"> </v>
      </c>
      <c r="AZ147" s="94" t="str">
        <f t="shared" si="820"/>
        <v xml:space="preserve"> </v>
      </c>
      <c r="BA147" s="94" t="str">
        <f t="shared" si="821"/>
        <v xml:space="preserve"> </v>
      </c>
      <c r="BB147" s="94" t="str">
        <f t="shared" si="822"/>
        <v xml:space="preserve"> </v>
      </c>
    </row>
    <row r="148" spans="1:54" x14ac:dyDescent="0.25">
      <c r="A148" s="80">
        <v>65</v>
      </c>
      <c r="B148" s="95">
        <v>490</v>
      </c>
      <c r="C148" s="201" t="s">
        <v>219</v>
      </c>
      <c r="D148" s="80" t="s">
        <v>62</v>
      </c>
      <c r="E148" s="94">
        <f>IFERROR(VLOOKUP(A148,Estimate!A:Q,17,FALSE)," ")</f>
        <v>24537.313244765432</v>
      </c>
      <c r="F148" s="202">
        <v>314</v>
      </c>
      <c r="G148" s="202">
        <v>314</v>
      </c>
      <c r="H148" s="203">
        <v>98.11</v>
      </c>
      <c r="I148" s="203">
        <v>30806.54</v>
      </c>
      <c r="J148" s="203">
        <v>30806.54</v>
      </c>
      <c r="K148" s="203"/>
      <c r="L148" s="202"/>
      <c r="M148" s="204">
        <f t="shared" si="804"/>
        <v>0</v>
      </c>
      <c r="N148" s="95"/>
      <c r="O148" s="204">
        <f t="shared" si="804"/>
        <v>0</v>
      </c>
      <c r="P148" s="95"/>
      <c r="Q148" s="204">
        <f t="shared" ref="Q148:S148" si="883">IFERROR(P148/$G148," ")</f>
        <v>0</v>
      </c>
      <c r="R148" s="95"/>
      <c r="S148" s="204">
        <f t="shared" si="883"/>
        <v>0</v>
      </c>
      <c r="T148" s="95"/>
      <c r="U148" s="204">
        <f t="shared" ref="U148:W148" si="884">IFERROR(T148/$G148," ")</f>
        <v>0</v>
      </c>
      <c r="V148" s="95"/>
      <c r="W148" s="204">
        <f t="shared" si="884"/>
        <v>0</v>
      </c>
      <c r="X148" s="95"/>
      <c r="Y148" s="204">
        <f t="shared" ref="Y148:AA148" si="885">IFERROR(X148/$G148," ")</f>
        <v>0</v>
      </c>
      <c r="Z148" s="95">
        <v>314</v>
      </c>
      <c r="AA148" s="204">
        <f t="shared" si="885"/>
        <v>1</v>
      </c>
      <c r="AB148" s="95">
        <v>314</v>
      </c>
      <c r="AC148" s="204">
        <f t="shared" ref="AC148:AE148" si="886">IFERROR(AB148/$G148," ")</f>
        <v>1</v>
      </c>
      <c r="AD148" s="95">
        <v>314</v>
      </c>
      <c r="AE148" s="204">
        <f t="shared" si="886"/>
        <v>1</v>
      </c>
      <c r="AF148" s="95">
        <v>314</v>
      </c>
      <c r="AG148" s="204">
        <f t="shared" ref="AG148:AI148" si="887">IFERROR(AF148/$G148," ")</f>
        <v>1</v>
      </c>
      <c r="AH148" s="95">
        <v>314</v>
      </c>
      <c r="AI148" s="204">
        <f t="shared" si="887"/>
        <v>1</v>
      </c>
      <c r="AJ148" s="95">
        <v>314</v>
      </c>
      <c r="AK148" s="204">
        <f t="shared" ref="AK148:AM148" si="888">IFERROR(AJ148/$G148," ")</f>
        <v>1</v>
      </c>
      <c r="AL148" s="95">
        <v>314</v>
      </c>
      <c r="AM148" s="204">
        <f t="shared" si="888"/>
        <v>1</v>
      </c>
      <c r="AN148" s="95"/>
      <c r="AO148" s="94">
        <f t="shared" si="811"/>
        <v>0</v>
      </c>
      <c r="AP148" s="94">
        <f t="shared" si="801"/>
        <v>0</v>
      </c>
      <c r="AQ148" s="94">
        <f t="shared" si="802"/>
        <v>0</v>
      </c>
      <c r="AR148" s="94">
        <f t="shared" si="812"/>
        <v>0</v>
      </c>
      <c r="AS148" s="94">
        <f t="shared" si="813"/>
        <v>0</v>
      </c>
      <c r="AT148" s="94">
        <f t="shared" si="814"/>
        <v>0</v>
      </c>
      <c r="AU148" s="94">
        <f t="shared" si="815"/>
        <v>0</v>
      </c>
      <c r="AV148" s="94">
        <f t="shared" si="816"/>
        <v>30806.54</v>
      </c>
      <c r="AW148" s="94">
        <f t="shared" si="817"/>
        <v>30806.54</v>
      </c>
      <c r="AX148" s="94">
        <f t="shared" si="818"/>
        <v>30806.54</v>
      </c>
      <c r="AY148" s="94">
        <f t="shared" si="819"/>
        <v>30806.54</v>
      </c>
      <c r="AZ148" s="94">
        <f t="shared" si="820"/>
        <v>30806.54</v>
      </c>
      <c r="BA148" s="94">
        <f t="shared" si="821"/>
        <v>30806.54</v>
      </c>
      <c r="BB148" s="94">
        <f t="shared" si="822"/>
        <v>30806.54</v>
      </c>
    </row>
    <row r="149" spans="1:54" x14ac:dyDescent="0.25">
      <c r="A149" s="80">
        <v>66</v>
      </c>
      <c r="B149" s="95">
        <v>491</v>
      </c>
      <c r="C149" s="201" t="s">
        <v>217</v>
      </c>
      <c r="D149" s="80" t="s">
        <v>62</v>
      </c>
      <c r="E149" s="94">
        <f>IFERROR(VLOOKUP(A149,Estimate!A:Q,17,FALSE)," ")</f>
        <v>10588.511640353225</v>
      </c>
      <c r="F149" s="202">
        <v>187</v>
      </c>
      <c r="G149" s="202">
        <v>187</v>
      </c>
      <c r="H149" s="203">
        <v>71.13</v>
      </c>
      <c r="I149" s="203">
        <v>13301.31</v>
      </c>
      <c r="J149" s="203">
        <v>13301.31</v>
      </c>
      <c r="K149" s="203"/>
      <c r="L149" s="202"/>
      <c r="M149" s="204">
        <f t="shared" si="804"/>
        <v>0</v>
      </c>
      <c r="N149" s="95"/>
      <c r="O149" s="204">
        <f t="shared" si="804"/>
        <v>0</v>
      </c>
      <c r="P149" s="95"/>
      <c r="Q149" s="204">
        <f t="shared" ref="Q149:S149" si="889">IFERROR(P149/$G149," ")</f>
        <v>0</v>
      </c>
      <c r="R149" s="95"/>
      <c r="S149" s="204">
        <f t="shared" si="889"/>
        <v>0</v>
      </c>
      <c r="T149" s="95"/>
      <c r="U149" s="204">
        <f t="shared" ref="U149:W149" si="890">IFERROR(T149/$G149," ")</f>
        <v>0</v>
      </c>
      <c r="V149" s="95"/>
      <c r="W149" s="204">
        <f t="shared" si="890"/>
        <v>0</v>
      </c>
      <c r="X149" s="95"/>
      <c r="Y149" s="204">
        <f t="shared" ref="Y149:AA149" si="891">IFERROR(X149/$G149," ")</f>
        <v>0</v>
      </c>
      <c r="Z149" s="95">
        <v>187</v>
      </c>
      <c r="AA149" s="204">
        <f t="shared" si="891"/>
        <v>1</v>
      </c>
      <c r="AB149" s="95">
        <v>187</v>
      </c>
      <c r="AC149" s="204">
        <f t="shared" ref="AC149:AE149" si="892">IFERROR(AB149/$G149," ")</f>
        <v>1</v>
      </c>
      <c r="AD149" s="95">
        <v>187</v>
      </c>
      <c r="AE149" s="204">
        <f t="shared" si="892"/>
        <v>1</v>
      </c>
      <c r="AF149" s="95">
        <v>187</v>
      </c>
      <c r="AG149" s="204">
        <f t="shared" ref="AG149:AI149" si="893">IFERROR(AF149/$G149," ")</f>
        <v>1</v>
      </c>
      <c r="AH149" s="95">
        <v>187</v>
      </c>
      <c r="AI149" s="204">
        <f t="shared" si="893"/>
        <v>1</v>
      </c>
      <c r="AJ149" s="95">
        <v>187</v>
      </c>
      <c r="AK149" s="204">
        <f t="shared" ref="AK149:AM149" si="894">IFERROR(AJ149/$G149," ")</f>
        <v>1</v>
      </c>
      <c r="AL149" s="95">
        <v>187</v>
      </c>
      <c r="AM149" s="204">
        <f t="shared" si="894"/>
        <v>1</v>
      </c>
      <c r="AN149" s="95"/>
      <c r="AO149" s="94">
        <f t="shared" si="811"/>
        <v>0</v>
      </c>
      <c r="AP149" s="94">
        <f t="shared" si="801"/>
        <v>0</v>
      </c>
      <c r="AQ149" s="94">
        <f t="shared" si="802"/>
        <v>0</v>
      </c>
      <c r="AR149" s="94">
        <f t="shared" si="812"/>
        <v>0</v>
      </c>
      <c r="AS149" s="94">
        <f t="shared" si="813"/>
        <v>0</v>
      </c>
      <c r="AT149" s="94">
        <f t="shared" si="814"/>
        <v>0</v>
      </c>
      <c r="AU149" s="94">
        <f t="shared" si="815"/>
        <v>0</v>
      </c>
      <c r="AV149" s="94">
        <f t="shared" si="816"/>
        <v>13301.31</v>
      </c>
      <c r="AW149" s="94">
        <f t="shared" si="817"/>
        <v>13301.31</v>
      </c>
      <c r="AX149" s="94">
        <f t="shared" si="818"/>
        <v>13301.31</v>
      </c>
      <c r="AY149" s="94">
        <f t="shared" si="819"/>
        <v>13301.31</v>
      </c>
      <c r="AZ149" s="94">
        <f t="shared" si="820"/>
        <v>13301.31</v>
      </c>
      <c r="BA149" s="94">
        <f t="shared" si="821"/>
        <v>13301.31</v>
      </c>
      <c r="BB149" s="94">
        <f t="shared" si="822"/>
        <v>13301.31</v>
      </c>
    </row>
    <row r="150" spans="1:54" x14ac:dyDescent="0.25">
      <c r="A150" s="80">
        <v>67</v>
      </c>
      <c r="B150" s="95">
        <v>538</v>
      </c>
      <c r="C150" s="201" t="s">
        <v>221</v>
      </c>
      <c r="D150" s="80" t="s">
        <v>107</v>
      </c>
      <c r="E150" s="94">
        <f>IFERROR(VLOOKUP(A150,Estimate!A:Q,17,FALSE)," ")</f>
        <v>12532.810052631579</v>
      </c>
      <c r="F150" s="202">
        <v>2103</v>
      </c>
      <c r="G150" s="202">
        <v>2103</v>
      </c>
      <c r="H150" s="203">
        <v>7.49</v>
      </c>
      <c r="I150" s="203">
        <v>15751.47</v>
      </c>
      <c r="J150" s="203">
        <v>15751.47</v>
      </c>
      <c r="K150" s="203"/>
      <c r="L150" s="202"/>
      <c r="M150" s="204">
        <f t="shared" si="804"/>
        <v>0</v>
      </c>
      <c r="N150" s="95"/>
      <c r="O150" s="204">
        <f t="shared" si="804"/>
        <v>0</v>
      </c>
      <c r="P150" s="95"/>
      <c r="Q150" s="204">
        <f t="shared" ref="Q150:S150" si="895">IFERROR(P150/$G150," ")</f>
        <v>0</v>
      </c>
      <c r="R150" s="95"/>
      <c r="S150" s="204">
        <f t="shared" si="895"/>
        <v>0</v>
      </c>
      <c r="T150" s="95"/>
      <c r="U150" s="204">
        <f t="shared" ref="U150:W150" si="896">IFERROR(T150/$G150," ")</f>
        <v>0</v>
      </c>
      <c r="V150" s="95">
        <v>1051</v>
      </c>
      <c r="W150" s="204">
        <f t="shared" si="896"/>
        <v>0.49976224441274369</v>
      </c>
      <c r="X150" s="95">
        <v>1051</v>
      </c>
      <c r="Y150" s="204">
        <f t="shared" ref="Y150:AA150" si="897">IFERROR(X150/$G150," ")</f>
        <v>0.49976224441274369</v>
      </c>
      <c r="Z150" s="95">
        <v>2103</v>
      </c>
      <c r="AA150" s="204">
        <f t="shared" si="897"/>
        <v>1</v>
      </c>
      <c r="AB150" s="95">
        <v>2103</v>
      </c>
      <c r="AC150" s="204">
        <f t="shared" ref="AC150:AE150" si="898">IFERROR(AB150/$G150," ")</f>
        <v>1</v>
      </c>
      <c r="AD150" s="95">
        <v>2103</v>
      </c>
      <c r="AE150" s="204">
        <f t="shared" si="898"/>
        <v>1</v>
      </c>
      <c r="AF150" s="95">
        <v>2103</v>
      </c>
      <c r="AG150" s="204">
        <f t="shared" ref="AG150:AI150" si="899">IFERROR(AF150/$G150," ")</f>
        <v>1</v>
      </c>
      <c r="AH150" s="95">
        <v>2103</v>
      </c>
      <c r="AI150" s="204">
        <f t="shared" si="899"/>
        <v>1</v>
      </c>
      <c r="AJ150" s="95">
        <v>2103</v>
      </c>
      <c r="AK150" s="204">
        <f t="shared" ref="AK150:AM150" si="900">IFERROR(AJ150/$G150," ")</f>
        <v>1</v>
      </c>
      <c r="AL150" s="95">
        <v>2103</v>
      </c>
      <c r="AM150" s="204">
        <f t="shared" si="900"/>
        <v>1</v>
      </c>
      <c r="AN150" s="95"/>
      <c r="AO150" s="94">
        <f t="shared" si="811"/>
        <v>0</v>
      </c>
      <c r="AP150" s="94">
        <f t="shared" si="801"/>
        <v>0</v>
      </c>
      <c r="AQ150" s="94">
        <f t="shared" si="802"/>
        <v>0</v>
      </c>
      <c r="AR150" s="94">
        <f t="shared" si="812"/>
        <v>0</v>
      </c>
      <c r="AS150" s="94">
        <f t="shared" si="813"/>
        <v>0</v>
      </c>
      <c r="AT150" s="94">
        <f t="shared" si="814"/>
        <v>7871.99</v>
      </c>
      <c r="AU150" s="94">
        <f t="shared" si="815"/>
        <v>7871.99</v>
      </c>
      <c r="AV150" s="94">
        <f t="shared" si="816"/>
        <v>15751.47</v>
      </c>
      <c r="AW150" s="94">
        <f t="shared" si="817"/>
        <v>15751.47</v>
      </c>
      <c r="AX150" s="94">
        <f t="shared" si="818"/>
        <v>15751.47</v>
      </c>
      <c r="AY150" s="94">
        <f t="shared" si="819"/>
        <v>15751.47</v>
      </c>
      <c r="AZ150" s="94">
        <f t="shared" si="820"/>
        <v>15751.47</v>
      </c>
      <c r="BA150" s="94">
        <f t="shared" si="821"/>
        <v>15751.47</v>
      </c>
      <c r="BB150" s="94">
        <f t="shared" si="822"/>
        <v>15751.47</v>
      </c>
    </row>
    <row r="151" spans="1:54" x14ac:dyDescent="0.25">
      <c r="A151" s="80">
        <v>68</v>
      </c>
      <c r="B151" s="95">
        <v>539</v>
      </c>
      <c r="C151" s="201" t="s">
        <v>223</v>
      </c>
      <c r="D151" s="80" t="s">
        <v>107</v>
      </c>
      <c r="E151" s="94">
        <f>IFERROR(VLOOKUP(A151,Estimate!A:Q,17,FALSE)," ")</f>
        <v>3325.8760526315791</v>
      </c>
      <c r="F151" s="202">
        <v>2103</v>
      </c>
      <c r="G151" s="202">
        <v>2103</v>
      </c>
      <c r="H151" s="203">
        <v>1.99</v>
      </c>
      <c r="I151" s="203">
        <v>4184.97</v>
      </c>
      <c r="J151" s="203">
        <v>4184.97</v>
      </c>
      <c r="K151" s="203"/>
      <c r="L151" s="202"/>
      <c r="M151" s="204">
        <f t="shared" si="804"/>
        <v>0</v>
      </c>
      <c r="N151" s="95"/>
      <c r="O151" s="204">
        <f t="shared" si="804"/>
        <v>0</v>
      </c>
      <c r="P151" s="95"/>
      <c r="Q151" s="204">
        <f t="shared" ref="Q151:S151" si="901">IFERROR(P151/$G151," ")</f>
        <v>0</v>
      </c>
      <c r="R151" s="95"/>
      <c r="S151" s="204">
        <f t="shared" si="901"/>
        <v>0</v>
      </c>
      <c r="T151" s="95"/>
      <c r="U151" s="204">
        <f t="shared" ref="U151:W151" si="902">IFERROR(T151/$G151," ")</f>
        <v>0</v>
      </c>
      <c r="V151" s="95">
        <v>1051</v>
      </c>
      <c r="W151" s="204">
        <f t="shared" si="902"/>
        <v>0.49976224441274369</v>
      </c>
      <c r="X151" s="95">
        <v>1051</v>
      </c>
      <c r="Y151" s="204">
        <f t="shared" ref="Y151:AA151" si="903">IFERROR(X151/$G151," ")</f>
        <v>0.49976224441274369</v>
      </c>
      <c r="Z151" s="95">
        <v>2103</v>
      </c>
      <c r="AA151" s="204">
        <f t="shared" si="903"/>
        <v>1</v>
      </c>
      <c r="AB151" s="95">
        <v>2103</v>
      </c>
      <c r="AC151" s="204">
        <f t="shared" ref="AC151:AE151" si="904">IFERROR(AB151/$G151," ")</f>
        <v>1</v>
      </c>
      <c r="AD151" s="95">
        <v>2103</v>
      </c>
      <c r="AE151" s="204">
        <f t="shared" si="904"/>
        <v>1</v>
      </c>
      <c r="AF151" s="95">
        <v>2103</v>
      </c>
      <c r="AG151" s="204">
        <f t="shared" ref="AG151:AI151" si="905">IFERROR(AF151/$G151," ")</f>
        <v>1</v>
      </c>
      <c r="AH151" s="95">
        <v>2103</v>
      </c>
      <c r="AI151" s="204">
        <f t="shared" si="905"/>
        <v>1</v>
      </c>
      <c r="AJ151" s="95">
        <v>2103</v>
      </c>
      <c r="AK151" s="204">
        <f t="shared" ref="AK151:AM151" si="906">IFERROR(AJ151/$G151," ")</f>
        <v>1</v>
      </c>
      <c r="AL151" s="95">
        <v>2103</v>
      </c>
      <c r="AM151" s="204">
        <f t="shared" si="906"/>
        <v>1</v>
      </c>
      <c r="AN151" s="95"/>
      <c r="AO151" s="94">
        <f t="shared" si="811"/>
        <v>0</v>
      </c>
      <c r="AP151" s="94">
        <f t="shared" si="801"/>
        <v>0</v>
      </c>
      <c r="AQ151" s="94">
        <f t="shared" si="802"/>
        <v>0</v>
      </c>
      <c r="AR151" s="94">
        <f t="shared" si="812"/>
        <v>0</v>
      </c>
      <c r="AS151" s="94">
        <f t="shared" si="813"/>
        <v>0</v>
      </c>
      <c r="AT151" s="94">
        <f t="shared" si="814"/>
        <v>2091.4900000000002</v>
      </c>
      <c r="AU151" s="94">
        <f t="shared" si="815"/>
        <v>2091.4900000000002</v>
      </c>
      <c r="AV151" s="94">
        <f t="shared" si="816"/>
        <v>4184.97</v>
      </c>
      <c r="AW151" s="94">
        <f t="shared" si="817"/>
        <v>4184.97</v>
      </c>
      <c r="AX151" s="94">
        <f t="shared" si="818"/>
        <v>4184.97</v>
      </c>
      <c r="AY151" s="94">
        <f t="shared" si="819"/>
        <v>4184.97</v>
      </c>
      <c r="AZ151" s="94">
        <f t="shared" si="820"/>
        <v>4184.97</v>
      </c>
      <c r="BA151" s="94">
        <f t="shared" si="821"/>
        <v>4184.97</v>
      </c>
      <c r="BB151" s="94">
        <f t="shared" si="822"/>
        <v>4184.97</v>
      </c>
    </row>
    <row r="152" spans="1:54" x14ac:dyDescent="0.25">
      <c r="A152" s="80">
        <v>69</v>
      </c>
      <c r="B152" s="95" t="s">
        <v>2859</v>
      </c>
      <c r="C152" s="201" t="s">
        <v>124</v>
      </c>
      <c r="D152" s="80" t="s">
        <v>107</v>
      </c>
      <c r="E152" s="94">
        <f>IFERROR(VLOOKUP(A152,Estimate!A:Q,17,FALSE)," ")</f>
        <v>16781.939999999999</v>
      </c>
      <c r="F152" s="202">
        <v>2103</v>
      </c>
      <c r="G152" s="202">
        <v>2103</v>
      </c>
      <c r="H152" s="203">
        <v>8.18</v>
      </c>
      <c r="I152" s="203">
        <v>17202.54</v>
      </c>
      <c r="J152" s="203">
        <v>17202.54</v>
      </c>
      <c r="K152" s="203"/>
      <c r="L152" s="202"/>
      <c r="M152" s="204">
        <f t="shared" si="804"/>
        <v>0</v>
      </c>
      <c r="N152" s="95"/>
      <c r="O152" s="204">
        <f t="shared" si="804"/>
        <v>0</v>
      </c>
      <c r="P152" s="95"/>
      <c r="Q152" s="204">
        <f t="shared" ref="Q152:S152" si="907">IFERROR(P152/$G152," ")</f>
        <v>0</v>
      </c>
      <c r="R152" s="95"/>
      <c r="S152" s="204">
        <f t="shared" si="907"/>
        <v>0</v>
      </c>
      <c r="T152" s="95"/>
      <c r="U152" s="204">
        <f t="shared" ref="U152:W152" si="908">IFERROR(T152/$G152," ")</f>
        <v>0</v>
      </c>
      <c r="V152" s="95"/>
      <c r="W152" s="204">
        <f t="shared" si="908"/>
        <v>0</v>
      </c>
      <c r="X152" s="95"/>
      <c r="Y152" s="204">
        <f t="shared" ref="Y152:AA152" si="909">IFERROR(X152/$G152," ")</f>
        <v>0</v>
      </c>
      <c r="Z152" s="95"/>
      <c r="AA152" s="204">
        <f t="shared" si="909"/>
        <v>0</v>
      </c>
      <c r="AB152" s="95"/>
      <c r="AC152" s="204">
        <f t="shared" ref="AC152:AE152" si="910">IFERROR(AB152/$G152," ")</f>
        <v>0</v>
      </c>
      <c r="AD152" s="95">
        <v>2103</v>
      </c>
      <c r="AE152" s="204">
        <f t="shared" si="910"/>
        <v>1</v>
      </c>
      <c r="AF152" s="95">
        <v>2103</v>
      </c>
      <c r="AG152" s="204">
        <f t="shared" ref="AG152:AI152" si="911">IFERROR(AF152/$G152," ")</f>
        <v>1</v>
      </c>
      <c r="AH152" s="95">
        <v>2103</v>
      </c>
      <c r="AI152" s="204">
        <f t="shared" si="911"/>
        <v>1</v>
      </c>
      <c r="AJ152" s="95">
        <v>2103</v>
      </c>
      <c r="AK152" s="204">
        <f t="shared" ref="AK152:AM152" si="912">IFERROR(AJ152/$G152," ")</f>
        <v>1</v>
      </c>
      <c r="AL152" s="95">
        <v>2103</v>
      </c>
      <c r="AM152" s="204">
        <f t="shared" si="912"/>
        <v>1</v>
      </c>
      <c r="AN152" s="95"/>
      <c r="AO152" s="94">
        <f t="shared" si="811"/>
        <v>0</v>
      </c>
      <c r="AP152" s="94">
        <f t="shared" si="801"/>
        <v>0</v>
      </c>
      <c r="AQ152" s="94">
        <f t="shared" si="802"/>
        <v>0</v>
      </c>
      <c r="AR152" s="94">
        <f t="shared" si="812"/>
        <v>0</v>
      </c>
      <c r="AS152" s="94">
        <f t="shared" si="813"/>
        <v>0</v>
      </c>
      <c r="AT152" s="94">
        <f t="shared" si="814"/>
        <v>0</v>
      </c>
      <c r="AU152" s="94">
        <f t="shared" si="815"/>
        <v>0</v>
      </c>
      <c r="AV152" s="94">
        <f t="shared" si="816"/>
        <v>0</v>
      </c>
      <c r="AW152" s="94">
        <f t="shared" si="817"/>
        <v>0</v>
      </c>
      <c r="AX152" s="94">
        <f t="shared" si="818"/>
        <v>17202.54</v>
      </c>
      <c r="AY152" s="94">
        <f t="shared" si="819"/>
        <v>17202.54</v>
      </c>
      <c r="AZ152" s="94">
        <f t="shared" si="820"/>
        <v>17202.54</v>
      </c>
      <c r="BA152" s="94">
        <f t="shared" si="821"/>
        <v>17202.54</v>
      </c>
      <c r="BB152" s="94">
        <f t="shared" si="822"/>
        <v>17202.54</v>
      </c>
    </row>
    <row r="153" spans="1:54" x14ac:dyDescent="0.25">
      <c r="A153" s="80">
        <v>70</v>
      </c>
      <c r="B153" s="95" t="s">
        <v>2879</v>
      </c>
      <c r="C153" s="201" t="s">
        <v>228</v>
      </c>
      <c r="D153" s="80" t="s">
        <v>82</v>
      </c>
      <c r="E153" s="94">
        <f>IFERROR(VLOOKUP(A153,Estimate!A:Q,17,FALSE)," ")</f>
        <v>58539.600000000006</v>
      </c>
      <c r="F153" s="202">
        <v>202</v>
      </c>
      <c r="G153" s="202">
        <v>202</v>
      </c>
      <c r="H153" s="203">
        <v>297.04000000000002</v>
      </c>
      <c r="I153" s="203">
        <v>60002.080000000002</v>
      </c>
      <c r="J153" s="203">
        <v>60002.080000000002</v>
      </c>
      <c r="K153" s="203"/>
      <c r="L153" s="202"/>
      <c r="M153" s="204">
        <f t="shared" si="804"/>
        <v>0</v>
      </c>
      <c r="N153" s="95"/>
      <c r="O153" s="204">
        <f t="shared" si="804"/>
        <v>0</v>
      </c>
      <c r="P153" s="95"/>
      <c r="Q153" s="204">
        <f t="shared" ref="Q153:S153" si="913">IFERROR(P153/$G153," ")</f>
        <v>0</v>
      </c>
      <c r="R153" s="95"/>
      <c r="S153" s="204">
        <f t="shared" si="913"/>
        <v>0</v>
      </c>
      <c r="T153" s="95"/>
      <c r="U153" s="204">
        <f t="shared" ref="U153:W153" si="914">IFERROR(T153/$G153," ")</f>
        <v>0</v>
      </c>
      <c r="V153" s="95"/>
      <c r="W153" s="204">
        <f t="shared" si="914"/>
        <v>0</v>
      </c>
      <c r="X153" s="95"/>
      <c r="Y153" s="204">
        <f t="shared" ref="Y153:AA153" si="915">IFERROR(X153/$G153," ")</f>
        <v>0</v>
      </c>
      <c r="Z153" s="95"/>
      <c r="AA153" s="204">
        <f t="shared" si="915"/>
        <v>0</v>
      </c>
      <c r="AB153" s="95"/>
      <c r="AC153" s="204">
        <f t="shared" ref="AC153:AE153" si="916">IFERROR(AB153/$G153," ")</f>
        <v>0</v>
      </c>
      <c r="AD153" s="95">
        <v>202</v>
      </c>
      <c r="AE153" s="204">
        <f t="shared" si="916"/>
        <v>1</v>
      </c>
      <c r="AF153" s="95">
        <v>202</v>
      </c>
      <c r="AG153" s="204">
        <f t="shared" ref="AG153:AI153" si="917">IFERROR(AF153/$G153," ")</f>
        <v>1</v>
      </c>
      <c r="AH153" s="95">
        <v>202</v>
      </c>
      <c r="AI153" s="204">
        <f t="shared" si="917"/>
        <v>1</v>
      </c>
      <c r="AJ153" s="95">
        <v>202</v>
      </c>
      <c r="AK153" s="204">
        <f t="shared" ref="AK153:AM153" si="918">IFERROR(AJ153/$G153," ")</f>
        <v>1</v>
      </c>
      <c r="AL153" s="95">
        <v>202</v>
      </c>
      <c r="AM153" s="204">
        <f t="shared" si="918"/>
        <v>1</v>
      </c>
      <c r="AN153" s="95"/>
      <c r="AO153" s="94">
        <f t="shared" si="811"/>
        <v>0</v>
      </c>
      <c r="AP153" s="94">
        <f t="shared" si="801"/>
        <v>0</v>
      </c>
      <c r="AQ153" s="94">
        <f t="shared" si="802"/>
        <v>0</v>
      </c>
      <c r="AR153" s="94">
        <f t="shared" si="812"/>
        <v>0</v>
      </c>
      <c r="AS153" s="94">
        <f t="shared" si="813"/>
        <v>0</v>
      </c>
      <c r="AT153" s="94">
        <f t="shared" si="814"/>
        <v>0</v>
      </c>
      <c r="AU153" s="94">
        <f t="shared" si="815"/>
        <v>0</v>
      </c>
      <c r="AV153" s="94">
        <f t="shared" si="816"/>
        <v>0</v>
      </c>
      <c r="AW153" s="94">
        <f t="shared" si="817"/>
        <v>0</v>
      </c>
      <c r="AX153" s="94">
        <f t="shared" si="818"/>
        <v>60002.080000000002</v>
      </c>
      <c r="AY153" s="94">
        <f t="shared" si="819"/>
        <v>60002.080000000002</v>
      </c>
      <c r="AZ153" s="94">
        <f t="shared" si="820"/>
        <v>60002.080000000002</v>
      </c>
      <c r="BA153" s="94">
        <f t="shared" si="821"/>
        <v>60002.080000000002</v>
      </c>
      <c r="BB153" s="94">
        <f t="shared" si="822"/>
        <v>60002.080000000002</v>
      </c>
    </row>
    <row r="154" spans="1:54" x14ac:dyDescent="0.25">
      <c r="A154" s="80"/>
      <c r="B154" s="95" t="s">
        <v>2417</v>
      </c>
      <c r="C154" s="201" t="s">
        <v>2837</v>
      </c>
      <c r="D154" s="80" t="s">
        <v>783</v>
      </c>
      <c r="E154" s="94" t="str">
        <f>IFERROR(VLOOKUP(A154,Estimate!A:Q,17,FALSE)," ")</f>
        <v xml:space="preserve"> </v>
      </c>
      <c r="F154" s="202" t="s">
        <v>781</v>
      </c>
      <c r="G154" s="202" t="s">
        <v>781</v>
      </c>
      <c r="H154" s="203" t="s">
        <v>781</v>
      </c>
      <c r="I154" s="203" t="s">
        <v>781</v>
      </c>
      <c r="J154" s="203" t="s">
        <v>781</v>
      </c>
      <c r="K154" s="203"/>
      <c r="L154" s="202" t="s">
        <v>781</v>
      </c>
      <c r="M154" s="204" t="str">
        <f t="shared" si="804"/>
        <v xml:space="preserve"> </v>
      </c>
      <c r="N154" s="95" t="s">
        <v>781</v>
      </c>
      <c r="O154" s="204" t="str">
        <f t="shared" si="804"/>
        <v xml:space="preserve"> </v>
      </c>
      <c r="P154" s="95" t="s">
        <v>781</v>
      </c>
      <c r="Q154" s="204" t="str">
        <f t="shared" ref="Q154:S154" si="919">IFERROR(P154/$G154," ")</f>
        <v xml:space="preserve"> </v>
      </c>
      <c r="R154" s="95" t="s">
        <v>781</v>
      </c>
      <c r="S154" s="204" t="str">
        <f t="shared" si="919"/>
        <v xml:space="preserve"> </v>
      </c>
      <c r="T154" s="95" t="s">
        <v>781</v>
      </c>
      <c r="U154" s="204" t="str">
        <f t="shared" ref="U154:W154" si="920">IFERROR(T154/$G154," ")</f>
        <v xml:space="preserve"> </v>
      </c>
      <c r="V154" s="95" t="s">
        <v>781</v>
      </c>
      <c r="W154" s="204" t="str">
        <f t="shared" si="920"/>
        <v xml:space="preserve"> </v>
      </c>
      <c r="X154" s="95" t="s">
        <v>781</v>
      </c>
      <c r="Y154" s="204" t="str">
        <f t="shared" ref="Y154:AA154" si="921">IFERROR(X154/$G154," ")</f>
        <v xml:space="preserve"> </v>
      </c>
      <c r="Z154" s="95" t="s">
        <v>781</v>
      </c>
      <c r="AA154" s="204" t="str">
        <f t="shared" si="921"/>
        <v xml:space="preserve"> </v>
      </c>
      <c r="AB154" s="95" t="s">
        <v>781</v>
      </c>
      <c r="AC154" s="204" t="str">
        <f t="shared" ref="AC154:AE154" si="922">IFERROR(AB154/$G154," ")</f>
        <v xml:space="preserve"> </v>
      </c>
      <c r="AD154" s="95" t="s">
        <v>781</v>
      </c>
      <c r="AE154" s="204" t="str">
        <f t="shared" si="922"/>
        <v xml:space="preserve"> </v>
      </c>
      <c r="AF154" s="95" t="s">
        <v>781</v>
      </c>
      <c r="AG154" s="204" t="str">
        <f t="shared" ref="AG154:AI154" si="923">IFERROR(AF154/$G154," ")</f>
        <v xml:space="preserve"> </v>
      </c>
      <c r="AH154" s="95" t="s">
        <v>781</v>
      </c>
      <c r="AI154" s="204" t="str">
        <f t="shared" si="923"/>
        <v xml:space="preserve"> </v>
      </c>
      <c r="AJ154" s="95" t="s">
        <v>781</v>
      </c>
      <c r="AK154" s="204" t="str">
        <f t="shared" ref="AK154:AM154" si="924">IFERROR(AJ154/$G154," ")</f>
        <v xml:space="preserve"> </v>
      </c>
      <c r="AL154" s="95" t="s">
        <v>781</v>
      </c>
      <c r="AM154" s="204" t="str">
        <f t="shared" si="924"/>
        <v xml:space="preserve"> </v>
      </c>
      <c r="AN154" s="95"/>
      <c r="AO154" s="94" t="str">
        <f t="shared" si="811"/>
        <v xml:space="preserve"> </v>
      </c>
      <c r="AP154" s="94" t="str">
        <f t="shared" si="801"/>
        <v xml:space="preserve"> </v>
      </c>
      <c r="AQ154" s="94" t="str">
        <f t="shared" si="802"/>
        <v xml:space="preserve"> </v>
      </c>
      <c r="AR154" s="94" t="str">
        <f t="shared" si="812"/>
        <v xml:space="preserve"> </v>
      </c>
      <c r="AS154" s="94" t="str">
        <f t="shared" si="813"/>
        <v xml:space="preserve"> </v>
      </c>
      <c r="AT154" s="94" t="str">
        <f t="shared" si="814"/>
        <v xml:space="preserve"> </v>
      </c>
      <c r="AU154" s="94" t="str">
        <f t="shared" si="815"/>
        <v xml:space="preserve"> </v>
      </c>
      <c r="AV154" s="94" t="str">
        <f t="shared" si="816"/>
        <v xml:space="preserve"> </v>
      </c>
      <c r="AW154" s="94" t="str">
        <f t="shared" si="817"/>
        <v xml:space="preserve"> </v>
      </c>
      <c r="AX154" s="94" t="str">
        <f t="shared" si="818"/>
        <v xml:space="preserve"> </v>
      </c>
      <c r="AY154" s="94" t="str">
        <f t="shared" si="819"/>
        <v xml:space="preserve"> </v>
      </c>
      <c r="AZ154" s="94" t="str">
        <f t="shared" si="820"/>
        <v xml:space="preserve"> </v>
      </c>
      <c r="BA154" s="94" t="str">
        <f t="shared" si="821"/>
        <v xml:space="preserve"> </v>
      </c>
      <c r="BB154" s="94" t="str">
        <f t="shared" si="822"/>
        <v xml:space="preserve"> </v>
      </c>
    </row>
    <row r="155" spans="1:54" x14ac:dyDescent="0.25">
      <c r="A155" s="80"/>
      <c r="B155" s="95" t="s">
        <v>2889</v>
      </c>
      <c r="C155" s="201" t="s">
        <v>286</v>
      </c>
      <c r="D155" s="80" t="s">
        <v>783</v>
      </c>
      <c r="E155" s="94" t="str">
        <f>IFERROR(VLOOKUP(A155,Estimate!A:Q,17,FALSE)," ")</f>
        <v xml:space="preserve"> </v>
      </c>
      <c r="F155" s="202" t="s">
        <v>781</v>
      </c>
      <c r="G155" s="202" t="s">
        <v>781</v>
      </c>
      <c r="H155" s="203" t="s">
        <v>781</v>
      </c>
      <c r="I155" s="203" t="s">
        <v>781</v>
      </c>
      <c r="J155" s="203" t="s">
        <v>781</v>
      </c>
      <c r="K155" s="203"/>
      <c r="L155" s="202" t="s">
        <v>781</v>
      </c>
      <c r="M155" s="204" t="str">
        <f t="shared" si="804"/>
        <v xml:space="preserve"> </v>
      </c>
      <c r="N155" s="95" t="s">
        <v>781</v>
      </c>
      <c r="O155" s="204" t="str">
        <f t="shared" si="804"/>
        <v xml:space="preserve"> </v>
      </c>
      <c r="P155" s="95" t="s">
        <v>781</v>
      </c>
      <c r="Q155" s="204" t="str">
        <f t="shared" ref="Q155:S155" si="925">IFERROR(P155/$G155," ")</f>
        <v xml:space="preserve"> </v>
      </c>
      <c r="R155" s="95" t="s">
        <v>781</v>
      </c>
      <c r="S155" s="204" t="str">
        <f t="shared" si="925"/>
        <v xml:space="preserve"> </v>
      </c>
      <c r="T155" s="95" t="s">
        <v>781</v>
      </c>
      <c r="U155" s="204" t="str">
        <f t="shared" ref="U155:W155" si="926">IFERROR(T155/$G155," ")</f>
        <v xml:space="preserve"> </v>
      </c>
      <c r="V155" s="95" t="s">
        <v>781</v>
      </c>
      <c r="W155" s="204" t="str">
        <f t="shared" si="926"/>
        <v xml:space="preserve"> </v>
      </c>
      <c r="X155" s="95" t="s">
        <v>781</v>
      </c>
      <c r="Y155" s="204" t="str">
        <f t="shared" ref="Y155:AA155" si="927">IFERROR(X155/$G155," ")</f>
        <v xml:space="preserve"> </v>
      </c>
      <c r="Z155" s="95" t="s">
        <v>781</v>
      </c>
      <c r="AA155" s="204" t="str">
        <f t="shared" si="927"/>
        <v xml:space="preserve"> </v>
      </c>
      <c r="AB155" s="95" t="s">
        <v>781</v>
      </c>
      <c r="AC155" s="204" t="str">
        <f t="shared" ref="AC155:AE155" si="928">IFERROR(AB155/$G155," ")</f>
        <v xml:space="preserve"> </v>
      </c>
      <c r="AD155" s="95" t="s">
        <v>781</v>
      </c>
      <c r="AE155" s="204" t="str">
        <f t="shared" si="928"/>
        <v xml:space="preserve"> </v>
      </c>
      <c r="AF155" s="95" t="s">
        <v>781</v>
      </c>
      <c r="AG155" s="204" t="str">
        <f t="shared" ref="AG155:AI155" si="929">IFERROR(AF155/$G155," ")</f>
        <v xml:space="preserve"> </v>
      </c>
      <c r="AH155" s="95" t="s">
        <v>781</v>
      </c>
      <c r="AI155" s="204" t="str">
        <f t="shared" si="929"/>
        <v xml:space="preserve"> </v>
      </c>
      <c r="AJ155" s="95" t="s">
        <v>781</v>
      </c>
      <c r="AK155" s="204" t="str">
        <f t="shared" ref="AK155:AM155" si="930">IFERROR(AJ155/$G155," ")</f>
        <v xml:space="preserve"> </v>
      </c>
      <c r="AL155" s="95" t="s">
        <v>781</v>
      </c>
      <c r="AM155" s="204" t="str">
        <f t="shared" si="930"/>
        <v xml:space="preserve"> </v>
      </c>
      <c r="AN155" s="95"/>
      <c r="AO155" s="94" t="str">
        <f t="shared" si="811"/>
        <v xml:space="preserve"> </v>
      </c>
      <c r="AP155" s="94" t="str">
        <f t="shared" si="801"/>
        <v xml:space="preserve"> </v>
      </c>
      <c r="AQ155" s="94" t="str">
        <f t="shared" si="802"/>
        <v xml:space="preserve"> </v>
      </c>
      <c r="AR155" s="94" t="str">
        <f t="shared" si="812"/>
        <v xml:space="preserve"> </v>
      </c>
      <c r="AS155" s="94" t="str">
        <f t="shared" si="813"/>
        <v xml:space="preserve"> </v>
      </c>
      <c r="AT155" s="94" t="str">
        <f t="shared" si="814"/>
        <v xml:space="preserve"> </v>
      </c>
      <c r="AU155" s="94" t="str">
        <f t="shared" si="815"/>
        <v xml:space="preserve"> </v>
      </c>
      <c r="AV155" s="94" t="str">
        <f t="shared" si="816"/>
        <v xml:space="preserve"> </v>
      </c>
      <c r="AW155" s="94" t="str">
        <f t="shared" si="817"/>
        <v xml:space="preserve"> </v>
      </c>
      <c r="AX155" s="94" t="str">
        <f t="shared" si="818"/>
        <v xml:space="preserve"> </v>
      </c>
      <c r="AY155" s="94" t="str">
        <f t="shared" si="819"/>
        <v xml:space="preserve"> </v>
      </c>
      <c r="AZ155" s="94" t="str">
        <f t="shared" si="820"/>
        <v xml:space="preserve"> </v>
      </c>
      <c r="BA155" s="94" t="str">
        <f t="shared" si="821"/>
        <v xml:space="preserve"> </v>
      </c>
      <c r="BB155" s="94" t="str">
        <f t="shared" si="822"/>
        <v xml:space="preserve"> </v>
      </c>
    </row>
    <row r="156" spans="1:54" ht="30" x14ac:dyDescent="0.25">
      <c r="A156" s="80">
        <v>71</v>
      </c>
      <c r="B156" s="95" t="s">
        <v>2890</v>
      </c>
      <c r="C156" s="201" t="s">
        <v>288</v>
      </c>
      <c r="D156" s="80" t="s">
        <v>89</v>
      </c>
      <c r="E156" s="94">
        <f>IFERROR(VLOOKUP(A156,Estimate!A:Q,17,FALSE)," ")</f>
        <v>5000</v>
      </c>
      <c r="F156" s="202">
        <v>434</v>
      </c>
      <c r="G156" s="202">
        <v>434</v>
      </c>
      <c r="H156" s="203">
        <v>14.47</v>
      </c>
      <c r="I156" s="203">
        <v>6279.98</v>
      </c>
      <c r="J156" s="203">
        <v>6279.98</v>
      </c>
      <c r="K156" s="203"/>
      <c r="L156" s="202"/>
      <c r="M156" s="204">
        <f t="shared" si="804"/>
        <v>0</v>
      </c>
      <c r="N156" s="95"/>
      <c r="O156" s="204">
        <f t="shared" si="804"/>
        <v>0</v>
      </c>
      <c r="P156" s="95"/>
      <c r="Q156" s="204">
        <f t="shared" ref="Q156:S156" si="931">IFERROR(P156/$G156," ")</f>
        <v>0</v>
      </c>
      <c r="R156" s="95"/>
      <c r="S156" s="204">
        <f t="shared" si="931"/>
        <v>0</v>
      </c>
      <c r="T156" s="95"/>
      <c r="U156" s="204">
        <f t="shared" ref="U156:W156" si="932">IFERROR(T156/$G156," ")</f>
        <v>0</v>
      </c>
      <c r="V156" s="95"/>
      <c r="W156" s="204">
        <f t="shared" si="932"/>
        <v>0</v>
      </c>
      <c r="X156" s="95"/>
      <c r="Y156" s="204">
        <f t="shared" ref="Y156:AA156" si="933">IFERROR(X156/$G156," ")</f>
        <v>0</v>
      </c>
      <c r="Z156" s="95"/>
      <c r="AA156" s="204">
        <f t="shared" si="933"/>
        <v>0</v>
      </c>
      <c r="AB156" s="95"/>
      <c r="AC156" s="204">
        <f t="shared" ref="AC156:AE156" si="934">IFERROR(AB156/$G156," ")</f>
        <v>0</v>
      </c>
      <c r="AD156" s="95"/>
      <c r="AE156" s="204">
        <f t="shared" si="934"/>
        <v>0</v>
      </c>
      <c r="AF156" s="95"/>
      <c r="AG156" s="204">
        <f t="shared" ref="AG156:AI156" si="935">IFERROR(AF156/$G156," ")</f>
        <v>0</v>
      </c>
      <c r="AH156" s="95">
        <v>434</v>
      </c>
      <c r="AI156" s="204">
        <f t="shared" si="935"/>
        <v>1</v>
      </c>
      <c r="AJ156" s="95">
        <v>434</v>
      </c>
      <c r="AK156" s="204">
        <f t="shared" ref="AK156:AM156" si="936">IFERROR(AJ156/$G156," ")</f>
        <v>1</v>
      </c>
      <c r="AL156" s="95">
        <v>434</v>
      </c>
      <c r="AM156" s="204">
        <f t="shared" si="936"/>
        <v>1</v>
      </c>
      <c r="AN156" s="95"/>
      <c r="AO156" s="94">
        <f t="shared" si="811"/>
        <v>0</v>
      </c>
      <c r="AP156" s="94">
        <f t="shared" si="801"/>
        <v>0</v>
      </c>
      <c r="AQ156" s="94">
        <f t="shared" si="802"/>
        <v>0</v>
      </c>
      <c r="AR156" s="94">
        <f t="shared" si="812"/>
        <v>0</v>
      </c>
      <c r="AS156" s="94">
        <f t="shared" si="813"/>
        <v>0</v>
      </c>
      <c r="AT156" s="94">
        <f t="shared" si="814"/>
        <v>0</v>
      </c>
      <c r="AU156" s="94">
        <f t="shared" si="815"/>
        <v>0</v>
      </c>
      <c r="AV156" s="94">
        <f t="shared" si="816"/>
        <v>0</v>
      </c>
      <c r="AW156" s="94">
        <f t="shared" si="817"/>
        <v>0</v>
      </c>
      <c r="AX156" s="94">
        <f t="shared" si="818"/>
        <v>0</v>
      </c>
      <c r="AY156" s="94">
        <f t="shared" si="819"/>
        <v>0</v>
      </c>
      <c r="AZ156" s="94">
        <f t="shared" si="820"/>
        <v>6279.98</v>
      </c>
      <c r="BA156" s="94">
        <f t="shared" si="821"/>
        <v>6279.98</v>
      </c>
      <c r="BB156" s="94">
        <f t="shared" si="822"/>
        <v>6279.98</v>
      </c>
    </row>
    <row r="157" spans="1:54" ht="30" x14ac:dyDescent="0.25">
      <c r="A157" s="80">
        <v>72</v>
      </c>
      <c r="B157" s="95" t="s">
        <v>2891</v>
      </c>
      <c r="C157" s="201" t="s">
        <v>291</v>
      </c>
      <c r="D157" s="80" t="s">
        <v>33</v>
      </c>
      <c r="E157" s="94">
        <f>IFERROR(VLOOKUP(A157,Estimate!A:Q,17,FALSE)," ")</f>
        <v>1500</v>
      </c>
      <c r="F157" s="202">
        <v>1</v>
      </c>
      <c r="G157" s="202">
        <v>1</v>
      </c>
      <c r="H157" s="203">
        <v>1884.34</v>
      </c>
      <c r="I157" s="203">
        <v>1884.34</v>
      </c>
      <c r="J157" s="203">
        <v>1884.34</v>
      </c>
      <c r="K157" s="203"/>
      <c r="L157" s="202"/>
      <c r="M157" s="204">
        <f t="shared" si="804"/>
        <v>0</v>
      </c>
      <c r="N157" s="95"/>
      <c r="O157" s="204">
        <f t="shared" si="804"/>
        <v>0</v>
      </c>
      <c r="P157" s="95"/>
      <c r="Q157" s="204">
        <f t="shared" ref="Q157:S157" si="937">IFERROR(P157/$G157," ")</f>
        <v>0</v>
      </c>
      <c r="R157" s="95"/>
      <c r="S157" s="204">
        <f t="shared" si="937"/>
        <v>0</v>
      </c>
      <c r="T157" s="95"/>
      <c r="U157" s="204">
        <f t="shared" ref="U157:W157" si="938">IFERROR(T157/$G157," ")</f>
        <v>0</v>
      </c>
      <c r="V157" s="95"/>
      <c r="W157" s="204">
        <f t="shared" si="938"/>
        <v>0</v>
      </c>
      <c r="X157" s="95"/>
      <c r="Y157" s="204">
        <f t="shared" ref="Y157:AA157" si="939">IFERROR(X157/$G157," ")</f>
        <v>0</v>
      </c>
      <c r="Z157" s="95"/>
      <c r="AA157" s="204">
        <f t="shared" si="939"/>
        <v>0</v>
      </c>
      <c r="AB157" s="95"/>
      <c r="AC157" s="204">
        <f t="shared" ref="AC157:AE157" si="940">IFERROR(AB157/$G157," ")</f>
        <v>0</v>
      </c>
      <c r="AD157" s="95"/>
      <c r="AE157" s="204">
        <f t="shared" si="940"/>
        <v>0</v>
      </c>
      <c r="AF157" s="95"/>
      <c r="AG157" s="204">
        <f t="shared" ref="AG157:AI157" si="941">IFERROR(AF157/$G157," ")</f>
        <v>0</v>
      </c>
      <c r="AH157" s="95">
        <v>1</v>
      </c>
      <c r="AI157" s="204">
        <f t="shared" si="941"/>
        <v>1</v>
      </c>
      <c r="AJ157" s="95">
        <v>1</v>
      </c>
      <c r="AK157" s="204">
        <f t="shared" ref="AK157:AM157" si="942">IFERROR(AJ157/$G157," ")</f>
        <v>1</v>
      </c>
      <c r="AL157" s="95">
        <v>1</v>
      </c>
      <c r="AM157" s="204">
        <f t="shared" si="942"/>
        <v>1</v>
      </c>
      <c r="AN157" s="95"/>
      <c r="AO157" s="94">
        <f t="shared" si="811"/>
        <v>0</v>
      </c>
      <c r="AP157" s="94">
        <f t="shared" si="801"/>
        <v>0</v>
      </c>
      <c r="AQ157" s="94">
        <f t="shared" si="802"/>
        <v>0</v>
      </c>
      <c r="AR157" s="94">
        <f t="shared" si="812"/>
        <v>0</v>
      </c>
      <c r="AS157" s="94">
        <f t="shared" si="813"/>
        <v>0</v>
      </c>
      <c r="AT157" s="94">
        <f t="shared" si="814"/>
        <v>0</v>
      </c>
      <c r="AU157" s="94">
        <f t="shared" si="815"/>
        <v>0</v>
      </c>
      <c r="AV157" s="94">
        <f t="shared" si="816"/>
        <v>0</v>
      </c>
      <c r="AW157" s="94">
        <f t="shared" si="817"/>
        <v>0</v>
      </c>
      <c r="AX157" s="94">
        <f t="shared" si="818"/>
        <v>0</v>
      </c>
      <c r="AY157" s="94">
        <f t="shared" si="819"/>
        <v>0</v>
      </c>
      <c r="AZ157" s="94">
        <f t="shared" si="820"/>
        <v>1884.34</v>
      </c>
      <c r="BA157" s="94">
        <f t="shared" si="821"/>
        <v>1884.34</v>
      </c>
      <c r="BB157" s="94">
        <f t="shared" si="822"/>
        <v>1884.34</v>
      </c>
    </row>
    <row r="158" spans="1:54" x14ac:dyDescent="0.25">
      <c r="A158" s="80">
        <v>73</v>
      </c>
      <c r="B158" s="95" t="s">
        <v>2881</v>
      </c>
      <c r="C158" s="201" t="s">
        <v>233</v>
      </c>
      <c r="D158" s="80" t="s">
        <v>107</v>
      </c>
      <c r="E158" s="94">
        <f>IFERROR(VLOOKUP(A158,Estimate!A:Q,17,FALSE)," ")</f>
        <v>12821.2</v>
      </c>
      <c r="F158" s="202">
        <v>180</v>
      </c>
      <c r="G158" s="202">
        <v>180</v>
      </c>
      <c r="H158" s="203">
        <v>89.48</v>
      </c>
      <c r="I158" s="203">
        <v>16106.4</v>
      </c>
      <c r="J158" s="203">
        <v>16106.4</v>
      </c>
      <c r="K158" s="203"/>
      <c r="L158" s="202"/>
      <c r="M158" s="204">
        <f t="shared" si="804"/>
        <v>0</v>
      </c>
      <c r="N158" s="95"/>
      <c r="O158" s="204">
        <f t="shared" si="804"/>
        <v>0</v>
      </c>
      <c r="P158" s="95"/>
      <c r="Q158" s="204">
        <f t="shared" ref="Q158:S158" si="943">IFERROR(P158/$G158," ")</f>
        <v>0</v>
      </c>
      <c r="R158" s="95"/>
      <c r="S158" s="204">
        <f t="shared" si="943"/>
        <v>0</v>
      </c>
      <c r="T158" s="95"/>
      <c r="U158" s="204">
        <f t="shared" ref="U158:W158" si="944">IFERROR(T158/$G158," ")</f>
        <v>0</v>
      </c>
      <c r="V158" s="95"/>
      <c r="W158" s="204">
        <f t="shared" si="944"/>
        <v>0</v>
      </c>
      <c r="X158" s="95"/>
      <c r="Y158" s="204">
        <f t="shared" ref="Y158:AA158" si="945">IFERROR(X158/$G158," ")</f>
        <v>0</v>
      </c>
      <c r="Z158" s="95"/>
      <c r="AA158" s="204">
        <f t="shared" si="945"/>
        <v>0</v>
      </c>
      <c r="AB158" s="95"/>
      <c r="AC158" s="204">
        <f t="shared" ref="AC158:AE158" si="946">IFERROR(AB158/$G158," ")</f>
        <v>0</v>
      </c>
      <c r="AD158" s="95">
        <v>180</v>
      </c>
      <c r="AE158" s="204">
        <f t="shared" si="946"/>
        <v>1</v>
      </c>
      <c r="AF158" s="95">
        <v>180</v>
      </c>
      <c r="AG158" s="204">
        <f t="shared" ref="AG158:AI158" si="947">IFERROR(AF158/$G158," ")</f>
        <v>1</v>
      </c>
      <c r="AH158" s="95">
        <v>180</v>
      </c>
      <c r="AI158" s="204">
        <f t="shared" si="947"/>
        <v>1</v>
      </c>
      <c r="AJ158" s="95">
        <v>180</v>
      </c>
      <c r="AK158" s="204">
        <f t="shared" ref="AK158:AM158" si="948">IFERROR(AJ158/$G158," ")</f>
        <v>1</v>
      </c>
      <c r="AL158" s="95">
        <v>180</v>
      </c>
      <c r="AM158" s="204">
        <f t="shared" si="948"/>
        <v>1</v>
      </c>
      <c r="AN158" s="95"/>
      <c r="AO158" s="94">
        <f t="shared" si="811"/>
        <v>0</v>
      </c>
      <c r="AP158" s="94">
        <f t="shared" si="801"/>
        <v>0</v>
      </c>
      <c r="AQ158" s="94">
        <f t="shared" si="802"/>
        <v>0</v>
      </c>
      <c r="AR158" s="94">
        <f t="shared" si="812"/>
        <v>0</v>
      </c>
      <c r="AS158" s="94">
        <f t="shared" si="813"/>
        <v>0</v>
      </c>
      <c r="AT158" s="94">
        <f t="shared" si="814"/>
        <v>0</v>
      </c>
      <c r="AU158" s="94">
        <f t="shared" si="815"/>
        <v>0</v>
      </c>
      <c r="AV158" s="94">
        <f t="shared" si="816"/>
        <v>0</v>
      </c>
      <c r="AW158" s="94">
        <f t="shared" si="817"/>
        <v>0</v>
      </c>
      <c r="AX158" s="94">
        <f t="shared" si="818"/>
        <v>16106.4</v>
      </c>
      <c r="AY158" s="94">
        <f t="shared" si="819"/>
        <v>16106.4</v>
      </c>
      <c r="AZ158" s="94">
        <f t="shared" si="820"/>
        <v>16106.4</v>
      </c>
      <c r="BA158" s="94">
        <f t="shared" si="821"/>
        <v>16106.4</v>
      </c>
      <c r="BB158" s="94">
        <f t="shared" si="822"/>
        <v>16106.4</v>
      </c>
    </row>
    <row r="159" spans="1:54" x14ac:dyDescent="0.25">
      <c r="A159" s="80">
        <v>74</v>
      </c>
      <c r="B159" s="95" t="s">
        <v>2882</v>
      </c>
      <c r="C159" s="201" t="s">
        <v>235</v>
      </c>
      <c r="D159" s="80" t="s">
        <v>29</v>
      </c>
      <c r="E159" s="94">
        <f>IFERROR(VLOOKUP(A159,Estimate!A:Q,17,FALSE)," ")</f>
        <v>3925</v>
      </c>
      <c r="F159" s="202">
        <v>5</v>
      </c>
      <c r="G159" s="202">
        <v>5</v>
      </c>
      <c r="H159" s="203">
        <v>986.14</v>
      </c>
      <c r="I159" s="203">
        <v>4930.7</v>
      </c>
      <c r="J159" s="203">
        <v>4930.7</v>
      </c>
      <c r="K159" s="203"/>
      <c r="L159" s="202"/>
      <c r="M159" s="204">
        <f t="shared" si="804"/>
        <v>0</v>
      </c>
      <c r="N159" s="95"/>
      <c r="O159" s="204">
        <f t="shared" si="804"/>
        <v>0</v>
      </c>
      <c r="P159" s="95"/>
      <c r="Q159" s="204">
        <f t="shared" ref="Q159:S159" si="949">IFERROR(P159/$G159," ")</f>
        <v>0</v>
      </c>
      <c r="R159" s="95"/>
      <c r="S159" s="204">
        <f t="shared" si="949"/>
        <v>0</v>
      </c>
      <c r="T159" s="95"/>
      <c r="U159" s="204">
        <f t="shared" ref="U159:W159" si="950">IFERROR(T159/$G159," ")</f>
        <v>0</v>
      </c>
      <c r="V159" s="95"/>
      <c r="W159" s="204">
        <f t="shared" si="950"/>
        <v>0</v>
      </c>
      <c r="X159" s="95"/>
      <c r="Y159" s="204">
        <f t="shared" ref="Y159:AA159" si="951">IFERROR(X159/$G159," ")</f>
        <v>0</v>
      </c>
      <c r="Z159" s="95"/>
      <c r="AA159" s="204">
        <f t="shared" si="951"/>
        <v>0</v>
      </c>
      <c r="AB159" s="95"/>
      <c r="AC159" s="204">
        <f t="shared" ref="AC159:AE159" si="952">IFERROR(AB159/$G159," ")</f>
        <v>0</v>
      </c>
      <c r="AD159" s="95">
        <v>5</v>
      </c>
      <c r="AE159" s="204">
        <f t="shared" si="952"/>
        <v>1</v>
      </c>
      <c r="AF159" s="95">
        <v>5</v>
      </c>
      <c r="AG159" s="204">
        <f t="shared" ref="AG159:AI159" si="953">IFERROR(AF159/$G159," ")</f>
        <v>1</v>
      </c>
      <c r="AH159" s="95">
        <v>5</v>
      </c>
      <c r="AI159" s="204">
        <f t="shared" si="953"/>
        <v>1</v>
      </c>
      <c r="AJ159" s="95">
        <v>5</v>
      </c>
      <c r="AK159" s="204">
        <f t="shared" ref="AK159:AM159" si="954">IFERROR(AJ159/$G159," ")</f>
        <v>1</v>
      </c>
      <c r="AL159" s="95">
        <v>5</v>
      </c>
      <c r="AM159" s="204">
        <f t="shared" si="954"/>
        <v>1</v>
      </c>
      <c r="AN159" s="95"/>
      <c r="AO159" s="94">
        <f t="shared" si="811"/>
        <v>0</v>
      </c>
      <c r="AP159" s="94">
        <f t="shared" si="801"/>
        <v>0</v>
      </c>
      <c r="AQ159" s="94">
        <f t="shared" si="802"/>
        <v>0</v>
      </c>
      <c r="AR159" s="94">
        <f t="shared" si="812"/>
        <v>0</v>
      </c>
      <c r="AS159" s="94">
        <f t="shared" si="813"/>
        <v>0</v>
      </c>
      <c r="AT159" s="94">
        <f t="shared" si="814"/>
        <v>0</v>
      </c>
      <c r="AU159" s="94">
        <f t="shared" si="815"/>
        <v>0</v>
      </c>
      <c r="AV159" s="94">
        <f t="shared" si="816"/>
        <v>0</v>
      </c>
      <c r="AW159" s="94">
        <f t="shared" si="817"/>
        <v>0</v>
      </c>
      <c r="AX159" s="94">
        <f t="shared" si="818"/>
        <v>4930.7</v>
      </c>
      <c r="AY159" s="94">
        <f t="shared" si="819"/>
        <v>4930.7</v>
      </c>
      <c r="AZ159" s="94">
        <f t="shared" si="820"/>
        <v>4930.7</v>
      </c>
      <c r="BA159" s="94">
        <f t="shared" si="821"/>
        <v>4930.7</v>
      </c>
      <c r="BB159" s="94">
        <f t="shared" si="822"/>
        <v>4930.7</v>
      </c>
    </row>
    <row r="160" spans="1:54" x14ac:dyDescent="0.25">
      <c r="A160" s="80">
        <v>75</v>
      </c>
      <c r="B160" s="95" t="s">
        <v>2892</v>
      </c>
      <c r="C160" s="201" t="s">
        <v>295</v>
      </c>
      <c r="D160" s="80" t="s">
        <v>29</v>
      </c>
      <c r="E160" s="94">
        <f>IFERROR(VLOOKUP(A160,Estimate!A:Q,17,FALSE)," ")</f>
        <v>620.45333333333326</v>
      </c>
      <c r="F160" s="202">
        <v>1</v>
      </c>
      <c r="G160" s="202">
        <v>1</v>
      </c>
      <c r="H160" s="203">
        <v>779.43</v>
      </c>
      <c r="I160" s="203">
        <v>779.43</v>
      </c>
      <c r="J160" s="203">
        <v>779.43</v>
      </c>
      <c r="K160" s="203"/>
      <c r="L160" s="202"/>
      <c r="M160" s="204">
        <f t="shared" si="804"/>
        <v>0</v>
      </c>
      <c r="N160" s="95"/>
      <c r="O160" s="204">
        <f t="shared" si="804"/>
        <v>0</v>
      </c>
      <c r="P160" s="95"/>
      <c r="Q160" s="204">
        <f t="shared" ref="Q160:S160" si="955">IFERROR(P160/$G160," ")</f>
        <v>0</v>
      </c>
      <c r="R160" s="95"/>
      <c r="S160" s="204">
        <f t="shared" si="955"/>
        <v>0</v>
      </c>
      <c r="T160" s="95"/>
      <c r="U160" s="204">
        <f t="shared" ref="U160:W160" si="956">IFERROR(T160/$G160," ")</f>
        <v>0</v>
      </c>
      <c r="V160" s="95"/>
      <c r="W160" s="204">
        <f t="shared" si="956"/>
        <v>0</v>
      </c>
      <c r="X160" s="95"/>
      <c r="Y160" s="204">
        <f t="shared" ref="Y160:AA160" si="957">IFERROR(X160/$G160," ")</f>
        <v>0</v>
      </c>
      <c r="Z160" s="95"/>
      <c r="AA160" s="204">
        <f t="shared" si="957"/>
        <v>0</v>
      </c>
      <c r="AB160" s="95"/>
      <c r="AC160" s="204">
        <f t="shared" ref="AC160:AE160" si="958">IFERROR(AB160/$G160," ")</f>
        <v>0</v>
      </c>
      <c r="AD160" s="95">
        <v>1</v>
      </c>
      <c r="AE160" s="204">
        <f t="shared" si="958"/>
        <v>1</v>
      </c>
      <c r="AF160" s="95">
        <v>1</v>
      </c>
      <c r="AG160" s="204">
        <f t="shared" ref="AG160:AI160" si="959">IFERROR(AF160/$G160," ")</f>
        <v>1</v>
      </c>
      <c r="AH160" s="95">
        <v>1</v>
      </c>
      <c r="AI160" s="204">
        <f t="shared" si="959"/>
        <v>1</v>
      </c>
      <c r="AJ160" s="95">
        <v>1</v>
      </c>
      <c r="AK160" s="204">
        <f t="shared" ref="AK160:AM160" si="960">IFERROR(AJ160/$G160," ")</f>
        <v>1</v>
      </c>
      <c r="AL160" s="95">
        <v>1</v>
      </c>
      <c r="AM160" s="204">
        <f t="shared" si="960"/>
        <v>1</v>
      </c>
      <c r="AN160" s="95"/>
      <c r="AO160" s="94">
        <f t="shared" si="811"/>
        <v>0</v>
      </c>
      <c r="AP160" s="94">
        <f t="shared" si="801"/>
        <v>0</v>
      </c>
      <c r="AQ160" s="94">
        <f t="shared" si="802"/>
        <v>0</v>
      </c>
      <c r="AR160" s="94">
        <f t="shared" si="812"/>
        <v>0</v>
      </c>
      <c r="AS160" s="94">
        <f t="shared" si="813"/>
        <v>0</v>
      </c>
      <c r="AT160" s="94">
        <f t="shared" si="814"/>
        <v>0</v>
      </c>
      <c r="AU160" s="94">
        <f t="shared" si="815"/>
        <v>0</v>
      </c>
      <c r="AV160" s="94">
        <f t="shared" si="816"/>
        <v>0</v>
      </c>
      <c r="AW160" s="94">
        <f t="shared" si="817"/>
        <v>0</v>
      </c>
      <c r="AX160" s="94">
        <f t="shared" si="818"/>
        <v>779.43</v>
      </c>
      <c r="AY160" s="94">
        <f t="shared" si="819"/>
        <v>779.43</v>
      </c>
      <c r="AZ160" s="94">
        <f t="shared" si="820"/>
        <v>779.43</v>
      </c>
      <c r="BA160" s="94">
        <f t="shared" si="821"/>
        <v>779.43</v>
      </c>
      <c r="BB160" s="94">
        <f t="shared" si="822"/>
        <v>779.43</v>
      </c>
    </row>
    <row r="161" spans="1:54" x14ac:dyDescent="0.25">
      <c r="A161" s="80">
        <v>76</v>
      </c>
      <c r="B161" s="95" t="s">
        <v>2883</v>
      </c>
      <c r="C161" s="201" t="s">
        <v>238</v>
      </c>
      <c r="D161" s="80" t="s">
        <v>29</v>
      </c>
      <c r="E161" s="94">
        <f>IFERROR(VLOOKUP(A161,Estimate!A:Q,17,FALSE)," ")</f>
        <v>1534.5700000000002</v>
      </c>
      <c r="F161" s="202">
        <v>1</v>
      </c>
      <c r="G161" s="202">
        <v>1</v>
      </c>
      <c r="H161" s="203">
        <v>1927.77</v>
      </c>
      <c r="I161" s="203">
        <v>1927.77</v>
      </c>
      <c r="J161" s="203">
        <v>1927.77</v>
      </c>
      <c r="K161" s="203"/>
      <c r="L161" s="202"/>
      <c r="M161" s="204">
        <f t="shared" si="804"/>
        <v>0</v>
      </c>
      <c r="N161" s="95"/>
      <c r="O161" s="204">
        <f t="shared" si="804"/>
        <v>0</v>
      </c>
      <c r="P161" s="95"/>
      <c r="Q161" s="204">
        <f t="shared" ref="Q161:S161" si="961">IFERROR(P161/$G161," ")</f>
        <v>0</v>
      </c>
      <c r="R161" s="95"/>
      <c r="S161" s="204">
        <f t="shared" si="961"/>
        <v>0</v>
      </c>
      <c r="T161" s="95"/>
      <c r="U161" s="204">
        <f t="shared" ref="U161:W161" si="962">IFERROR(T161/$G161," ")</f>
        <v>0</v>
      </c>
      <c r="V161" s="95"/>
      <c r="W161" s="204">
        <f t="shared" si="962"/>
        <v>0</v>
      </c>
      <c r="X161" s="95"/>
      <c r="Y161" s="204">
        <f t="shared" ref="Y161:AA161" si="963">IFERROR(X161/$G161," ")</f>
        <v>0</v>
      </c>
      <c r="Z161" s="95"/>
      <c r="AA161" s="204">
        <f t="shared" si="963"/>
        <v>0</v>
      </c>
      <c r="AB161" s="95"/>
      <c r="AC161" s="204">
        <f t="shared" ref="AC161:AE161" si="964">IFERROR(AB161/$G161," ")</f>
        <v>0</v>
      </c>
      <c r="AD161" s="95"/>
      <c r="AE161" s="204">
        <f t="shared" si="964"/>
        <v>0</v>
      </c>
      <c r="AF161" s="95">
        <v>1</v>
      </c>
      <c r="AG161" s="204">
        <f t="shared" ref="AG161:AI161" si="965">IFERROR(AF161/$G161," ")</f>
        <v>1</v>
      </c>
      <c r="AH161" s="95">
        <v>1</v>
      </c>
      <c r="AI161" s="204">
        <f t="shared" si="965"/>
        <v>1</v>
      </c>
      <c r="AJ161" s="95">
        <v>1</v>
      </c>
      <c r="AK161" s="204">
        <f t="shared" ref="AK161:AM161" si="966">IFERROR(AJ161/$G161," ")</f>
        <v>1</v>
      </c>
      <c r="AL161" s="95">
        <v>1</v>
      </c>
      <c r="AM161" s="204">
        <f t="shared" si="966"/>
        <v>1</v>
      </c>
      <c r="AN161" s="95"/>
      <c r="AO161" s="94">
        <f t="shared" si="811"/>
        <v>0</v>
      </c>
      <c r="AP161" s="94">
        <f t="shared" si="801"/>
        <v>0</v>
      </c>
      <c r="AQ161" s="94">
        <f t="shared" si="802"/>
        <v>0</v>
      </c>
      <c r="AR161" s="94">
        <f t="shared" si="812"/>
        <v>0</v>
      </c>
      <c r="AS161" s="94">
        <f t="shared" si="813"/>
        <v>0</v>
      </c>
      <c r="AT161" s="94">
        <f t="shared" si="814"/>
        <v>0</v>
      </c>
      <c r="AU161" s="94">
        <f t="shared" si="815"/>
        <v>0</v>
      </c>
      <c r="AV161" s="94">
        <f t="shared" si="816"/>
        <v>0</v>
      </c>
      <c r="AW161" s="94">
        <f t="shared" si="817"/>
        <v>0</v>
      </c>
      <c r="AX161" s="94">
        <f t="shared" si="818"/>
        <v>0</v>
      </c>
      <c r="AY161" s="94">
        <f t="shared" si="819"/>
        <v>1927.77</v>
      </c>
      <c r="AZ161" s="94">
        <f t="shared" si="820"/>
        <v>1927.77</v>
      </c>
      <c r="BA161" s="94">
        <f t="shared" si="821"/>
        <v>1927.77</v>
      </c>
      <c r="BB161" s="94">
        <f t="shared" si="822"/>
        <v>1927.77</v>
      </c>
    </row>
    <row r="162" spans="1:54" x14ac:dyDescent="0.25">
      <c r="A162" s="80">
        <v>77</v>
      </c>
      <c r="B162" s="95" t="s">
        <v>2417</v>
      </c>
      <c r="C162" s="201" t="s">
        <v>299</v>
      </c>
      <c r="D162" s="80" t="s">
        <v>20</v>
      </c>
      <c r="E162" s="94">
        <f>IFERROR(VLOOKUP(A162,Estimate!A:Q,17,FALSE)," ")</f>
        <v>5000</v>
      </c>
      <c r="F162" s="202">
        <v>1</v>
      </c>
      <c r="G162" s="202">
        <v>1</v>
      </c>
      <c r="H162" s="203">
        <v>6281.14</v>
      </c>
      <c r="I162" s="203">
        <v>6281.14</v>
      </c>
      <c r="J162" s="203">
        <v>6281.14</v>
      </c>
      <c r="K162" s="203"/>
      <c r="L162" s="202"/>
      <c r="M162" s="204">
        <f t="shared" si="804"/>
        <v>0</v>
      </c>
      <c r="N162" s="95"/>
      <c r="O162" s="204">
        <f t="shared" si="804"/>
        <v>0</v>
      </c>
      <c r="P162" s="95"/>
      <c r="Q162" s="204">
        <f t="shared" ref="Q162:S162" si="967">IFERROR(P162/$G162," ")</f>
        <v>0</v>
      </c>
      <c r="R162" s="95"/>
      <c r="S162" s="204">
        <f t="shared" si="967"/>
        <v>0</v>
      </c>
      <c r="T162" s="95"/>
      <c r="U162" s="204">
        <f t="shared" ref="U162:W162" si="968">IFERROR(T162/$G162," ")</f>
        <v>0</v>
      </c>
      <c r="V162" s="95"/>
      <c r="W162" s="204">
        <f t="shared" si="968"/>
        <v>0</v>
      </c>
      <c r="X162" s="95"/>
      <c r="Y162" s="204">
        <f t="shared" ref="Y162:AA162" si="969">IFERROR(X162/$G162," ")</f>
        <v>0</v>
      </c>
      <c r="Z162" s="95"/>
      <c r="AA162" s="204">
        <f t="shared" si="969"/>
        <v>0</v>
      </c>
      <c r="AB162" s="95"/>
      <c r="AC162" s="204">
        <f t="shared" ref="AC162:AE162" si="970">IFERROR(AB162/$G162," ")</f>
        <v>0</v>
      </c>
      <c r="AD162" s="95"/>
      <c r="AE162" s="204">
        <f t="shared" si="970"/>
        <v>0</v>
      </c>
      <c r="AF162" s="95">
        <v>1</v>
      </c>
      <c r="AG162" s="204">
        <f t="shared" ref="AG162:AI162" si="971">IFERROR(AF162/$G162," ")</f>
        <v>1</v>
      </c>
      <c r="AH162" s="95">
        <v>1</v>
      </c>
      <c r="AI162" s="204">
        <f t="shared" si="971"/>
        <v>1</v>
      </c>
      <c r="AJ162" s="95">
        <v>1</v>
      </c>
      <c r="AK162" s="204">
        <f t="shared" ref="AK162:AM162" si="972">IFERROR(AJ162/$G162," ")</f>
        <v>1</v>
      </c>
      <c r="AL162" s="95">
        <v>1</v>
      </c>
      <c r="AM162" s="204">
        <f t="shared" si="972"/>
        <v>1</v>
      </c>
      <c r="AN162" s="95"/>
      <c r="AO162" s="94">
        <f t="shared" si="811"/>
        <v>0</v>
      </c>
      <c r="AP162" s="94">
        <f t="shared" si="801"/>
        <v>0</v>
      </c>
      <c r="AQ162" s="94">
        <f t="shared" si="802"/>
        <v>0</v>
      </c>
      <c r="AR162" s="94">
        <f t="shared" si="812"/>
        <v>0</v>
      </c>
      <c r="AS162" s="94">
        <f t="shared" si="813"/>
        <v>0</v>
      </c>
      <c r="AT162" s="94">
        <f t="shared" si="814"/>
        <v>0</v>
      </c>
      <c r="AU162" s="94">
        <f t="shared" si="815"/>
        <v>0</v>
      </c>
      <c r="AV162" s="94">
        <f t="shared" si="816"/>
        <v>0</v>
      </c>
      <c r="AW162" s="94">
        <f t="shared" si="817"/>
        <v>0</v>
      </c>
      <c r="AX162" s="94">
        <f t="shared" si="818"/>
        <v>0</v>
      </c>
      <c r="AY162" s="94">
        <f t="shared" si="819"/>
        <v>6281.14</v>
      </c>
      <c r="AZ162" s="94">
        <f t="shared" si="820"/>
        <v>6281.14</v>
      </c>
      <c r="BA162" s="94">
        <f t="shared" si="821"/>
        <v>6281.14</v>
      </c>
      <c r="BB162" s="94">
        <f t="shared" si="822"/>
        <v>6281.14</v>
      </c>
    </row>
    <row r="163" spans="1:54" x14ac:dyDescent="0.25">
      <c r="A163" s="80"/>
      <c r="B163" s="95" t="s">
        <v>2417</v>
      </c>
      <c r="C163" s="201" t="s">
        <v>2837</v>
      </c>
      <c r="D163" s="80" t="s">
        <v>783</v>
      </c>
      <c r="E163" s="94" t="str">
        <f>IFERROR(VLOOKUP(A163,Estimate!A:Q,17,FALSE)," ")</f>
        <v xml:space="preserve"> </v>
      </c>
      <c r="F163" s="202" t="s">
        <v>781</v>
      </c>
      <c r="G163" s="202" t="s">
        <v>781</v>
      </c>
      <c r="H163" s="203" t="s">
        <v>781</v>
      </c>
      <c r="I163" s="203" t="s">
        <v>781</v>
      </c>
      <c r="J163" s="203" t="s">
        <v>781</v>
      </c>
      <c r="K163" s="203"/>
      <c r="L163" s="202" t="s">
        <v>781</v>
      </c>
      <c r="M163" s="204" t="str">
        <f t="shared" si="804"/>
        <v xml:space="preserve"> </v>
      </c>
      <c r="N163" s="95" t="s">
        <v>781</v>
      </c>
      <c r="O163" s="204" t="str">
        <f t="shared" si="804"/>
        <v xml:space="preserve"> </v>
      </c>
      <c r="P163" s="95" t="s">
        <v>781</v>
      </c>
      <c r="Q163" s="204" t="str">
        <f t="shared" ref="Q163:S163" si="973">IFERROR(P163/$G163," ")</f>
        <v xml:space="preserve"> </v>
      </c>
      <c r="R163" s="95" t="s">
        <v>781</v>
      </c>
      <c r="S163" s="204" t="str">
        <f t="shared" si="973"/>
        <v xml:space="preserve"> </v>
      </c>
      <c r="T163" s="95" t="s">
        <v>781</v>
      </c>
      <c r="U163" s="204" t="str">
        <f t="shared" ref="U163:W163" si="974">IFERROR(T163/$G163," ")</f>
        <v xml:space="preserve"> </v>
      </c>
      <c r="V163" s="95" t="s">
        <v>781</v>
      </c>
      <c r="W163" s="204" t="str">
        <f t="shared" si="974"/>
        <v xml:space="preserve"> </v>
      </c>
      <c r="X163" s="95" t="s">
        <v>781</v>
      </c>
      <c r="Y163" s="204" t="str">
        <f t="shared" ref="Y163:AA163" si="975">IFERROR(X163/$G163," ")</f>
        <v xml:space="preserve"> </v>
      </c>
      <c r="Z163" s="95" t="s">
        <v>781</v>
      </c>
      <c r="AA163" s="204" t="str">
        <f t="shared" si="975"/>
        <v xml:space="preserve"> </v>
      </c>
      <c r="AB163" s="95" t="s">
        <v>781</v>
      </c>
      <c r="AC163" s="204" t="str">
        <f t="shared" ref="AC163:AE163" si="976">IFERROR(AB163/$G163," ")</f>
        <v xml:space="preserve"> </v>
      </c>
      <c r="AD163" s="95" t="s">
        <v>781</v>
      </c>
      <c r="AE163" s="204" t="str">
        <f t="shared" si="976"/>
        <v xml:space="preserve"> </v>
      </c>
      <c r="AF163" s="95" t="s">
        <v>781</v>
      </c>
      <c r="AG163" s="204" t="str">
        <f t="shared" ref="AG163:AI163" si="977">IFERROR(AF163/$G163," ")</f>
        <v xml:space="preserve"> </v>
      </c>
      <c r="AH163" s="95" t="s">
        <v>781</v>
      </c>
      <c r="AI163" s="204" t="str">
        <f t="shared" si="977"/>
        <v xml:space="preserve"> </v>
      </c>
      <c r="AJ163" s="95" t="s">
        <v>781</v>
      </c>
      <c r="AK163" s="204" t="str">
        <f t="shared" ref="AK163:AM163" si="978">IFERROR(AJ163/$G163," ")</f>
        <v xml:space="preserve"> </v>
      </c>
      <c r="AL163" s="95" t="s">
        <v>781</v>
      </c>
      <c r="AM163" s="204" t="str">
        <f t="shared" si="978"/>
        <v xml:space="preserve"> </v>
      </c>
      <c r="AN163" s="95"/>
      <c r="AO163" s="94" t="str">
        <f t="shared" si="811"/>
        <v xml:space="preserve"> </v>
      </c>
      <c r="AP163" s="94" t="str">
        <f t="shared" si="801"/>
        <v xml:space="preserve"> </v>
      </c>
      <c r="AQ163" s="94" t="str">
        <f t="shared" si="802"/>
        <v xml:space="preserve"> </v>
      </c>
      <c r="AR163" s="94" t="str">
        <f t="shared" si="812"/>
        <v xml:space="preserve"> </v>
      </c>
      <c r="AS163" s="94" t="str">
        <f t="shared" si="813"/>
        <v xml:space="preserve"> </v>
      </c>
      <c r="AT163" s="94" t="str">
        <f t="shared" si="814"/>
        <v xml:space="preserve"> </v>
      </c>
      <c r="AU163" s="94" t="str">
        <f t="shared" si="815"/>
        <v xml:space="preserve"> </v>
      </c>
      <c r="AV163" s="94" t="str">
        <f t="shared" si="816"/>
        <v xml:space="preserve"> </v>
      </c>
      <c r="AW163" s="94" t="str">
        <f t="shared" si="817"/>
        <v xml:space="preserve"> </v>
      </c>
      <c r="AX163" s="94" t="str">
        <f t="shared" si="818"/>
        <v xml:space="preserve"> </v>
      </c>
      <c r="AY163" s="94" t="str">
        <f t="shared" si="819"/>
        <v xml:space="preserve"> </v>
      </c>
      <c r="AZ163" s="94" t="str">
        <f t="shared" si="820"/>
        <v xml:space="preserve"> </v>
      </c>
      <c r="BA163" s="94" t="str">
        <f t="shared" si="821"/>
        <v xml:space="preserve"> </v>
      </c>
      <c r="BB163" s="94" t="str">
        <f t="shared" si="822"/>
        <v xml:space="preserve"> </v>
      </c>
    </row>
    <row r="164" spans="1:54" x14ac:dyDescent="0.25">
      <c r="A164" s="80"/>
      <c r="B164" s="95" t="s">
        <v>2417</v>
      </c>
      <c r="C164" s="201" t="s">
        <v>145</v>
      </c>
      <c r="D164" s="80" t="s">
        <v>783</v>
      </c>
      <c r="E164" s="94" t="str">
        <f>IFERROR(VLOOKUP(A164,Estimate!A:Q,17,FALSE)," ")</f>
        <v xml:space="preserve"> </v>
      </c>
      <c r="F164" s="202" t="s">
        <v>781</v>
      </c>
      <c r="G164" s="202" t="s">
        <v>781</v>
      </c>
      <c r="H164" s="203" t="s">
        <v>781</v>
      </c>
      <c r="I164" s="203" t="s">
        <v>781</v>
      </c>
      <c r="J164" s="203" t="s">
        <v>781</v>
      </c>
      <c r="K164" s="203"/>
      <c r="L164" s="202" t="s">
        <v>781</v>
      </c>
      <c r="M164" s="204" t="str">
        <f t="shared" si="804"/>
        <v xml:space="preserve"> </v>
      </c>
      <c r="N164" s="95" t="s">
        <v>781</v>
      </c>
      <c r="O164" s="204" t="str">
        <f t="shared" si="804"/>
        <v xml:space="preserve"> </v>
      </c>
      <c r="P164" s="95" t="s">
        <v>781</v>
      </c>
      <c r="Q164" s="204" t="str">
        <f t="shared" ref="Q164:S164" si="979">IFERROR(P164/$G164," ")</f>
        <v xml:space="preserve"> </v>
      </c>
      <c r="R164" s="95" t="s">
        <v>781</v>
      </c>
      <c r="S164" s="204" t="str">
        <f t="shared" si="979"/>
        <v xml:space="preserve"> </v>
      </c>
      <c r="T164" s="95" t="s">
        <v>781</v>
      </c>
      <c r="U164" s="204" t="str">
        <f t="shared" ref="U164:W164" si="980">IFERROR(T164/$G164," ")</f>
        <v xml:space="preserve"> </v>
      </c>
      <c r="V164" s="95" t="s">
        <v>781</v>
      </c>
      <c r="W164" s="204" t="str">
        <f t="shared" si="980"/>
        <v xml:space="preserve"> </v>
      </c>
      <c r="X164" s="95" t="s">
        <v>781</v>
      </c>
      <c r="Y164" s="204" t="str">
        <f t="shared" ref="Y164:AA164" si="981">IFERROR(X164/$G164," ")</f>
        <v xml:space="preserve"> </v>
      </c>
      <c r="Z164" s="95" t="s">
        <v>781</v>
      </c>
      <c r="AA164" s="204" t="str">
        <f t="shared" si="981"/>
        <v xml:space="preserve"> </v>
      </c>
      <c r="AB164" s="95" t="s">
        <v>781</v>
      </c>
      <c r="AC164" s="204" t="str">
        <f t="shared" ref="AC164:AE164" si="982">IFERROR(AB164/$G164," ")</f>
        <v xml:space="preserve"> </v>
      </c>
      <c r="AD164" s="95" t="s">
        <v>781</v>
      </c>
      <c r="AE164" s="204" t="str">
        <f t="shared" si="982"/>
        <v xml:space="preserve"> </v>
      </c>
      <c r="AF164" s="95" t="s">
        <v>781</v>
      </c>
      <c r="AG164" s="204" t="str">
        <f t="shared" ref="AG164:AI164" si="983">IFERROR(AF164/$G164," ")</f>
        <v xml:space="preserve"> </v>
      </c>
      <c r="AH164" s="95" t="s">
        <v>781</v>
      </c>
      <c r="AI164" s="204" t="str">
        <f t="shared" si="983"/>
        <v xml:space="preserve"> </v>
      </c>
      <c r="AJ164" s="95" t="s">
        <v>781</v>
      </c>
      <c r="AK164" s="204" t="str">
        <f t="shared" ref="AK164:AM164" si="984">IFERROR(AJ164/$G164," ")</f>
        <v xml:space="preserve"> </v>
      </c>
      <c r="AL164" s="95" t="s">
        <v>781</v>
      </c>
      <c r="AM164" s="204" t="str">
        <f t="shared" si="984"/>
        <v xml:space="preserve"> </v>
      </c>
      <c r="AN164" s="95"/>
      <c r="AO164" s="94" t="str">
        <f t="shared" si="811"/>
        <v xml:space="preserve"> </v>
      </c>
      <c r="AP164" s="94" t="str">
        <f t="shared" si="801"/>
        <v xml:space="preserve"> </v>
      </c>
      <c r="AQ164" s="94" t="str">
        <f t="shared" si="802"/>
        <v xml:space="preserve"> </v>
      </c>
      <c r="AR164" s="94" t="str">
        <f t="shared" si="812"/>
        <v xml:space="preserve"> </v>
      </c>
      <c r="AS164" s="94" t="str">
        <f t="shared" si="813"/>
        <v xml:space="preserve"> </v>
      </c>
      <c r="AT164" s="94" t="str">
        <f t="shared" si="814"/>
        <v xml:space="preserve"> </v>
      </c>
      <c r="AU164" s="94" t="str">
        <f t="shared" si="815"/>
        <v xml:space="preserve"> </v>
      </c>
      <c r="AV164" s="94" t="str">
        <f t="shared" si="816"/>
        <v xml:space="preserve"> </v>
      </c>
      <c r="AW164" s="94" t="str">
        <f t="shared" si="817"/>
        <v xml:space="preserve"> </v>
      </c>
      <c r="AX164" s="94" t="str">
        <f t="shared" si="818"/>
        <v xml:space="preserve"> </v>
      </c>
      <c r="AY164" s="94" t="str">
        <f t="shared" si="819"/>
        <v xml:space="preserve"> </v>
      </c>
      <c r="AZ164" s="94" t="str">
        <f t="shared" si="820"/>
        <v xml:space="preserve"> </v>
      </c>
      <c r="BA164" s="94" t="str">
        <f t="shared" si="821"/>
        <v xml:space="preserve"> </v>
      </c>
      <c r="BB164" s="94" t="str">
        <f t="shared" si="822"/>
        <v xml:space="preserve"> </v>
      </c>
    </row>
    <row r="165" spans="1:54" x14ac:dyDescent="0.25">
      <c r="A165" s="80">
        <v>78</v>
      </c>
      <c r="B165" s="95" t="s">
        <v>2417</v>
      </c>
      <c r="C165" s="201" t="s">
        <v>147</v>
      </c>
      <c r="D165" s="80" t="s">
        <v>20</v>
      </c>
      <c r="E165" s="94">
        <f>IFERROR(VLOOKUP(A165,Estimate!A:Q,17,FALSE)," ")</f>
        <v>2500</v>
      </c>
      <c r="F165" s="202">
        <v>1</v>
      </c>
      <c r="G165" s="202">
        <v>1</v>
      </c>
      <c r="H165" s="203">
        <v>3140.57</v>
      </c>
      <c r="I165" s="203">
        <v>3140.57</v>
      </c>
      <c r="J165" s="203">
        <v>3140.57</v>
      </c>
      <c r="K165" s="203"/>
      <c r="L165" s="202"/>
      <c r="M165" s="204">
        <f t="shared" si="804"/>
        <v>0</v>
      </c>
      <c r="N165" s="95"/>
      <c r="O165" s="204">
        <f t="shared" si="804"/>
        <v>0</v>
      </c>
      <c r="P165" s="95"/>
      <c r="Q165" s="204">
        <f t="shared" ref="Q165:S165" si="985">IFERROR(P165/$G165," ")</f>
        <v>0</v>
      </c>
      <c r="R165" s="95"/>
      <c r="S165" s="204">
        <f t="shared" si="985"/>
        <v>0</v>
      </c>
      <c r="T165" s="95"/>
      <c r="U165" s="204">
        <f t="shared" ref="U165:W165" si="986">IFERROR(T165/$G165," ")</f>
        <v>0</v>
      </c>
      <c r="V165" s="95"/>
      <c r="W165" s="204">
        <f t="shared" si="986"/>
        <v>0</v>
      </c>
      <c r="X165" s="95"/>
      <c r="Y165" s="204">
        <f t="shared" ref="Y165:AA165" si="987">IFERROR(X165/$G165," ")</f>
        <v>0</v>
      </c>
      <c r="Z165" s="95"/>
      <c r="AA165" s="204">
        <f t="shared" si="987"/>
        <v>0</v>
      </c>
      <c r="AB165" s="95"/>
      <c r="AC165" s="204">
        <f t="shared" ref="AC165:AE165" si="988">IFERROR(AB165/$G165," ")</f>
        <v>0</v>
      </c>
      <c r="AD165" s="95">
        <v>0.5</v>
      </c>
      <c r="AE165" s="204">
        <f t="shared" si="988"/>
        <v>0.5</v>
      </c>
      <c r="AF165" s="95">
        <v>1</v>
      </c>
      <c r="AG165" s="204">
        <f t="shared" ref="AG165:AI165" si="989">IFERROR(AF165/$G165," ")</f>
        <v>1</v>
      </c>
      <c r="AH165" s="95">
        <v>1</v>
      </c>
      <c r="AI165" s="204">
        <f t="shared" si="989"/>
        <v>1</v>
      </c>
      <c r="AJ165" s="95">
        <v>1</v>
      </c>
      <c r="AK165" s="204">
        <f t="shared" ref="AK165:AM165" si="990">IFERROR(AJ165/$G165," ")</f>
        <v>1</v>
      </c>
      <c r="AL165" s="95">
        <v>1</v>
      </c>
      <c r="AM165" s="204">
        <f t="shared" si="990"/>
        <v>1</v>
      </c>
      <c r="AN165" s="95"/>
      <c r="AO165" s="94">
        <f t="shared" si="811"/>
        <v>0</v>
      </c>
      <c r="AP165" s="94">
        <f t="shared" si="801"/>
        <v>0</v>
      </c>
      <c r="AQ165" s="94">
        <f t="shared" si="802"/>
        <v>0</v>
      </c>
      <c r="AR165" s="94">
        <f t="shared" si="812"/>
        <v>0</v>
      </c>
      <c r="AS165" s="94">
        <f t="shared" si="813"/>
        <v>0</v>
      </c>
      <c r="AT165" s="94">
        <f t="shared" si="814"/>
        <v>0</v>
      </c>
      <c r="AU165" s="94">
        <f t="shared" si="815"/>
        <v>0</v>
      </c>
      <c r="AV165" s="94">
        <f t="shared" si="816"/>
        <v>0</v>
      </c>
      <c r="AW165" s="94">
        <f t="shared" si="817"/>
        <v>0</v>
      </c>
      <c r="AX165" s="94">
        <f t="shared" si="818"/>
        <v>1570.2850000000001</v>
      </c>
      <c r="AY165" s="94">
        <f t="shared" si="819"/>
        <v>3140.57</v>
      </c>
      <c r="AZ165" s="94">
        <f t="shared" si="820"/>
        <v>3140.57</v>
      </c>
      <c r="BA165" s="94">
        <f t="shared" si="821"/>
        <v>3140.57</v>
      </c>
      <c r="BB165" s="94">
        <f t="shared" si="822"/>
        <v>3140.57</v>
      </c>
    </row>
    <row r="166" spans="1:54" x14ac:dyDescent="0.25">
      <c r="A166" s="80"/>
      <c r="B166" s="95" t="s">
        <v>2417</v>
      </c>
      <c r="C166" s="201" t="s">
        <v>2837</v>
      </c>
      <c r="D166" s="80" t="s">
        <v>783</v>
      </c>
      <c r="E166" s="94" t="str">
        <f>IFERROR(VLOOKUP(A166,Estimate!A:Q,17,FALSE)," ")</f>
        <v xml:space="preserve"> </v>
      </c>
      <c r="F166" s="202" t="s">
        <v>781</v>
      </c>
      <c r="G166" s="202" t="s">
        <v>781</v>
      </c>
      <c r="H166" s="203" t="s">
        <v>781</v>
      </c>
      <c r="I166" s="203" t="s">
        <v>781</v>
      </c>
      <c r="J166" s="203" t="s">
        <v>781</v>
      </c>
      <c r="K166" s="203"/>
      <c r="L166" s="202" t="s">
        <v>781</v>
      </c>
      <c r="M166" s="204" t="str">
        <f t="shared" si="804"/>
        <v xml:space="preserve"> </v>
      </c>
      <c r="N166" s="95" t="s">
        <v>781</v>
      </c>
      <c r="O166" s="204" t="str">
        <f t="shared" si="804"/>
        <v xml:space="preserve"> </v>
      </c>
      <c r="P166" s="95" t="s">
        <v>781</v>
      </c>
      <c r="Q166" s="204" t="str">
        <f t="shared" ref="Q166:S166" si="991">IFERROR(P166/$G166," ")</f>
        <v xml:space="preserve"> </v>
      </c>
      <c r="R166" s="95" t="s">
        <v>781</v>
      </c>
      <c r="S166" s="204" t="str">
        <f t="shared" si="991"/>
        <v xml:space="preserve"> </v>
      </c>
      <c r="T166" s="95" t="s">
        <v>781</v>
      </c>
      <c r="U166" s="204" t="str">
        <f t="shared" ref="U166:W166" si="992">IFERROR(T166/$G166," ")</f>
        <v xml:space="preserve"> </v>
      </c>
      <c r="V166" s="95" t="s">
        <v>781</v>
      </c>
      <c r="W166" s="204" t="str">
        <f t="shared" si="992"/>
        <v xml:space="preserve"> </v>
      </c>
      <c r="X166" s="95" t="s">
        <v>781</v>
      </c>
      <c r="Y166" s="204" t="str">
        <f t="shared" ref="Y166:AA166" si="993">IFERROR(X166/$G166," ")</f>
        <v xml:space="preserve"> </v>
      </c>
      <c r="Z166" s="95" t="s">
        <v>781</v>
      </c>
      <c r="AA166" s="204" t="str">
        <f t="shared" si="993"/>
        <v xml:space="preserve"> </v>
      </c>
      <c r="AB166" s="95" t="s">
        <v>781</v>
      </c>
      <c r="AC166" s="204" t="str">
        <f t="shared" ref="AC166:AE166" si="994">IFERROR(AB166/$G166," ")</f>
        <v xml:space="preserve"> </v>
      </c>
      <c r="AD166" s="95" t="s">
        <v>781</v>
      </c>
      <c r="AE166" s="204" t="str">
        <f t="shared" si="994"/>
        <v xml:space="preserve"> </v>
      </c>
      <c r="AF166" s="95" t="s">
        <v>781</v>
      </c>
      <c r="AG166" s="204" t="str">
        <f t="shared" ref="AG166:AI166" si="995">IFERROR(AF166/$G166," ")</f>
        <v xml:space="preserve"> </v>
      </c>
      <c r="AH166" s="95" t="s">
        <v>781</v>
      </c>
      <c r="AI166" s="204" t="str">
        <f t="shared" si="995"/>
        <v xml:space="preserve"> </v>
      </c>
      <c r="AJ166" s="95" t="s">
        <v>781</v>
      </c>
      <c r="AK166" s="204" t="str">
        <f t="shared" ref="AK166:AM166" si="996">IFERROR(AJ166/$G166," ")</f>
        <v xml:space="preserve"> </v>
      </c>
      <c r="AL166" s="95" t="s">
        <v>781</v>
      </c>
      <c r="AM166" s="204" t="str">
        <f t="shared" si="996"/>
        <v xml:space="preserve"> </v>
      </c>
      <c r="AN166" s="95"/>
      <c r="AO166" s="94" t="str">
        <f t="shared" si="811"/>
        <v xml:space="preserve"> </v>
      </c>
      <c r="AP166" s="94" t="str">
        <f t="shared" si="801"/>
        <v xml:space="preserve"> </v>
      </c>
      <c r="AQ166" s="94" t="str">
        <f t="shared" si="802"/>
        <v xml:space="preserve"> </v>
      </c>
      <c r="AR166" s="94" t="str">
        <f t="shared" si="812"/>
        <v xml:space="preserve"> </v>
      </c>
      <c r="AS166" s="94" t="str">
        <f t="shared" si="813"/>
        <v xml:space="preserve"> </v>
      </c>
      <c r="AT166" s="94" t="str">
        <f t="shared" si="814"/>
        <v xml:space="preserve"> </v>
      </c>
      <c r="AU166" s="94" t="str">
        <f t="shared" si="815"/>
        <v xml:space="preserve"> </v>
      </c>
      <c r="AV166" s="94" t="str">
        <f t="shared" si="816"/>
        <v xml:space="preserve"> </v>
      </c>
      <c r="AW166" s="94" t="str">
        <f t="shared" si="817"/>
        <v xml:space="preserve"> </v>
      </c>
      <c r="AX166" s="94" t="str">
        <f t="shared" si="818"/>
        <v xml:space="preserve"> </v>
      </c>
      <c r="AY166" s="94" t="str">
        <f t="shared" si="819"/>
        <v xml:space="preserve"> </v>
      </c>
      <c r="AZ166" s="94" t="str">
        <f t="shared" si="820"/>
        <v xml:space="preserve"> </v>
      </c>
      <c r="BA166" s="94" t="str">
        <f t="shared" si="821"/>
        <v xml:space="preserve"> </v>
      </c>
      <c r="BB166" s="94" t="str">
        <f t="shared" si="822"/>
        <v xml:space="preserve"> </v>
      </c>
    </row>
    <row r="167" spans="1:54" x14ac:dyDescent="0.25">
      <c r="A167" s="80"/>
      <c r="B167" s="205" t="s">
        <v>2417</v>
      </c>
      <c r="C167" s="206" t="s">
        <v>1916</v>
      </c>
      <c r="D167" s="207" t="s">
        <v>783</v>
      </c>
      <c r="E167" s="94" t="str">
        <f>IFERROR(VLOOKUP(A167,Estimate!A:Q,17,FALSE)," ")</f>
        <v xml:space="preserve"> </v>
      </c>
      <c r="F167" s="208" t="s">
        <v>781</v>
      </c>
      <c r="G167" s="208" t="s">
        <v>781</v>
      </c>
      <c r="H167" s="209" t="s">
        <v>781</v>
      </c>
      <c r="I167" s="209">
        <v>275016.98</v>
      </c>
      <c r="J167" s="209" t="s">
        <v>781</v>
      </c>
      <c r="K167" s="209"/>
      <c r="L167" s="208" t="s">
        <v>781</v>
      </c>
      <c r="M167" s="204" t="str">
        <f t="shared" si="804"/>
        <v xml:space="preserve"> </v>
      </c>
      <c r="N167" s="95" t="s">
        <v>781</v>
      </c>
      <c r="O167" s="204" t="str">
        <f t="shared" si="804"/>
        <v xml:space="preserve"> </v>
      </c>
      <c r="P167" s="95" t="s">
        <v>781</v>
      </c>
      <c r="Q167" s="204" t="str">
        <f t="shared" ref="Q167:S167" si="997">IFERROR(P167/$G167," ")</f>
        <v xml:space="preserve"> </v>
      </c>
      <c r="R167" s="95" t="s">
        <v>781</v>
      </c>
      <c r="S167" s="204" t="str">
        <f t="shared" si="997"/>
        <v xml:space="preserve"> </v>
      </c>
      <c r="T167" s="95" t="s">
        <v>781</v>
      </c>
      <c r="U167" s="204" t="str">
        <f t="shared" ref="U167:W167" si="998">IFERROR(T167/$G167," ")</f>
        <v xml:space="preserve"> </v>
      </c>
      <c r="V167" s="95" t="s">
        <v>781</v>
      </c>
      <c r="W167" s="204" t="str">
        <f t="shared" si="998"/>
        <v xml:space="preserve"> </v>
      </c>
      <c r="X167" s="95" t="s">
        <v>781</v>
      </c>
      <c r="Y167" s="204" t="str">
        <f t="shared" ref="Y167:AA167" si="999">IFERROR(X167/$G167," ")</f>
        <v xml:space="preserve"> </v>
      </c>
      <c r="Z167" s="95" t="s">
        <v>781</v>
      </c>
      <c r="AA167" s="204" t="str">
        <f t="shared" si="999"/>
        <v xml:space="preserve"> </v>
      </c>
      <c r="AB167" s="95" t="s">
        <v>781</v>
      </c>
      <c r="AC167" s="204" t="str">
        <f t="shared" ref="AC167:AE167" si="1000">IFERROR(AB167/$G167," ")</f>
        <v xml:space="preserve"> </v>
      </c>
      <c r="AD167" s="95" t="s">
        <v>781</v>
      </c>
      <c r="AE167" s="204" t="str">
        <f t="shared" si="1000"/>
        <v xml:space="preserve"> </v>
      </c>
      <c r="AF167" s="95" t="s">
        <v>781</v>
      </c>
      <c r="AG167" s="204" t="str">
        <f t="shared" ref="AG167:AI167" si="1001">IFERROR(AF167/$G167," ")</f>
        <v xml:space="preserve"> </v>
      </c>
      <c r="AH167" s="95" t="s">
        <v>781</v>
      </c>
      <c r="AI167" s="204" t="str">
        <f t="shared" si="1001"/>
        <v xml:space="preserve"> </v>
      </c>
      <c r="AJ167" s="95" t="s">
        <v>781</v>
      </c>
      <c r="AK167" s="204" t="str">
        <f t="shared" ref="AK167:AM167" si="1002">IFERROR(AJ167/$G167," ")</f>
        <v xml:space="preserve"> </v>
      </c>
      <c r="AL167" s="95" t="s">
        <v>781</v>
      </c>
      <c r="AM167" s="204" t="str">
        <f t="shared" si="1002"/>
        <v xml:space="preserve"> </v>
      </c>
      <c r="AN167" s="95"/>
      <c r="AO167" s="94" t="str">
        <f t="shared" si="811"/>
        <v xml:space="preserve"> </v>
      </c>
      <c r="AP167" s="94" t="str">
        <f t="shared" si="801"/>
        <v xml:space="preserve"> </v>
      </c>
      <c r="AQ167" s="94" t="str">
        <f t="shared" si="802"/>
        <v xml:space="preserve"> </v>
      </c>
      <c r="AR167" s="94" t="str">
        <f t="shared" si="812"/>
        <v xml:space="preserve"> </v>
      </c>
      <c r="AS167" s="94" t="str">
        <f t="shared" si="813"/>
        <v xml:space="preserve"> </v>
      </c>
      <c r="AT167" s="94" t="str">
        <f t="shared" si="814"/>
        <v xml:space="preserve"> </v>
      </c>
      <c r="AU167" s="94" t="str">
        <f t="shared" si="815"/>
        <v xml:space="preserve"> </v>
      </c>
      <c r="AV167" s="94" t="str">
        <f t="shared" si="816"/>
        <v xml:space="preserve"> </v>
      </c>
      <c r="AW167" s="94" t="str">
        <f t="shared" si="817"/>
        <v xml:space="preserve"> </v>
      </c>
      <c r="AX167" s="94" t="str">
        <f t="shared" si="818"/>
        <v xml:space="preserve"> </v>
      </c>
      <c r="AY167" s="94" t="str">
        <f t="shared" si="819"/>
        <v xml:space="preserve"> </v>
      </c>
      <c r="AZ167" s="94" t="str">
        <f t="shared" si="820"/>
        <v xml:space="preserve"> </v>
      </c>
      <c r="BA167" s="94" t="str">
        <f t="shared" si="821"/>
        <v xml:space="preserve"> </v>
      </c>
      <c r="BB167" s="94" t="str">
        <f t="shared" si="822"/>
        <v xml:space="preserve"> </v>
      </c>
    </row>
    <row r="168" spans="1:54" x14ac:dyDescent="0.25">
      <c r="A168" s="80"/>
      <c r="B168" s="95" t="s">
        <v>2417</v>
      </c>
      <c r="C168" s="201" t="s">
        <v>781</v>
      </c>
      <c r="D168" s="80" t="s">
        <v>783</v>
      </c>
      <c r="E168" s="94" t="str">
        <f>IFERROR(VLOOKUP(A168,Estimate!A:Q,17,FALSE)," ")</f>
        <v xml:space="preserve"> </v>
      </c>
      <c r="F168" s="202" t="s">
        <v>781</v>
      </c>
      <c r="G168" s="202" t="s">
        <v>781</v>
      </c>
      <c r="H168" s="203" t="s">
        <v>781</v>
      </c>
      <c r="I168" s="203" t="s">
        <v>781</v>
      </c>
      <c r="J168" s="203" t="s">
        <v>781</v>
      </c>
      <c r="K168" s="203"/>
      <c r="L168" s="202" t="s">
        <v>781</v>
      </c>
      <c r="M168" s="204" t="str">
        <f t="shared" si="804"/>
        <v xml:space="preserve"> </v>
      </c>
      <c r="N168" s="95" t="s">
        <v>781</v>
      </c>
      <c r="O168" s="204" t="str">
        <f t="shared" si="804"/>
        <v xml:space="preserve"> </v>
      </c>
      <c r="P168" s="95" t="s">
        <v>781</v>
      </c>
      <c r="Q168" s="204" t="str">
        <f t="shared" ref="Q168:S168" si="1003">IFERROR(P168/$G168," ")</f>
        <v xml:space="preserve"> </v>
      </c>
      <c r="R168" s="95" t="s">
        <v>781</v>
      </c>
      <c r="S168" s="204" t="str">
        <f t="shared" si="1003"/>
        <v xml:space="preserve"> </v>
      </c>
      <c r="T168" s="95" t="s">
        <v>781</v>
      </c>
      <c r="U168" s="204" t="str">
        <f t="shared" ref="U168:W168" si="1004">IFERROR(T168/$G168," ")</f>
        <v xml:space="preserve"> </v>
      </c>
      <c r="V168" s="95" t="s">
        <v>781</v>
      </c>
      <c r="W168" s="204" t="str">
        <f t="shared" si="1004"/>
        <v xml:space="preserve"> </v>
      </c>
      <c r="X168" s="95" t="s">
        <v>781</v>
      </c>
      <c r="Y168" s="204" t="str">
        <f t="shared" ref="Y168:AA168" si="1005">IFERROR(X168/$G168," ")</f>
        <v xml:space="preserve"> </v>
      </c>
      <c r="Z168" s="95" t="s">
        <v>781</v>
      </c>
      <c r="AA168" s="204" t="str">
        <f t="shared" si="1005"/>
        <v xml:space="preserve"> </v>
      </c>
      <c r="AB168" s="95" t="s">
        <v>781</v>
      </c>
      <c r="AC168" s="204" t="str">
        <f t="shared" ref="AC168:AE168" si="1006">IFERROR(AB168/$G168," ")</f>
        <v xml:space="preserve"> </v>
      </c>
      <c r="AD168" s="95" t="s">
        <v>781</v>
      </c>
      <c r="AE168" s="204" t="str">
        <f t="shared" si="1006"/>
        <v xml:space="preserve"> </v>
      </c>
      <c r="AF168" s="95" t="s">
        <v>781</v>
      </c>
      <c r="AG168" s="204" t="str">
        <f t="shared" ref="AG168:AI168" si="1007">IFERROR(AF168/$G168," ")</f>
        <v xml:space="preserve"> </v>
      </c>
      <c r="AH168" s="95" t="s">
        <v>781</v>
      </c>
      <c r="AI168" s="204" t="str">
        <f t="shared" si="1007"/>
        <v xml:space="preserve"> </v>
      </c>
      <c r="AJ168" s="95" t="s">
        <v>781</v>
      </c>
      <c r="AK168" s="204" t="str">
        <f t="shared" ref="AK168:AM168" si="1008">IFERROR(AJ168/$G168," ")</f>
        <v xml:space="preserve"> </v>
      </c>
      <c r="AL168" s="95" t="s">
        <v>781</v>
      </c>
      <c r="AM168" s="204" t="str">
        <f t="shared" si="1008"/>
        <v xml:space="preserve"> </v>
      </c>
      <c r="AN168" s="95"/>
      <c r="AO168" s="94" t="str">
        <f t="shared" si="811"/>
        <v xml:space="preserve"> </v>
      </c>
      <c r="AP168" s="94" t="str">
        <f t="shared" si="801"/>
        <v xml:space="preserve"> </v>
      </c>
      <c r="AQ168" s="94" t="str">
        <f t="shared" si="802"/>
        <v xml:space="preserve"> </v>
      </c>
      <c r="AR168" s="94" t="str">
        <f t="shared" si="812"/>
        <v xml:space="preserve"> </v>
      </c>
      <c r="AS168" s="94" t="str">
        <f t="shared" si="813"/>
        <v xml:space="preserve"> </v>
      </c>
      <c r="AT168" s="94" t="str">
        <f t="shared" si="814"/>
        <v xml:space="preserve"> </v>
      </c>
      <c r="AU168" s="94" t="str">
        <f t="shared" si="815"/>
        <v xml:space="preserve"> </v>
      </c>
      <c r="AV168" s="94" t="str">
        <f t="shared" si="816"/>
        <v xml:space="preserve"> </v>
      </c>
      <c r="AW168" s="94" t="str">
        <f t="shared" si="817"/>
        <v xml:space="preserve"> </v>
      </c>
      <c r="AX168" s="94" t="str">
        <f t="shared" si="818"/>
        <v xml:space="preserve"> </v>
      </c>
      <c r="AY168" s="94" t="str">
        <f t="shared" si="819"/>
        <v xml:space="preserve"> </v>
      </c>
      <c r="AZ168" s="94" t="str">
        <f t="shared" si="820"/>
        <v xml:space="preserve"> </v>
      </c>
      <c r="BA168" s="94" t="str">
        <f t="shared" si="821"/>
        <v xml:space="preserve"> </v>
      </c>
      <c r="BB168" s="94" t="str">
        <f t="shared" si="822"/>
        <v xml:space="preserve"> </v>
      </c>
    </row>
    <row r="169" spans="1:54" x14ac:dyDescent="0.25">
      <c r="A169" s="80"/>
      <c r="B169" s="95" t="s">
        <v>2417</v>
      </c>
      <c r="C169" s="201" t="s">
        <v>303</v>
      </c>
      <c r="D169" s="80" t="s">
        <v>783</v>
      </c>
      <c r="E169" s="94" t="str">
        <f>IFERROR(VLOOKUP(A169,Estimate!A:Q,17,FALSE)," ")</f>
        <v xml:space="preserve"> </v>
      </c>
      <c r="F169" s="202" t="s">
        <v>781</v>
      </c>
      <c r="G169" s="202" t="s">
        <v>781</v>
      </c>
      <c r="H169" s="203" t="s">
        <v>781</v>
      </c>
      <c r="I169" s="203" t="s">
        <v>781</v>
      </c>
      <c r="J169" s="203" t="s">
        <v>781</v>
      </c>
      <c r="K169" s="203"/>
      <c r="L169" s="202" t="s">
        <v>781</v>
      </c>
      <c r="M169" s="204" t="str">
        <f t="shared" si="804"/>
        <v xml:space="preserve"> </v>
      </c>
      <c r="N169" s="95" t="s">
        <v>781</v>
      </c>
      <c r="O169" s="204" t="str">
        <f t="shared" si="804"/>
        <v xml:space="preserve"> </v>
      </c>
      <c r="P169" s="95" t="s">
        <v>781</v>
      </c>
      <c r="Q169" s="204" t="str">
        <f t="shared" ref="Q169:S169" si="1009">IFERROR(P169/$G169," ")</f>
        <v xml:space="preserve"> </v>
      </c>
      <c r="R169" s="95" t="s">
        <v>781</v>
      </c>
      <c r="S169" s="204" t="str">
        <f t="shared" si="1009"/>
        <v xml:space="preserve"> </v>
      </c>
      <c r="T169" s="95" t="s">
        <v>781</v>
      </c>
      <c r="U169" s="204" t="str">
        <f t="shared" ref="U169:W169" si="1010">IFERROR(T169/$G169," ")</f>
        <v xml:space="preserve"> </v>
      </c>
      <c r="V169" s="95" t="s">
        <v>781</v>
      </c>
      <c r="W169" s="204" t="str">
        <f t="shared" si="1010"/>
        <v xml:space="preserve"> </v>
      </c>
      <c r="X169" s="95" t="s">
        <v>781</v>
      </c>
      <c r="Y169" s="204" t="str">
        <f t="shared" ref="Y169:AA169" si="1011">IFERROR(X169/$G169," ")</f>
        <v xml:space="preserve"> </v>
      </c>
      <c r="Z169" s="95" t="s">
        <v>781</v>
      </c>
      <c r="AA169" s="204" t="str">
        <f t="shared" si="1011"/>
        <v xml:space="preserve"> </v>
      </c>
      <c r="AB169" s="95" t="s">
        <v>781</v>
      </c>
      <c r="AC169" s="204" t="str">
        <f t="shared" ref="AC169:AE169" si="1012">IFERROR(AB169/$G169," ")</f>
        <v xml:space="preserve"> </v>
      </c>
      <c r="AD169" s="95" t="s">
        <v>781</v>
      </c>
      <c r="AE169" s="204" t="str">
        <f t="shared" si="1012"/>
        <v xml:space="preserve"> </v>
      </c>
      <c r="AF169" s="95" t="s">
        <v>781</v>
      </c>
      <c r="AG169" s="204" t="str">
        <f t="shared" ref="AG169:AI169" si="1013">IFERROR(AF169/$G169," ")</f>
        <v xml:space="preserve"> </v>
      </c>
      <c r="AH169" s="95" t="s">
        <v>781</v>
      </c>
      <c r="AI169" s="204" t="str">
        <f t="shared" si="1013"/>
        <v xml:space="preserve"> </v>
      </c>
      <c r="AJ169" s="95" t="s">
        <v>781</v>
      </c>
      <c r="AK169" s="204" t="str">
        <f t="shared" ref="AK169:AM169" si="1014">IFERROR(AJ169/$G169," ")</f>
        <v xml:space="preserve"> </v>
      </c>
      <c r="AL169" s="95" t="s">
        <v>781</v>
      </c>
      <c r="AM169" s="204" t="str">
        <f t="shared" si="1014"/>
        <v xml:space="preserve"> </v>
      </c>
      <c r="AN169" s="95"/>
      <c r="AO169" s="94" t="str">
        <f t="shared" si="811"/>
        <v xml:space="preserve"> </v>
      </c>
      <c r="AP169" s="94" t="str">
        <f t="shared" si="801"/>
        <v xml:space="preserve"> </v>
      </c>
      <c r="AQ169" s="94" t="str">
        <f t="shared" si="802"/>
        <v xml:space="preserve"> </v>
      </c>
      <c r="AR169" s="94" t="str">
        <f t="shared" ref="AR169:AR199" si="1015">IFERROR(S169*$J169," ")</f>
        <v xml:space="preserve"> </v>
      </c>
      <c r="AS169" s="94" t="str">
        <f t="shared" si="813"/>
        <v xml:space="preserve"> </v>
      </c>
      <c r="AT169" s="94" t="str">
        <f t="shared" si="814"/>
        <v xml:space="preserve"> </v>
      </c>
      <c r="AU169" s="94" t="str">
        <f t="shared" si="815"/>
        <v xml:space="preserve"> </v>
      </c>
      <c r="AV169" s="94" t="str">
        <f t="shared" si="816"/>
        <v xml:space="preserve"> </v>
      </c>
      <c r="AW169" s="94" t="str">
        <f t="shared" si="817"/>
        <v xml:space="preserve"> </v>
      </c>
      <c r="AX169" s="94" t="str">
        <f t="shared" si="818"/>
        <v xml:space="preserve"> </v>
      </c>
      <c r="AY169" s="94" t="str">
        <f t="shared" si="819"/>
        <v xml:space="preserve"> </v>
      </c>
      <c r="AZ169" s="94" t="str">
        <f t="shared" si="820"/>
        <v xml:space="preserve"> </v>
      </c>
      <c r="BA169" s="94" t="str">
        <f t="shared" si="821"/>
        <v xml:space="preserve"> </v>
      </c>
      <c r="BB169" s="94" t="str">
        <f t="shared" si="822"/>
        <v xml:space="preserve"> </v>
      </c>
    </row>
    <row r="170" spans="1:54" x14ac:dyDescent="0.25">
      <c r="A170" s="80"/>
      <c r="B170" s="95" t="s">
        <v>2417</v>
      </c>
      <c r="C170" s="201" t="s">
        <v>781</v>
      </c>
      <c r="D170" s="80" t="s">
        <v>783</v>
      </c>
      <c r="E170" s="94" t="str">
        <f>IFERROR(VLOOKUP(A170,Estimate!A:Q,17,FALSE)," ")</f>
        <v xml:space="preserve"> </v>
      </c>
      <c r="F170" s="202" t="s">
        <v>781</v>
      </c>
      <c r="G170" s="202" t="s">
        <v>781</v>
      </c>
      <c r="H170" s="203" t="s">
        <v>781</v>
      </c>
      <c r="I170" s="203" t="s">
        <v>781</v>
      </c>
      <c r="J170" s="203" t="s">
        <v>781</v>
      </c>
      <c r="K170" s="203"/>
      <c r="L170" s="202" t="s">
        <v>781</v>
      </c>
      <c r="M170" s="204" t="str">
        <f t="shared" si="804"/>
        <v xml:space="preserve"> </v>
      </c>
      <c r="N170" s="95" t="s">
        <v>781</v>
      </c>
      <c r="O170" s="204" t="str">
        <f t="shared" si="804"/>
        <v xml:space="preserve"> </v>
      </c>
      <c r="P170" s="95" t="s">
        <v>781</v>
      </c>
      <c r="Q170" s="204" t="str">
        <f t="shared" ref="Q170:S170" si="1016">IFERROR(P170/$G170," ")</f>
        <v xml:space="preserve"> </v>
      </c>
      <c r="R170" s="95" t="s">
        <v>781</v>
      </c>
      <c r="S170" s="204" t="str">
        <f t="shared" si="1016"/>
        <v xml:space="preserve"> </v>
      </c>
      <c r="T170" s="95" t="s">
        <v>781</v>
      </c>
      <c r="U170" s="204" t="str">
        <f t="shared" ref="U170:W170" si="1017">IFERROR(T170/$G170," ")</f>
        <v xml:space="preserve"> </v>
      </c>
      <c r="V170" s="95" t="s">
        <v>781</v>
      </c>
      <c r="W170" s="204" t="str">
        <f t="shared" si="1017"/>
        <v xml:space="preserve"> </v>
      </c>
      <c r="X170" s="95" t="s">
        <v>781</v>
      </c>
      <c r="Y170" s="204" t="str">
        <f t="shared" ref="Y170:AA170" si="1018">IFERROR(X170/$G170," ")</f>
        <v xml:space="preserve"> </v>
      </c>
      <c r="Z170" s="95" t="s">
        <v>781</v>
      </c>
      <c r="AA170" s="204" t="str">
        <f t="shared" si="1018"/>
        <v xml:space="preserve"> </v>
      </c>
      <c r="AB170" s="95" t="s">
        <v>781</v>
      </c>
      <c r="AC170" s="204" t="str">
        <f t="shared" ref="AC170:AE170" si="1019">IFERROR(AB170/$G170," ")</f>
        <v xml:space="preserve"> </v>
      </c>
      <c r="AD170" s="95" t="s">
        <v>781</v>
      </c>
      <c r="AE170" s="204" t="str">
        <f t="shared" si="1019"/>
        <v xml:space="preserve"> </v>
      </c>
      <c r="AF170" s="95" t="s">
        <v>781</v>
      </c>
      <c r="AG170" s="204" t="str">
        <f t="shared" ref="AG170:AI170" si="1020">IFERROR(AF170/$G170," ")</f>
        <v xml:space="preserve"> </v>
      </c>
      <c r="AH170" s="95" t="s">
        <v>781</v>
      </c>
      <c r="AI170" s="204" t="str">
        <f t="shared" si="1020"/>
        <v xml:space="preserve"> </v>
      </c>
      <c r="AJ170" s="95" t="s">
        <v>781</v>
      </c>
      <c r="AK170" s="204" t="str">
        <f t="shared" ref="AK170:AM170" si="1021">IFERROR(AJ170/$G170," ")</f>
        <v xml:space="preserve"> </v>
      </c>
      <c r="AL170" s="95" t="s">
        <v>781</v>
      </c>
      <c r="AM170" s="204" t="str">
        <f t="shared" si="1021"/>
        <v xml:space="preserve"> </v>
      </c>
      <c r="AN170" s="95"/>
      <c r="AO170" s="94" t="str">
        <f t="shared" si="811"/>
        <v xml:space="preserve"> </v>
      </c>
      <c r="AP170" s="94" t="str">
        <f t="shared" si="801"/>
        <v xml:space="preserve"> </v>
      </c>
      <c r="AQ170" s="94" t="str">
        <f t="shared" si="802"/>
        <v xml:space="preserve"> </v>
      </c>
      <c r="AR170" s="94" t="str">
        <f t="shared" si="1015"/>
        <v xml:space="preserve"> </v>
      </c>
      <c r="AS170" s="94" t="str">
        <f t="shared" si="813"/>
        <v xml:space="preserve"> </v>
      </c>
      <c r="AT170" s="94" t="str">
        <f t="shared" si="814"/>
        <v xml:space="preserve"> </v>
      </c>
      <c r="AU170" s="94" t="str">
        <f t="shared" si="815"/>
        <v xml:space="preserve"> </v>
      </c>
      <c r="AV170" s="94" t="str">
        <f t="shared" si="816"/>
        <v xml:space="preserve"> </v>
      </c>
      <c r="AW170" s="94" t="str">
        <f t="shared" si="817"/>
        <v xml:space="preserve"> </v>
      </c>
      <c r="AX170" s="94" t="str">
        <f t="shared" si="818"/>
        <v xml:space="preserve"> </v>
      </c>
      <c r="AY170" s="94" t="str">
        <f t="shared" si="819"/>
        <v xml:space="preserve"> </v>
      </c>
      <c r="AZ170" s="94" t="str">
        <f t="shared" si="820"/>
        <v xml:space="preserve"> </v>
      </c>
      <c r="BA170" s="94" t="str">
        <f t="shared" si="821"/>
        <v xml:space="preserve"> </v>
      </c>
      <c r="BB170" s="94" t="str">
        <f t="shared" si="822"/>
        <v xml:space="preserve"> </v>
      </c>
    </row>
    <row r="171" spans="1:54" ht="60" x14ac:dyDescent="0.25">
      <c r="A171" s="80">
        <v>79</v>
      </c>
      <c r="B171" s="95">
        <v>1</v>
      </c>
      <c r="C171" s="201" t="s">
        <v>305</v>
      </c>
      <c r="D171" s="80" t="s">
        <v>89</v>
      </c>
      <c r="E171" s="94">
        <f>IFERROR(VLOOKUP(A171,Estimate!A:Q,17,FALSE)," ")</f>
        <v>7020</v>
      </c>
      <c r="F171" s="202">
        <v>156</v>
      </c>
      <c r="G171" s="202">
        <v>156</v>
      </c>
      <c r="H171" s="203">
        <v>56.53</v>
      </c>
      <c r="I171" s="203">
        <v>8818.68</v>
      </c>
      <c r="J171" s="203">
        <v>8818.68</v>
      </c>
      <c r="K171" s="203"/>
      <c r="L171" s="202"/>
      <c r="M171" s="204">
        <f t="shared" si="804"/>
        <v>0</v>
      </c>
      <c r="N171" s="95"/>
      <c r="O171" s="204">
        <f t="shared" si="804"/>
        <v>0</v>
      </c>
      <c r="P171" s="95"/>
      <c r="Q171" s="204">
        <f t="shared" ref="Q171:S171" si="1022">IFERROR(P171/$G171," ")</f>
        <v>0</v>
      </c>
      <c r="R171" s="95"/>
      <c r="S171" s="204">
        <f t="shared" si="1022"/>
        <v>0</v>
      </c>
      <c r="T171" s="95"/>
      <c r="U171" s="204">
        <f t="shared" ref="U171:W171" si="1023">IFERROR(T171/$G171," ")</f>
        <v>0</v>
      </c>
      <c r="V171" s="95"/>
      <c r="W171" s="204">
        <f t="shared" si="1023"/>
        <v>0</v>
      </c>
      <c r="X171" s="95">
        <v>100</v>
      </c>
      <c r="Y171" s="204">
        <f t="shared" ref="Y171:AA171" si="1024">IFERROR(X171/$G171," ")</f>
        <v>0.64102564102564108</v>
      </c>
      <c r="Z171" s="95">
        <v>156</v>
      </c>
      <c r="AA171" s="204">
        <f t="shared" si="1024"/>
        <v>1</v>
      </c>
      <c r="AB171" s="95">
        <v>156</v>
      </c>
      <c r="AC171" s="204">
        <f t="shared" ref="AC171:AE171" si="1025">IFERROR(AB171/$G171," ")</f>
        <v>1</v>
      </c>
      <c r="AD171" s="95">
        <v>156</v>
      </c>
      <c r="AE171" s="204">
        <f t="shared" si="1025"/>
        <v>1</v>
      </c>
      <c r="AF171" s="95">
        <v>156</v>
      </c>
      <c r="AG171" s="204">
        <f t="shared" ref="AG171:AI171" si="1026">IFERROR(AF171/$G171," ")</f>
        <v>1</v>
      </c>
      <c r="AH171" s="95">
        <v>156</v>
      </c>
      <c r="AI171" s="204">
        <f t="shared" si="1026"/>
        <v>1</v>
      </c>
      <c r="AJ171" s="95">
        <v>156</v>
      </c>
      <c r="AK171" s="204">
        <f t="shared" ref="AK171:AM171" si="1027">IFERROR(AJ171/$G171," ")</f>
        <v>1</v>
      </c>
      <c r="AL171" s="95">
        <v>156</v>
      </c>
      <c r="AM171" s="204">
        <f t="shared" si="1027"/>
        <v>1</v>
      </c>
      <c r="AN171" s="95"/>
      <c r="AO171" s="94">
        <f t="shared" si="811"/>
        <v>0</v>
      </c>
      <c r="AP171" s="94">
        <f t="shared" si="801"/>
        <v>0</v>
      </c>
      <c r="AQ171" s="94">
        <f t="shared" si="802"/>
        <v>0</v>
      </c>
      <c r="AR171" s="94">
        <f t="shared" si="1015"/>
        <v>0</v>
      </c>
      <c r="AS171" s="94">
        <f t="shared" si="813"/>
        <v>0</v>
      </c>
      <c r="AT171" s="94">
        <f t="shared" si="814"/>
        <v>0</v>
      </c>
      <c r="AU171" s="94">
        <f t="shared" si="815"/>
        <v>5653.0000000000009</v>
      </c>
      <c r="AV171" s="94">
        <f t="shared" si="816"/>
        <v>8818.68</v>
      </c>
      <c r="AW171" s="94">
        <f t="shared" si="817"/>
        <v>8818.68</v>
      </c>
      <c r="AX171" s="94">
        <f t="shared" si="818"/>
        <v>8818.68</v>
      </c>
      <c r="AY171" s="94">
        <f t="shared" si="819"/>
        <v>8818.68</v>
      </c>
      <c r="AZ171" s="94">
        <f t="shared" si="820"/>
        <v>8818.68</v>
      </c>
      <c r="BA171" s="94">
        <f t="shared" si="821"/>
        <v>8818.68</v>
      </c>
      <c r="BB171" s="94">
        <f t="shared" si="822"/>
        <v>8818.68</v>
      </c>
    </row>
    <row r="172" spans="1:54" ht="30" x14ac:dyDescent="0.25">
      <c r="A172" s="80"/>
      <c r="B172" s="95">
        <v>2</v>
      </c>
      <c r="C172" s="201" t="s">
        <v>308</v>
      </c>
      <c r="D172" s="80" t="s">
        <v>783</v>
      </c>
      <c r="E172" s="94" t="str">
        <f>IFERROR(VLOOKUP(A172,Estimate!A:Q,17,FALSE)," ")</f>
        <v xml:space="preserve"> </v>
      </c>
      <c r="F172" s="202" t="s">
        <v>781</v>
      </c>
      <c r="G172" s="202" t="s">
        <v>781</v>
      </c>
      <c r="H172" s="203" t="s">
        <v>781</v>
      </c>
      <c r="I172" s="203" t="s">
        <v>781</v>
      </c>
      <c r="J172" s="203" t="s">
        <v>781</v>
      </c>
      <c r="K172" s="203"/>
      <c r="L172" s="202" t="s">
        <v>781</v>
      </c>
      <c r="M172" s="204" t="str">
        <f t="shared" si="804"/>
        <v xml:space="preserve"> </v>
      </c>
      <c r="N172" s="95" t="s">
        <v>781</v>
      </c>
      <c r="O172" s="204" t="str">
        <f t="shared" si="804"/>
        <v xml:space="preserve"> </v>
      </c>
      <c r="P172" s="95" t="s">
        <v>781</v>
      </c>
      <c r="Q172" s="204" t="str">
        <f t="shared" ref="Q172:S172" si="1028">IFERROR(P172/$G172," ")</f>
        <v xml:space="preserve"> </v>
      </c>
      <c r="R172" s="95" t="s">
        <v>781</v>
      </c>
      <c r="S172" s="204" t="str">
        <f t="shared" si="1028"/>
        <v xml:space="preserve"> </v>
      </c>
      <c r="T172" s="95" t="s">
        <v>781</v>
      </c>
      <c r="U172" s="204" t="str">
        <f t="shared" ref="U172:W172" si="1029">IFERROR(T172/$G172," ")</f>
        <v xml:space="preserve"> </v>
      </c>
      <c r="V172" s="95" t="s">
        <v>781</v>
      </c>
      <c r="W172" s="204" t="str">
        <f t="shared" si="1029"/>
        <v xml:space="preserve"> </v>
      </c>
      <c r="X172" s="95" t="s">
        <v>781</v>
      </c>
      <c r="Y172" s="204" t="str">
        <f t="shared" ref="Y172:AA172" si="1030">IFERROR(X172/$G172," ")</f>
        <v xml:space="preserve"> </v>
      </c>
      <c r="Z172" s="95" t="s">
        <v>781</v>
      </c>
      <c r="AA172" s="204" t="str">
        <f t="shared" si="1030"/>
        <v xml:space="preserve"> </v>
      </c>
      <c r="AB172" s="95" t="s">
        <v>781</v>
      </c>
      <c r="AC172" s="204" t="str">
        <f t="shared" ref="AC172:AE172" si="1031">IFERROR(AB172/$G172," ")</f>
        <v xml:space="preserve"> </v>
      </c>
      <c r="AD172" s="95" t="s">
        <v>781</v>
      </c>
      <c r="AE172" s="204" t="str">
        <f t="shared" si="1031"/>
        <v xml:space="preserve"> </v>
      </c>
      <c r="AF172" s="95" t="s">
        <v>781</v>
      </c>
      <c r="AG172" s="204" t="str">
        <f t="shared" ref="AG172:AI172" si="1032">IFERROR(AF172/$G172," ")</f>
        <v xml:space="preserve"> </v>
      </c>
      <c r="AH172" s="95" t="s">
        <v>781</v>
      </c>
      <c r="AI172" s="204" t="str">
        <f t="shared" si="1032"/>
        <v xml:space="preserve"> </v>
      </c>
      <c r="AJ172" s="95" t="s">
        <v>781</v>
      </c>
      <c r="AK172" s="204" t="str">
        <f t="shared" ref="AK172:AM172" si="1033">IFERROR(AJ172/$G172," ")</f>
        <v xml:space="preserve"> </v>
      </c>
      <c r="AL172" s="95" t="s">
        <v>781</v>
      </c>
      <c r="AM172" s="204" t="str">
        <f t="shared" si="1033"/>
        <v xml:space="preserve"> </v>
      </c>
      <c r="AN172" s="95"/>
      <c r="AO172" s="94" t="str">
        <f t="shared" si="811"/>
        <v xml:space="preserve"> </v>
      </c>
      <c r="AP172" s="94" t="str">
        <f t="shared" si="801"/>
        <v xml:space="preserve"> </v>
      </c>
      <c r="AQ172" s="94" t="str">
        <f t="shared" si="802"/>
        <v xml:space="preserve"> </v>
      </c>
      <c r="AR172" s="94" t="str">
        <f t="shared" si="1015"/>
        <v xml:space="preserve"> </v>
      </c>
      <c r="AS172" s="94" t="str">
        <f t="shared" si="813"/>
        <v xml:space="preserve"> </v>
      </c>
      <c r="AT172" s="94" t="str">
        <f t="shared" si="814"/>
        <v xml:space="preserve"> </v>
      </c>
      <c r="AU172" s="94" t="str">
        <f t="shared" si="815"/>
        <v xml:space="preserve"> </v>
      </c>
      <c r="AV172" s="94" t="str">
        <f t="shared" si="816"/>
        <v xml:space="preserve"> </v>
      </c>
      <c r="AW172" s="94" t="str">
        <f t="shared" si="817"/>
        <v xml:space="preserve"> </v>
      </c>
      <c r="AX172" s="94" t="str">
        <f t="shared" si="818"/>
        <v xml:space="preserve"> </v>
      </c>
      <c r="AY172" s="94" t="str">
        <f t="shared" si="819"/>
        <v xml:space="preserve"> </v>
      </c>
      <c r="AZ172" s="94" t="str">
        <f t="shared" si="820"/>
        <v xml:space="preserve"> </v>
      </c>
      <c r="BA172" s="94" t="str">
        <f t="shared" si="821"/>
        <v xml:space="preserve"> </v>
      </c>
      <c r="BB172" s="94" t="str">
        <f t="shared" si="822"/>
        <v xml:space="preserve"> </v>
      </c>
    </row>
    <row r="173" spans="1:54" x14ac:dyDescent="0.25">
      <c r="A173" s="80">
        <v>80</v>
      </c>
      <c r="B173" s="95" t="s">
        <v>2417</v>
      </c>
      <c r="C173" s="201" t="s">
        <v>310</v>
      </c>
      <c r="D173" s="80" t="s">
        <v>89</v>
      </c>
      <c r="E173" s="94">
        <f>IFERROR(VLOOKUP(A173,Estimate!A:Q,17,FALSE)," ")</f>
        <v>39000</v>
      </c>
      <c r="F173" s="202">
        <v>156</v>
      </c>
      <c r="G173" s="202">
        <v>156</v>
      </c>
      <c r="H173" s="203">
        <v>314.06</v>
      </c>
      <c r="I173" s="203">
        <v>48993.36</v>
      </c>
      <c r="J173" s="203">
        <v>48993.36</v>
      </c>
      <c r="K173" s="203"/>
      <c r="L173" s="202"/>
      <c r="M173" s="204">
        <f t="shared" si="804"/>
        <v>0</v>
      </c>
      <c r="N173" s="95"/>
      <c r="O173" s="204">
        <f t="shared" si="804"/>
        <v>0</v>
      </c>
      <c r="P173" s="95"/>
      <c r="Q173" s="204">
        <f t="shared" ref="Q173:S173" si="1034">IFERROR(P173/$G173," ")</f>
        <v>0</v>
      </c>
      <c r="R173" s="95"/>
      <c r="S173" s="204">
        <f t="shared" si="1034"/>
        <v>0</v>
      </c>
      <c r="T173" s="95"/>
      <c r="U173" s="204">
        <f t="shared" ref="U173:W173" si="1035">IFERROR(T173/$G173," ")</f>
        <v>0</v>
      </c>
      <c r="V173" s="95"/>
      <c r="W173" s="204">
        <f t="shared" si="1035"/>
        <v>0</v>
      </c>
      <c r="X173" s="95">
        <v>100</v>
      </c>
      <c r="Y173" s="204">
        <f t="shared" ref="Y173:AA173" si="1036">IFERROR(X173/$G173," ")</f>
        <v>0.64102564102564108</v>
      </c>
      <c r="Z173" s="95">
        <v>156</v>
      </c>
      <c r="AA173" s="204">
        <f t="shared" si="1036"/>
        <v>1</v>
      </c>
      <c r="AB173" s="95">
        <v>156</v>
      </c>
      <c r="AC173" s="204">
        <f t="shared" ref="AC173:AE173" si="1037">IFERROR(AB173/$G173," ")</f>
        <v>1</v>
      </c>
      <c r="AD173" s="95">
        <v>156</v>
      </c>
      <c r="AE173" s="204">
        <f t="shared" si="1037"/>
        <v>1</v>
      </c>
      <c r="AF173" s="95">
        <v>156</v>
      </c>
      <c r="AG173" s="204">
        <f t="shared" ref="AG173:AI173" si="1038">IFERROR(AF173/$G173," ")</f>
        <v>1</v>
      </c>
      <c r="AH173" s="95">
        <v>156</v>
      </c>
      <c r="AI173" s="204">
        <f t="shared" si="1038"/>
        <v>1</v>
      </c>
      <c r="AJ173" s="95">
        <v>156</v>
      </c>
      <c r="AK173" s="204">
        <f t="shared" ref="AK173:AM173" si="1039">IFERROR(AJ173/$G173," ")</f>
        <v>1</v>
      </c>
      <c r="AL173" s="95">
        <v>156</v>
      </c>
      <c r="AM173" s="204">
        <f t="shared" si="1039"/>
        <v>1</v>
      </c>
      <c r="AN173" s="95"/>
      <c r="AO173" s="94">
        <f t="shared" si="811"/>
        <v>0</v>
      </c>
      <c r="AP173" s="94">
        <f t="shared" si="801"/>
        <v>0</v>
      </c>
      <c r="AQ173" s="94">
        <f t="shared" si="802"/>
        <v>0</v>
      </c>
      <c r="AR173" s="94">
        <f t="shared" si="1015"/>
        <v>0</v>
      </c>
      <c r="AS173" s="94">
        <f t="shared" si="813"/>
        <v>0</v>
      </c>
      <c r="AT173" s="94">
        <f t="shared" si="814"/>
        <v>0</v>
      </c>
      <c r="AU173" s="94">
        <f t="shared" si="815"/>
        <v>31406.000000000004</v>
      </c>
      <c r="AV173" s="94">
        <f t="shared" si="816"/>
        <v>48993.36</v>
      </c>
      <c r="AW173" s="94">
        <f t="shared" si="817"/>
        <v>48993.36</v>
      </c>
      <c r="AX173" s="94">
        <f t="shared" si="818"/>
        <v>48993.36</v>
      </c>
      <c r="AY173" s="94">
        <f t="shared" si="819"/>
        <v>48993.36</v>
      </c>
      <c r="AZ173" s="94">
        <f t="shared" si="820"/>
        <v>48993.36</v>
      </c>
      <c r="BA173" s="94">
        <f t="shared" si="821"/>
        <v>48993.36</v>
      </c>
      <c r="BB173" s="94">
        <f t="shared" si="822"/>
        <v>48993.36</v>
      </c>
    </row>
    <row r="174" spans="1:54" ht="60" x14ac:dyDescent="0.25">
      <c r="A174" s="80"/>
      <c r="B174" s="95">
        <v>3</v>
      </c>
      <c r="C174" s="201" t="s">
        <v>312</v>
      </c>
      <c r="D174" s="80" t="s">
        <v>783</v>
      </c>
      <c r="E174" s="94" t="str">
        <f>IFERROR(VLOOKUP(A174,Estimate!A:Q,17,FALSE)," ")</f>
        <v xml:space="preserve"> </v>
      </c>
      <c r="F174" s="202" t="s">
        <v>781</v>
      </c>
      <c r="G174" s="202" t="s">
        <v>781</v>
      </c>
      <c r="H174" s="203" t="s">
        <v>781</v>
      </c>
      <c r="I174" s="203" t="s">
        <v>781</v>
      </c>
      <c r="J174" s="203" t="s">
        <v>781</v>
      </c>
      <c r="K174" s="203"/>
      <c r="L174" s="202" t="s">
        <v>781</v>
      </c>
      <c r="M174" s="204" t="str">
        <f t="shared" si="804"/>
        <v xml:space="preserve"> </v>
      </c>
      <c r="N174" s="95" t="s">
        <v>781</v>
      </c>
      <c r="O174" s="204" t="str">
        <f t="shared" si="804"/>
        <v xml:space="preserve"> </v>
      </c>
      <c r="P174" s="95" t="s">
        <v>781</v>
      </c>
      <c r="Q174" s="204" t="str">
        <f t="shared" ref="Q174:S174" si="1040">IFERROR(P174/$G174," ")</f>
        <v xml:space="preserve"> </v>
      </c>
      <c r="R174" s="95" t="s">
        <v>781</v>
      </c>
      <c r="S174" s="204" t="str">
        <f t="shared" si="1040"/>
        <v xml:space="preserve"> </v>
      </c>
      <c r="T174" s="95" t="s">
        <v>781</v>
      </c>
      <c r="U174" s="204" t="str">
        <f t="shared" ref="U174:W174" si="1041">IFERROR(T174/$G174," ")</f>
        <v xml:space="preserve"> </v>
      </c>
      <c r="V174" s="95" t="s">
        <v>781</v>
      </c>
      <c r="W174" s="204" t="str">
        <f t="shared" si="1041"/>
        <v xml:space="preserve"> </v>
      </c>
      <c r="X174" s="95" t="s">
        <v>781</v>
      </c>
      <c r="Y174" s="204" t="str">
        <f t="shared" ref="Y174:AA174" si="1042">IFERROR(X174/$G174," ")</f>
        <v xml:space="preserve"> </v>
      </c>
      <c r="Z174" s="95" t="s">
        <v>781</v>
      </c>
      <c r="AA174" s="204" t="str">
        <f t="shared" si="1042"/>
        <v xml:space="preserve"> </v>
      </c>
      <c r="AB174" s="95" t="s">
        <v>781</v>
      </c>
      <c r="AC174" s="204" t="str">
        <f t="shared" ref="AC174:AE174" si="1043">IFERROR(AB174/$G174," ")</f>
        <v xml:space="preserve"> </v>
      </c>
      <c r="AD174" s="95" t="s">
        <v>781</v>
      </c>
      <c r="AE174" s="204" t="str">
        <f t="shared" si="1043"/>
        <v xml:space="preserve"> </v>
      </c>
      <c r="AF174" s="95" t="s">
        <v>781</v>
      </c>
      <c r="AG174" s="204" t="str">
        <f t="shared" ref="AG174:AI174" si="1044">IFERROR(AF174/$G174," ")</f>
        <v xml:space="preserve"> </v>
      </c>
      <c r="AH174" s="95" t="s">
        <v>781</v>
      </c>
      <c r="AI174" s="204" t="str">
        <f t="shared" si="1044"/>
        <v xml:space="preserve"> </v>
      </c>
      <c r="AJ174" s="95" t="s">
        <v>781</v>
      </c>
      <c r="AK174" s="204" t="str">
        <f t="shared" ref="AK174:AM174" si="1045">IFERROR(AJ174/$G174," ")</f>
        <v xml:space="preserve"> </v>
      </c>
      <c r="AL174" s="95" t="s">
        <v>781</v>
      </c>
      <c r="AM174" s="204" t="str">
        <f t="shared" si="1045"/>
        <v xml:space="preserve"> </v>
      </c>
      <c r="AN174" s="95"/>
      <c r="AO174" s="94" t="str">
        <f t="shared" si="811"/>
        <v xml:space="preserve"> </v>
      </c>
      <c r="AP174" s="94" t="str">
        <f t="shared" si="801"/>
        <v xml:space="preserve"> </v>
      </c>
      <c r="AQ174" s="94" t="str">
        <f t="shared" si="802"/>
        <v xml:space="preserve"> </v>
      </c>
      <c r="AR174" s="94" t="str">
        <f t="shared" si="1015"/>
        <v xml:space="preserve"> </v>
      </c>
      <c r="AS174" s="94" t="str">
        <f t="shared" si="813"/>
        <v xml:space="preserve"> </v>
      </c>
      <c r="AT174" s="94" t="str">
        <f t="shared" si="814"/>
        <v xml:space="preserve"> </v>
      </c>
      <c r="AU174" s="94" t="str">
        <f t="shared" si="815"/>
        <v xml:space="preserve"> </v>
      </c>
      <c r="AV174" s="94" t="str">
        <f t="shared" si="816"/>
        <v xml:space="preserve"> </v>
      </c>
      <c r="AW174" s="94" t="str">
        <f t="shared" si="817"/>
        <v xml:space="preserve"> </v>
      </c>
      <c r="AX174" s="94" t="str">
        <f t="shared" si="818"/>
        <v xml:space="preserve"> </v>
      </c>
      <c r="AY174" s="94" t="str">
        <f t="shared" si="819"/>
        <v xml:space="preserve"> </v>
      </c>
      <c r="AZ174" s="94" t="str">
        <f t="shared" si="820"/>
        <v xml:space="preserve"> </v>
      </c>
      <c r="BA174" s="94" t="str">
        <f t="shared" si="821"/>
        <v xml:space="preserve"> </v>
      </c>
      <c r="BB174" s="94" t="str">
        <f t="shared" si="822"/>
        <v xml:space="preserve"> </v>
      </c>
    </row>
    <row r="175" spans="1:54" x14ac:dyDescent="0.25">
      <c r="A175" s="80">
        <v>81</v>
      </c>
      <c r="B175" s="95" t="s">
        <v>2417</v>
      </c>
      <c r="C175" s="201" t="s">
        <v>314</v>
      </c>
      <c r="D175" s="80" t="s">
        <v>315</v>
      </c>
      <c r="E175" s="94">
        <f>IFERROR(VLOOKUP(A175,Estimate!A:Q,17,FALSE)," ")</f>
        <v>4000</v>
      </c>
      <c r="F175" s="202">
        <v>2</v>
      </c>
      <c r="G175" s="202">
        <v>2</v>
      </c>
      <c r="H175" s="203">
        <v>2512.46</v>
      </c>
      <c r="I175" s="203">
        <v>5024.92</v>
      </c>
      <c r="J175" s="203">
        <v>5024.92</v>
      </c>
      <c r="K175" s="203"/>
      <c r="L175" s="202"/>
      <c r="M175" s="204">
        <f t="shared" si="804"/>
        <v>0</v>
      </c>
      <c r="N175" s="95"/>
      <c r="O175" s="204">
        <f t="shared" si="804"/>
        <v>0</v>
      </c>
      <c r="P175" s="95"/>
      <c r="Q175" s="204">
        <f t="shared" ref="Q175:S175" si="1046">IFERROR(P175/$G175," ")</f>
        <v>0</v>
      </c>
      <c r="R175" s="95"/>
      <c r="S175" s="204">
        <f t="shared" si="1046"/>
        <v>0</v>
      </c>
      <c r="T175" s="95"/>
      <c r="U175" s="204">
        <f t="shared" ref="U175:W175" si="1047">IFERROR(T175/$G175," ")</f>
        <v>0</v>
      </c>
      <c r="V175" s="95"/>
      <c r="W175" s="204">
        <f t="shared" si="1047"/>
        <v>0</v>
      </c>
      <c r="X175" s="95">
        <v>1</v>
      </c>
      <c r="Y175" s="204">
        <f t="shared" ref="Y175:AA175" si="1048">IFERROR(X175/$G175," ")</f>
        <v>0.5</v>
      </c>
      <c r="Z175" s="95">
        <v>2</v>
      </c>
      <c r="AA175" s="204">
        <f t="shared" si="1048"/>
        <v>1</v>
      </c>
      <c r="AB175" s="95">
        <v>2</v>
      </c>
      <c r="AC175" s="204">
        <f t="shared" ref="AC175:AE175" si="1049">IFERROR(AB175/$G175," ")</f>
        <v>1</v>
      </c>
      <c r="AD175" s="95">
        <v>2</v>
      </c>
      <c r="AE175" s="204">
        <f t="shared" si="1049"/>
        <v>1</v>
      </c>
      <c r="AF175" s="95">
        <v>2</v>
      </c>
      <c r="AG175" s="204">
        <f t="shared" ref="AG175:AI175" si="1050">IFERROR(AF175/$G175," ")</f>
        <v>1</v>
      </c>
      <c r="AH175" s="95">
        <v>2</v>
      </c>
      <c r="AI175" s="204">
        <f t="shared" si="1050"/>
        <v>1</v>
      </c>
      <c r="AJ175" s="95">
        <v>2</v>
      </c>
      <c r="AK175" s="204">
        <f t="shared" ref="AK175:AM175" si="1051">IFERROR(AJ175/$G175," ")</f>
        <v>1</v>
      </c>
      <c r="AL175" s="95">
        <v>2</v>
      </c>
      <c r="AM175" s="204">
        <f t="shared" si="1051"/>
        <v>1</v>
      </c>
      <c r="AN175" s="95"/>
      <c r="AO175" s="94">
        <f t="shared" si="811"/>
        <v>0</v>
      </c>
      <c r="AP175" s="94">
        <f t="shared" si="801"/>
        <v>0</v>
      </c>
      <c r="AQ175" s="94">
        <f t="shared" si="802"/>
        <v>0</v>
      </c>
      <c r="AR175" s="94">
        <f t="shared" si="1015"/>
        <v>0</v>
      </c>
      <c r="AS175" s="94">
        <f t="shared" si="813"/>
        <v>0</v>
      </c>
      <c r="AT175" s="94">
        <f t="shared" si="814"/>
        <v>0</v>
      </c>
      <c r="AU175" s="94">
        <f t="shared" si="815"/>
        <v>2512.46</v>
      </c>
      <c r="AV175" s="94">
        <f t="shared" si="816"/>
        <v>5024.92</v>
      </c>
      <c r="AW175" s="94">
        <f t="shared" si="817"/>
        <v>5024.92</v>
      </c>
      <c r="AX175" s="94">
        <f t="shared" si="818"/>
        <v>5024.92</v>
      </c>
      <c r="AY175" s="94">
        <f t="shared" si="819"/>
        <v>5024.92</v>
      </c>
      <c r="AZ175" s="94">
        <f t="shared" si="820"/>
        <v>5024.92</v>
      </c>
      <c r="BA175" s="94">
        <f t="shared" si="821"/>
        <v>5024.92</v>
      </c>
      <c r="BB175" s="94">
        <f t="shared" si="822"/>
        <v>5024.92</v>
      </c>
    </row>
    <row r="176" spans="1:54" ht="45" x14ac:dyDescent="0.25">
      <c r="A176" s="80"/>
      <c r="B176" s="95">
        <v>4</v>
      </c>
      <c r="C176" s="201" t="s">
        <v>317</v>
      </c>
      <c r="D176" s="80" t="s">
        <v>783</v>
      </c>
      <c r="E176" s="94" t="str">
        <f>IFERROR(VLOOKUP(A176,Estimate!A:Q,17,FALSE)," ")</f>
        <v xml:space="preserve"> </v>
      </c>
      <c r="F176" s="202" t="s">
        <v>781</v>
      </c>
      <c r="G176" s="202" t="s">
        <v>781</v>
      </c>
      <c r="H176" s="203" t="s">
        <v>781</v>
      </c>
      <c r="I176" s="203" t="s">
        <v>781</v>
      </c>
      <c r="J176" s="203" t="s">
        <v>781</v>
      </c>
      <c r="K176" s="203"/>
      <c r="L176" s="202" t="s">
        <v>781</v>
      </c>
      <c r="M176" s="204" t="str">
        <f t="shared" si="804"/>
        <v xml:space="preserve"> </v>
      </c>
      <c r="N176" s="95" t="s">
        <v>781</v>
      </c>
      <c r="O176" s="204" t="str">
        <f t="shared" si="804"/>
        <v xml:space="preserve"> </v>
      </c>
      <c r="P176" s="95" t="s">
        <v>781</v>
      </c>
      <c r="Q176" s="204" t="str">
        <f t="shared" ref="Q176:S176" si="1052">IFERROR(P176/$G176," ")</f>
        <v xml:space="preserve"> </v>
      </c>
      <c r="R176" s="95" t="s">
        <v>781</v>
      </c>
      <c r="S176" s="204" t="str">
        <f t="shared" si="1052"/>
        <v xml:space="preserve"> </v>
      </c>
      <c r="T176" s="95" t="s">
        <v>781</v>
      </c>
      <c r="U176" s="204" t="str">
        <f t="shared" ref="U176:W176" si="1053">IFERROR(T176/$G176," ")</f>
        <v xml:space="preserve"> </v>
      </c>
      <c r="V176" s="95" t="s">
        <v>781</v>
      </c>
      <c r="W176" s="204" t="str">
        <f t="shared" si="1053"/>
        <v xml:space="preserve"> </v>
      </c>
      <c r="X176" s="95" t="s">
        <v>781</v>
      </c>
      <c r="Y176" s="204" t="str">
        <f t="shared" ref="Y176:AA176" si="1054">IFERROR(X176/$G176," ")</f>
        <v xml:space="preserve"> </v>
      </c>
      <c r="Z176" s="95" t="s">
        <v>781</v>
      </c>
      <c r="AA176" s="204" t="str">
        <f t="shared" si="1054"/>
        <v xml:space="preserve"> </v>
      </c>
      <c r="AB176" s="95" t="s">
        <v>781</v>
      </c>
      <c r="AC176" s="204" t="str">
        <f t="shared" ref="AC176:AE176" si="1055">IFERROR(AB176/$G176," ")</f>
        <v xml:space="preserve"> </v>
      </c>
      <c r="AD176" s="95" t="s">
        <v>781</v>
      </c>
      <c r="AE176" s="204" t="str">
        <f t="shared" si="1055"/>
        <v xml:space="preserve"> </v>
      </c>
      <c r="AF176" s="95" t="s">
        <v>781</v>
      </c>
      <c r="AG176" s="204" t="str">
        <f t="shared" ref="AG176:AI176" si="1056">IFERROR(AF176/$G176," ")</f>
        <v xml:space="preserve"> </v>
      </c>
      <c r="AH176" s="95" t="s">
        <v>781</v>
      </c>
      <c r="AI176" s="204" t="str">
        <f t="shared" si="1056"/>
        <v xml:space="preserve"> </v>
      </c>
      <c r="AJ176" s="95" t="s">
        <v>781</v>
      </c>
      <c r="AK176" s="204" t="str">
        <f t="shared" ref="AK176:AM176" si="1057">IFERROR(AJ176/$G176," ")</f>
        <v xml:space="preserve"> </v>
      </c>
      <c r="AL176" s="95" t="s">
        <v>781</v>
      </c>
      <c r="AM176" s="204" t="str">
        <f t="shared" si="1057"/>
        <v xml:space="preserve"> </v>
      </c>
      <c r="AN176" s="95"/>
      <c r="AO176" s="94" t="str">
        <f t="shared" si="811"/>
        <v xml:space="preserve"> </v>
      </c>
      <c r="AP176" s="94" t="str">
        <f t="shared" si="801"/>
        <v xml:space="preserve"> </v>
      </c>
      <c r="AQ176" s="94" t="str">
        <f t="shared" si="802"/>
        <v xml:space="preserve"> </v>
      </c>
      <c r="AR176" s="94" t="str">
        <f t="shared" si="1015"/>
        <v xml:space="preserve"> </v>
      </c>
      <c r="AS176" s="94" t="str">
        <f t="shared" si="813"/>
        <v xml:space="preserve"> </v>
      </c>
      <c r="AT176" s="94" t="str">
        <f t="shared" si="814"/>
        <v xml:space="preserve"> </v>
      </c>
      <c r="AU176" s="94" t="str">
        <f t="shared" si="815"/>
        <v xml:space="preserve"> </v>
      </c>
      <c r="AV176" s="94" t="str">
        <f t="shared" si="816"/>
        <v xml:space="preserve"> </v>
      </c>
      <c r="AW176" s="94" t="str">
        <f t="shared" si="817"/>
        <v xml:space="preserve"> </v>
      </c>
      <c r="AX176" s="94" t="str">
        <f t="shared" si="818"/>
        <v xml:space="preserve"> </v>
      </c>
      <c r="AY176" s="94" t="str">
        <f t="shared" si="819"/>
        <v xml:space="preserve"> </v>
      </c>
      <c r="AZ176" s="94" t="str">
        <f t="shared" si="820"/>
        <v xml:space="preserve"> </v>
      </c>
      <c r="BA176" s="94" t="str">
        <f t="shared" si="821"/>
        <v xml:space="preserve"> </v>
      </c>
      <c r="BB176" s="94" t="str">
        <f t="shared" si="822"/>
        <v xml:space="preserve"> </v>
      </c>
    </row>
    <row r="177" spans="1:54" x14ac:dyDescent="0.25">
      <c r="A177" s="80">
        <v>81.5</v>
      </c>
      <c r="B177" s="95" t="s">
        <v>2417</v>
      </c>
      <c r="C177" s="201" t="s">
        <v>314</v>
      </c>
      <c r="D177" s="80" t="s">
        <v>315</v>
      </c>
      <c r="E177" s="94">
        <f>IFERROR(VLOOKUP(A177,Estimate!A:Q,17,FALSE)," ")</f>
        <v>6000</v>
      </c>
      <c r="F177" s="202">
        <v>3</v>
      </c>
      <c r="G177" s="202">
        <v>3</v>
      </c>
      <c r="H177" s="203">
        <v>2512.46</v>
      </c>
      <c r="I177" s="203">
        <v>7537.38</v>
      </c>
      <c r="J177" s="203">
        <v>7537.38</v>
      </c>
      <c r="K177" s="203"/>
      <c r="L177" s="202"/>
      <c r="M177" s="204">
        <f t="shared" si="804"/>
        <v>0</v>
      </c>
      <c r="N177" s="95"/>
      <c r="O177" s="204">
        <f t="shared" si="804"/>
        <v>0</v>
      </c>
      <c r="P177" s="95"/>
      <c r="Q177" s="204">
        <f t="shared" ref="Q177:S177" si="1058">IFERROR(P177/$G177," ")</f>
        <v>0</v>
      </c>
      <c r="R177" s="95"/>
      <c r="S177" s="204">
        <f t="shared" si="1058"/>
        <v>0</v>
      </c>
      <c r="T177" s="95"/>
      <c r="U177" s="204">
        <f t="shared" ref="U177:W177" si="1059">IFERROR(T177/$G177," ")</f>
        <v>0</v>
      </c>
      <c r="V177" s="95"/>
      <c r="W177" s="204">
        <f t="shared" si="1059"/>
        <v>0</v>
      </c>
      <c r="X177" s="95">
        <v>1.5</v>
      </c>
      <c r="Y177" s="204">
        <f t="shared" ref="Y177:AA177" si="1060">IFERROR(X177/$G177," ")</f>
        <v>0.5</v>
      </c>
      <c r="Z177" s="95">
        <v>3</v>
      </c>
      <c r="AA177" s="204">
        <f t="shared" si="1060"/>
        <v>1</v>
      </c>
      <c r="AB177" s="95">
        <v>3</v>
      </c>
      <c r="AC177" s="204">
        <f t="shared" ref="AC177:AE177" si="1061">IFERROR(AB177/$G177," ")</f>
        <v>1</v>
      </c>
      <c r="AD177" s="95">
        <v>3</v>
      </c>
      <c r="AE177" s="204">
        <f t="shared" si="1061"/>
        <v>1</v>
      </c>
      <c r="AF177" s="95">
        <v>3</v>
      </c>
      <c r="AG177" s="204">
        <f t="shared" ref="AG177:AI177" si="1062">IFERROR(AF177/$G177," ")</f>
        <v>1</v>
      </c>
      <c r="AH177" s="95">
        <v>3</v>
      </c>
      <c r="AI177" s="204">
        <f t="shared" si="1062"/>
        <v>1</v>
      </c>
      <c r="AJ177" s="95">
        <v>3</v>
      </c>
      <c r="AK177" s="204">
        <f t="shared" ref="AK177:AM177" si="1063">IFERROR(AJ177/$G177," ")</f>
        <v>1</v>
      </c>
      <c r="AL177" s="95">
        <v>3</v>
      </c>
      <c r="AM177" s="204">
        <f t="shared" si="1063"/>
        <v>1</v>
      </c>
      <c r="AN177" s="95"/>
      <c r="AO177" s="94">
        <f t="shared" si="811"/>
        <v>0</v>
      </c>
      <c r="AP177" s="94">
        <f t="shared" si="801"/>
        <v>0</v>
      </c>
      <c r="AQ177" s="94">
        <f t="shared" si="802"/>
        <v>0</v>
      </c>
      <c r="AR177" s="94">
        <f t="shared" si="1015"/>
        <v>0</v>
      </c>
      <c r="AS177" s="94">
        <f t="shared" si="813"/>
        <v>0</v>
      </c>
      <c r="AT177" s="94">
        <f t="shared" si="814"/>
        <v>0</v>
      </c>
      <c r="AU177" s="94">
        <f t="shared" si="815"/>
        <v>3768.69</v>
      </c>
      <c r="AV177" s="94">
        <f t="shared" si="816"/>
        <v>7537.38</v>
      </c>
      <c r="AW177" s="94">
        <f t="shared" si="817"/>
        <v>7537.38</v>
      </c>
      <c r="AX177" s="94">
        <f t="shared" si="818"/>
        <v>7537.38</v>
      </c>
      <c r="AY177" s="94">
        <f t="shared" si="819"/>
        <v>7537.38</v>
      </c>
      <c r="AZ177" s="94">
        <f t="shared" si="820"/>
        <v>7537.38</v>
      </c>
      <c r="BA177" s="94">
        <f t="shared" si="821"/>
        <v>7537.38</v>
      </c>
      <c r="BB177" s="94">
        <f t="shared" si="822"/>
        <v>7537.38</v>
      </c>
    </row>
    <row r="178" spans="1:54" ht="45" x14ac:dyDescent="0.25">
      <c r="A178" s="80"/>
      <c r="B178" s="95">
        <v>5</v>
      </c>
      <c r="C178" s="201" t="s">
        <v>320</v>
      </c>
      <c r="D178" s="80" t="s">
        <v>783</v>
      </c>
      <c r="E178" s="94" t="str">
        <f>IFERROR(VLOOKUP(A178,Estimate!A:Q,17,FALSE)," ")</f>
        <v xml:space="preserve"> </v>
      </c>
      <c r="F178" s="202" t="s">
        <v>781</v>
      </c>
      <c r="G178" s="202" t="s">
        <v>781</v>
      </c>
      <c r="H178" s="203" t="s">
        <v>781</v>
      </c>
      <c r="I178" s="203" t="s">
        <v>781</v>
      </c>
      <c r="J178" s="203" t="s">
        <v>781</v>
      </c>
      <c r="K178" s="203"/>
      <c r="L178" s="202" t="s">
        <v>781</v>
      </c>
      <c r="M178" s="204" t="str">
        <f t="shared" si="804"/>
        <v xml:space="preserve"> </v>
      </c>
      <c r="N178" s="95" t="s">
        <v>781</v>
      </c>
      <c r="O178" s="204" t="str">
        <f t="shared" si="804"/>
        <v xml:space="preserve"> </v>
      </c>
      <c r="P178" s="95" t="s">
        <v>781</v>
      </c>
      <c r="Q178" s="204" t="str">
        <f t="shared" ref="Q178:S178" si="1064">IFERROR(P178/$G178," ")</f>
        <v xml:space="preserve"> </v>
      </c>
      <c r="R178" s="95" t="s">
        <v>781</v>
      </c>
      <c r="S178" s="204" t="str">
        <f t="shared" si="1064"/>
        <v xml:space="preserve"> </v>
      </c>
      <c r="T178" s="95" t="s">
        <v>781</v>
      </c>
      <c r="U178" s="204" t="str">
        <f t="shared" ref="U178:W178" si="1065">IFERROR(T178/$G178," ")</f>
        <v xml:space="preserve"> </v>
      </c>
      <c r="V178" s="95" t="s">
        <v>781</v>
      </c>
      <c r="W178" s="204" t="str">
        <f t="shared" si="1065"/>
        <v xml:space="preserve"> </v>
      </c>
      <c r="X178" s="95" t="s">
        <v>781</v>
      </c>
      <c r="Y178" s="204" t="str">
        <f t="shared" ref="Y178:AA178" si="1066">IFERROR(X178/$G178," ")</f>
        <v xml:space="preserve"> </v>
      </c>
      <c r="Z178" s="95" t="s">
        <v>781</v>
      </c>
      <c r="AA178" s="204" t="str">
        <f t="shared" si="1066"/>
        <v xml:space="preserve"> </v>
      </c>
      <c r="AB178" s="95" t="s">
        <v>781</v>
      </c>
      <c r="AC178" s="204" t="str">
        <f t="shared" ref="AC178:AE178" si="1067">IFERROR(AB178/$G178," ")</f>
        <v xml:space="preserve"> </v>
      </c>
      <c r="AD178" s="95" t="s">
        <v>781</v>
      </c>
      <c r="AE178" s="204" t="str">
        <f t="shared" si="1067"/>
        <v xml:space="preserve"> </v>
      </c>
      <c r="AF178" s="95" t="s">
        <v>781</v>
      </c>
      <c r="AG178" s="204" t="str">
        <f t="shared" ref="AG178:AI178" si="1068">IFERROR(AF178/$G178," ")</f>
        <v xml:space="preserve"> </v>
      </c>
      <c r="AH178" s="95" t="s">
        <v>781</v>
      </c>
      <c r="AI178" s="204" t="str">
        <f t="shared" si="1068"/>
        <v xml:space="preserve"> </v>
      </c>
      <c r="AJ178" s="95" t="s">
        <v>781</v>
      </c>
      <c r="AK178" s="204" t="str">
        <f t="shared" ref="AK178:AM178" si="1069">IFERROR(AJ178/$G178," ")</f>
        <v xml:space="preserve"> </v>
      </c>
      <c r="AL178" s="95" t="s">
        <v>781</v>
      </c>
      <c r="AM178" s="204" t="str">
        <f t="shared" si="1069"/>
        <v xml:space="preserve"> </v>
      </c>
      <c r="AN178" s="95"/>
      <c r="AO178" s="94" t="str">
        <f t="shared" si="811"/>
        <v xml:space="preserve"> </v>
      </c>
      <c r="AP178" s="94" t="str">
        <f t="shared" si="801"/>
        <v xml:space="preserve"> </v>
      </c>
      <c r="AQ178" s="94" t="str">
        <f t="shared" si="802"/>
        <v xml:space="preserve"> </v>
      </c>
      <c r="AR178" s="94" t="str">
        <f t="shared" si="1015"/>
        <v xml:space="preserve"> </v>
      </c>
      <c r="AS178" s="94" t="str">
        <f t="shared" si="813"/>
        <v xml:space="preserve"> </v>
      </c>
      <c r="AT178" s="94" t="str">
        <f t="shared" si="814"/>
        <v xml:space="preserve"> </v>
      </c>
      <c r="AU178" s="94" t="str">
        <f t="shared" si="815"/>
        <v xml:space="preserve"> </v>
      </c>
      <c r="AV178" s="94" t="str">
        <f t="shared" si="816"/>
        <v xml:space="preserve"> </v>
      </c>
      <c r="AW178" s="94" t="str">
        <f t="shared" si="817"/>
        <v xml:space="preserve"> </v>
      </c>
      <c r="AX178" s="94" t="str">
        <f t="shared" si="818"/>
        <v xml:space="preserve"> </v>
      </c>
      <c r="AY178" s="94" t="str">
        <f t="shared" si="819"/>
        <v xml:space="preserve"> </v>
      </c>
      <c r="AZ178" s="94" t="str">
        <f t="shared" si="820"/>
        <v xml:space="preserve"> </v>
      </c>
      <c r="BA178" s="94" t="str">
        <f t="shared" si="821"/>
        <v xml:space="preserve"> </v>
      </c>
      <c r="BB178" s="94" t="str">
        <f t="shared" si="822"/>
        <v xml:space="preserve"> </v>
      </c>
    </row>
    <row r="179" spans="1:54" x14ac:dyDescent="0.25">
      <c r="A179" s="80"/>
      <c r="B179" s="95" t="s">
        <v>2417</v>
      </c>
      <c r="C179" s="201" t="s">
        <v>322</v>
      </c>
      <c r="D179" s="80" t="s">
        <v>783</v>
      </c>
      <c r="E179" s="94" t="str">
        <f>IFERROR(VLOOKUP(A179,Estimate!A:Q,17,FALSE)," ")</f>
        <v xml:space="preserve"> </v>
      </c>
      <c r="F179" s="202" t="s">
        <v>781</v>
      </c>
      <c r="G179" s="202" t="s">
        <v>781</v>
      </c>
      <c r="H179" s="203" t="s">
        <v>781</v>
      </c>
      <c r="I179" s="203" t="s">
        <v>781</v>
      </c>
      <c r="J179" s="203" t="s">
        <v>781</v>
      </c>
      <c r="K179" s="203"/>
      <c r="L179" s="202" t="s">
        <v>781</v>
      </c>
      <c r="M179" s="204" t="str">
        <f t="shared" si="804"/>
        <v xml:space="preserve"> </v>
      </c>
      <c r="N179" s="95" t="s">
        <v>781</v>
      </c>
      <c r="O179" s="204" t="str">
        <f t="shared" si="804"/>
        <v xml:space="preserve"> </v>
      </c>
      <c r="P179" s="95" t="s">
        <v>781</v>
      </c>
      <c r="Q179" s="204" t="str">
        <f t="shared" ref="Q179:S179" si="1070">IFERROR(P179/$G179," ")</f>
        <v xml:space="preserve"> </v>
      </c>
      <c r="R179" s="95" t="s">
        <v>781</v>
      </c>
      <c r="S179" s="204" t="str">
        <f t="shared" si="1070"/>
        <v xml:space="preserve"> </v>
      </c>
      <c r="T179" s="95" t="s">
        <v>781</v>
      </c>
      <c r="U179" s="204" t="str">
        <f t="shared" ref="U179:W179" si="1071">IFERROR(T179/$G179," ")</f>
        <v xml:space="preserve"> </v>
      </c>
      <c r="V179" s="95" t="s">
        <v>781</v>
      </c>
      <c r="W179" s="204" t="str">
        <f t="shared" si="1071"/>
        <v xml:space="preserve"> </v>
      </c>
      <c r="X179" s="95" t="s">
        <v>781</v>
      </c>
      <c r="Y179" s="204" t="str">
        <f t="shared" ref="Y179:AA179" si="1072">IFERROR(X179/$G179," ")</f>
        <v xml:space="preserve"> </v>
      </c>
      <c r="Z179" s="95" t="s">
        <v>781</v>
      </c>
      <c r="AA179" s="204" t="str">
        <f t="shared" si="1072"/>
        <v xml:space="preserve"> </v>
      </c>
      <c r="AB179" s="95" t="s">
        <v>781</v>
      </c>
      <c r="AC179" s="204" t="str">
        <f t="shared" ref="AC179:AE179" si="1073">IFERROR(AB179/$G179," ")</f>
        <v xml:space="preserve"> </v>
      </c>
      <c r="AD179" s="95" t="s">
        <v>781</v>
      </c>
      <c r="AE179" s="204" t="str">
        <f t="shared" si="1073"/>
        <v xml:space="preserve"> </v>
      </c>
      <c r="AF179" s="95" t="s">
        <v>781</v>
      </c>
      <c r="AG179" s="204" t="str">
        <f t="shared" ref="AG179:AI179" si="1074">IFERROR(AF179/$G179," ")</f>
        <v xml:space="preserve"> </v>
      </c>
      <c r="AH179" s="95" t="s">
        <v>781</v>
      </c>
      <c r="AI179" s="204" t="str">
        <f t="shared" si="1074"/>
        <v xml:space="preserve"> </v>
      </c>
      <c r="AJ179" s="95" t="s">
        <v>781</v>
      </c>
      <c r="AK179" s="204" t="str">
        <f t="shared" ref="AK179:AM179" si="1075">IFERROR(AJ179/$G179," ")</f>
        <v xml:space="preserve"> </v>
      </c>
      <c r="AL179" s="95" t="s">
        <v>781</v>
      </c>
      <c r="AM179" s="204" t="str">
        <f t="shared" si="1075"/>
        <v xml:space="preserve"> </v>
      </c>
      <c r="AN179" s="95"/>
      <c r="AO179" s="94" t="str">
        <f t="shared" si="811"/>
        <v xml:space="preserve"> </v>
      </c>
      <c r="AP179" s="94" t="str">
        <f t="shared" si="801"/>
        <v xml:space="preserve"> </v>
      </c>
      <c r="AQ179" s="94" t="str">
        <f t="shared" si="802"/>
        <v xml:space="preserve"> </v>
      </c>
      <c r="AR179" s="94" t="str">
        <f t="shared" si="1015"/>
        <v xml:space="preserve"> </v>
      </c>
      <c r="AS179" s="94" t="str">
        <f t="shared" si="813"/>
        <v xml:space="preserve"> </v>
      </c>
      <c r="AT179" s="94" t="str">
        <f t="shared" si="814"/>
        <v xml:space="preserve"> </v>
      </c>
      <c r="AU179" s="94" t="str">
        <f t="shared" si="815"/>
        <v xml:space="preserve"> </v>
      </c>
      <c r="AV179" s="94" t="str">
        <f t="shared" si="816"/>
        <v xml:space="preserve"> </v>
      </c>
      <c r="AW179" s="94" t="str">
        <f t="shared" si="817"/>
        <v xml:space="preserve"> </v>
      </c>
      <c r="AX179" s="94" t="str">
        <f t="shared" si="818"/>
        <v xml:space="preserve"> </v>
      </c>
      <c r="AY179" s="94" t="str">
        <f t="shared" si="819"/>
        <v xml:space="preserve"> </v>
      </c>
      <c r="AZ179" s="94" t="str">
        <f t="shared" si="820"/>
        <v xml:space="preserve"> </v>
      </c>
      <c r="BA179" s="94" t="str">
        <f t="shared" si="821"/>
        <v xml:space="preserve"> </v>
      </c>
      <c r="BB179" s="94" t="str">
        <f t="shared" si="822"/>
        <v xml:space="preserve"> </v>
      </c>
    </row>
    <row r="180" spans="1:54" x14ac:dyDescent="0.25">
      <c r="A180" s="80">
        <v>82</v>
      </c>
      <c r="B180" s="95" t="s">
        <v>2417</v>
      </c>
      <c r="C180" s="201" t="s">
        <v>324</v>
      </c>
      <c r="D180" s="80" t="s">
        <v>315</v>
      </c>
      <c r="E180" s="94">
        <f>IFERROR(VLOOKUP(A180,Estimate!A:Q,17,FALSE)," ")</f>
        <v>220</v>
      </c>
      <c r="F180" s="202">
        <v>1</v>
      </c>
      <c r="G180" s="202">
        <v>1</v>
      </c>
      <c r="H180" s="203">
        <v>276.37</v>
      </c>
      <c r="I180" s="203">
        <v>276.37</v>
      </c>
      <c r="J180" s="203">
        <v>276.37</v>
      </c>
      <c r="K180" s="203"/>
      <c r="L180" s="202"/>
      <c r="M180" s="204">
        <f t="shared" si="804"/>
        <v>0</v>
      </c>
      <c r="N180" s="95"/>
      <c r="O180" s="204">
        <f t="shared" si="804"/>
        <v>0</v>
      </c>
      <c r="P180" s="95"/>
      <c r="Q180" s="204">
        <f t="shared" ref="Q180:S180" si="1076">IFERROR(P180/$G180," ")</f>
        <v>0</v>
      </c>
      <c r="R180" s="95"/>
      <c r="S180" s="204">
        <f t="shared" si="1076"/>
        <v>0</v>
      </c>
      <c r="T180" s="95"/>
      <c r="U180" s="204">
        <f t="shared" ref="U180:W180" si="1077">IFERROR(T180/$G180," ")</f>
        <v>0</v>
      </c>
      <c r="V180" s="95"/>
      <c r="W180" s="204">
        <f t="shared" si="1077"/>
        <v>0</v>
      </c>
      <c r="X180" s="95">
        <v>0.5</v>
      </c>
      <c r="Y180" s="204">
        <f t="shared" ref="Y180:AA180" si="1078">IFERROR(X180/$G180," ")</f>
        <v>0.5</v>
      </c>
      <c r="Z180" s="95">
        <v>1</v>
      </c>
      <c r="AA180" s="204">
        <f t="shared" si="1078"/>
        <v>1</v>
      </c>
      <c r="AB180" s="95">
        <v>1</v>
      </c>
      <c r="AC180" s="204">
        <f t="shared" ref="AC180:AE180" si="1079">IFERROR(AB180/$G180," ")</f>
        <v>1</v>
      </c>
      <c r="AD180" s="95">
        <v>1</v>
      </c>
      <c r="AE180" s="204">
        <f t="shared" si="1079"/>
        <v>1</v>
      </c>
      <c r="AF180" s="95">
        <v>1</v>
      </c>
      <c r="AG180" s="204">
        <f t="shared" ref="AG180:AI180" si="1080">IFERROR(AF180/$G180," ")</f>
        <v>1</v>
      </c>
      <c r="AH180" s="95">
        <v>1</v>
      </c>
      <c r="AI180" s="204">
        <f t="shared" si="1080"/>
        <v>1</v>
      </c>
      <c r="AJ180" s="95">
        <v>1</v>
      </c>
      <c r="AK180" s="204">
        <f t="shared" ref="AK180:AM180" si="1081">IFERROR(AJ180/$G180," ")</f>
        <v>1</v>
      </c>
      <c r="AL180" s="95">
        <v>1</v>
      </c>
      <c r="AM180" s="204">
        <f t="shared" si="1081"/>
        <v>1</v>
      </c>
      <c r="AN180" s="95"/>
      <c r="AO180" s="94">
        <f t="shared" si="811"/>
        <v>0</v>
      </c>
      <c r="AP180" s="94">
        <f t="shared" si="801"/>
        <v>0</v>
      </c>
      <c r="AQ180" s="94">
        <f t="shared" si="802"/>
        <v>0</v>
      </c>
      <c r="AR180" s="94">
        <f t="shared" si="1015"/>
        <v>0</v>
      </c>
      <c r="AS180" s="94">
        <f t="shared" si="813"/>
        <v>0</v>
      </c>
      <c r="AT180" s="94">
        <f t="shared" si="814"/>
        <v>0</v>
      </c>
      <c r="AU180" s="94">
        <f t="shared" si="815"/>
        <v>138.185</v>
      </c>
      <c r="AV180" s="94">
        <f t="shared" si="816"/>
        <v>276.37</v>
      </c>
      <c r="AW180" s="94">
        <f t="shared" si="817"/>
        <v>276.37</v>
      </c>
      <c r="AX180" s="94">
        <f t="shared" si="818"/>
        <v>276.37</v>
      </c>
      <c r="AY180" s="94">
        <f t="shared" si="819"/>
        <v>276.37</v>
      </c>
      <c r="AZ180" s="94">
        <f t="shared" si="820"/>
        <v>276.37</v>
      </c>
      <c r="BA180" s="94">
        <f t="shared" si="821"/>
        <v>276.37</v>
      </c>
      <c r="BB180" s="94">
        <f t="shared" si="822"/>
        <v>276.37</v>
      </c>
    </row>
    <row r="181" spans="1:54" x14ac:dyDescent="0.25">
      <c r="A181" s="80"/>
      <c r="B181" s="95" t="s">
        <v>2417</v>
      </c>
      <c r="C181" s="201" t="s">
        <v>326</v>
      </c>
      <c r="D181" s="80" t="s">
        <v>783</v>
      </c>
      <c r="E181" s="94" t="str">
        <f>IFERROR(VLOOKUP(A181,Estimate!A:Q,17,FALSE)," ")</f>
        <v xml:space="preserve"> </v>
      </c>
      <c r="F181" s="202" t="s">
        <v>781</v>
      </c>
      <c r="G181" s="202" t="s">
        <v>781</v>
      </c>
      <c r="H181" s="203" t="s">
        <v>781</v>
      </c>
      <c r="I181" s="203" t="s">
        <v>781</v>
      </c>
      <c r="J181" s="203" t="s">
        <v>781</v>
      </c>
      <c r="K181" s="203"/>
      <c r="L181" s="202" t="s">
        <v>781</v>
      </c>
      <c r="M181" s="204" t="str">
        <f t="shared" si="804"/>
        <v xml:space="preserve"> </v>
      </c>
      <c r="N181" s="95" t="s">
        <v>781</v>
      </c>
      <c r="O181" s="204" t="str">
        <f t="shared" si="804"/>
        <v xml:space="preserve"> </v>
      </c>
      <c r="P181" s="95" t="s">
        <v>781</v>
      </c>
      <c r="Q181" s="204" t="str">
        <f t="shared" ref="Q181:S181" si="1082">IFERROR(P181/$G181," ")</f>
        <v xml:space="preserve"> </v>
      </c>
      <c r="R181" s="95" t="s">
        <v>781</v>
      </c>
      <c r="S181" s="204" t="str">
        <f t="shared" si="1082"/>
        <v xml:space="preserve"> </v>
      </c>
      <c r="T181" s="95" t="s">
        <v>781</v>
      </c>
      <c r="U181" s="204" t="str">
        <f t="shared" ref="U181:W181" si="1083">IFERROR(T181/$G181," ")</f>
        <v xml:space="preserve"> </v>
      </c>
      <c r="V181" s="95" t="s">
        <v>781</v>
      </c>
      <c r="W181" s="204" t="str">
        <f t="shared" si="1083"/>
        <v xml:space="preserve"> </v>
      </c>
      <c r="X181" s="95" t="s">
        <v>781</v>
      </c>
      <c r="Y181" s="204" t="str">
        <f t="shared" ref="Y181:AA181" si="1084">IFERROR(X181/$G181," ")</f>
        <v xml:space="preserve"> </v>
      </c>
      <c r="Z181" s="95" t="s">
        <v>781</v>
      </c>
      <c r="AA181" s="204" t="str">
        <f t="shared" si="1084"/>
        <v xml:space="preserve"> </v>
      </c>
      <c r="AB181" s="95" t="s">
        <v>781</v>
      </c>
      <c r="AC181" s="204" t="str">
        <f t="shared" ref="AC181:AE181" si="1085">IFERROR(AB181/$G181," ")</f>
        <v xml:space="preserve"> </v>
      </c>
      <c r="AD181" s="95" t="s">
        <v>781</v>
      </c>
      <c r="AE181" s="204" t="str">
        <f t="shared" si="1085"/>
        <v xml:space="preserve"> </v>
      </c>
      <c r="AF181" s="95" t="s">
        <v>781</v>
      </c>
      <c r="AG181" s="204" t="str">
        <f t="shared" ref="AG181:AI181" si="1086">IFERROR(AF181/$G181," ")</f>
        <v xml:space="preserve"> </v>
      </c>
      <c r="AH181" s="95" t="s">
        <v>781</v>
      </c>
      <c r="AI181" s="204" t="str">
        <f t="shared" si="1086"/>
        <v xml:space="preserve"> </v>
      </c>
      <c r="AJ181" s="95" t="s">
        <v>781</v>
      </c>
      <c r="AK181" s="204" t="str">
        <f t="shared" ref="AK181:AM181" si="1087">IFERROR(AJ181/$G181," ")</f>
        <v xml:space="preserve"> </v>
      </c>
      <c r="AL181" s="95" t="s">
        <v>781</v>
      </c>
      <c r="AM181" s="204" t="str">
        <f t="shared" si="1087"/>
        <v xml:space="preserve"> </v>
      </c>
      <c r="AN181" s="95"/>
      <c r="AO181" s="94" t="str">
        <f t="shared" si="811"/>
        <v xml:space="preserve"> </v>
      </c>
      <c r="AP181" s="94" t="str">
        <f t="shared" si="801"/>
        <v xml:space="preserve"> </v>
      </c>
      <c r="AQ181" s="94" t="str">
        <f t="shared" si="802"/>
        <v xml:space="preserve"> </v>
      </c>
      <c r="AR181" s="94" t="str">
        <f t="shared" si="1015"/>
        <v xml:space="preserve"> </v>
      </c>
      <c r="AS181" s="94" t="str">
        <f t="shared" si="813"/>
        <v xml:space="preserve"> </v>
      </c>
      <c r="AT181" s="94" t="str">
        <f t="shared" si="814"/>
        <v xml:space="preserve"> </v>
      </c>
      <c r="AU181" s="94" t="str">
        <f t="shared" si="815"/>
        <v xml:space="preserve"> </v>
      </c>
      <c r="AV181" s="94" t="str">
        <f t="shared" si="816"/>
        <v xml:space="preserve"> </v>
      </c>
      <c r="AW181" s="94" t="str">
        <f t="shared" si="817"/>
        <v xml:space="preserve"> </v>
      </c>
      <c r="AX181" s="94" t="str">
        <f t="shared" si="818"/>
        <v xml:space="preserve"> </v>
      </c>
      <c r="AY181" s="94" t="str">
        <f t="shared" si="819"/>
        <v xml:space="preserve"> </v>
      </c>
      <c r="AZ181" s="94" t="str">
        <f t="shared" si="820"/>
        <v xml:space="preserve"> </v>
      </c>
      <c r="BA181" s="94" t="str">
        <f t="shared" si="821"/>
        <v xml:space="preserve"> </v>
      </c>
      <c r="BB181" s="94" t="str">
        <f t="shared" si="822"/>
        <v xml:space="preserve"> </v>
      </c>
    </row>
    <row r="182" spans="1:54" x14ac:dyDescent="0.25">
      <c r="A182" s="80">
        <v>83</v>
      </c>
      <c r="B182" s="95" t="s">
        <v>2417</v>
      </c>
      <c r="C182" s="201" t="s">
        <v>328</v>
      </c>
      <c r="D182" s="80" t="s">
        <v>315</v>
      </c>
      <c r="E182" s="94">
        <f>IFERROR(VLOOKUP(A182,Estimate!A:Q,17,FALSE)," ")</f>
        <v>960</v>
      </c>
      <c r="F182" s="202">
        <v>6</v>
      </c>
      <c r="G182" s="202">
        <v>6</v>
      </c>
      <c r="H182" s="203">
        <v>201</v>
      </c>
      <c r="I182" s="203">
        <v>1206</v>
      </c>
      <c r="J182" s="203">
        <v>1206</v>
      </c>
      <c r="K182" s="203"/>
      <c r="L182" s="202"/>
      <c r="M182" s="204">
        <f t="shared" si="804"/>
        <v>0</v>
      </c>
      <c r="N182" s="95"/>
      <c r="O182" s="204">
        <f t="shared" si="804"/>
        <v>0</v>
      </c>
      <c r="P182" s="95"/>
      <c r="Q182" s="204">
        <f t="shared" ref="Q182:S182" si="1088">IFERROR(P182/$G182," ")</f>
        <v>0</v>
      </c>
      <c r="R182" s="95"/>
      <c r="S182" s="204">
        <f t="shared" si="1088"/>
        <v>0</v>
      </c>
      <c r="T182" s="95"/>
      <c r="U182" s="204">
        <f t="shared" ref="U182:W182" si="1089">IFERROR(T182/$G182," ")</f>
        <v>0</v>
      </c>
      <c r="V182" s="95"/>
      <c r="W182" s="204">
        <f t="shared" si="1089"/>
        <v>0</v>
      </c>
      <c r="X182" s="95">
        <v>3</v>
      </c>
      <c r="Y182" s="204">
        <f t="shared" ref="Y182:AA182" si="1090">IFERROR(X182/$G182," ")</f>
        <v>0.5</v>
      </c>
      <c r="Z182" s="95">
        <v>6</v>
      </c>
      <c r="AA182" s="204">
        <f t="shared" si="1090"/>
        <v>1</v>
      </c>
      <c r="AB182" s="95">
        <v>6</v>
      </c>
      <c r="AC182" s="204">
        <f t="shared" ref="AC182:AE182" si="1091">IFERROR(AB182/$G182," ")</f>
        <v>1</v>
      </c>
      <c r="AD182" s="95">
        <v>6</v>
      </c>
      <c r="AE182" s="204">
        <f t="shared" si="1091"/>
        <v>1</v>
      </c>
      <c r="AF182" s="95">
        <v>6</v>
      </c>
      <c r="AG182" s="204">
        <f t="shared" ref="AG182:AI182" si="1092">IFERROR(AF182/$G182," ")</f>
        <v>1</v>
      </c>
      <c r="AH182" s="95">
        <v>6</v>
      </c>
      <c r="AI182" s="204">
        <f t="shared" si="1092"/>
        <v>1</v>
      </c>
      <c r="AJ182" s="95">
        <v>6</v>
      </c>
      <c r="AK182" s="204">
        <f t="shared" ref="AK182:AM182" si="1093">IFERROR(AJ182/$G182," ")</f>
        <v>1</v>
      </c>
      <c r="AL182" s="95">
        <v>6</v>
      </c>
      <c r="AM182" s="204">
        <f t="shared" si="1093"/>
        <v>1</v>
      </c>
      <c r="AN182" s="95"/>
      <c r="AO182" s="94">
        <f t="shared" si="811"/>
        <v>0</v>
      </c>
      <c r="AP182" s="94">
        <f t="shared" si="801"/>
        <v>0</v>
      </c>
      <c r="AQ182" s="94">
        <f t="shared" si="802"/>
        <v>0</v>
      </c>
      <c r="AR182" s="94">
        <f t="shared" si="1015"/>
        <v>0</v>
      </c>
      <c r="AS182" s="94">
        <f t="shared" si="813"/>
        <v>0</v>
      </c>
      <c r="AT182" s="94">
        <f t="shared" si="814"/>
        <v>0</v>
      </c>
      <c r="AU182" s="94">
        <f t="shared" si="815"/>
        <v>603</v>
      </c>
      <c r="AV182" s="94">
        <f t="shared" si="816"/>
        <v>1206</v>
      </c>
      <c r="AW182" s="94">
        <f t="shared" si="817"/>
        <v>1206</v>
      </c>
      <c r="AX182" s="94">
        <f t="shared" si="818"/>
        <v>1206</v>
      </c>
      <c r="AY182" s="94">
        <f t="shared" si="819"/>
        <v>1206</v>
      </c>
      <c r="AZ182" s="94">
        <f t="shared" si="820"/>
        <v>1206</v>
      </c>
      <c r="BA182" s="94">
        <f t="shared" si="821"/>
        <v>1206</v>
      </c>
      <c r="BB182" s="94">
        <f t="shared" si="822"/>
        <v>1206</v>
      </c>
    </row>
    <row r="183" spans="1:54" x14ac:dyDescent="0.25">
      <c r="A183" s="80"/>
      <c r="B183" s="95" t="s">
        <v>2417</v>
      </c>
      <c r="C183" s="201" t="s">
        <v>330</v>
      </c>
      <c r="D183" s="80" t="s">
        <v>783</v>
      </c>
      <c r="E183" s="94" t="str">
        <f>IFERROR(VLOOKUP(A183,Estimate!A:Q,17,FALSE)," ")</f>
        <v xml:space="preserve"> </v>
      </c>
      <c r="F183" s="202" t="s">
        <v>781</v>
      </c>
      <c r="G183" s="202" t="s">
        <v>781</v>
      </c>
      <c r="H183" s="203" t="s">
        <v>781</v>
      </c>
      <c r="I183" s="203" t="s">
        <v>781</v>
      </c>
      <c r="J183" s="203" t="s">
        <v>781</v>
      </c>
      <c r="K183" s="203"/>
      <c r="L183" s="202" t="s">
        <v>781</v>
      </c>
      <c r="M183" s="204" t="str">
        <f t="shared" si="804"/>
        <v xml:space="preserve"> </v>
      </c>
      <c r="N183" s="95" t="s">
        <v>781</v>
      </c>
      <c r="O183" s="204" t="str">
        <f t="shared" si="804"/>
        <v xml:space="preserve"> </v>
      </c>
      <c r="P183" s="95" t="s">
        <v>781</v>
      </c>
      <c r="Q183" s="204" t="str">
        <f t="shared" ref="Q183:S183" si="1094">IFERROR(P183/$G183," ")</f>
        <v xml:space="preserve"> </v>
      </c>
      <c r="R183" s="95" t="s">
        <v>781</v>
      </c>
      <c r="S183" s="204" t="str">
        <f t="shared" si="1094"/>
        <v xml:space="preserve"> </v>
      </c>
      <c r="T183" s="95" t="s">
        <v>781</v>
      </c>
      <c r="U183" s="204" t="str">
        <f t="shared" ref="U183:W183" si="1095">IFERROR(T183/$G183," ")</f>
        <v xml:space="preserve"> </v>
      </c>
      <c r="V183" s="95" t="s">
        <v>781</v>
      </c>
      <c r="W183" s="204" t="str">
        <f t="shared" si="1095"/>
        <v xml:space="preserve"> </v>
      </c>
      <c r="X183" s="95" t="s">
        <v>781</v>
      </c>
      <c r="Y183" s="204" t="str">
        <f t="shared" ref="Y183:AA183" si="1096">IFERROR(X183/$G183," ")</f>
        <v xml:space="preserve"> </v>
      </c>
      <c r="Z183" s="95" t="s">
        <v>781</v>
      </c>
      <c r="AA183" s="204" t="str">
        <f t="shared" si="1096"/>
        <v xml:space="preserve"> </v>
      </c>
      <c r="AB183" s="95" t="s">
        <v>781</v>
      </c>
      <c r="AC183" s="204" t="str">
        <f t="shared" ref="AC183:AE183" si="1097">IFERROR(AB183/$G183," ")</f>
        <v xml:space="preserve"> </v>
      </c>
      <c r="AD183" s="95" t="s">
        <v>781</v>
      </c>
      <c r="AE183" s="204" t="str">
        <f t="shared" si="1097"/>
        <v xml:space="preserve"> </v>
      </c>
      <c r="AF183" s="95" t="s">
        <v>781</v>
      </c>
      <c r="AG183" s="204" t="str">
        <f t="shared" ref="AG183:AI183" si="1098">IFERROR(AF183/$G183," ")</f>
        <v xml:space="preserve"> </v>
      </c>
      <c r="AH183" s="95" t="s">
        <v>781</v>
      </c>
      <c r="AI183" s="204" t="str">
        <f t="shared" si="1098"/>
        <v xml:space="preserve"> </v>
      </c>
      <c r="AJ183" s="95" t="s">
        <v>781</v>
      </c>
      <c r="AK183" s="204" t="str">
        <f t="shared" ref="AK183:AM183" si="1099">IFERROR(AJ183/$G183," ")</f>
        <v xml:space="preserve"> </v>
      </c>
      <c r="AL183" s="95" t="s">
        <v>781</v>
      </c>
      <c r="AM183" s="204" t="str">
        <f t="shared" si="1099"/>
        <v xml:space="preserve"> </v>
      </c>
      <c r="AN183" s="95"/>
      <c r="AO183" s="94" t="str">
        <f t="shared" si="811"/>
        <v xml:space="preserve"> </v>
      </c>
      <c r="AP183" s="94" t="str">
        <f t="shared" si="801"/>
        <v xml:space="preserve"> </v>
      </c>
      <c r="AQ183" s="94" t="str">
        <f t="shared" si="802"/>
        <v xml:space="preserve"> </v>
      </c>
      <c r="AR183" s="94" t="str">
        <f t="shared" si="1015"/>
        <v xml:space="preserve"> </v>
      </c>
      <c r="AS183" s="94" t="str">
        <f t="shared" si="813"/>
        <v xml:space="preserve"> </v>
      </c>
      <c r="AT183" s="94" t="str">
        <f t="shared" si="814"/>
        <v xml:space="preserve"> </v>
      </c>
      <c r="AU183" s="94" t="str">
        <f t="shared" si="815"/>
        <v xml:space="preserve"> </v>
      </c>
      <c r="AV183" s="94" t="str">
        <f t="shared" si="816"/>
        <v xml:space="preserve"> </v>
      </c>
      <c r="AW183" s="94" t="str">
        <f t="shared" si="817"/>
        <v xml:space="preserve"> </v>
      </c>
      <c r="AX183" s="94" t="str">
        <f t="shared" si="818"/>
        <v xml:space="preserve"> </v>
      </c>
      <c r="AY183" s="94" t="str">
        <f t="shared" si="819"/>
        <v xml:space="preserve"> </v>
      </c>
      <c r="AZ183" s="94" t="str">
        <f t="shared" si="820"/>
        <v xml:space="preserve"> </v>
      </c>
      <c r="BA183" s="94" t="str">
        <f t="shared" si="821"/>
        <v xml:space="preserve"> </v>
      </c>
      <c r="BB183" s="94" t="str">
        <f t="shared" si="822"/>
        <v xml:space="preserve"> </v>
      </c>
    </row>
    <row r="184" spans="1:54" x14ac:dyDescent="0.25">
      <c r="A184" s="80">
        <v>84</v>
      </c>
      <c r="B184" s="95" t="s">
        <v>2417</v>
      </c>
      <c r="C184" s="201" t="s">
        <v>332</v>
      </c>
      <c r="D184" s="80" t="s">
        <v>315</v>
      </c>
      <c r="E184" s="94">
        <f>IFERROR(VLOOKUP(A184,Estimate!A:Q,17,FALSE)," ")</f>
        <v>800</v>
      </c>
      <c r="F184" s="202">
        <v>3</v>
      </c>
      <c r="G184" s="202">
        <v>3</v>
      </c>
      <c r="H184" s="203">
        <v>334.99</v>
      </c>
      <c r="I184" s="203">
        <v>1004.97</v>
      </c>
      <c r="J184" s="203">
        <v>1004.97</v>
      </c>
      <c r="K184" s="203"/>
      <c r="L184" s="202"/>
      <c r="M184" s="204">
        <f t="shared" si="804"/>
        <v>0</v>
      </c>
      <c r="N184" s="95"/>
      <c r="O184" s="204">
        <f t="shared" si="804"/>
        <v>0</v>
      </c>
      <c r="P184" s="95"/>
      <c r="Q184" s="204">
        <f t="shared" ref="Q184:S184" si="1100">IFERROR(P184/$G184," ")</f>
        <v>0</v>
      </c>
      <c r="R184" s="95"/>
      <c r="S184" s="204">
        <f t="shared" si="1100"/>
        <v>0</v>
      </c>
      <c r="T184" s="95"/>
      <c r="U184" s="204">
        <f t="shared" ref="U184:W184" si="1101">IFERROR(T184/$G184," ")</f>
        <v>0</v>
      </c>
      <c r="V184" s="95"/>
      <c r="W184" s="204">
        <f t="shared" si="1101"/>
        <v>0</v>
      </c>
      <c r="X184" s="95">
        <v>1.5</v>
      </c>
      <c r="Y184" s="204">
        <f t="shared" ref="Y184:AA184" si="1102">IFERROR(X184/$G184," ")</f>
        <v>0.5</v>
      </c>
      <c r="Z184" s="95">
        <v>3</v>
      </c>
      <c r="AA184" s="204">
        <f t="shared" si="1102"/>
        <v>1</v>
      </c>
      <c r="AB184" s="95">
        <v>3</v>
      </c>
      <c r="AC184" s="204">
        <f t="shared" ref="AC184:AE184" si="1103">IFERROR(AB184/$G184," ")</f>
        <v>1</v>
      </c>
      <c r="AD184" s="95">
        <v>3</v>
      </c>
      <c r="AE184" s="204">
        <f t="shared" si="1103"/>
        <v>1</v>
      </c>
      <c r="AF184" s="95">
        <v>3</v>
      </c>
      <c r="AG184" s="204">
        <f t="shared" ref="AG184:AI184" si="1104">IFERROR(AF184/$G184," ")</f>
        <v>1</v>
      </c>
      <c r="AH184" s="95">
        <v>3</v>
      </c>
      <c r="AI184" s="204">
        <f t="shared" si="1104"/>
        <v>1</v>
      </c>
      <c r="AJ184" s="95">
        <v>3</v>
      </c>
      <c r="AK184" s="204">
        <f t="shared" ref="AK184:AM184" si="1105">IFERROR(AJ184/$G184," ")</f>
        <v>1</v>
      </c>
      <c r="AL184" s="95">
        <v>3</v>
      </c>
      <c r="AM184" s="204">
        <f t="shared" si="1105"/>
        <v>1</v>
      </c>
      <c r="AN184" s="95"/>
      <c r="AO184" s="94">
        <f t="shared" si="811"/>
        <v>0</v>
      </c>
      <c r="AP184" s="94">
        <f t="shared" si="801"/>
        <v>0</v>
      </c>
      <c r="AQ184" s="94">
        <f t="shared" si="802"/>
        <v>0</v>
      </c>
      <c r="AR184" s="94">
        <f t="shared" si="1015"/>
        <v>0</v>
      </c>
      <c r="AS184" s="94">
        <f t="shared" si="813"/>
        <v>0</v>
      </c>
      <c r="AT184" s="94">
        <f t="shared" si="814"/>
        <v>0</v>
      </c>
      <c r="AU184" s="94">
        <f t="shared" si="815"/>
        <v>502.48500000000001</v>
      </c>
      <c r="AV184" s="94">
        <f t="shared" si="816"/>
        <v>1004.97</v>
      </c>
      <c r="AW184" s="94">
        <f t="shared" si="817"/>
        <v>1004.97</v>
      </c>
      <c r="AX184" s="94">
        <f t="shared" si="818"/>
        <v>1004.97</v>
      </c>
      <c r="AY184" s="94">
        <f t="shared" si="819"/>
        <v>1004.97</v>
      </c>
      <c r="AZ184" s="94">
        <f t="shared" si="820"/>
        <v>1004.97</v>
      </c>
      <c r="BA184" s="94">
        <f t="shared" si="821"/>
        <v>1004.97</v>
      </c>
      <c r="BB184" s="94">
        <f t="shared" si="822"/>
        <v>1004.97</v>
      </c>
    </row>
    <row r="185" spans="1:54" x14ac:dyDescent="0.25">
      <c r="A185" s="80"/>
      <c r="B185" s="95" t="s">
        <v>2417</v>
      </c>
      <c r="C185" s="201" t="s">
        <v>334</v>
      </c>
      <c r="D185" s="80" t="s">
        <v>783</v>
      </c>
      <c r="E185" s="94" t="str">
        <f>IFERROR(VLOOKUP(A185,Estimate!A:Q,17,FALSE)," ")</f>
        <v xml:space="preserve"> </v>
      </c>
      <c r="F185" s="202" t="s">
        <v>781</v>
      </c>
      <c r="G185" s="202" t="s">
        <v>781</v>
      </c>
      <c r="H185" s="203" t="s">
        <v>781</v>
      </c>
      <c r="I185" s="203" t="s">
        <v>781</v>
      </c>
      <c r="J185" s="203" t="s">
        <v>781</v>
      </c>
      <c r="K185" s="203"/>
      <c r="L185" s="202" t="s">
        <v>781</v>
      </c>
      <c r="M185" s="204" t="str">
        <f t="shared" si="804"/>
        <v xml:space="preserve"> </v>
      </c>
      <c r="N185" s="95" t="s">
        <v>781</v>
      </c>
      <c r="O185" s="204" t="str">
        <f t="shared" si="804"/>
        <v xml:space="preserve"> </v>
      </c>
      <c r="P185" s="95" t="s">
        <v>781</v>
      </c>
      <c r="Q185" s="204" t="str">
        <f t="shared" ref="Q185:S185" si="1106">IFERROR(P185/$G185," ")</f>
        <v xml:space="preserve"> </v>
      </c>
      <c r="R185" s="95" t="s">
        <v>781</v>
      </c>
      <c r="S185" s="204" t="str">
        <f t="shared" si="1106"/>
        <v xml:space="preserve"> </v>
      </c>
      <c r="T185" s="95" t="s">
        <v>781</v>
      </c>
      <c r="U185" s="204" t="str">
        <f t="shared" ref="U185:W185" si="1107">IFERROR(T185/$G185," ")</f>
        <v xml:space="preserve"> </v>
      </c>
      <c r="V185" s="95" t="s">
        <v>781</v>
      </c>
      <c r="W185" s="204" t="str">
        <f t="shared" si="1107"/>
        <v xml:space="preserve"> </v>
      </c>
      <c r="X185" s="95" t="s">
        <v>781</v>
      </c>
      <c r="Y185" s="204" t="str">
        <f t="shared" ref="Y185:AA185" si="1108">IFERROR(X185/$G185," ")</f>
        <v xml:space="preserve"> </v>
      </c>
      <c r="Z185" s="95" t="s">
        <v>781</v>
      </c>
      <c r="AA185" s="204" t="str">
        <f t="shared" si="1108"/>
        <v xml:space="preserve"> </v>
      </c>
      <c r="AB185" s="95" t="s">
        <v>781</v>
      </c>
      <c r="AC185" s="204" t="str">
        <f t="shared" ref="AC185:AE185" si="1109">IFERROR(AB185/$G185," ")</f>
        <v xml:space="preserve"> </v>
      </c>
      <c r="AD185" s="95" t="s">
        <v>781</v>
      </c>
      <c r="AE185" s="204" t="str">
        <f t="shared" si="1109"/>
        <v xml:space="preserve"> </v>
      </c>
      <c r="AF185" s="95" t="s">
        <v>781</v>
      </c>
      <c r="AG185" s="204" t="str">
        <f t="shared" ref="AG185:AI185" si="1110">IFERROR(AF185/$G185," ")</f>
        <v xml:space="preserve"> </v>
      </c>
      <c r="AH185" s="95" t="s">
        <v>781</v>
      </c>
      <c r="AI185" s="204" t="str">
        <f t="shared" si="1110"/>
        <v xml:space="preserve"> </v>
      </c>
      <c r="AJ185" s="95" t="s">
        <v>781</v>
      </c>
      <c r="AK185" s="204" t="str">
        <f t="shared" ref="AK185:AM185" si="1111">IFERROR(AJ185/$G185," ")</f>
        <v xml:space="preserve"> </v>
      </c>
      <c r="AL185" s="95" t="s">
        <v>781</v>
      </c>
      <c r="AM185" s="204" t="str">
        <f t="shared" si="1111"/>
        <v xml:space="preserve"> </v>
      </c>
      <c r="AN185" s="95"/>
      <c r="AO185" s="94" t="str">
        <f t="shared" si="811"/>
        <v xml:space="preserve"> </v>
      </c>
      <c r="AP185" s="94" t="str">
        <f t="shared" si="801"/>
        <v xml:space="preserve"> </v>
      </c>
      <c r="AQ185" s="94" t="str">
        <f t="shared" si="802"/>
        <v xml:space="preserve"> </v>
      </c>
      <c r="AR185" s="94" t="str">
        <f t="shared" si="1015"/>
        <v xml:space="preserve"> </v>
      </c>
      <c r="AS185" s="94" t="str">
        <f t="shared" si="813"/>
        <v xml:space="preserve"> </v>
      </c>
      <c r="AT185" s="94" t="str">
        <f t="shared" si="814"/>
        <v xml:space="preserve"> </v>
      </c>
      <c r="AU185" s="94" t="str">
        <f t="shared" si="815"/>
        <v xml:space="preserve"> </v>
      </c>
      <c r="AV185" s="94" t="str">
        <f t="shared" si="816"/>
        <v xml:space="preserve"> </v>
      </c>
      <c r="AW185" s="94" t="str">
        <f t="shared" si="817"/>
        <v xml:space="preserve"> </v>
      </c>
      <c r="AX185" s="94" t="str">
        <f t="shared" si="818"/>
        <v xml:space="preserve"> </v>
      </c>
      <c r="AY185" s="94" t="str">
        <f t="shared" si="819"/>
        <v xml:space="preserve"> </v>
      </c>
      <c r="AZ185" s="94" t="str">
        <f t="shared" si="820"/>
        <v xml:space="preserve"> </v>
      </c>
      <c r="BA185" s="94" t="str">
        <f t="shared" si="821"/>
        <v xml:space="preserve"> </v>
      </c>
      <c r="BB185" s="94" t="str">
        <f t="shared" si="822"/>
        <v xml:space="preserve"> </v>
      </c>
    </row>
    <row r="186" spans="1:54" x14ac:dyDescent="0.25">
      <c r="A186" s="80">
        <v>85</v>
      </c>
      <c r="B186" s="95" t="s">
        <v>2417</v>
      </c>
      <c r="C186" s="201" t="s">
        <v>332</v>
      </c>
      <c r="D186" s="80" t="s">
        <v>315</v>
      </c>
      <c r="E186" s="94">
        <f>IFERROR(VLOOKUP(A186,Estimate!A:Q,17,FALSE)," ")</f>
        <v>250</v>
      </c>
      <c r="F186" s="202">
        <v>1</v>
      </c>
      <c r="G186" s="202">
        <v>1</v>
      </c>
      <c r="H186" s="203">
        <v>314.06</v>
      </c>
      <c r="I186" s="203">
        <v>314.06</v>
      </c>
      <c r="J186" s="203">
        <v>314.06</v>
      </c>
      <c r="K186" s="203"/>
      <c r="L186" s="202"/>
      <c r="M186" s="204">
        <f t="shared" si="804"/>
        <v>0</v>
      </c>
      <c r="N186" s="95"/>
      <c r="O186" s="204">
        <f t="shared" si="804"/>
        <v>0</v>
      </c>
      <c r="P186" s="95"/>
      <c r="Q186" s="204">
        <f t="shared" ref="Q186:S186" si="1112">IFERROR(P186/$G186," ")</f>
        <v>0</v>
      </c>
      <c r="R186" s="95"/>
      <c r="S186" s="204">
        <f t="shared" si="1112"/>
        <v>0</v>
      </c>
      <c r="T186" s="95"/>
      <c r="U186" s="204">
        <f t="shared" ref="U186:W186" si="1113">IFERROR(T186/$G186," ")</f>
        <v>0</v>
      </c>
      <c r="V186" s="95"/>
      <c r="W186" s="204">
        <f t="shared" si="1113"/>
        <v>0</v>
      </c>
      <c r="X186" s="95">
        <v>0.5</v>
      </c>
      <c r="Y186" s="204">
        <f t="shared" ref="Y186:AA186" si="1114">IFERROR(X186/$G186," ")</f>
        <v>0.5</v>
      </c>
      <c r="Z186" s="95">
        <v>1</v>
      </c>
      <c r="AA186" s="204">
        <f t="shared" si="1114"/>
        <v>1</v>
      </c>
      <c r="AB186" s="95">
        <v>1</v>
      </c>
      <c r="AC186" s="204">
        <f t="shared" ref="AC186:AE186" si="1115">IFERROR(AB186/$G186," ")</f>
        <v>1</v>
      </c>
      <c r="AD186" s="95">
        <v>1</v>
      </c>
      <c r="AE186" s="204">
        <f t="shared" si="1115"/>
        <v>1</v>
      </c>
      <c r="AF186" s="95">
        <v>1</v>
      </c>
      <c r="AG186" s="204">
        <f t="shared" ref="AG186:AI186" si="1116">IFERROR(AF186/$G186," ")</f>
        <v>1</v>
      </c>
      <c r="AH186" s="95">
        <v>1</v>
      </c>
      <c r="AI186" s="204">
        <f t="shared" si="1116"/>
        <v>1</v>
      </c>
      <c r="AJ186" s="95">
        <v>1</v>
      </c>
      <c r="AK186" s="204">
        <f t="shared" ref="AK186:AM186" si="1117">IFERROR(AJ186/$G186," ")</f>
        <v>1</v>
      </c>
      <c r="AL186" s="95">
        <v>1</v>
      </c>
      <c r="AM186" s="204">
        <f t="shared" si="1117"/>
        <v>1</v>
      </c>
      <c r="AN186" s="95"/>
      <c r="AO186" s="94">
        <f t="shared" si="811"/>
        <v>0</v>
      </c>
      <c r="AP186" s="94">
        <f t="shared" si="801"/>
        <v>0</v>
      </c>
      <c r="AQ186" s="94">
        <f t="shared" si="802"/>
        <v>0</v>
      </c>
      <c r="AR186" s="94">
        <f t="shared" si="1015"/>
        <v>0</v>
      </c>
      <c r="AS186" s="94">
        <f t="shared" si="813"/>
        <v>0</v>
      </c>
      <c r="AT186" s="94">
        <f t="shared" si="814"/>
        <v>0</v>
      </c>
      <c r="AU186" s="94">
        <f t="shared" si="815"/>
        <v>157.03</v>
      </c>
      <c r="AV186" s="94">
        <f t="shared" si="816"/>
        <v>314.06</v>
      </c>
      <c r="AW186" s="94">
        <f t="shared" si="817"/>
        <v>314.06</v>
      </c>
      <c r="AX186" s="94">
        <f t="shared" si="818"/>
        <v>314.06</v>
      </c>
      <c r="AY186" s="94">
        <f t="shared" si="819"/>
        <v>314.06</v>
      </c>
      <c r="AZ186" s="94">
        <f t="shared" si="820"/>
        <v>314.06</v>
      </c>
      <c r="BA186" s="94">
        <f t="shared" si="821"/>
        <v>314.06</v>
      </c>
      <c r="BB186" s="94">
        <f t="shared" si="822"/>
        <v>314.06</v>
      </c>
    </row>
    <row r="187" spans="1:54" ht="30" x14ac:dyDescent="0.25">
      <c r="A187" s="80"/>
      <c r="B187" s="95">
        <v>6</v>
      </c>
      <c r="C187" s="201" t="s">
        <v>337</v>
      </c>
      <c r="D187" s="80" t="s">
        <v>783</v>
      </c>
      <c r="E187" s="94" t="str">
        <f>IFERROR(VLOOKUP(A187,Estimate!A:Q,17,FALSE)," ")</f>
        <v xml:space="preserve"> </v>
      </c>
      <c r="F187" s="202" t="s">
        <v>781</v>
      </c>
      <c r="G187" s="202" t="s">
        <v>781</v>
      </c>
      <c r="H187" s="203" t="s">
        <v>781</v>
      </c>
      <c r="I187" s="203" t="s">
        <v>781</v>
      </c>
      <c r="J187" s="203" t="s">
        <v>781</v>
      </c>
      <c r="K187" s="203"/>
      <c r="L187" s="202" t="s">
        <v>781</v>
      </c>
      <c r="M187" s="204" t="str">
        <f t="shared" si="804"/>
        <v xml:space="preserve"> </v>
      </c>
      <c r="N187" s="95" t="s">
        <v>781</v>
      </c>
      <c r="O187" s="204" t="str">
        <f t="shared" si="804"/>
        <v xml:space="preserve"> </v>
      </c>
      <c r="P187" s="95" t="s">
        <v>781</v>
      </c>
      <c r="Q187" s="204" t="str">
        <f t="shared" ref="Q187:S187" si="1118">IFERROR(P187/$G187," ")</f>
        <v xml:space="preserve"> </v>
      </c>
      <c r="R187" s="95" t="s">
        <v>781</v>
      </c>
      <c r="S187" s="204" t="str">
        <f t="shared" si="1118"/>
        <v xml:space="preserve"> </v>
      </c>
      <c r="T187" s="95" t="s">
        <v>781</v>
      </c>
      <c r="U187" s="204" t="str">
        <f t="shared" ref="U187:W187" si="1119">IFERROR(T187/$G187," ")</f>
        <v xml:space="preserve"> </v>
      </c>
      <c r="V187" s="95" t="s">
        <v>781</v>
      </c>
      <c r="W187" s="204" t="str">
        <f t="shared" si="1119"/>
        <v xml:space="preserve"> </v>
      </c>
      <c r="X187" s="95" t="s">
        <v>781</v>
      </c>
      <c r="Y187" s="204" t="str">
        <f t="shared" ref="Y187:AA187" si="1120">IFERROR(X187/$G187," ")</f>
        <v xml:space="preserve"> </v>
      </c>
      <c r="Z187" s="95" t="s">
        <v>781</v>
      </c>
      <c r="AA187" s="204" t="str">
        <f t="shared" si="1120"/>
        <v xml:space="preserve"> </v>
      </c>
      <c r="AB187" s="95" t="s">
        <v>781</v>
      </c>
      <c r="AC187" s="204" t="str">
        <f t="shared" ref="AC187:AE187" si="1121">IFERROR(AB187/$G187," ")</f>
        <v xml:space="preserve"> </v>
      </c>
      <c r="AD187" s="95" t="s">
        <v>781</v>
      </c>
      <c r="AE187" s="204" t="str">
        <f t="shared" si="1121"/>
        <v xml:space="preserve"> </v>
      </c>
      <c r="AF187" s="95" t="s">
        <v>781</v>
      </c>
      <c r="AG187" s="204" t="str">
        <f t="shared" ref="AG187:AI187" si="1122">IFERROR(AF187/$G187," ")</f>
        <v xml:space="preserve"> </v>
      </c>
      <c r="AH187" s="95" t="s">
        <v>781</v>
      </c>
      <c r="AI187" s="204" t="str">
        <f t="shared" si="1122"/>
        <v xml:space="preserve"> </v>
      </c>
      <c r="AJ187" s="95" t="s">
        <v>781</v>
      </c>
      <c r="AK187" s="204" t="str">
        <f t="shared" ref="AK187:AM187" si="1123">IFERROR(AJ187/$G187," ")</f>
        <v xml:space="preserve"> </v>
      </c>
      <c r="AL187" s="95" t="s">
        <v>781</v>
      </c>
      <c r="AM187" s="204" t="str">
        <f t="shared" si="1123"/>
        <v xml:space="preserve"> </v>
      </c>
      <c r="AN187" s="95"/>
      <c r="AO187" s="94" t="str">
        <f t="shared" si="811"/>
        <v xml:space="preserve"> </v>
      </c>
      <c r="AP187" s="94" t="str">
        <f t="shared" si="801"/>
        <v xml:space="preserve"> </v>
      </c>
      <c r="AQ187" s="94" t="str">
        <f t="shared" si="802"/>
        <v xml:space="preserve"> </v>
      </c>
      <c r="AR187" s="94" t="str">
        <f t="shared" si="1015"/>
        <v xml:space="preserve"> </v>
      </c>
      <c r="AS187" s="94" t="str">
        <f t="shared" si="813"/>
        <v xml:space="preserve"> </v>
      </c>
      <c r="AT187" s="94" t="str">
        <f t="shared" si="814"/>
        <v xml:space="preserve"> </v>
      </c>
      <c r="AU187" s="94" t="str">
        <f t="shared" si="815"/>
        <v xml:space="preserve"> </v>
      </c>
      <c r="AV187" s="94" t="str">
        <f t="shared" si="816"/>
        <v xml:space="preserve"> </v>
      </c>
      <c r="AW187" s="94" t="str">
        <f t="shared" si="817"/>
        <v xml:space="preserve"> </v>
      </c>
      <c r="AX187" s="94" t="str">
        <f t="shared" si="818"/>
        <v xml:space="preserve"> </v>
      </c>
      <c r="AY187" s="94" t="str">
        <f t="shared" si="819"/>
        <v xml:space="preserve"> </v>
      </c>
      <c r="AZ187" s="94" t="str">
        <f t="shared" si="820"/>
        <v xml:space="preserve"> </v>
      </c>
      <c r="BA187" s="94" t="str">
        <f t="shared" si="821"/>
        <v xml:space="preserve"> </v>
      </c>
      <c r="BB187" s="94" t="str">
        <f t="shared" si="822"/>
        <v xml:space="preserve"> </v>
      </c>
    </row>
    <row r="188" spans="1:54" x14ac:dyDescent="0.25">
      <c r="A188" s="80">
        <v>86</v>
      </c>
      <c r="B188" s="95" t="s">
        <v>2417</v>
      </c>
      <c r="C188" s="201" t="s">
        <v>339</v>
      </c>
      <c r="D188" s="80" t="s">
        <v>315</v>
      </c>
      <c r="E188" s="94">
        <f>IFERROR(VLOOKUP(A188,Estimate!A:Q,17,FALSE)," ")</f>
        <v>8400</v>
      </c>
      <c r="F188" s="202">
        <v>4</v>
      </c>
      <c r="G188" s="202">
        <v>4</v>
      </c>
      <c r="H188" s="203">
        <v>2638.08</v>
      </c>
      <c r="I188" s="203">
        <v>10552.32</v>
      </c>
      <c r="J188" s="203">
        <v>10552.32</v>
      </c>
      <c r="K188" s="203"/>
      <c r="L188" s="202"/>
      <c r="M188" s="204">
        <f t="shared" si="804"/>
        <v>0</v>
      </c>
      <c r="N188" s="95"/>
      <c r="O188" s="204">
        <f t="shared" si="804"/>
        <v>0</v>
      </c>
      <c r="P188" s="95"/>
      <c r="Q188" s="204">
        <f t="shared" ref="Q188:S188" si="1124">IFERROR(P188/$G188," ")</f>
        <v>0</v>
      </c>
      <c r="R188" s="95"/>
      <c r="S188" s="204">
        <f t="shared" si="1124"/>
        <v>0</v>
      </c>
      <c r="T188" s="95"/>
      <c r="U188" s="204">
        <f t="shared" ref="U188:W188" si="1125">IFERROR(T188/$G188," ")</f>
        <v>0</v>
      </c>
      <c r="V188" s="95"/>
      <c r="W188" s="204">
        <f t="shared" si="1125"/>
        <v>0</v>
      </c>
      <c r="X188" s="95"/>
      <c r="Y188" s="204">
        <f t="shared" ref="Y188:AA188" si="1126">IFERROR(X188/$G188," ")</f>
        <v>0</v>
      </c>
      <c r="Z188" s="95">
        <v>4</v>
      </c>
      <c r="AA188" s="204">
        <f t="shared" si="1126"/>
        <v>1</v>
      </c>
      <c r="AB188" s="95">
        <v>4</v>
      </c>
      <c r="AC188" s="204">
        <f t="shared" ref="AC188:AE188" si="1127">IFERROR(AB188/$G188," ")</f>
        <v>1</v>
      </c>
      <c r="AD188" s="95">
        <v>4</v>
      </c>
      <c r="AE188" s="204">
        <f t="shared" si="1127"/>
        <v>1</v>
      </c>
      <c r="AF188" s="95">
        <v>4</v>
      </c>
      <c r="AG188" s="204">
        <f t="shared" ref="AG188:AI188" si="1128">IFERROR(AF188/$G188," ")</f>
        <v>1</v>
      </c>
      <c r="AH188" s="95">
        <v>4</v>
      </c>
      <c r="AI188" s="204">
        <f t="shared" si="1128"/>
        <v>1</v>
      </c>
      <c r="AJ188" s="95">
        <v>4</v>
      </c>
      <c r="AK188" s="204">
        <f t="shared" ref="AK188:AM188" si="1129">IFERROR(AJ188/$G188," ")</f>
        <v>1</v>
      </c>
      <c r="AL188" s="95">
        <v>4</v>
      </c>
      <c r="AM188" s="204">
        <f t="shared" si="1129"/>
        <v>1</v>
      </c>
      <c r="AN188" s="95"/>
      <c r="AO188" s="94">
        <f t="shared" si="811"/>
        <v>0</v>
      </c>
      <c r="AP188" s="94">
        <f t="shared" si="801"/>
        <v>0</v>
      </c>
      <c r="AQ188" s="94">
        <f t="shared" si="802"/>
        <v>0</v>
      </c>
      <c r="AR188" s="94">
        <f t="shared" si="1015"/>
        <v>0</v>
      </c>
      <c r="AS188" s="94">
        <f t="shared" si="813"/>
        <v>0</v>
      </c>
      <c r="AT188" s="94">
        <f t="shared" si="814"/>
        <v>0</v>
      </c>
      <c r="AU188" s="94">
        <f t="shared" si="815"/>
        <v>0</v>
      </c>
      <c r="AV188" s="94">
        <f t="shared" si="816"/>
        <v>10552.32</v>
      </c>
      <c r="AW188" s="94">
        <f t="shared" si="817"/>
        <v>10552.32</v>
      </c>
      <c r="AX188" s="94">
        <f t="shared" si="818"/>
        <v>10552.32</v>
      </c>
      <c r="AY188" s="94">
        <f t="shared" si="819"/>
        <v>10552.32</v>
      </c>
      <c r="AZ188" s="94">
        <f t="shared" si="820"/>
        <v>10552.32</v>
      </c>
      <c r="BA188" s="94">
        <f t="shared" si="821"/>
        <v>10552.32</v>
      </c>
      <c r="BB188" s="94">
        <f t="shared" si="822"/>
        <v>10552.32</v>
      </c>
    </row>
    <row r="189" spans="1:54" x14ac:dyDescent="0.25">
      <c r="A189" s="80">
        <v>87</v>
      </c>
      <c r="B189" s="95" t="s">
        <v>2417</v>
      </c>
      <c r="C189" s="201" t="s">
        <v>341</v>
      </c>
      <c r="D189" s="80" t="s">
        <v>315</v>
      </c>
      <c r="E189" s="94">
        <f>IFERROR(VLOOKUP(A189,Estimate!A:Q,17,FALSE)," ")</f>
        <v>4320</v>
      </c>
      <c r="F189" s="202">
        <v>2</v>
      </c>
      <c r="G189" s="202">
        <v>2</v>
      </c>
      <c r="H189" s="203">
        <v>2713.45</v>
      </c>
      <c r="I189" s="203">
        <v>5426.9</v>
      </c>
      <c r="J189" s="203">
        <v>5426.9</v>
      </c>
      <c r="K189" s="203"/>
      <c r="L189" s="202"/>
      <c r="M189" s="204">
        <f t="shared" si="804"/>
        <v>0</v>
      </c>
      <c r="N189" s="95"/>
      <c r="O189" s="204">
        <f t="shared" si="804"/>
        <v>0</v>
      </c>
      <c r="P189" s="95"/>
      <c r="Q189" s="204">
        <f t="shared" ref="Q189:S189" si="1130">IFERROR(P189/$G189," ")</f>
        <v>0</v>
      </c>
      <c r="R189" s="95"/>
      <c r="S189" s="204">
        <f t="shared" si="1130"/>
        <v>0</v>
      </c>
      <c r="T189" s="95"/>
      <c r="U189" s="204">
        <f t="shared" ref="U189:W189" si="1131">IFERROR(T189/$G189," ")</f>
        <v>0</v>
      </c>
      <c r="V189" s="95"/>
      <c r="W189" s="204">
        <f t="shared" si="1131"/>
        <v>0</v>
      </c>
      <c r="X189" s="95"/>
      <c r="Y189" s="204">
        <f t="shared" ref="Y189:AA189" si="1132">IFERROR(X189/$G189," ")</f>
        <v>0</v>
      </c>
      <c r="Z189" s="95">
        <v>2</v>
      </c>
      <c r="AA189" s="204">
        <f t="shared" si="1132"/>
        <v>1</v>
      </c>
      <c r="AB189" s="95">
        <v>2</v>
      </c>
      <c r="AC189" s="204">
        <f t="shared" ref="AC189:AE189" si="1133">IFERROR(AB189/$G189," ")</f>
        <v>1</v>
      </c>
      <c r="AD189" s="95">
        <v>2</v>
      </c>
      <c r="AE189" s="204">
        <f t="shared" si="1133"/>
        <v>1</v>
      </c>
      <c r="AF189" s="95">
        <v>2</v>
      </c>
      <c r="AG189" s="204">
        <f t="shared" ref="AG189:AI189" si="1134">IFERROR(AF189/$G189," ")</f>
        <v>1</v>
      </c>
      <c r="AH189" s="95">
        <v>2</v>
      </c>
      <c r="AI189" s="204">
        <f t="shared" si="1134"/>
        <v>1</v>
      </c>
      <c r="AJ189" s="95">
        <v>2</v>
      </c>
      <c r="AK189" s="204">
        <f t="shared" ref="AK189:AM189" si="1135">IFERROR(AJ189/$G189," ")</f>
        <v>1</v>
      </c>
      <c r="AL189" s="95">
        <v>2</v>
      </c>
      <c r="AM189" s="204">
        <f t="shared" si="1135"/>
        <v>1</v>
      </c>
      <c r="AN189" s="95"/>
      <c r="AO189" s="94">
        <f t="shared" si="811"/>
        <v>0</v>
      </c>
      <c r="AP189" s="94">
        <f t="shared" si="801"/>
        <v>0</v>
      </c>
      <c r="AQ189" s="94">
        <f t="shared" si="802"/>
        <v>0</v>
      </c>
      <c r="AR189" s="94">
        <f t="shared" si="1015"/>
        <v>0</v>
      </c>
      <c r="AS189" s="94">
        <f t="shared" si="813"/>
        <v>0</v>
      </c>
      <c r="AT189" s="94">
        <f t="shared" si="814"/>
        <v>0</v>
      </c>
      <c r="AU189" s="94">
        <f t="shared" si="815"/>
        <v>0</v>
      </c>
      <c r="AV189" s="94">
        <f t="shared" si="816"/>
        <v>5426.9</v>
      </c>
      <c r="AW189" s="94">
        <f t="shared" si="817"/>
        <v>5426.9</v>
      </c>
      <c r="AX189" s="94">
        <f t="shared" si="818"/>
        <v>5426.9</v>
      </c>
      <c r="AY189" s="94">
        <f t="shared" si="819"/>
        <v>5426.9</v>
      </c>
      <c r="AZ189" s="94">
        <f t="shared" si="820"/>
        <v>5426.9</v>
      </c>
      <c r="BA189" s="94">
        <f t="shared" si="821"/>
        <v>5426.9</v>
      </c>
      <c r="BB189" s="94">
        <f t="shared" si="822"/>
        <v>5426.9</v>
      </c>
    </row>
    <row r="190" spans="1:54" ht="45" x14ac:dyDescent="0.25">
      <c r="A190" s="80">
        <v>88</v>
      </c>
      <c r="B190" s="95">
        <v>7</v>
      </c>
      <c r="C190" s="201" t="s">
        <v>343</v>
      </c>
      <c r="D190" s="80" t="s">
        <v>33</v>
      </c>
      <c r="E190" s="94">
        <f>IFERROR(VLOOKUP(A190,Estimate!A:Q,17,FALSE)," ")</f>
        <v>2000</v>
      </c>
      <c r="F190" s="202">
        <v>1</v>
      </c>
      <c r="G190" s="202">
        <v>1</v>
      </c>
      <c r="H190" s="203">
        <v>2512.46</v>
      </c>
      <c r="I190" s="203">
        <v>2512.46</v>
      </c>
      <c r="J190" s="203">
        <v>2512.46</v>
      </c>
      <c r="K190" s="203"/>
      <c r="L190" s="202"/>
      <c r="M190" s="204">
        <f t="shared" si="804"/>
        <v>0</v>
      </c>
      <c r="N190" s="95"/>
      <c r="O190" s="204">
        <f t="shared" si="804"/>
        <v>0</v>
      </c>
      <c r="P190" s="95"/>
      <c r="Q190" s="204">
        <f t="shared" ref="Q190:S190" si="1136">IFERROR(P190/$G190," ")</f>
        <v>0</v>
      </c>
      <c r="R190" s="95"/>
      <c r="S190" s="204">
        <f t="shared" si="1136"/>
        <v>0</v>
      </c>
      <c r="T190" s="95"/>
      <c r="U190" s="204">
        <f t="shared" ref="U190:W190" si="1137">IFERROR(T190/$G190," ")</f>
        <v>0</v>
      </c>
      <c r="V190" s="95"/>
      <c r="W190" s="204">
        <f t="shared" si="1137"/>
        <v>0</v>
      </c>
      <c r="X190" s="95"/>
      <c r="Y190" s="204">
        <f t="shared" ref="Y190:AA190" si="1138">IFERROR(X190/$G190," ")</f>
        <v>0</v>
      </c>
      <c r="Z190" s="95">
        <v>1</v>
      </c>
      <c r="AA190" s="204">
        <f t="shared" si="1138"/>
        <v>1</v>
      </c>
      <c r="AB190" s="95">
        <v>1</v>
      </c>
      <c r="AC190" s="204">
        <f t="shared" ref="AC190:AE190" si="1139">IFERROR(AB190/$G190," ")</f>
        <v>1</v>
      </c>
      <c r="AD190" s="95">
        <v>1</v>
      </c>
      <c r="AE190" s="204">
        <f t="shared" si="1139"/>
        <v>1</v>
      </c>
      <c r="AF190" s="95">
        <v>1</v>
      </c>
      <c r="AG190" s="204">
        <f t="shared" ref="AG190:AI190" si="1140">IFERROR(AF190/$G190," ")</f>
        <v>1</v>
      </c>
      <c r="AH190" s="95">
        <v>1</v>
      </c>
      <c r="AI190" s="204">
        <f t="shared" si="1140"/>
        <v>1</v>
      </c>
      <c r="AJ190" s="95">
        <v>1</v>
      </c>
      <c r="AK190" s="204">
        <f t="shared" ref="AK190:AM190" si="1141">IFERROR(AJ190/$G190," ")</f>
        <v>1</v>
      </c>
      <c r="AL190" s="95">
        <v>1</v>
      </c>
      <c r="AM190" s="204">
        <f t="shared" si="1141"/>
        <v>1</v>
      </c>
      <c r="AN190" s="95"/>
      <c r="AO190" s="94">
        <f t="shared" si="811"/>
        <v>0</v>
      </c>
      <c r="AP190" s="94">
        <f t="shared" si="801"/>
        <v>0</v>
      </c>
      <c r="AQ190" s="94">
        <f t="shared" si="802"/>
        <v>0</v>
      </c>
      <c r="AR190" s="94">
        <f t="shared" si="1015"/>
        <v>0</v>
      </c>
      <c r="AS190" s="94">
        <f t="shared" si="813"/>
        <v>0</v>
      </c>
      <c r="AT190" s="94">
        <f t="shared" si="814"/>
        <v>0</v>
      </c>
      <c r="AU190" s="94">
        <f t="shared" si="815"/>
        <v>0</v>
      </c>
      <c r="AV190" s="94">
        <f t="shared" si="816"/>
        <v>2512.46</v>
      </c>
      <c r="AW190" s="94">
        <f t="shared" si="817"/>
        <v>2512.46</v>
      </c>
      <c r="AX190" s="94">
        <f t="shared" si="818"/>
        <v>2512.46</v>
      </c>
      <c r="AY190" s="94">
        <f t="shared" si="819"/>
        <v>2512.46</v>
      </c>
      <c r="AZ190" s="94">
        <f t="shared" si="820"/>
        <v>2512.46</v>
      </c>
      <c r="BA190" s="94">
        <f t="shared" si="821"/>
        <v>2512.46</v>
      </c>
      <c r="BB190" s="94">
        <f t="shared" si="822"/>
        <v>2512.46</v>
      </c>
    </row>
    <row r="191" spans="1:54" ht="30" x14ac:dyDescent="0.25">
      <c r="A191" s="80">
        <v>89</v>
      </c>
      <c r="B191" s="95">
        <v>8</v>
      </c>
      <c r="C191" s="201" t="s">
        <v>345</v>
      </c>
      <c r="D191" s="80" t="s">
        <v>346</v>
      </c>
      <c r="E191" s="94">
        <f>IFERROR(VLOOKUP(A191,Estimate!A:Q,17,FALSE)," ")</f>
        <v>5400</v>
      </c>
      <c r="F191" s="202">
        <v>1</v>
      </c>
      <c r="G191" s="202">
        <v>1</v>
      </c>
      <c r="H191" s="203">
        <v>6783.63</v>
      </c>
      <c r="I191" s="203">
        <v>6783.63</v>
      </c>
      <c r="J191" s="203">
        <v>6783.63</v>
      </c>
      <c r="K191" s="203"/>
      <c r="L191" s="202"/>
      <c r="M191" s="204">
        <f t="shared" si="804"/>
        <v>0</v>
      </c>
      <c r="N191" s="95"/>
      <c r="O191" s="204">
        <f t="shared" si="804"/>
        <v>0</v>
      </c>
      <c r="P191" s="95"/>
      <c r="Q191" s="204">
        <f t="shared" ref="Q191:S191" si="1142">IFERROR(P191/$G191," ")</f>
        <v>0</v>
      </c>
      <c r="R191" s="95"/>
      <c r="S191" s="204">
        <f t="shared" si="1142"/>
        <v>0</v>
      </c>
      <c r="T191" s="95"/>
      <c r="U191" s="204">
        <f t="shared" ref="U191:W191" si="1143">IFERROR(T191/$G191," ")</f>
        <v>0</v>
      </c>
      <c r="V191" s="95"/>
      <c r="W191" s="204">
        <f t="shared" si="1143"/>
        <v>0</v>
      </c>
      <c r="X191" s="95"/>
      <c r="Y191" s="204">
        <f t="shared" ref="Y191:AA191" si="1144">IFERROR(X191/$G191," ")</f>
        <v>0</v>
      </c>
      <c r="Z191" s="95">
        <v>1</v>
      </c>
      <c r="AA191" s="204">
        <f t="shared" si="1144"/>
        <v>1</v>
      </c>
      <c r="AB191" s="95">
        <v>1</v>
      </c>
      <c r="AC191" s="204">
        <f t="shared" ref="AC191:AE191" si="1145">IFERROR(AB191/$G191," ")</f>
        <v>1</v>
      </c>
      <c r="AD191" s="95">
        <v>1</v>
      </c>
      <c r="AE191" s="204">
        <f t="shared" si="1145"/>
        <v>1</v>
      </c>
      <c r="AF191" s="95">
        <v>1</v>
      </c>
      <c r="AG191" s="204">
        <f t="shared" ref="AG191:AI191" si="1146">IFERROR(AF191/$G191," ")</f>
        <v>1</v>
      </c>
      <c r="AH191" s="95">
        <v>1</v>
      </c>
      <c r="AI191" s="204">
        <f t="shared" si="1146"/>
        <v>1</v>
      </c>
      <c r="AJ191" s="95">
        <v>1</v>
      </c>
      <c r="AK191" s="204">
        <f t="shared" ref="AK191:AM191" si="1147">IFERROR(AJ191/$G191," ")</f>
        <v>1</v>
      </c>
      <c r="AL191" s="95">
        <v>1</v>
      </c>
      <c r="AM191" s="204">
        <f t="shared" si="1147"/>
        <v>1</v>
      </c>
      <c r="AN191" s="95"/>
      <c r="AO191" s="94">
        <f t="shared" si="811"/>
        <v>0</v>
      </c>
      <c r="AP191" s="94">
        <f t="shared" si="801"/>
        <v>0</v>
      </c>
      <c r="AQ191" s="94">
        <f t="shared" si="802"/>
        <v>0</v>
      </c>
      <c r="AR191" s="94">
        <f t="shared" si="1015"/>
        <v>0</v>
      </c>
      <c r="AS191" s="94">
        <f t="shared" si="813"/>
        <v>0</v>
      </c>
      <c r="AT191" s="94">
        <f t="shared" si="814"/>
        <v>0</v>
      </c>
      <c r="AU191" s="94">
        <f t="shared" si="815"/>
        <v>0</v>
      </c>
      <c r="AV191" s="94">
        <f t="shared" si="816"/>
        <v>6783.63</v>
      </c>
      <c r="AW191" s="94">
        <f t="shared" si="817"/>
        <v>6783.63</v>
      </c>
      <c r="AX191" s="94">
        <f t="shared" si="818"/>
        <v>6783.63</v>
      </c>
      <c r="AY191" s="94">
        <f t="shared" si="819"/>
        <v>6783.63</v>
      </c>
      <c r="AZ191" s="94">
        <f t="shared" si="820"/>
        <v>6783.63</v>
      </c>
      <c r="BA191" s="94">
        <f t="shared" si="821"/>
        <v>6783.63</v>
      </c>
      <c r="BB191" s="94">
        <f t="shared" si="822"/>
        <v>6783.63</v>
      </c>
    </row>
    <row r="192" spans="1:54" x14ac:dyDescent="0.25">
      <c r="A192" s="80">
        <v>90</v>
      </c>
      <c r="B192" s="95">
        <v>9</v>
      </c>
      <c r="C192" s="201" t="s">
        <v>147</v>
      </c>
      <c r="D192" s="80" t="s">
        <v>33</v>
      </c>
      <c r="E192" s="94">
        <f>IFERROR(VLOOKUP(A192,Estimate!A:Q,17,FALSE)," ")</f>
        <v>4000</v>
      </c>
      <c r="F192" s="202">
        <v>1</v>
      </c>
      <c r="G192" s="202">
        <v>1</v>
      </c>
      <c r="H192" s="203">
        <v>5024.91</v>
      </c>
      <c r="I192" s="203">
        <v>5024.91</v>
      </c>
      <c r="J192" s="203">
        <v>5024.91</v>
      </c>
      <c r="K192" s="203"/>
      <c r="L192" s="202"/>
      <c r="M192" s="204">
        <f t="shared" si="804"/>
        <v>0</v>
      </c>
      <c r="N192" s="95"/>
      <c r="O192" s="204">
        <f t="shared" si="804"/>
        <v>0</v>
      </c>
      <c r="P192" s="95"/>
      <c r="Q192" s="204">
        <f t="shared" ref="Q192:S192" si="1148">IFERROR(P192/$G192," ")</f>
        <v>0</v>
      </c>
      <c r="R192" s="95"/>
      <c r="S192" s="204">
        <f t="shared" si="1148"/>
        <v>0</v>
      </c>
      <c r="T192" s="95"/>
      <c r="U192" s="204">
        <f t="shared" ref="U192:W192" si="1149">IFERROR(T192/$G192," ")</f>
        <v>0</v>
      </c>
      <c r="V192" s="95"/>
      <c r="W192" s="204">
        <f t="shared" si="1149"/>
        <v>0</v>
      </c>
      <c r="X192" s="95"/>
      <c r="Y192" s="204">
        <f t="shared" ref="Y192:AA192" si="1150">IFERROR(X192/$G192," ")</f>
        <v>0</v>
      </c>
      <c r="Z192" s="95">
        <v>0.5</v>
      </c>
      <c r="AA192" s="204">
        <f t="shared" si="1150"/>
        <v>0.5</v>
      </c>
      <c r="AB192" s="95">
        <v>0.9</v>
      </c>
      <c r="AC192" s="204">
        <f t="shared" ref="AC192:AE192" si="1151">IFERROR(AB192/$G192," ")</f>
        <v>0.9</v>
      </c>
      <c r="AD192" s="95">
        <v>0.95</v>
      </c>
      <c r="AE192" s="204">
        <f t="shared" si="1151"/>
        <v>0.95</v>
      </c>
      <c r="AF192" s="95">
        <v>1</v>
      </c>
      <c r="AG192" s="204">
        <f t="shared" ref="AG192:AI192" si="1152">IFERROR(AF192/$G192," ")</f>
        <v>1</v>
      </c>
      <c r="AH192" s="95">
        <v>1</v>
      </c>
      <c r="AI192" s="204">
        <f t="shared" si="1152"/>
        <v>1</v>
      </c>
      <c r="AJ192" s="95">
        <v>1</v>
      </c>
      <c r="AK192" s="204">
        <f t="shared" ref="AK192:AM192" si="1153">IFERROR(AJ192/$G192," ")</f>
        <v>1</v>
      </c>
      <c r="AL192" s="95">
        <v>1</v>
      </c>
      <c r="AM192" s="204">
        <f t="shared" si="1153"/>
        <v>1</v>
      </c>
      <c r="AN192" s="95"/>
      <c r="AO192" s="94">
        <f t="shared" si="811"/>
        <v>0</v>
      </c>
      <c r="AP192" s="94">
        <f t="shared" si="801"/>
        <v>0</v>
      </c>
      <c r="AQ192" s="94">
        <f t="shared" si="802"/>
        <v>0</v>
      </c>
      <c r="AR192" s="94">
        <f t="shared" si="1015"/>
        <v>0</v>
      </c>
      <c r="AS192" s="94">
        <f t="shared" si="813"/>
        <v>0</v>
      </c>
      <c r="AT192" s="94">
        <f t="shared" si="814"/>
        <v>0</v>
      </c>
      <c r="AU192" s="94">
        <f t="shared" si="815"/>
        <v>0</v>
      </c>
      <c r="AV192" s="94">
        <f t="shared" si="816"/>
        <v>2512.4549999999999</v>
      </c>
      <c r="AW192" s="94">
        <f t="shared" si="817"/>
        <v>4522.4189999999999</v>
      </c>
      <c r="AX192" s="94">
        <f t="shared" si="818"/>
        <v>4773.6644999999999</v>
      </c>
      <c r="AY192" s="94">
        <f t="shared" si="819"/>
        <v>5024.91</v>
      </c>
      <c r="AZ192" s="94">
        <f t="shared" si="820"/>
        <v>5024.91</v>
      </c>
      <c r="BA192" s="94">
        <f t="shared" si="821"/>
        <v>5024.91</v>
      </c>
      <c r="BB192" s="94">
        <f t="shared" si="822"/>
        <v>5024.91</v>
      </c>
    </row>
    <row r="193" spans="1:54" x14ac:dyDescent="0.25">
      <c r="A193" s="80"/>
      <c r="B193" s="205" t="s">
        <v>2417</v>
      </c>
      <c r="C193" s="206" t="s">
        <v>1916</v>
      </c>
      <c r="D193" s="207" t="s">
        <v>783</v>
      </c>
      <c r="E193" s="94" t="str">
        <f>IFERROR(VLOOKUP(A193,Estimate!A:Q,17,FALSE)," ")</f>
        <v xml:space="preserve"> </v>
      </c>
      <c r="F193" s="208" t="s">
        <v>781</v>
      </c>
      <c r="G193" s="208" t="s">
        <v>781</v>
      </c>
      <c r="H193" s="209" t="s">
        <v>781</v>
      </c>
      <c r="I193" s="209">
        <v>103475.96</v>
      </c>
      <c r="J193" s="209" t="s">
        <v>781</v>
      </c>
      <c r="K193" s="209"/>
      <c r="L193" s="208" t="s">
        <v>781</v>
      </c>
      <c r="M193" s="204" t="str">
        <f t="shared" si="804"/>
        <v xml:space="preserve"> </v>
      </c>
      <c r="N193" s="95" t="s">
        <v>781</v>
      </c>
      <c r="O193" s="204" t="str">
        <f t="shared" si="804"/>
        <v xml:space="preserve"> </v>
      </c>
      <c r="P193" s="95" t="s">
        <v>781</v>
      </c>
      <c r="Q193" s="204" t="str">
        <f t="shared" ref="Q193:S193" si="1154">IFERROR(P193/$G193," ")</f>
        <v xml:space="preserve"> </v>
      </c>
      <c r="R193" s="95" t="s">
        <v>781</v>
      </c>
      <c r="S193" s="204" t="str">
        <f t="shared" si="1154"/>
        <v xml:space="preserve"> </v>
      </c>
      <c r="T193" s="95" t="s">
        <v>781</v>
      </c>
      <c r="U193" s="204" t="str">
        <f t="shared" ref="U193:W193" si="1155">IFERROR(T193/$G193," ")</f>
        <v xml:space="preserve"> </v>
      </c>
      <c r="V193" s="95" t="s">
        <v>781</v>
      </c>
      <c r="W193" s="204" t="str">
        <f t="shared" si="1155"/>
        <v xml:space="preserve"> </v>
      </c>
      <c r="X193" s="95" t="s">
        <v>781</v>
      </c>
      <c r="Y193" s="204" t="str">
        <f t="shared" ref="Y193:AA193" si="1156">IFERROR(X193/$G193," ")</f>
        <v xml:space="preserve"> </v>
      </c>
      <c r="Z193" s="95" t="s">
        <v>781</v>
      </c>
      <c r="AA193" s="204" t="str">
        <f t="shared" si="1156"/>
        <v xml:space="preserve"> </v>
      </c>
      <c r="AB193" s="95" t="s">
        <v>781</v>
      </c>
      <c r="AC193" s="204" t="str">
        <f t="shared" ref="AC193:AE193" si="1157">IFERROR(AB193/$G193," ")</f>
        <v xml:space="preserve"> </v>
      </c>
      <c r="AD193" s="95" t="s">
        <v>781</v>
      </c>
      <c r="AE193" s="204" t="str">
        <f t="shared" si="1157"/>
        <v xml:space="preserve"> </v>
      </c>
      <c r="AF193" s="95" t="s">
        <v>781</v>
      </c>
      <c r="AG193" s="204" t="str">
        <f t="shared" ref="AG193:AI193" si="1158">IFERROR(AF193/$G193," ")</f>
        <v xml:space="preserve"> </v>
      </c>
      <c r="AH193" s="95" t="s">
        <v>781</v>
      </c>
      <c r="AI193" s="204" t="str">
        <f t="shared" si="1158"/>
        <v xml:space="preserve"> </v>
      </c>
      <c r="AJ193" s="95" t="s">
        <v>781</v>
      </c>
      <c r="AK193" s="204" t="str">
        <f t="shared" ref="AK193:AM193" si="1159">IFERROR(AJ193/$G193," ")</f>
        <v xml:space="preserve"> </v>
      </c>
      <c r="AL193" s="95" t="s">
        <v>781</v>
      </c>
      <c r="AM193" s="204" t="str">
        <f t="shared" si="1159"/>
        <v xml:space="preserve"> </v>
      </c>
      <c r="AN193" s="95"/>
      <c r="AO193" s="94" t="str">
        <f t="shared" si="811"/>
        <v xml:space="preserve"> </v>
      </c>
      <c r="AP193" s="94" t="str">
        <f t="shared" si="801"/>
        <v xml:space="preserve"> </v>
      </c>
      <c r="AQ193" s="94" t="str">
        <f t="shared" si="802"/>
        <v xml:space="preserve"> </v>
      </c>
      <c r="AR193" s="94" t="str">
        <f t="shared" si="1015"/>
        <v xml:space="preserve"> </v>
      </c>
      <c r="AS193" s="94" t="str">
        <f t="shared" si="813"/>
        <v xml:space="preserve"> </v>
      </c>
      <c r="AT193" s="94" t="str">
        <f t="shared" si="814"/>
        <v xml:space="preserve"> </v>
      </c>
      <c r="AU193" s="94" t="str">
        <f t="shared" si="815"/>
        <v xml:space="preserve"> </v>
      </c>
      <c r="AV193" s="94" t="str">
        <f t="shared" si="816"/>
        <v xml:space="preserve"> </v>
      </c>
      <c r="AW193" s="94" t="str">
        <f t="shared" si="817"/>
        <v xml:space="preserve"> </v>
      </c>
      <c r="AX193" s="94" t="str">
        <f t="shared" si="818"/>
        <v xml:space="preserve"> </v>
      </c>
      <c r="AY193" s="94" t="str">
        <f t="shared" si="819"/>
        <v xml:space="preserve"> </v>
      </c>
      <c r="AZ193" s="94" t="str">
        <f t="shared" si="820"/>
        <v xml:space="preserve"> </v>
      </c>
      <c r="BA193" s="94" t="str">
        <f t="shared" si="821"/>
        <v xml:space="preserve"> </v>
      </c>
      <c r="BB193" s="94" t="str">
        <f t="shared" si="822"/>
        <v xml:space="preserve"> </v>
      </c>
    </row>
    <row r="194" spans="1:54" x14ac:dyDescent="0.25">
      <c r="A194" s="80"/>
      <c r="B194" s="95" t="s">
        <v>2417</v>
      </c>
      <c r="C194" s="201" t="s">
        <v>781</v>
      </c>
      <c r="D194" s="80" t="s">
        <v>783</v>
      </c>
      <c r="E194" s="94" t="str">
        <f>IFERROR(VLOOKUP(A194,Estimate!A:Q,17,FALSE)," ")</f>
        <v xml:space="preserve"> </v>
      </c>
      <c r="F194" s="202" t="s">
        <v>781</v>
      </c>
      <c r="G194" s="202" t="s">
        <v>781</v>
      </c>
      <c r="H194" s="203" t="s">
        <v>781</v>
      </c>
      <c r="I194" s="203" t="s">
        <v>781</v>
      </c>
      <c r="J194" s="203" t="s">
        <v>781</v>
      </c>
      <c r="K194" s="203"/>
      <c r="L194" s="202" t="s">
        <v>781</v>
      </c>
      <c r="M194" s="204" t="str">
        <f t="shared" si="804"/>
        <v xml:space="preserve"> </v>
      </c>
      <c r="N194" s="95" t="s">
        <v>781</v>
      </c>
      <c r="O194" s="204" t="str">
        <f t="shared" si="804"/>
        <v xml:space="preserve"> </v>
      </c>
      <c r="P194" s="95" t="s">
        <v>781</v>
      </c>
      <c r="Q194" s="204" t="str">
        <f t="shared" ref="Q194:S194" si="1160">IFERROR(P194/$G194," ")</f>
        <v xml:space="preserve"> </v>
      </c>
      <c r="R194" s="95" t="s">
        <v>781</v>
      </c>
      <c r="S194" s="204" t="str">
        <f t="shared" si="1160"/>
        <v xml:space="preserve"> </v>
      </c>
      <c r="T194" s="95" t="s">
        <v>781</v>
      </c>
      <c r="U194" s="204" t="str">
        <f t="shared" ref="U194:W194" si="1161">IFERROR(T194/$G194," ")</f>
        <v xml:space="preserve"> </v>
      </c>
      <c r="V194" s="95" t="s">
        <v>781</v>
      </c>
      <c r="W194" s="204" t="str">
        <f t="shared" si="1161"/>
        <v xml:space="preserve"> </v>
      </c>
      <c r="X194" s="95" t="s">
        <v>781</v>
      </c>
      <c r="Y194" s="204" t="str">
        <f t="shared" ref="Y194:AA194" si="1162">IFERROR(X194/$G194," ")</f>
        <v xml:space="preserve"> </v>
      </c>
      <c r="Z194" s="95" t="s">
        <v>781</v>
      </c>
      <c r="AA194" s="204" t="str">
        <f t="shared" si="1162"/>
        <v xml:space="preserve"> </v>
      </c>
      <c r="AB194" s="95" t="s">
        <v>781</v>
      </c>
      <c r="AC194" s="204" t="str">
        <f t="shared" ref="AC194:AE194" si="1163">IFERROR(AB194/$G194," ")</f>
        <v xml:space="preserve"> </v>
      </c>
      <c r="AD194" s="95" t="s">
        <v>781</v>
      </c>
      <c r="AE194" s="204" t="str">
        <f t="shared" si="1163"/>
        <v xml:space="preserve"> </v>
      </c>
      <c r="AF194" s="95" t="s">
        <v>781</v>
      </c>
      <c r="AG194" s="204" t="str">
        <f t="shared" ref="AG194:AI194" si="1164">IFERROR(AF194/$G194," ")</f>
        <v xml:space="preserve"> </v>
      </c>
      <c r="AH194" s="95" t="s">
        <v>781</v>
      </c>
      <c r="AI194" s="204" t="str">
        <f t="shared" si="1164"/>
        <v xml:space="preserve"> </v>
      </c>
      <c r="AJ194" s="95" t="s">
        <v>781</v>
      </c>
      <c r="AK194" s="204" t="str">
        <f t="shared" ref="AK194:AM194" si="1165">IFERROR(AJ194/$G194," ")</f>
        <v xml:space="preserve"> </v>
      </c>
      <c r="AL194" s="95" t="s">
        <v>781</v>
      </c>
      <c r="AM194" s="204" t="str">
        <f t="shared" si="1165"/>
        <v xml:space="preserve"> </v>
      </c>
      <c r="AN194" s="95"/>
      <c r="AO194" s="94" t="str">
        <f t="shared" si="811"/>
        <v xml:space="preserve"> </v>
      </c>
      <c r="AP194" s="94" t="str">
        <f t="shared" si="801"/>
        <v xml:space="preserve"> </v>
      </c>
      <c r="AQ194" s="94" t="str">
        <f t="shared" si="802"/>
        <v xml:space="preserve"> </v>
      </c>
      <c r="AR194" s="94" t="str">
        <f t="shared" si="1015"/>
        <v xml:space="preserve"> </v>
      </c>
      <c r="AS194" s="94" t="str">
        <f t="shared" si="813"/>
        <v xml:space="preserve"> </v>
      </c>
      <c r="AT194" s="94" t="str">
        <f t="shared" si="814"/>
        <v xml:space="preserve"> </v>
      </c>
      <c r="AU194" s="94" t="str">
        <f t="shared" si="815"/>
        <v xml:space="preserve"> </v>
      </c>
      <c r="AV194" s="94" t="str">
        <f t="shared" si="816"/>
        <v xml:space="preserve"> </v>
      </c>
      <c r="AW194" s="94" t="str">
        <f t="shared" si="817"/>
        <v xml:space="preserve"> </v>
      </c>
      <c r="AX194" s="94" t="str">
        <f t="shared" si="818"/>
        <v xml:space="preserve"> </v>
      </c>
      <c r="AY194" s="94" t="str">
        <f t="shared" si="819"/>
        <v xml:space="preserve"> </v>
      </c>
      <c r="AZ194" s="94" t="str">
        <f t="shared" si="820"/>
        <v xml:space="preserve"> </v>
      </c>
      <c r="BA194" s="94" t="str">
        <f t="shared" si="821"/>
        <v xml:space="preserve"> </v>
      </c>
      <c r="BB194" s="94" t="str">
        <f t="shared" si="822"/>
        <v xml:space="preserve"> </v>
      </c>
    </row>
    <row r="195" spans="1:54" x14ac:dyDescent="0.25">
      <c r="A195" s="80"/>
      <c r="B195" s="95" t="s">
        <v>2417</v>
      </c>
      <c r="C195" s="201" t="s">
        <v>349</v>
      </c>
      <c r="D195" s="80" t="s">
        <v>783</v>
      </c>
      <c r="E195" s="94" t="str">
        <f>IFERROR(VLOOKUP(A195,Estimate!A:Q,17,FALSE)," ")</f>
        <v xml:space="preserve"> </v>
      </c>
      <c r="F195" s="202" t="s">
        <v>781</v>
      </c>
      <c r="G195" s="202" t="s">
        <v>781</v>
      </c>
      <c r="H195" s="203" t="s">
        <v>781</v>
      </c>
      <c r="I195" s="203" t="s">
        <v>781</v>
      </c>
      <c r="J195" s="203" t="s">
        <v>781</v>
      </c>
      <c r="K195" s="203"/>
      <c r="L195" s="202" t="s">
        <v>781</v>
      </c>
      <c r="M195" s="204" t="str">
        <f t="shared" si="804"/>
        <v xml:space="preserve"> </v>
      </c>
      <c r="N195" s="95" t="s">
        <v>781</v>
      </c>
      <c r="O195" s="204" t="str">
        <f t="shared" si="804"/>
        <v xml:space="preserve"> </v>
      </c>
      <c r="P195" s="95" t="s">
        <v>781</v>
      </c>
      <c r="Q195" s="204" t="str">
        <f t="shared" ref="Q195:S195" si="1166">IFERROR(P195/$G195," ")</f>
        <v xml:space="preserve"> </v>
      </c>
      <c r="R195" s="95" t="s">
        <v>781</v>
      </c>
      <c r="S195" s="204" t="str">
        <f t="shared" si="1166"/>
        <v xml:space="preserve"> </v>
      </c>
      <c r="T195" s="95" t="s">
        <v>781</v>
      </c>
      <c r="U195" s="204" t="str">
        <f t="shared" ref="U195:W195" si="1167">IFERROR(T195/$G195," ")</f>
        <v xml:space="preserve"> </v>
      </c>
      <c r="V195" s="95" t="s">
        <v>781</v>
      </c>
      <c r="W195" s="204" t="str">
        <f t="shared" si="1167"/>
        <v xml:space="preserve"> </v>
      </c>
      <c r="X195" s="95" t="s">
        <v>781</v>
      </c>
      <c r="Y195" s="204" t="str">
        <f t="shared" ref="Y195:AA195" si="1168">IFERROR(X195/$G195," ")</f>
        <v xml:space="preserve"> </v>
      </c>
      <c r="Z195" s="95" t="s">
        <v>781</v>
      </c>
      <c r="AA195" s="204" t="str">
        <f t="shared" si="1168"/>
        <v xml:space="preserve"> </v>
      </c>
      <c r="AB195" s="95" t="s">
        <v>781</v>
      </c>
      <c r="AC195" s="204" t="str">
        <f t="shared" ref="AC195:AE195" si="1169">IFERROR(AB195/$G195," ")</f>
        <v xml:space="preserve"> </v>
      </c>
      <c r="AD195" s="95" t="s">
        <v>781</v>
      </c>
      <c r="AE195" s="204" t="str">
        <f t="shared" si="1169"/>
        <v xml:space="preserve"> </v>
      </c>
      <c r="AF195" s="95" t="s">
        <v>781</v>
      </c>
      <c r="AG195" s="204" t="str">
        <f t="shared" ref="AG195:AI195" si="1170">IFERROR(AF195/$G195," ")</f>
        <v xml:space="preserve"> </v>
      </c>
      <c r="AH195" s="95" t="s">
        <v>781</v>
      </c>
      <c r="AI195" s="204" t="str">
        <f t="shared" si="1170"/>
        <v xml:space="preserve"> </v>
      </c>
      <c r="AJ195" s="95" t="s">
        <v>781</v>
      </c>
      <c r="AK195" s="204" t="str">
        <f t="shared" ref="AK195:AM195" si="1171">IFERROR(AJ195/$G195," ")</f>
        <v xml:space="preserve"> </v>
      </c>
      <c r="AL195" s="95" t="s">
        <v>781</v>
      </c>
      <c r="AM195" s="204" t="str">
        <f t="shared" si="1171"/>
        <v xml:space="preserve"> </v>
      </c>
      <c r="AN195" s="95"/>
      <c r="AO195" s="94" t="str">
        <f t="shared" si="811"/>
        <v xml:space="preserve"> </v>
      </c>
      <c r="AP195" s="94" t="str">
        <f t="shared" si="801"/>
        <v xml:space="preserve"> </v>
      </c>
      <c r="AQ195" s="94" t="str">
        <f t="shared" si="802"/>
        <v xml:space="preserve"> </v>
      </c>
      <c r="AR195" s="94" t="str">
        <f t="shared" si="1015"/>
        <v xml:space="preserve"> </v>
      </c>
      <c r="AS195" s="94" t="str">
        <f t="shared" si="813"/>
        <v xml:space="preserve"> </v>
      </c>
      <c r="AT195" s="94" t="str">
        <f t="shared" si="814"/>
        <v xml:space="preserve"> </v>
      </c>
      <c r="AU195" s="94" t="str">
        <f t="shared" si="815"/>
        <v xml:space="preserve"> </v>
      </c>
      <c r="AV195" s="94" t="str">
        <f t="shared" si="816"/>
        <v xml:space="preserve"> </v>
      </c>
      <c r="AW195" s="94" t="str">
        <f t="shared" si="817"/>
        <v xml:space="preserve"> </v>
      </c>
      <c r="AX195" s="94" t="str">
        <f t="shared" si="818"/>
        <v xml:space="preserve"> </v>
      </c>
      <c r="AY195" s="94" t="str">
        <f t="shared" si="819"/>
        <v xml:space="preserve"> </v>
      </c>
      <c r="AZ195" s="94" t="str">
        <f t="shared" si="820"/>
        <v xml:space="preserve"> </v>
      </c>
      <c r="BA195" s="94" t="str">
        <f t="shared" si="821"/>
        <v xml:space="preserve"> </v>
      </c>
      <c r="BB195" s="94" t="str">
        <f t="shared" si="822"/>
        <v xml:space="preserve"> </v>
      </c>
    </row>
    <row r="196" spans="1:54" x14ac:dyDescent="0.25">
      <c r="A196" s="80"/>
      <c r="B196" s="95" t="s">
        <v>2417</v>
      </c>
      <c r="C196" s="201" t="s">
        <v>781</v>
      </c>
      <c r="D196" s="80" t="s">
        <v>783</v>
      </c>
      <c r="E196" s="94" t="str">
        <f>IFERROR(VLOOKUP(A196,Estimate!A:Q,17,FALSE)," ")</f>
        <v xml:space="preserve"> </v>
      </c>
      <c r="F196" s="202" t="s">
        <v>781</v>
      </c>
      <c r="G196" s="202" t="s">
        <v>781</v>
      </c>
      <c r="H196" s="203" t="s">
        <v>781</v>
      </c>
      <c r="I196" s="203" t="s">
        <v>781</v>
      </c>
      <c r="J196" s="203" t="s">
        <v>781</v>
      </c>
      <c r="K196" s="203"/>
      <c r="L196" s="202" t="s">
        <v>781</v>
      </c>
      <c r="M196" s="204" t="str">
        <f t="shared" si="804"/>
        <v xml:space="preserve"> </v>
      </c>
      <c r="N196" s="95" t="s">
        <v>781</v>
      </c>
      <c r="O196" s="204" t="str">
        <f t="shared" si="804"/>
        <v xml:space="preserve"> </v>
      </c>
      <c r="P196" s="95" t="s">
        <v>781</v>
      </c>
      <c r="Q196" s="204" t="str">
        <f t="shared" ref="Q196:S196" si="1172">IFERROR(P196/$G196," ")</f>
        <v xml:space="preserve"> </v>
      </c>
      <c r="R196" s="95" t="s">
        <v>781</v>
      </c>
      <c r="S196" s="204" t="str">
        <f t="shared" si="1172"/>
        <v xml:space="preserve"> </v>
      </c>
      <c r="T196" s="95" t="s">
        <v>781</v>
      </c>
      <c r="U196" s="204" t="str">
        <f t="shared" ref="U196:W196" si="1173">IFERROR(T196/$G196," ")</f>
        <v xml:space="preserve"> </v>
      </c>
      <c r="V196" s="95" t="s">
        <v>781</v>
      </c>
      <c r="W196" s="204" t="str">
        <f t="shared" si="1173"/>
        <v xml:space="preserve"> </v>
      </c>
      <c r="X196" s="95" t="s">
        <v>781</v>
      </c>
      <c r="Y196" s="204" t="str">
        <f t="shared" ref="Y196:AA196" si="1174">IFERROR(X196/$G196," ")</f>
        <v xml:space="preserve"> </v>
      </c>
      <c r="Z196" s="95" t="s">
        <v>781</v>
      </c>
      <c r="AA196" s="204" t="str">
        <f t="shared" si="1174"/>
        <v xml:space="preserve"> </v>
      </c>
      <c r="AB196" s="95" t="s">
        <v>781</v>
      </c>
      <c r="AC196" s="204" t="str">
        <f t="shared" ref="AC196:AE196" si="1175">IFERROR(AB196/$G196," ")</f>
        <v xml:space="preserve"> </v>
      </c>
      <c r="AD196" s="95" t="s">
        <v>781</v>
      </c>
      <c r="AE196" s="204" t="str">
        <f t="shared" si="1175"/>
        <v xml:space="preserve"> </v>
      </c>
      <c r="AF196" s="95" t="s">
        <v>781</v>
      </c>
      <c r="AG196" s="204" t="str">
        <f t="shared" ref="AG196:AI196" si="1176">IFERROR(AF196/$G196," ")</f>
        <v xml:space="preserve"> </v>
      </c>
      <c r="AH196" s="95" t="s">
        <v>781</v>
      </c>
      <c r="AI196" s="204" t="str">
        <f t="shared" si="1176"/>
        <v xml:space="preserve"> </v>
      </c>
      <c r="AJ196" s="95" t="s">
        <v>781</v>
      </c>
      <c r="AK196" s="204" t="str">
        <f t="shared" ref="AK196:AM196" si="1177">IFERROR(AJ196/$G196," ")</f>
        <v xml:space="preserve"> </v>
      </c>
      <c r="AL196" s="95" t="s">
        <v>781</v>
      </c>
      <c r="AM196" s="204" t="str">
        <f t="shared" si="1177"/>
        <v xml:space="preserve"> </v>
      </c>
      <c r="AN196" s="95"/>
      <c r="AO196" s="94" t="str">
        <f t="shared" si="811"/>
        <v xml:space="preserve"> </v>
      </c>
      <c r="AP196" s="94" t="str">
        <f t="shared" si="801"/>
        <v xml:space="preserve"> </v>
      </c>
      <c r="AQ196" s="94" t="str">
        <f t="shared" si="802"/>
        <v xml:space="preserve"> </v>
      </c>
      <c r="AR196" s="94" t="str">
        <f t="shared" si="1015"/>
        <v xml:space="preserve"> </v>
      </c>
      <c r="AS196" s="94" t="str">
        <f t="shared" si="813"/>
        <v xml:space="preserve"> </v>
      </c>
      <c r="AT196" s="94" t="str">
        <f t="shared" si="814"/>
        <v xml:space="preserve"> </v>
      </c>
      <c r="AU196" s="94" t="str">
        <f t="shared" si="815"/>
        <v xml:space="preserve"> </v>
      </c>
      <c r="AV196" s="94" t="str">
        <f t="shared" si="816"/>
        <v xml:space="preserve"> </v>
      </c>
      <c r="AW196" s="94" t="str">
        <f t="shared" si="817"/>
        <v xml:space="preserve"> </v>
      </c>
      <c r="AX196" s="94" t="str">
        <f t="shared" si="818"/>
        <v xml:space="preserve"> </v>
      </c>
      <c r="AY196" s="94" t="str">
        <f t="shared" si="819"/>
        <v xml:space="preserve"> </v>
      </c>
      <c r="AZ196" s="94" t="str">
        <f t="shared" si="820"/>
        <v xml:space="preserve"> </v>
      </c>
      <c r="BA196" s="94" t="str">
        <f t="shared" si="821"/>
        <v xml:space="preserve"> </v>
      </c>
      <c r="BB196" s="94" t="str">
        <f t="shared" si="822"/>
        <v xml:space="preserve"> </v>
      </c>
    </row>
    <row r="197" spans="1:54" x14ac:dyDescent="0.25">
      <c r="A197" s="80"/>
      <c r="B197" s="95" t="s">
        <v>2417</v>
      </c>
      <c r="C197" s="201" t="s">
        <v>17</v>
      </c>
      <c r="D197" s="80" t="s">
        <v>783</v>
      </c>
      <c r="E197" s="94" t="str">
        <f>IFERROR(VLOOKUP(A197,Estimate!A:Q,17,FALSE)," ")</f>
        <v xml:space="preserve"> </v>
      </c>
      <c r="F197" s="202" t="s">
        <v>781</v>
      </c>
      <c r="G197" s="202" t="s">
        <v>781</v>
      </c>
      <c r="H197" s="203" t="s">
        <v>781</v>
      </c>
      <c r="I197" s="203" t="s">
        <v>781</v>
      </c>
      <c r="J197" s="203" t="s">
        <v>781</v>
      </c>
      <c r="K197" s="203"/>
      <c r="L197" s="202" t="s">
        <v>781</v>
      </c>
      <c r="M197" s="204" t="str">
        <f t="shared" si="804"/>
        <v xml:space="preserve"> </v>
      </c>
      <c r="N197" s="95" t="s">
        <v>781</v>
      </c>
      <c r="O197" s="204" t="str">
        <f t="shared" si="804"/>
        <v xml:space="preserve"> </v>
      </c>
      <c r="P197" s="95" t="s">
        <v>781</v>
      </c>
      <c r="Q197" s="204" t="str">
        <f t="shared" ref="Q197:S197" si="1178">IFERROR(P197/$G197," ")</f>
        <v xml:space="preserve"> </v>
      </c>
      <c r="R197" s="95" t="s">
        <v>781</v>
      </c>
      <c r="S197" s="204" t="str">
        <f t="shared" si="1178"/>
        <v xml:space="preserve"> </v>
      </c>
      <c r="T197" s="95" t="s">
        <v>781</v>
      </c>
      <c r="U197" s="204" t="str">
        <f t="shared" ref="U197:W197" si="1179">IFERROR(T197/$G197," ")</f>
        <v xml:space="preserve"> </v>
      </c>
      <c r="V197" s="95" t="s">
        <v>781</v>
      </c>
      <c r="W197" s="204" t="str">
        <f t="shared" si="1179"/>
        <v xml:space="preserve"> </v>
      </c>
      <c r="X197" s="95" t="s">
        <v>781</v>
      </c>
      <c r="Y197" s="204" t="str">
        <f t="shared" ref="Y197:AA197" si="1180">IFERROR(X197/$G197," ")</f>
        <v xml:space="preserve"> </v>
      </c>
      <c r="Z197" s="95" t="s">
        <v>781</v>
      </c>
      <c r="AA197" s="204" t="str">
        <f t="shared" si="1180"/>
        <v xml:space="preserve"> </v>
      </c>
      <c r="AB197" s="95" t="s">
        <v>781</v>
      </c>
      <c r="AC197" s="204" t="str">
        <f t="shared" ref="AC197:AE197" si="1181">IFERROR(AB197/$G197," ")</f>
        <v xml:space="preserve"> </v>
      </c>
      <c r="AD197" s="95" t="s">
        <v>781</v>
      </c>
      <c r="AE197" s="204" t="str">
        <f t="shared" si="1181"/>
        <v xml:space="preserve"> </v>
      </c>
      <c r="AF197" s="95" t="s">
        <v>781</v>
      </c>
      <c r="AG197" s="204" t="str">
        <f t="shared" ref="AG197:AI197" si="1182">IFERROR(AF197/$G197," ")</f>
        <v xml:space="preserve"> </v>
      </c>
      <c r="AH197" s="95" t="s">
        <v>781</v>
      </c>
      <c r="AI197" s="204" t="str">
        <f t="shared" si="1182"/>
        <v xml:space="preserve"> </v>
      </c>
      <c r="AJ197" s="95" t="s">
        <v>781</v>
      </c>
      <c r="AK197" s="204" t="str">
        <f t="shared" ref="AK197:AM197" si="1183">IFERROR(AJ197/$G197," ")</f>
        <v xml:space="preserve"> </v>
      </c>
      <c r="AL197" s="95" t="s">
        <v>781</v>
      </c>
      <c r="AM197" s="204" t="str">
        <f t="shared" si="1183"/>
        <v xml:space="preserve"> </v>
      </c>
      <c r="AN197" s="95"/>
      <c r="AO197" s="94" t="str">
        <f t="shared" si="811"/>
        <v xml:space="preserve"> </v>
      </c>
      <c r="AP197" s="94" t="str">
        <f t="shared" si="801"/>
        <v xml:space="preserve"> </v>
      </c>
      <c r="AQ197" s="94" t="str">
        <f t="shared" si="802"/>
        <v xml:space="preserve"> </v>
      </c>
      <c r="AR197" s="94" t="str">
        <f t="shared" si="1015"/>
        <v xml:space="preserve"> </v>
      </c>
      <c r="AS197" s="94" t="str">
        <f t="shared" si="813"/>
        <v xml:space="preserve"> </v>
      </c>
      <c r="AT197" s="94" t="str">
        <f t="shared" si="814"/>
        <v xml:space="preserve"> </v>
      </c>
      <c r="AU197" s="94" t="str">
        <f t="shared" si="815"/>
        <v xml:space="preserve"> </v>
      </c>
      <c r="AV197" s="94" t="str">
        <f t="shared" si="816"/>
        <v xml:space="preserve"> </v>
      </c>
      <c r="AW197" s="94" t="str">
        <f t="shared" si="817"/>
        <v xml:space="preserve"> </v>
      </c>
      <c r="AX197" s="94" t="str">
        <f t="shared" si="818"/>
        <v xml:space="preserve"> </v>
      </c>
      <c r="AY197" s="94" t="str">
        <f t="shared" si="819"/>
        <v xml:space="preserve"> </v>
      </c>
      <c r="AZ197" s="94" t="str">
        <f t="shared" si="820"/>
        <v xml:space="preserve"> </v>
      </c>
      <c r="BA197" s="94" t="str">
        <f t="shared" si="821"/>
        <v xml:space="preserve"> </v>
      </c>
      <c r="BB197" s="94" t="str">
        <f t="shared" si="822"/>
        <v xml:space="preserve"> </v>
      </c>
    </row>
    <row r="198" spans="1:54" x14ac:dyDescent="0.25">
      <c r="A198" s="80"/>
      <c r="B198" s="95" t="s">
        <v>2835</v>
      </c>
      <c r="C198" s="201" t="s">
        <v>25</v>
      </c>
      <c r="D198" s="80" t="s">
        <v>783</v>
      </c>
      <c r="E198" s="94" t="str">
        <f>IFERROR(VLOOKUP(A198,Estimate!A:Q,17,FALSE)," ")</f>
        <v xml:space="preserve"> </v>
      </c>
      <c r="F198" s="202" t="s">
        <v>781</v>
      </c>
      <c r="G198" s="202" t="s">
        <v>781</v>
      </c>
      <c r="H198" s="203" t="s">
        <v>781</v>
      </c>
      <c r="I198" s="203" t="s">
        <v>781</v>
      </c>
      <c r="J198" s="203" t="s">
        <v>781</v>
      </c>
      <c r="K198" s="203"/>
      <c r="L198" s="202" t="s">
        <v>781</v>
      </c>
      <c r="M198" s="204" t="str">
        <f t="shared" si="804"/>
        <v xml:space="preserve"> </v>
      </c>
      <c r="N198" s="95" t="s">
        <v>781</v>
      </c>
      <c r="O198" s="204" t="str">
        <f t="shared" si="804"/>
        <v xml:space="preserve"> </v>
      </c>
      <c r="P198" s="95" t="s">
        <v>781</v>
      </c>
      <c r="Q198" s="204" t="str">
        <f t="shared" ref="Q198:S198" si="1184">IFERROR(P198/$G198," ")</f>
        <v xml:space="preserve"> </v>
      </c>
      <c r="R198" s="95" t="s">
        <v>781</v>
      </c>
      <c r="S198" s="204" t="str">
        <f t="shared" si="1184"/>
        <v xml:space="preserve"> </v>
      </c>
      <c r="T198" s="95" t="s">
        <v>781</v>
      </c>
      <c r="U198" s="204" t="str">
        <f t="shared" ref="U198:W198" si="1185">IFERROR(T198/$G198," ")</f>
        <v xml:space="preserve"> </v>
      </c>
      <c r="V198" s="95" t="s">
        <v>781</v>
      </c>
      <c r="W198" s="204" t="str">
        <f t="shared" si="1185"/>
        <v xml:space="preserve"> </v>
      </c>
      <c r="X198" s="95" t="s">
        <v>781</v>
      </c>
      <c r="Y198" s="204" t="str">
        <f t="shared" ref="Y198:AA198" si="1186">IFERROR(X198/$G198," ")</f>
        <v xml:space="preserve"> </v>
      </c>
      <c r="Z198" s="95" t="s">
        <v>781</v>
      </c>
      <c r="AA198" s="204" t="str">
        <f t="shared" si="1186"/>
        <v xml:space="preserve"> </v>
      </c>
      <c r="AB198" s="95" t="s">
        <v>781</v>
      </c>
      <c r="AC198" s="204" t="str">
        <f t="shared" ref="AC198:AE198" si="1187">IFERROR(AB198/$G198," ")</f>
        <v xml:space="preserve"> </v>
      </c>
      <c r="AD198" s="95" t="s">
        <v>781</v>
      </c>
      <c r="AE198" s="204" t="str">
        <f t="shared" si="1187"/>
        <v xml:space="preserve"> </v>
      </c>
      <c r="AF198" s="95" t="s">
        <v>781</v>
      </c>
      <c r="AG198" s="204" t="str">
        <f t="shared" ref="AG198:AI198" si="1188">IFERROR(AF198/$G198," ")</f>
        <v xml:space="preserve"> </v>
      </c>
      <c r="AH198" s="95" t="s">
        <v>781</v>
      </c>
      <c r="AI198" s="204" t="str">
        <f t="shared" si="1188"/>
        <v xml:space="preserve"> </v>
      </c>
      <c r="AJ198" s="95" t="s">
        <v>781</v>
      </c>
      <c r="AK198" s="204" t="str">
        <f t="shared" ref="AK198:AM198" si="1189">IFERROR(AJ198/$G198," ")</f>
        <v xml:space="preserve"> </v>
      </c>
      <c r="AL198" s="95" t="s">
        <v>781</v>
      </c>
      <c r="AM198" s="204" t="str">
        <f t="shared" si="1189"/>
        <v xml:space="preserve"> </v>
      </c>
      <c r="AN198" s="95"/>
      <c r="AO198" s="94" t="str">
        <f t="shared" si="811"/>
        <v xml:space="preserve"> </v>
      </c>
      <c r="AP198" s="94" t="str">
        <f t="shared" si="801"/>
        <v xml:space="preserve"> </v>
      </c>
      <c r="AQ198" s="94" t="str">
        <f t="shared" si="802"/>
        <v xml:space="preserve"> </v>
      </c>
      <c r="AR198" s="94" t="str">
        <f t="shared" si="1015"/>
        <v xml:space="preserve"> </v>
      </c>
      <c r="AS198" s="94" t="str">
        <f t="shared" si="813"/>
        <v xml:space="preserve"> </v>
      </c>
      <c r="AT198" s="94" t="str">
        <f t="shared" si="814"/>
        <v xml:space="preserve"> </v>
      </c>
      <c r="AU198" s="94" t="str">
        <f t="shared" si="815"/>
        <v xml:space="preserve"> </v>
      </c>
      <c r="AV198" s="94" t="str">
        <f t="shared" si="816"/>
        <v xml:space="preserve"> </v>
      </c>
      <c r="AW198" s="94" t="str">
        <f t="shared" si="817"/>
        <v xml:space="preserve"> </v>
      </c>
      <c r="AX198" s="94" t="str">
        <f t="shared" si="818"/>
        <v xml:space="preserve"> </v>
      </c>
      <c r="AY198" s="94" t="str">
        <f t="shared" si="819"/>
        <v xml:space="preserve"> </v>
      </c>
      <c r="AZ198" s="94" t="str">
        <f t="shared" si="820"/>
        <v xml:space="preserve"> </v>
      </c>
      <c r="BA198" s="94" t="str">
        <f t="shared" si="821"/>
        <v xml:space="preserve"> </v>
      </c>
      <c r="BB198" s="94" t="str">
        <f t="shared" si="822"/>
        <v xml:space="preserve"> </v>
      </c>
    </row>
    <row r="199" spans="1:54" x14ac:dyDescent="0.25">
      <c r="A199" s="80">
        <v>91</v>
      </c>
      <c r="B199" s="95" t="s">
        <v>2836</v>
      </c>
      <c r="C199" s="201" t="s">
        <v>27</v>
      </c>
      <c r="D199" s="80" t="s">
        <v>20</v>
      </c>
      <c r="E199" s="94">
        <f>IFERROR(VLOOKUP(A199,Estimate!A:Q,17,FALSE)," ")</f>
        <v>13160</v>
      </c>
      <c r="F199" s="202">
        <v>1</v>
      </c>
      <c r="G199" s="202">
        <v>1</v>
      </c>
      <c r="H199" s="203">
        <v>16531.96</v>
      </c>
      <c r="I199" s="203">
        <v>16531.96</v>
      </c>
      <c r="J199" s="203">
        <v>16531.96</v>
      </c>
      <c r="K199" s="203"/>
      <c r="L199" s="202"/>
      <c r="M199" s="204">
        <f t="shared" si="804"/>
        <v>0</v>
      </c>
      <c r="N199" s="95"/>
      <c r="O199" s="204">
        <f t="shared" si="804"/>
        <v>0</v>
      </c>
      <c r="P199" s="95"/>
      <c r="Q199" s="204">
        <f t="shared" ref="Q199:S199" si="1190">IFERROR(P199/$G199," ")</f>
        <v>0</v>
      </c>
      <c r="R199" s="95">
        <v>0.25</v>
      </c>
      <c r="S199" s="204">
        <f t="shared" si="1190"/>
        <v>0.25</v>
      </c>
      <c r="T199" s="95">
        <v>0.35</v>
      </c>
      <c r="U199" s="204">
        <f t="shared" ref="U199:W199" si="1191">IFERROR(T199/$G199," ")</f>
        <v>0.35</v>
      </c>
      <c r="V199" s="95">
        <v>0.75</v>
      </c>
      <c r="W199" s="204">
        <f t="shared" si="1191"/>
        <v>0.75</v>
      </c>
      <c r="X199" s="95">
        <v>0.85</v>
      </c>
      <c r="Y199" s="204">
        <f t="shared" ref="Y199:AA199" si="1192">IFERROR(X199/$G199," ")</f>
        <v>0.85</v>
      </c>
      <c r="Z199" s="95">
        <v>0.95</v>
      </c>
      <c r="AA199" s="204">
        <f t="shared" si="1192"/>
        <v>0.95</v>
      </c>
      <c r="AB199" s="95">
        <v>1</v>
      </c>
      <c r="AC199" s="204">
        <f t="shared" ref="AC199:AE199" si="1193">IFERROR(AB199/$G199," ")</f>
        <v>1</v>
      </c>
      <c r="AD199" s="95">
        <v>1</v>
      </c>
      <c r="AE199" s="204">
        <f t="shared" si="1193"/>
        <v>1</v>
      </c>
      <c r="AF199" s="95">
        <v>1</v>
      </c>
      <c r="AG199" s="204">
        <f t="shared" ref="AG199:AI199" si="1194">IFERROR(AF199/$G199," ")</f>
        <v>1</v>
      </c>
      <c r="AH199" s="95">
        <v>1</v>
      </c>
      <c r="AI199" s="204">
        <f t="shared" si="1194"/>
        <v>1</v>
      </c>
      <c r="AJ199" s="95">
        <v>1</v>
      </c>
      <c r="AK199" s="204">
        <f t="shared" ref="AK199:AM199" si="1195">IFERROR(AJ199/$G199," ")</f>
        <v>1</v>
      </c>
      <c r="AL199" s="95">
        <v>1</v>
      </c>
      <c r="AM199" s="204">
        <f t="shared" si="1195"/>
        <v>1</v>
      </c>
      <c r="AN199" s="95"/>
      <c r="AO199" s="94">
        <f t="shared" si="811"/>
        <v>0</v>
      </c>
      <c r="AP199" s="94">
        <f t="shared" si="801"/>
        <v>0</v>
      </c>
      <c r="AQ199" s="94">
        <f t="shared" si="802"/>
        <v>0</v>
      </c>
      <c r="AR199" s="94">
        <f t="shared" si="1015"/>
        <v>4132.99</v>
      </c>
      <c r="AS199" s="94">
        <f t="shared" si="813"/>
        <v>5786.1859999999997</v>
      </c>
      <c r="AT199" s="94">
        <f t="shared" si="814"/>
        <v>12398.97</v>
      </c>
      <c r="AU199" s="94">
        <f t="shared" si="815"/>
        <v>14052.165999999999</v>
      </c>
      <c r="AV199" s="94">
        <f t="shared" si="816"/>
        <v>15705.361999999999</v>
      </c>
      <c r="AW199" s="94">
        <f t="shared" si="817"/>
        <v>16531.96</v>
      </c>
      <c r="AX199" s="94">
        <f t="shared" si="818"/>
        <v>16531.96</v>
      </c>
      <c r="AY199" s="94">
        <f t="shared" si="819"/>
        <v>16531.96</v>
      </c>
      <c r="AZ199" s="94">
        <f t="shared" si="820"/>
        <v>16531.96</v>
      </c>
      <c r="BA199" s="94">
        <f t="shared" si="821"/>
        <v>16531.96</v>
      </c>
      <c r="BB199" s="94">
        <f t="shared" si="822"/>
        <v>16531.96</v>
      </c>
    </row>
    <row r="200" spans="1:54" x14ac:dyDescent="0.25">
      <c r="A200" s="80"/>
      <c r="B200" s="95" t="s">
        <v>2417</v>
      </c>
      <c r="C200" s="201" t="s">
        <v>2837</v>
      </c>
      <c r="D200" s="80" t="s">
        <v>783</v>
      </c>
      <c r="E200" s="94" t="str">
        <f>IFERROR(VLOOKUP(A200,Estimate!A:Q,17,FALSE)," ")</f>
        <v xml:space="preserve"> </v>
      </c>
      <c r="F200" s="202" t="s">
        <v>781</v>
      </c>
      <c r="G200" s="202" t="s">
        <v>781</v>
      </c>
      <c r="H200" s="203" t="s">
        <v>781</v>
      </c>
      <c r="I200" s="203" t="s">
        <v>781</v>
      </c>
      <c r="J200" s="203" t="s">
        <v>781</v>
      </c>
      <c r="K200" s="203"/>
      <c r="L200" s="202" t="s">
        <v>781</v>
      </c>
      <c r="M200" s="204" t="str">
        <f t="shared" si="804"/>
        <v xml:space="preserve"> </v>
      </c>
      <c r="N200" s="95" t="s">
        <v>781</v>
      </c>
      <c r="O200" s="204" t="str">
        <f t="shared" si="804"/>
        <v xml:space="preserve"> </v>
      </c>
      <c r="P200" s="95" t="s">
        <v>781</v>
      </c>
      <c r="Q200" s="204" t="str">
        <f t="shared" ref="Q200:S200" si="1196">IFERROR(P200/$G200," ")</f>
        <v xml:space="preserve"> </v>
      </c>
      <c r="R200" s="95" t="s">
        <v>781</v>
      </c>
      <c r="S200" s="204" t="str">
        <f t="shared" si="1196"/>
        <v xml:space="preserve"> </v>
      </c>
      <c r="T200" s="95" t="s">
        <v>781</v>
      </c>
      <c r="U200" s="204" t="str">
        <f t="shared" ref="U200:W200" si="1197">IFERROR(T200/$G200," ")</f>
        <v xml:space="preserve"> </v>
      </c>
      <c r="V200" s="95" t="s">
        <v>781</v>
      </c>
      <c r="W200" s="204" t="str">
        <f t="shared" si="1197"/>
        <v xml:space="preserve"> </v>
      </c>
      <c r="X200" s="95" t="s">
        <v>781</v>
      </c>
      <c r="Y200" s="204" t="str">
        <f t="shared" ref="Y200:AA200" si="1198">IFERROR(X200/$G200," ")</f>
        <v xml:space="preserve"> </v>
      </c>
      <c r="Z200" s="95" t="s">
        <v>781</v>
      </c>
      <c r="AA200" s="204" t="str">
        <f t="shared" si="1198"/>
        <v xml:space="preserve"> </v>
      </c>
      <c r="AB200" s="95" t="s">
        <v>781</v>
      </c>
      <c r="AC200" s="204" t="str">
        <f t="shared" ref="AC200:AE200" si="1199">IFERROR(AB200/$G200," ")</f>
        <v xml:space="preserve"> </v>
      </c>
      <c r="AD200" s="95" t="s">
        <v>781</v>
      </c>
      <c r="AE200" s="204" t="str">
        <f t="shared" si="1199"/>
        <v xml:space="preserve"> </v>
      </c>
      <c r="AF200" s="95" t="s">
        <v>781</v>
      </c>
      <c r="AG200" s="204" t="str">
        <f t="shared" ref="AG200:AI200" si="1200">IFERROR(AF200/$G200," ")</f>
        <v xml:space="preserve"> </v>
      </c>
      <c r="AH200" s="95" t="s">
        <v>781</v>
      </c>
      <c r="AI200" s="204" t="str">
        <f t="shared" si="1200"/>
        <v xml:space="preserve"> </v>
      </c>
      <c r="AJ200" s="95" t="s">
        <v>781</v>
      </c>
      <c r="AK200" s="204" t="str">
        <f t="shared" ref="AK200:AM200" si="1201">IFERROR(AJ200/$G200," ")</f>
        <v xml:space="preserve"> </v>
      </c>
      <c r="AL200" s="95" t="s">
        <v>781</v>
      </c>
      <c r="AM200" s="204" t="str">
        <f t="shared" si="1201"/>
        <v xml:space="preserve"> </v>
      </c>
      <c r="AN200" s="95"/>
      <c r="AO200" s="94" t="str">
        <f t="shared" si="811"/>
        <v xml:space="preserve"> </v>
      </c>
      <c r="AP200" s="94" t="str">
        <f t="shared" ref="AP200:AP263" si="1202">IFERROR(O200*$J200," ")</f>
        <v xml:space="preserve"> </v>
      </c>
      <c r="AQ200" s="94" t="str">
        <f t="shared" ref="AQ200:AQ263" si="1203">IFERROR(Q200*$J200," ")</f>
        <v xml:space="preserve"> </v>
      </c>
      <c r="AR200" s="94" t="str">
        <f t="shared" ref="AR200" si="1204">IFERROR(S200*$J200," ")</f>
        <v xml:space="preserve"> </v>
      </c>
      <c r="AS200" s="94" t="str">
        <f t="shared" si="813"/>
        <v xml:space="preserve"> </v>
      </c>
      <c r="AT200" s="94" t="str">
        <f t="shared" si="814"/>
        <v xml:space="preserve"> </v>
      </c>
      <c r="AU200" s="94" t="str">
        <f t="shared" si="815"/>
        <v xml:space="preserve"> </v>
      </c>
      <c r="AV200" s="94" t="str">
        <f t="shared" si="816"/>
        <v xml:space="preserve"> </v>
      </c>
      <c r="AW200" s="94" t="str">
        <f t="shared" si="817"/>
        <v xml:space="preserve"> </v>
      </c>
      <c r="AX200" s="94" t="str">
        <f t="shared" si="818"/>
        <v xml:space="preserve"> </v>
      </c>
      <c r="AY200" s="94" t="str">
        <f t="shared" si="819"/>
        <v xml:space="preserve"> </v>
      </c>
      <c r="AZ200" s="94" t="str">
        <f t="shared" si="820"/>
        <v xml:space="preserve"> </v>
      </c>
      <c r="BA200" s="94" t="str">
        <f t="shared" si="821"/>
        <v xml:space="preserve"> </v>
      </c>
      <c r="BB200" s="94" t="str">
        <f t="shared" si="822"/>
        <v xml:space="preserve"> </v>
      </c>
    </row>
    <row r="201" spans="1:54" x14ac:dyDescent="0.25">
      <c r="A201" s="80"/>
      <c r="B201" s="95" t="s">
        <v>2417</v>
      </c>
      <c r="C201" s="201" t="s">
        <v>35</v>
      </c>
      <c r="D201" s="80" t="s">
        <v>783</v>
      </c>
      <c r="E201" s="94" t="str">
        <f>IFERROR(VLOOKUP(A201,Estimate!A:Q,17,FALSE)," ")</f>
        <v xml:space="preserve"> </v>
      </c>
      <c r="F201" s="202" t="s">
        <v>781</v>
      </c>
      <c r="G201" s="202" t="s">
        <v>781</v>
      </c>
      <c r="H201" s="203" t="s">
        <v>781</v>
      </c>
      <c r="I201" s="203" t="s">
        <v>781</v>
      </c>
      <c r="J201" s="203" t="s">
        <v>781</v>
      </c>
      <c r="K201" s="203"/>
      <c r="L201" s="202" t="s">
        <v>781</v>
      </c>
      <c r="M201" s="204" t="str">
        <f t="shared" ref="M201:O264" si="1205">IFERROR(L201/$G201," ")</f>
        <v xml:space="preserve"> </v>
      </c>
      <c r="N201" s="95" t="s">
        <v>781</v>
      </c>
      <c r="O201" s="204" t="str">
        <f t="shared" si="1205"/>
        <v xml:space="preserve"> </v>
      </c>
      <c r="P201" s="95" t="s">
        <v>781</v>
      </c>
      <c r="Q201" s="204" t="str">
        <f t="shared" ref="Q201:S201" si="1206">IFERROR(P201/$G201," ")</f>
        <v xml:space="preserve"> </v>
      </c>
      <c r="R201" s="95" t="s">
        <v>781</v>
      </c>
      <c r="S201" s="204" t="str">
        <f t="shared" si="1206"/>
        <v xml:space="preserve"> </v>
      </c>
      <c r="T201" s="95" t="s">
        <v>781</v>
      </c>
      <c r="U201" s="204" t="str">
        <f t="shared" ref="U201:W201" si="1207">IFERROR(T201/$G201," ")</f>
        <v xml:space="preserve"> </v>
      </c>
      <c r="V201" s="95" t="s">
        <v>781</v>
      </c>
      <c r="W201" s="204" t="str">
        <f t="shared" si="1207"/>
        <v xml:space="preserve"> </v>
      </c>
      <c r="X201" s="95" t="s">
        <v>781</v>
      </c>
      <c r="Y201" s="204" t="str">
        <f t="shared" ref="Y201:AA201" si="1208">IFERROR(X201/$G201," ")</f>
        <v xml:space="preserve"> </v>
      </c>
      <c r="Z201" s="95" t="s">
        <v>781</v>
      </c>
      <c r="AA201" s="204" t="str">
        <f t="shared" si="1208"/>
        <v xml:space="preserve"> </v>
      </c>
      <c r="AB201" s="95" t="s">
        <v>781</v>
      </c>
      <c r="AC201" s="204" t="str">
        <f t="shared" ref="AC201:AE201" si="1209">IFERROR(AB201/$G201," ")</f>
        <v xml:space="preserve"> </v>
      </c>
      <c r="AD201" s="95" t="s">
        <v>781</v>
      </c>
      <c r="AE201" s="204" t="str">
        <f t="shared" si="1209"/>
        <v xml:space="preserve"> </v>
      </c>
      <c r="AF201" s="95" t="s">
        <v>781</v>
      </c>
      <c r="AG201" s="204" t="str">
        <f t="shared" ref="AG201:AI201" si="1210">IFERROR(AF201/$G201," ")</f>
        <v xml:space="preserve"> </v>
      </c>
      <c r="AH201" s="95" t="s">
        <v>781</v>
      </c>
      <c r="AI201" s="204" t="str">
        <f t="shared" si="1210"/>
        <v xml:space="preserve"> </v>
      </c>
      <c r="AJ201" s="95" t="s">
        <v>781</v>
      </c>
      <c r="AK201" s="204" t="str">
        <f t="shared" ref="AK201:AM201" si="1211">IFERROR(AJ201/$G201," ")</f>
        <v xml:space="preserve"> </v>
      </c>
      <c r="AL201" s="95" t="s">
        <v>781</v>
      </c>
      <c r="AM201" s="204" t="str">
        <f t="shared" si="1211"/>
        <v xml:space="preserve"> </v>
      </c>
      <c r="AN201" s="95"/>
      <c r="AO201" s="94" t="str">
        <f t="shared" ref="AO201:AO264" si="1212">IFERROR(M201*$J201," ")</f>
        <v xml:space="preserve"> </v>
      </c>
      <c r="AP201" s="94" t="str">
        <f t="shared" si="1202"/>
        <v xml:space="preserve"> </v>
      </c>
      <c r="AQ201" s="94" t="str">
        <f t="shared" si="1203"/>
        <v xml:space="preserve"> </v>
      </c>
      <c r="AR201" s="94" t="str">
        <f t="shared" ref="AR201:AR232" si="1213">IFERROR(S201*$J201," ")</f>
        <v xml:space="preserve"> </v>
      </c>
      <c r="AS201" s="94" t="str">
        <f t="shared" ref="AS201:AS264" si="1214">IFERROR(U201*$J201," ")</f>
        <v xml:space="preserve"> </v>
      </c>
      <c r="AT201" s="94" t="str">
        <f t="shared" ref="AT201:AT264" si="1215">IFERROR(W201*$J201," ")</f>
        <v xml:space="preserve"> </v>
      </c>
      <c r="AU201" s="94" t="str">
        <f t="shared" ref="AU201:AU264" si="1216">IFERROR(Y201*$J201," ")</f>
        <v xml:space="preserve"> </v>
      </c>
      <c r="AV201" s="94" t="str">
        <f t="shared" ref="AV201:AV264" si="1217">IFERROR(AA201*$J201," ")</f>
        <v xml:space="preserve"> </v>
      </c>
      <c r="AW201" s="94" t="str">
        <f t="shared" ref="AW201:AW264" si="1218">IFERROR(AC201*$J201," ")</f>
        <v xml:space="preserve"> </v>
      </c>
      <c r="AX201" s="94" t="str">
        <f t="shared" ref="AX201:AX264" si="1219">IFERROR(AE201*$J201," ")</f>
        <v xml:space="preserve"> </v>
      </c>
      <c r="AY201" s="94" t="str">
        <f t="shared" ref="AY201:AY264" si="1220">IFERROR(AG201*$J201," ")</f>
        <v xml:space="preserve"> </v>
      </c>
      <c r="AZ201" s="94" t="str">
        <f t="shared" ref="AZ201:AZ264" si="1221">IFERROR(AI201*$J201," ")</f>
        <v xml:space="preserve"> </v>
      </c>
      <c r="BA201" s="94" t="str">
        <f t="shared" ref="BA201:BA264" si="1222">IFERROR(AK201*$J201," ")</f>
        <v xml:space="preserve"> </v>
      </c>
      <c r="BB201" s="94" t="str">
        <f t="shared" ref="BB201:BB264" si="1223">IFERROR(AM201*$J201," ")</f>
        <v xml:space="preserve"> </v>
      </c>
    </row>
    <row r="202" spans="1:54" x14ac:dyDescent="0.25">
      <c r="A202" s="80"/>
      <c r="B202" s="95" t="s">
        <v>2838</v>
      </c>
      <c r="C202" s="201" t="s">
        <v>36</v>
      </c>
      <c r="D202" s="80" t="s">
        <v>783</v>
      </c>
      <c r="E202" s="94" t="str">
        <f>IFERROR(VLOOKUP(A202,Estimate!A:Q,17,FALSE)," ")</f>
        <v xml:space="preserve"> </v>
      </c>
      <c r="F202" s="202" t="s">
        <v>781</v>
      </c>
      <c r="G202" s="202" t="s">
        <v>781</v>
      </c>
      <c r="H202" s="203" t="s">
        <v>781</v>
      </c>
      <c r="I202" s="203" t="s">
        <v>781</v>
      </c>
      <c r="J202" s="203" t="s">
        <v>781</v>
      </c>
      <c r="K202" s="203"/>
      <c r="L202" s="202" t="s">
        <v>781</v>
      </c>
      <c r="M202" s="204" t="str">
        <f t="shared" si="1205"/>
        <v xml:space="preserve"> </v>
      </c>
      <c r="N202" s="95" t="s">
        <v>781</v>
      </c>
      <c r="O202" s="204" t="str">
        <f t="shared" si="1205"/>
        <v xml:space="preserve"> </v>
      </c>
      <c r="P202" s="95" t="s">
        <v>781</v>
      </c>
      <c r="Q202" s="204" t="str">
        <f t="shared" ref="Q202:S202" si="1224">IFERROR(P202/$G202," ")</f>
        <v xml:space="preserve"> </v>
      </c>
      <c r="R202" s="95" t="s">
        <v>781</v>
      </c>
      <c r="S202" s="204" t="str">
        <f t="shared" si="1224"/>
        <v xml:space="preserve"> </v>
      </c>
      <c r="T202" s="95" t="s">
        <v>781</v>
      </c>
      <c r="U202" s="204" t="str">
        <f t="shared" ref="U202:W202" si="1225">IFERROR(T202/$G202," ")</f>
        <v xml:space="preserve"> </v>
      </c>
      <c r="V202" s="95" t="s">
        <v>781</v>
      </c>
      <c r="W202" s="204" t="str">
        <f t="shared" si="1225"/>
        <v xml:space="preserve"> </v>
      </c>
      <c r="X202" s="95" t="s">
        <v>781</v>
      </c>
      <c r="Y202" s="204" t="str">
        <f t="shared" ref="Y202:AA202" si="1226">IFERROR(X202/$G202," ")</f>
        <v xml:space="preserve"> </v>
      </c>
      <c r="Z202" s="95" t="s">
        <v>781</v>
      </c>
      <c r="AA202" s="204" t="str">
        <f t="shared" si="1226"/>
        <v xml:space="preserve"> </v>
      </c>
      <c r="AB202" s="95" t="s">
        <v>781</v>
      </c>
      <c r="AC202" s="204" t="str">
        <f t="shared" ref="AC202:AE202" si="1227">IFERROR(AB202/$G202," ")</f>
        <v xml:space="preserve"> </v>
      </c>
      <c r="AD202" s="95" t="s">
        <v>781</v>
      </c>
      <c r="AE202" s="204" t="str">
        <f t="shared" si="1227"/>
        <v xml:space="preserve"> </v>
      </c>
      <c r="AF202" s="95" t="s">
        <v>781</v>
      </c>
      <c r="AG202" s="204" t="str">
        <f t="shared" ref="AG202:AI202" si="1228">IFERROR(AF202/$G202," ")</f>
        <v xml:space="preserve"> </v>
      </c>
      <c r="AH202" s="95" t="s">
        <v>781</v>
      </c>
      <c r="AI202" s="204" t="str">
        <f t="shared" si="1228"/>
        <v xml:space="preserve"> </v>
      </c>
      <c r="AJ202" s="95" t="s">
        <v>781</v>
      </c>
      <c r="AK202" s="204" t="str">
        <f t="shared" ref="AK202:AM202" si="1229">IFERROR(AJ202/$G202," ")</f>
        <v xml:space="preserve"> </v>
      </c>
      <c r="AL202" s="95" t="s">
        <v>781</v>
      </c>
      <c r="AM202" s="204" t="str">
        <f t="shared" si="1229"/>
        <v xml:space="preserve"> </v>
      </c>
      <c r="AN202" s="95"/>
      <c r="AO202" s="94" t="str">
        <f t="shared" si="1212"/>
        <v xml:space="preserve"> </v>
      </c>
      <c r="AP202" s="94" t="str">
        <f t="shared" si="1202"/>
        <v xml:space="preserve"> </v>
      </c>
      <c r="AQ202" s="94" t="str">
        <f t="shared" si="1203"/>
        <v xml:space="preserve"> </v>
      </c>
      <c r="AR202" s="94" t="str">
        <f t="shared" si="1213"/>
        <v xml:space="preserve"> </v>
      </c>
      <c r="AS202" s="94" t="str">
        <f t="shared" si="1214"/>
        <v xml:space="preserve"> </v>
      </c>
      <c r="AT202" s="94" t="str">
        <f t="shared" si="1215"/>
        <v xml:space="preserve"> </v>
      </c>
      <c r="AU202" s="94" t="str">
        <f t="shared" si="1216"/>
        <v xml:space="preserve"> </v>
      </c>
      <c r="AV202" s="94" t="str">
        <f t="shared" si="1217"/>
        <v xml:space="preserve"> </v>
      </c>
      <c r="AW202" s="94" t="str">
        <f t="shared" si="1218"/>
        <v xml:space="preserve"> </v>
      </c>
      <c r="AX202" s="94" t="str">
        <f t="shared" si="1219"/>
        <v xml:space="preserve"> </v>
      </c>
      <c r="AY202" s="94" t="str">
        <f t="shared" si="1220"/>
        <v xml:space="preserve"> </v>
      </c>
      <c r="AZ202" s="94" t="str">
        <f t="shared" si="1221"/>
        <v xml:space="preserve"> </v>
      </c>
      <c r="BA202" s="94" t="str">
        <f t="shared" si="1222"/>
        <v xml:space="preserve"> </v>
      </c>
      <c r="BB202" s="94" t="str">
        <f t="shared" si="1223"/>
        <v xml:space="preserve"> </v>
      </c>
    </row>
    <row r="203" spans="1:54" x14ac:dyDescent="0.25">
      <c r="A203" s="80"/>
      <c r="B203" s="95" t="s">
        <v>2839</v>
      </c>
      <c r="C203" s="201" t="s">
        <v>38</v>
      </c>
      <c r="D203" s="80" t="s">
        <v>20</v>
      </c>
      <c r="E203" s="94" t="str">
        <f>IFERROR(VLOOKUP(A203,Estimate!A:Q,17,FALSE)," ")</f>
        <v xml:space="preserve"> </v>
      </c>
      <c r="F203" s="202">
        <v>1</v>
      </c>
      <c r="G203" s="202">
        <v>1</v>
      </c>
      <c r="H203" s="203"/>
      <c r="I203" s="203"/>
      <c r="J203" s="203"/>
      <c r="K203" s="203"/>
      <c r="L203" s="202"/>
      <c r="M203" s="204">
        <f t="shared" si="1205"/>
        <v>0</v>
      </c>
      <c r="N203" s="95"/>
      <c r="O203" s="204">
        <f t="shared" si="1205"/>
        <v>0</v>
      </c>
      <c r="P203" s="95"/>
      <c r="Q203" s="204">
        <f t="shared" ref="Q203:S203" si="1230">IFERROR(P203/$G203," ")</f>
        <v>0</v>
      </c>
      <c r="R203" s="95"/>
      <c r="S203" s="204">
        <f t="shared" si="1230"/>
        <v>0</v>
      </c>
      <c r="T203" s="95"/>
      <c r="U203" s="204">
        <f t="shared" ref="U203:W203" si="1231">IFERROR(T203/$G203," ")</f>
        <v>0</v>
      </c>
      <c r="V203" s="95"/>
      <c r="W203" s="204">
        <f t="shared" si="1231"/>
        <v>0</v>
      </c>
      <c r="X203" s="95"/>
      <c r="Y203" s="204">
        <f t="shared" ref="Y203:AA203" si="1232">IFERROR(X203/$G203," ")</f>
        <v>0</v>
      </c>
      <c r="Z203" s="95"/>
      <c r="AA203" s="204">
        <f t="shared" si="1232"/>
        <v>0</v>
      </c>
      <c r="AB203" s="95"/>
      <c r="AC203" s="204">
        <f t="shared" ref="AC203:AE203" si="1233">IFERROR(AB203/$G203," ")</f>
        <v>0</v>
      </c>
      <c r="AD203" s="95"/>
      <c r="AE203" s="204">
        <f t="shared" si="1233"/>
        <v>0</v>
      </c>
      <c r="AF203" s="95"/>
      <c r="AG203" s="204">
        <f t="shared" ref="AG203:AI203" si="1234">IFERROR(AF203/$G203," ")</f>
        <v>0</v>
      </c>
      <c r="AH203" s="95"/>
      <c r="AI203" s="204">
        <f t="shared" si="1234"/>
        <v>0</v>
      </c>
      <c r="AJ203" s="95"/>
      <c r="AK203" s="204">
        <f t="shared" ref="AK203:AM203" si="1235">IFERROR(AJ203/$G203," ")</f>
        <v>0</v>
      </c>
      <c r="AL203" s="95"/>
      <c r="AM203" s="204">
        <f t="shared" si="1235"/>
        <v>0</v>
      </c>
      <c r="AN203" s="95"/>
      <c r="AO203" s="94">
        <f t="shared" si="1212"/>
        <v>0</v>
      </c>
      <c r="AP203" s="94">
        <f t="shared" si="1202"/>
        <v>0</v>
      </c>
      <c r="AQ203" s="94">
        <f t="shared" si="1203"/>
        <v>0</v>
      </c>
      <c r="AR203" s="94">
        <f t="shared" si="1213"/>
        <v>0</v>
      </c>
      <c r="AS203" s="94">
        <f t="shared" si="1214"/>
        <v>0</v>
      </c>
      <c r="AT203" s="94">
        <f t="shared" si="1215"/>
        <v>0</v>
      </c>
      <c r="AU203" s="94">
        <f t="shared" si="1216"/>
        <v>0</v>
      </c>
      <c r="AV203" s="94">
        <f t="shared" si="1217"/>
        <v>0</v>
      </c>
      <c r="AW203" s="94">
        <f t="shared" si="1218"/>
        <v>0</v>
      </c>
      <c r="AX203" s="94">
        <f t="shared" si="1219"/>
        <v>0</v>
      </c>
      <c r="AY203" s="94">
        <f t="shared" si="1220"/>
        <v>0</v>
      </c>
      <c r="AZ203" s="94">
        <f t="shared" si="1221"/>
        <v>0</v>
      </c>
      <c r="BA203" s="94">
        <f t="shared" si="1222"/>
        <v>0</v>
      </c>
      <c r="BB203" s="94">
        <f t="shared" si="1223"/>
        <v>0</v>
      </c>
    </row>
    <row r="204" spans="1:54" x14ac:dyDescent="0.25">
      <c r="A204" s="80"/>
      <c r="B204" s="95" t="s">
        <v>2417</v>
      </c>
      <c r="C204" s="201" t="s">
        <v>2837</v>
      </c>
      <c r="D204" s="80" t="s">
        <v>783</v>
      </c>
      <c r="E204" s="94" t="str">
        <f>IFERROR(VLOOKUP(A204,Estimate!A:Q,17,FALSE)," ")</f>
        <v xml:space="preserve"> </v>
      </c>
      <c r="F204" s="202" t="s">
        <v>781</v>
      </c>
      <c r="G204" s="202" t="s">
        <v>781</v>
      </c>
      <c r="H204" s="203" t="s">
        <v>781</v>
      </c>
      <c r="I204" s="203" t="s">
        <v>781</v>
      </c>
      <c r="J204" s="203" t="s">
        <v>781</v>
      </c>
      <c r="K204" s="203"/>
      <c r="L204" s="202" t="s">
        <v>781</v>
      </c>
      <c r="M204" s="204" t="str">
        <f t="shared" si="1205"/>
        <v xml:space="preserve"> </v>
      </c>
      <c r="N204" s="95" t="s">
        <v>781</v>
      </c>
      <c r="O204" s="204" t="str">
        <f t="shared" si="1205"/>
        <v xml:space="preserve"> </v>
      </c>
      <c r="P204" s="95" t="s">
        <v>781</v>
      </c>
      <c r="Q204" s="204" t="str">
        <f t="shared" ref="Q204:S204" si="1236">IFERROR(P204/$G204," ")</f>
        <v xml:space="preserve"> </v>
      </c>
      <c r="R204" s="95" t="s">
        <v>781</v>
      </c>
      <c r="S204" s="204" t="str">
        <f t="shared" si="1236"/>
        <v xml:space="preserve"> </v>
      </c>
      <c r="T204" s="95" t="s">
        <v>781</v>
      </c>
      <c r="U204" s="204" t="str">
        <f t="shared" ref="U204:W204" si="1237">IFERROR(T204/$G204," ")</f>
        <v xml:space="preserve"> </v>
      </c>
      <c r="V204" s="95" t="s">
        <v>781</v>
      </c>
      <c r="W204" s="204" t="str">
        <f t="shared" si="1237"/>
        <v xml:space="preserve"> </v>
      </c>
      <c r="X204" s="95" t="s">
        <v>781</v>
      </c>
      <c r="Y204" s="204" t="str">
        <f t="shared" ref="Y204:AA204" si="1238">IFERROR(X204/$G204," ")</f>
        <v xml:space="preserve"> </v>
      </c>
      <c r="Z204" s="95" t="s">
        <v>781</v>
      </c>
      <c r="AA204" s="204" t="str">
        <f t="shared" si="1238"/>
        <v xml:space="preserve"> </v>
      </c>
      <c r="AB204" s="95" t="s">
        <v>781</v>
      </c>
      <c r="AC204" s="204" t="str">
        <f t="shared" ref="AC204:AE204" si="1239">IFERROR(AB204/$G204," ")</f>
        <v xml:space="preserve"> </v>
      </c>
      <c r="AD204" s="95" t="s">
        <v>781</v>
      </c>
      <c r="AE204" s="204" t="str">
        <f t="shared" si="1239"/>
        <v xml:space="preserve"> </v>
      </c>
      <c r="AF204" s="95" t="s">
        <v>781</v>
      </c>
      <c r="AG204" s="204" t="str">
        <f t="shared" ref="AG204:AI204" si="1240">IFERROR(AF204/$G204," ")</f>
        <v xml:space="preserve"> </v>
      </c>
      <c r="AH204" s="95" t="s">
        <v>781</v>
      </c>
      <c r="AI204" s="204" t="str">
        <f t="shared" si="1240"/>
        <v xml:space="preserve"> </v>
      </c>
      <c r="AJ204" s="95" t="s">
        <v>781</v>
      </c>
      <c r="AK204" s="204" t="str">
        <f t="shared" ref="AK204:AM204" si="1241">IFERROR(AJ204/$G204," ")</f>
        <v xml:space="preserve"> </v>
      </c>
      <c r="AL204" s="95" t="s">
        <v>781</v>
      </c>
      <c r="AM204" s="204" t="str">
        <f t="shared" si="1241"/>
        <v xml:space="preserve"> </v>
      </c>
      <c r="AN204" s="95"/>
      <c r="AO204" s="94" t="str">
        <f t="shared" si="1212"/>
        <v xml:space="preserve"> </v>
      </c>
      <c r="AP204" s="94" t="str">
        <f t="shared" si="1202"/>
        <v xml:space="preserve"> </v>
      </c>
      <c r="AQ204" s="94" t="str">
        <f t="shared" si="1203"/>
        <v xml:space="preserve"> </v>
      </c>
      <c r="AR204" s="94" t="str">
        <f t="shared" si="1213"/>
        <v xml:space="preserve"> </v>
      </c>
      <c r="AS204" s="94" t="str">
        <f t="shared" si="1214"/>
        <v xml:space="preserve"> </v>
      </c>
      <c r="AT204" s="94" t="str">
        <f t="shared" si="1215"/>
        <v xml:space="preserve"> </v>
      </c>
      <c r="AU204" s="94" t="str">
        <f t="shared" si="1216"/>
        <v xml:space="preserve"> </v>
      </c>
      <c r="AV204" s="94" t="str">
        <f t="shared" si="1217"/>
        <v xml:space="preserve"> </v>
      </c>
      <c r="AW204" s="94" t="str">
        <f t="shared" si="1218"/>
        <v xml:space="preserve"> </v>
      </c>
      <c r="AX204" s="94" t="str">
        <f t="shared" si="1219"/>
        <v xml:space="preserve"> </v>
      </c>
      <c r="AY204" s="94" t="str">
        <f t="shared" si="1220"/>
        <v xml:space="preserve"> </v>
      </c>
      <c r="AZ204" s="94" t="str">
        <f t="shared" si="1221"/>
        <v xml:space="preserve"> </v>
      </c>
      <c r="BA204" s="94" t="str">
        <f t="shared" si="1222"/>
        <v xml:space="preserve"> </v>
      </c>
      <c r="BB204" s="94" t="str">
        <f t="shared" si="1223"/>
        <v xml:space="preserve"> </v>
      </c>
    </row>
    <row r="205" spans="1:54" x14ac:dyDescent="0.25">
      <c r="A205" s="80"/>
      <c r="B205" s="95" t="s">
        <v>2417</v>
      </c>
      <c r="C205" s="201" t="s">
        <v>50</v>
      </c>
      <c r="D205" s="80" t="s">
        <v>783</v>
      </c>
      <c r="E205" s="94" t="str">
        <f>IFERROR(VLOOKUP(A205,Estimate!A:Q,17,FALSE)," ")</f>
        <v xml:space="preserve"> </v>
      </c>
      <c r="F205" s="202" t="s">
        <v>781</v>
      </c>
      <c r="G205" s="202" t="s">
        <v>781</v>
      </c>
      <c r="H205" s="203" t="s">
        <v>781</v>
      </c>
      <c r="I205" s="203" t="s">
        <v>781</v>
      </c>
      <c r="J205" s="203" t="s">
        <v>781</v>
      </c>
      <c r="K205" s="203"/>
      <c r="L205" s="202" t="s">
        <v>781</v>
      </c>
      <c r="M205" s="204" t="str">
        <f t="shared" si="1205"/>
        <v xml:space="preserve"> </v>
      </c>
      <c r="N205" s="95" t="s">
        <v>781</v>
      </c>
      <c r="O205" s="204" t="str">
        <f t="shared" si="1205"/>
        <v xml:space="preserve"> </v>
      </c>
      <c r="P205" s="95" t="s">
        <v>781</v>
      </c>
      <c r="Q205" s="204" t="str">
        <f t="shared" ref="Q205:S205" si="1242">IFERROR(P205/$G205," ")</f>
        <v xml:space="preserve"> </v>
      </c>
      <c r="R205" s="95" t="s">
        <v>781</v>
      </c>
      <c r="S205" s="204" t="str">
        <f t="shared" si="1242"/>
        <v xml:space="preserve"> </v>
      </c>
      <c r="T205" s="95" t="s">
        <v>781</v>
      </c>
      <c r="U205" s="204" t="str">
        <f t="shared" ref="U205:W205" si="1243">IFERROR(T205/$G205," ")</f>
        <v xml:space="preserve"> </v>
      </c>
      <c r="V205" s="95" t="s">
        <v>781</v>
      </c>
      <c r="W205" s="204" t="str">
        <f t="shared" si="1243"/>
        <v xml:space="preserve"> </v>
      </c>
      <c r="X205" s="95" t="s">
        <v>781</v>
      </c>
      <c r="Y205" s="204" t="str">
        <f t="shared" ref="Y205:AA205" si="1244">IFERROR(X205/$G205," ")</f>
        <v xml:space="preserve"> </v>
      </c>
      <c r="Z205" s="95" t="s">
        <v>781</v>
      </c>
      <c r="AA205" s="204" t="str">
        <f t="shared" si="1244"/>
        <v xml:space="preserve"> </v>
      </c>
      <c r="AB205" s="95" t="s">
        <v>781</v>
      </c>
      <c r="AC205" s="204" t="str">
        <f t="shared" ref="AC205:AE205" si="1245">IFERROR(AB205/$G205," ")</f>
        <v xml:space="preserve"> </v>
      </c>
      <c r="AD205" s="95" t="s">
        <v>781</v>
      </c>
      <c r="AE205" s="204" t="str">
        <f t="shared" si="1245"/>
        <v xml:space="preserve"> </v>
      </c>
      <c r="AF205" s="95" t="s">
        <v>781</v>
      </c>
      <c r="AG205" s="204" t="str">
        <f t="shared" ref="AG205:AI205" si="1246">IFERROR(AF205/$G205," ")</f>
        <v xml:space="preserve"> </v>
      </c>
      <c r="AH205" s="95" t="s">
        <v>781</v>
      </c>
      <c r="AI205" s="204" t="str">
        <f t="shared" si="1246"/>
        <v xml:space="preserve"> </v>
      </c>
      <c r="AJ205" s="95" t="s">
        <v>781</v>
      </c>
      <c r="AK205" s="204" t="str">
        <f t="shared" ref="AK205:AM205" si="1247">IFERROR(AJ205/$G205," ")</f>
        <v xml:space="preserve"> </v>
      </c>
      <c r="AL205" s="95" t="s">
        <v>781</v>
      </c>
      <c r="AM205" s="204" t="str">
        <f t="shared" si="1247"/>
        <v xml:space="preserve"> </v>
      </c>
      <c r="AN205" s="95"/>
      <c r="AO205" s="94" t="str">
        <f t="shared" si="1212"/>
        <v xml:space="preserve"> </v>
      </c>
      <c r="AP205" s="94" t="str">
        <f t="shared" si="1202"/>
        <v xml:space="preserve"> </v>
      </c>
      <c r="AQ205" s="94" t="str">
        <f t="shared" si="1203"/>
        <v xml:space="preserve"> </v>
      </c>
      <c r="AR205" s="94" t="str">
        <f t="shared" si="1213"/>
        <v xml:space="preserve"> </v>
      </c>
      <c r="AS205" s="94" t="str">
        <f t="shared" si="1214"/>
        <v xml:space="preserve"> </v>
      </c>
      <c r="AT205" s="94" t="str">
        <f t="shared" si="1215"/>
        <v xml:space="preserve"> </v>
      </c>
      <c r="AU205" s="94" t="str">
        <f t="shared" si="1216"/>
        <v xml:space="preserve"> </v>
      </c>
      <c r="AV205" s="94" t="str">
        <f t="shared" si="1217"/>
        <v xml:space="preserve"> </v>
      </c>
      <c r="AW205" s="94" t="str">
        <f t="shared" si="1218"/>
        <v xml:space="preserve"> </v>
      </c>
      <c r="AX205" s="94" t="str">
        <f t="shared" si="1219"/>
        <v xml:space="preserve"> </v>
      </c>
      <c r="AY205" s="94" t="str">
        <f t="shared" si="1220"/>
        <v xml:space="preserve"> </v>
      </c>
      <c r="AZ205" s="94" t="str">
        <f t="shared" si="1221"/>
        <v xml:space="preserve"> </v>
      </c>
      <c r="BA205" s="94" t="str">
        <f t="shared" si="1222"/>
        <v xml:space="preserve"> </v>
      </c>
      <c r="BB205" s="94" t="str">
        <f t="shared" si="1223"/>
        <v xml:space="preserve"> </v>
      </c>
    </row>
    <row r="206" spans="1:54" x14ac:dyDescent="0.25">
      <c r="A206" s="80"/>
      <c r="B206" s="95" t="s">
        <v>2840</v>
      </c>
      <c r="C206" s="201" t="s">
        <v>52</v>
      </c>
      <c r="D206" s="80" t="s">
        <v>783</v>
      </c>
      <c r="E206" s="94" t="str">
        <f>IFERROR(VLOOKUP(A206,Estimate!A:Q,17,FALSE)," ")</f>
        <v xml:space="preserve"> </v>
      </c>
      <c r="F206" s="202" t="s">
        <v>781</v>
      </c>
      <c r="G206" s="202" t="s">
        <v>781</v>
      </c>
      <c r="H206" s="203" t="s">
        <v>781</v>
      </c>
      <c r="I206" s="203" t="s">
        <v>781</v>
      </c>
      <c r="J206" s="203" t="s">
        <v>781</v>
      </c>
      <c r="K206" s="203"/>
      <c r="L206" s="202" t="s">
        <v>781</v>
      </c>
      <c r="M206" s="204" t="str">
        <f t="shared" si="1205"/>
        <v xml:space="preserve"> </v>
      </c>
      <c r="N206" s="95" t="s">
        <v>781</v>
      </c>
      <c r="O206" s="204" t="str">
        <f t="shared" si="1205"/>
        <v xml:space="preserve"> </v>
      </c>
      <c r="P206" s="95" t="s">
        <v>781</v>
      </c>
      <c r="Q206" s="204" t="str">
        <f t="shared" ref="Q206:S206" si="1248">IFERROR(P206/$G206," ")</f>
        <v xml:space="preserve"> </v>
      </c>
      <c r="R206" s="95" t="s">
        <v>781</v>
      </c>
      <c r="S206" s="204" t="str">
        <f t="shared" si="1248"/>
        <v xml:space="preserve"> </v>
      </c>
      <c r="T206" s="95" t="s">
        <v>781</v>
      </c>
      <c r="U206" s="204" t="str">
        <f t="shared" ref="U206:W206" si="1249">IFERROR(T206/$G206," ")</f>
        <v xml:space="preserve"> </v>
      </c>
      <c r="V206" s="95" t="s">
        <v>781</v>
      </c>
      <c r="W206" s="204" t="str">
        <f t="shared" si="1249"/>
        <v xml:space="preserve"> </v>
      </c>
      <c r="X206" s="95" t="s">
        <v>781</v>
      </c>
      <c r="Y206" s="204" t="str">
        <f t="shared" ref="Y206:AA206" si="1250">IFERROR(X206/$G206," ")</f>
        <v xml:space="preserve"> </v>
      </c>
      <c r="Z206" s="95" t="s">
        <v>781</v>
      </c>
      <c r="AA206" s="204" t="str">
        <f t="shared" si="1250"/>
        <v xml:space="preserve"> </v>
      </c>
      <c r="AB206" s="95" t="s">
        <v>781</v>
      </c>
      <c r="AC206" s="204" t="str">
        <f t="shared" ref="AC206:AE206" si="1251">IFERROR(AB206/$G206," ")</f>
        <v xml:space="preserve"> </v>
      </c>
      <c r="AD206" s="95" t="s">
        <v>781</v>
      </c>
      <c r="AE206" s="204" t="str">
        <f t="shared" si="1251"/>
        <v xml:space="preserve"> </v>
      </c>
      <c r="AF206" s="95" t="s">
        <v>781</v>
      </c>
      <c r="AG206" s="204" t="str">
        <f t="shared" ref="AG206:AI206" si="1252">IFERROR(AF206/$G206," ")</f>
        <v xml:space="preserve"> </v>
      </c>
      <c r="AH206" s="95" t="s">
        <v>781</v>
      </c>
      <c r="AI206" s="204" t="str">
        <f t="shared" si="1252"/>
        <v xml:space="preserve"> </v>
      </c>
      <c r="AJ206" s="95" t="s">
        <v>781</v>
      </c>
      <c r="AK206" s="204" t="str">
        <f t="shared" ref="AK206:AM206" si="1253">IFERROR(AJ206/$G206," ")</f>
        <v xml:space="preserve"> </v>
      </c>
      <c r="AL206" s="95" t="s">
        <v>781</v>
      </c>
      <c r="AM206" s="204" t="str">
        <f t="shared" si="1253"/>
        <v xml:space="preserve"> </v>
      </c>
      <c r="AN206" s="95"/>
      <c r="AO206" s="94" t="str">
        <f t="shared" si="1212"/>
        <v xml:space="preserve"> </v>
      </c>
      <c r="AP206" s="94" t="str">
        <f t="shared" si="1202"/>
        <v xml:space="preserve"> </v>
      </c>
      <c r="AQ206" s="94" t="str">
        <f t="shared" si="1203"/>
        <v xml:space="preserve"> </v>
      </c>
      <c r="AR206" s="94" t="str">
        <f t="shared" si="1213"/>
        <v xml:space="preserve"> </v>
      </c>
      <c r="AS206" s="94" t="str">
        <f t="shared" si="1214"/>
        <v xml:space="preserve"> </v>
      </c>
      <c r="AT206" s="94" t="str">
        <f t="shared" si="1215"/>
        <v xml:space="preserve"> </v>
      </c>
      <c r="AU206" s="94" t="str">
        <f t="shared" si="1216"/>
        <v xml:space="preserve"> </v>
      </c>
      <c r="AV206" s="94" t="str">
        <f t="shared" si="1217"/>
        <v xml:space="preserve"> </v>
      </c>
      <c r="AW206" s="94" t="str">
        <f t="shared" si="1218"/>
        <v xml:space="preserve"> </v>
      </c>
      <c r="AX206" s="94" t="str">
        <f t="shared" si="1219"/>
        <v xml:space="preserve"> </v>
      </c>
      <c r="AY206" s="94" t="str">
        <f t="shared" si="1220"/>
        <v xml:space="preserve"> </v>
      </c>
      <c r="AZ206" s="94" t="str">
        <f t="shared" si="1221"/>
        <v xml:space="preserve"> </v>
      </c>
      <c r="BA206" s="94" t="str">
        <f t="shared" si="1222"/>
        <v xml:space="preserve"> </v>
      </c>
      <c r="BB206" s="94" t="str">
        <f t="shared" si="1223"/>
        <v xml:space="preserve"> </v>
      </c>
    </row>
    <row r="207" spans="1:54" x14ac:dyDescent="0.25">
      <c r="A207" s="80">
        <v>92</v>
      </c>
      <c r="B207" s="95" t="s">
        <v>2841</v>
      </c>
      <c r="C207" s="201" t="s">
        <v>54</v>
      </c>
      <c r="D207" s="80" t="s">
        <v>20</v>
      </c>
      <c r="E207" s="94">
        <f>IFERROR(VLOOKUP(A207,Estimate!A:Q,17,FALSE)," ")</f>
        <v>23292.48</v>
      </c>
      <c r="F207" s="202">
        <v>1</v>
      </c>
      <c r="G207" s="202">
        <v>1</v>
      </c>
      <c r="H207" s="203">
        <v>29260.66</v>
      </c>
      <c r="I207" s="203">
        <v>29260.66</v>
      </c>
      <c r="J207" s="203">
        <v>29260.66</v>
      </c>
      <c r="K207" s="203"/>
      <c r="L207" s="202"/>
      <c r="M207" s="204">
        <f t="shared" si="1205"/>
        <v>0</v>
      </c>
      <c r="N207" s="95"/>
      <c r="O207" s="204">
        <f t="shared" si="1205"/>
        <v>0</v>
      </c>
      <c r="P207" s="95"/>
      <c r="Q207" s="204">
        <f t="shared" ref="Q207:S207" si="1254">IFERROR(P207/$G207," ")</f>
        <v>0</v>
      </c>
      <c r="R207" s="95">
        <v>0.25</v>
      </c>
      <c r="S207" s="204">
        <f t="shared" si="1254"/>
        <v>0.25</v>
      </c>
      <c r="T207" s="95">
        <v>0.35</v>
      </c>
      <c r="U207" s="204">
        <f t="shared" ref="U207:W207" si="1255">IFERROR(T207/$G207," ")</f>
        <v>0.35</v>
      </c>
      <c r="V207" s="95">
        <v>0.75</v>
      </c>
      <c r="W207" s="204">
        <f t="shared" si="1255"/>
        <v>0.75</v>
      </c>
      <c r="X207" s="95">
        <v>0.85</v>
      </c>
      <c r="Y207" s="204">
        <f t="shared" ref="Y207:AA207" si="1256">IFERROR(X207/$G207," ")</f>
        <v>0.85</v>
      </c>
      <c r="Z207" s="95">
        <v>0.95</v>
      </c>
      <c r="AA207" s="204">
        <f t="shared" si="1256"/>
        <v>0.95</v>
      </c>
      <c r="AB207" s="95">
        <v>1</v>
      </c>
      <c r="AC207" s="204">
        <f t="shared" ref="AC207:AE207" si="1257">IFERROR(AB207/$G207," ")</f>
        <v>1</v>
      </c>
      <c r="AD207" s="95">
        <v>1</v>
      </c>
      <c r="AE207" s="204">
        <f t="shared" si="1257"/>
        <v>1</v>
      </c>
      <c r="AF207" s="95">
        <v>1</v>
      </c>
      <c r="AG207" s="204">
        <f t="shared" ref="AG207:AI207" si="1258">IFERROR(AF207/$G207," ")</f>
        <v>1</v>
      </c>
      <c r="AH207" s="95">
        <v>1</v>
      </c>
      <c r="AI207" s="204">
        <f t="shared" si="1258"/>
        <v>1</v>
      </c>
      <c r="AJ207" s="95">
        <v>1</v>
      </c>
      <c r="AK207" s="204">
        <f t="shared" ref="AK207:AM207" si="1259">IFERROR(AJ207/$G207," ")</f>
        <v>1</v>
      </c>
      <c r="AL207" s="95">
        <v>1</v>
      </c>
      <c r="AM207" s="204">
        <f t="shared" si="1259"/>
        <v>1</v>
      </c>
      <c r="AN207" s="95"/>
      <c r="AO207" s="94">
        <f t="shared" si="1212"/>
        <v>0</v>
      </c>
      <c r="AP207" s="94">
        <f t="shared" si="1202"/>
        <v>0</v>
      </c>
      <c r="AQ207" s="94">
        <f t="shared" si="1203"/>
        <v>0</v>
      </c>
      <c r="AR207" s="94">
        <f t="shared" si="1213"/>
        <v>7315.165</v>
      </c>
      <c r="AS207" s="94">
        <f t="shared" si="1214"/>
        <v>10241.231</v>
      </c>
      <c r="AT207" s="94">
        <f t="shared" si="1215"/>
        <v>21945.494999999999</v>
      </c>
      <c r="AU207" s="94">
        <f t="shared" si="1216"/>
        <v>24871.560999999998</v>
      </c>
      <c r="AV207" s="94">
        <f t="shared" si="1217"/>
        <v>27797.626999999997</v>
      </c>
      <c r="AW207" s="94">
        <f t="shared" si="1218"/>
        <v>29260.66</v>
      </c>
      <c r="AX207" s="94">
        <f t="shared" si="1219"/>
        <v>29260.66</v>
      </c>
      <c r="AY207" s="94">
        <f t="shared" si="1220"/>
        <v>29260.66</v>
      </c>
      <c r="AZ207" s="94">
        <f t="shared" si="1221"/>
        <v>29260.66</v>
      </c>
      <c r="BA207" s="94">
        <f t="shared" si="1222"/>
        <v>29260.66</v>
      </c>
      <c r="BB207" s="94">
        <f t="shared" si="1223"/>
        <v>29260.66</v>
      </c>
    </row>
    <row r="208" spans="1:54" x14ac:dyDescent="0.25">
      <c r="A208" s="80"/>
      <c r="B208" s="95" t="s">
        <v>2866</v>
      </c>
      <c r="C208" s="201" t="s">
        <v>161</v>
      </c>
      <c r="D208" s="80" t="s">
        <v>783</v>
      </c>
      <c r="E208" s="94" t="str">
        <f>IFERROR(VLOOKUP(A208,Estimate!A:Q,17,FALSE)," ")</f>
        <v xml:space="preserve"> </v>
      </c>
      <c r="F208" s="202" t="s">
        <v>781</v>
      </c>
      <c r="G208" s="202" t="s">
        <v>781</v>
      </c>
      <c r="H208" s="203" t="s">
        <v>781</v>
      </c>
      <c r="I208" s="203" t="s">
        <v>781</v>
      </c>
      <c r="J208" s="203" t="s">
        <v>781</v>
      </c>
      <c r="K208" s="203"/>
      <c r="L208" s="202" t="s">
        <v>781</v>
      </c>
      <c r="M208" s="204" t="str">
        <f t="shared" si="1205"/>
        <v xml:space="preserve"> </v>
      </c>
      <c r="N208" s="95" t="s">
        <v>781</v>
      </c>
      <c r="O208" s="204" t="str">
        <f t="shared" si="1205"/>
        <v xml:space="preserve"> </v>
      </c>
      <c r="P208" s="95" t="s">
        <v>781</v>
      </c>
      <c r="Q208" s="204" t="str">
        <f t="shared" ref="Q208:S208" si="1260">IFERROR(P208/$G208," ")</f>
        <v xml:space="preserve"> </v>
      </c>
      <c r="R208" s="95" t="s">
        <v>781</v>
      </c>
      <c r="S208" s="204" t="str">
        <f t="shared" si="1260"/>
        <v xml:space="preserve"> </v>
      </c>
      <c r="T208" s="95" t="s">
        <v>781</v>
      </c>
      <c r="U208" s="204" t="str">
        <f t="shared" ref="U208:W208" si="1261">IFERROR(T208/$G208," ")</f>
        <v xml:space="preserve"> </v>
      </c>
      <c r="V208" s="95" t="s">
        <v>781</v>
      </c>
      <c r="W208" s="204" t="str">
        <f t="shared" si="1261"/>
        <v xml:space="preserve"> </v>
      </c>
      <c r="X208" s="95" t="s">
        <v>781</v>
      </c>
      <c r="Y208" s="204" t="str">
        <f t="shared" ref="Y208:AA208" si="1262">IFERROR(X208/$G208," ")</f>
        <v xml:space="preserve"> </v>
      </c>
      <c r="Z208" s="95" t="s">
        <v>781</v>
      </c>
      <c r="AA208" s="204" t="str">
        <f t="shared" si="1262"/>
        <v xml:space="preserve"> </v>
      </c>
      <c r="AB208" s="95" t="s">
        <v>781</v>
      </c>
      <c r="AC208" s="204" t="str">
        <f t="shared" ref="AC208:AE208" si="1263">IFERROR(AB208/$G208," ")</f>
        <v xml:space="preserve"> </v>
      </c>
      <c r="AD208" s="95" t="s">
        <v>781</v>
      </c>
      <c r="AE208" s="204" t="str">
        <f t="shared" si="1263"/>
        <v xml:space="preserve"> </v>
      </c>
      <c r="AF208" s="95" t="s">
        <v>781</v>
      </c>
      <c r="AG208" s="204" t="str">
        <f t="shared" ref="AG208:AI208" si="1264">IFERROR(AF208/$G208," ")</f>
        <v xml:space="preserve"> </v>
      </c>
      <c r="AH208" s="95" t="s">
        <v>781</v>
      </c>
      <c r="AI208" s="204" t="str">
        <f t="shared" si="1264"/>
        <v xml:space="preserve"> </v>
      </c>
      <c r="AJ208" s="95" t="s">
        <v>781</v>
      </c>
      <c r="AK208" s="204" t="str">
        <f t="shared" ref="AK208:AM208" si="1265">IFERROR(AJ208/$G208," ")</f>
        <v xml:space="preserve"> </v>
      </c>
      <c r="AL208" s="95" t="s">
        <v>781</v>
      </c>
      <c r="AM208" s="204" t="str">
        <f t="shared" si="1265"/>
        <v xml:space="preserve"> </v>
      </c>
      <c r="AN208" s="95"/>
      <c r="AO208" s="94" t="str">
        <f t="shared" si="1212"/>
        <v xml:space="preserve"> </v>
      </c>
      <c r="AP208" s="94" t="str">
        <f t="shared" si="1202"/>
        <v xml:space="preserve"> </v>
      </c>
      <c r="AQ208" s="94" t="str">
        <f t="shared" si="1203"/>
        <v xml:space="preserve"> </v>
      </c>
      <c r="AR208" s="94" t="str">
        <f t="shared" si="1213"/>
        <v xml:space="preserve"> </v>
      </c>
      <c r="AS208" s="94" t="str">
        <f t="shared" si="1214"/>
        <v xml:space="preserve"> </v>
      </c>
      <c r="AT208" s="94" t="str">
        <f t="shared" si="1215"/>
        <v xml:space="preserve"> </v>
      </c>
      <c r="AU208" s="94" t="str">
        <f t="shared" si="1216"/>
        <v xml:space="preserve"> </v>
      </c>
      <c r="AV208" s="94" t="str">
        <f t="shared" si="1217"/>
        <v xml:space="preserve"> </v>
      </c>
      <c r="AW208" s="94" t="str">
        <f t="shared" si="1218"/>
        <v xml:space="preserve"> </v>
      </c>
      <c r="AX208" s="94" t="str">
        <f t="shared" si="1219"/>
        <v xml:space="preserve"> </v>
      </c>
      <c r="AY208" s="94" t="str">
        <f t="shared" si="1220"/>
        <v xml:space="preserve"> </v>
      </c>
      <c r="AZ208" s="94" t="str">
        <f t="shared" si="1221"/>
        <v xml:space="preserve"> </v>
      </c>
      <c r="BA208" s="94" t="str">
        <f t="shared" si="1222"/>
        <v xml:space="preserve"> </v>
      </c>
      <c r="BB208" s="94" t="str">
        <f t="shared" si="1223"/>
        <v xml:space="preserve"> </v>
      </c>
    </row>
    <row r="209" spans="1:54" ht="30" x14ac:dyDescent="0.25">
      <c r="A209" s="80">
        <v>93</v>
      </c>
      <c r="B209" s="95" t="s">
        <v>2867</v>
      </c>
      <c r="C209" s="201" t="s">
        <v>163</v>
      </c>
      <c r="D209" s="80" t="s">
        <v>20</v>
      </c>
      <c r="E209" s="94">
        <f>IFERROR(VLOOKUP(A209,Estimate!A:Q,17,FALSE)," ")</f>
        <v>11050</v>
      </c>
      <c r="F209" s="202">
        <v>1</v>
      </c>
      <c r="G209" s="202">
        <v>1</v>
      </c>
      <c r="H209" s="203">
        <v>13881.32</v>
      </c>
      <c r="I209" s="203">
        <v>13881.32</v>
      </c>
      <c r="J209" s="203">
        <v>13881.32</v>
      </c>
      <c r="K209" s="203"/>
      <c r="L209" s="202"/>
      <c r="M209" s="204">
        <f t="shared" si="1205"/>
        <v>0</v>
      </c>
      <c r="N209" s="95"/>
      <c r="O209" s="204">
        <f t="shared" si="1205"/>
        <v>0</v>
      </c>
      <c r="P209" s="95"/>
      <c r="Q209" s="204">
        <f t="shared" ref="Q209:S209" si="1266">IFERROR(P209/$G209," ")</f>
        <v>0</v>
      </c>
      <c r="R209" s="95">
        <v>0.25</v>
      </c>
      <c r="S209" s="204">
        <f t="shared" si="1266"/>
        <v>0.25</v>
      </c>
      <c r="T209" s="95">
        <v>0.35</v>
      </c>
      <c r="U209" s="204">
        <f t="shared" ref="U209:W209" si="1267">IFERROR(T209/$G209," ")</f>
        <v>0.35</v>
      </c>
      <c r="V209" s="95">
        <v>0.75</v>
      </c>
      <c r="W209" s="204">
        <f t="shared" si="1267"/>
        <v>0.75</v>
      </c>
      <c r="X209" s="95">
        <v>0.85</v>
      </c>
      <c r="Y209" s="204">
        <f t="shared" ref="Y209:AA209" si="1268">IFERROR(X209/$G209," ")</f>
        <v>0.85</v>
      </c>
      <c r="Z209" s="95">
        <v>0.95</v>
      </c>
      <c r="AA209" s="204">
        <f t="shared" si="1268"/>
        <v>0.95</v>
      </c>
      <c r="AB209" s="95">
        <v>1</v>
      </c>
      <c r="AC209" s="204">
        <f t="shared" ref="AC209:AE209" si="1269">IFERROR(AB209/$G209," ")</f>
        <v>1</v>
      </c>
      <c r="AD209" s="95">
        <v>1</v>
      </c>
      <c r="AE209" s="204">
        <f t="shared" si="1269"/>
        <v>1</v>
      </c>
      <c r="AF209" s="95">
        <v>1</v>
      </c>
      <c r="AG209" s="204">
        <f t="shared" ref="AG209:AI209" si="1270">IFERROR(AF209/$G209," ")</f>
        <v>1</v>
      </c>
      <c r="AH209" s="95">
        <v>1</v>
      </c>
      <c r="AI209" s="204">
        <f t="shared" si="1270"/>
        <v>1</v>
      </c>
      <c r="AJ209" s="95">
        <v>1</v>
      </c>
      <c r="AK209" s="204">
        <f t="shared" ref="AK209:AM209" si="1271">IFERROR(AJ209/$G209," ")</f>
        <v>1</v>
      </c>
      <c r="AL209" s="95">
        <v>1</v>
      </c>
      <c r="AM209" s="204">
        <f t="shared" si="1271"/>
        <v>1</v>
      </c>
      <c r="AN209" s="95"/>
      <c r="AO209" s="94">
        <f t="shared" si="1212"/>
        <v>0</v>
      </c>
      <c r="AP209" s="94">
        <f t="shared" si="1202"/>
        <v>0</v>
      </c>
      <c r="AQ209" s="94">
        <f t="shared" si="1203"/>
        <v>0</v>
      </c>
      <c r="AR209" s="94">
        <f t="shared" si="1213"/>
        <v>3470.33</v>
      </c>
      <c r="AS209" s="94">
        <f t="shared" si="1214"/>
        <v>4858.4619999999995</v>
      </c>
      <c r="AT209" s="94">
        <f t="shared" si="1215"/>
        <v>10410.99</v>
      </c>
      <c r="AU209" s="94">
        <f t="shared" si="1216"/>
        <v>11799.121999999999</v>
      </c>
      <c r="AV209" s="94">
        <f t="shared" si="1217"/>
        <v>13187.253999999999</v>
      </c>
      <c r="AW209" s="94">
        <f t="shared" si="1218"/>
        <v>13881.32</v>
      </c>
      <c r="AX209" s="94">
        <f t="shared" si="1219"/>
        <v>13881.32</v>
      </c>
      <c r="AY209" s="94">
        <f t="shared" si="1220"/>
        <v>13881.32</v>
      </c>
      <c r="AZ209" s="94">
        <f t="shared" si="1221"/>
        <v>13881.32</v>
      </c>
      <c r="BA209" s="94">
        <f t="shared" si="1222"/>
        <v>13881.32</v>
      </c>
      <c r="BB209" s="94">
        <f t="shared" si="1223"/>
        <v>13881.32</v>
      </c>
    </row>
    <row r="210" spans="1:54" x14ac:dyDescent="0.25">
      <c r="A210" s="80"/>
      <c r="B210" s="95" t="s">
        <v>2893</v>
      </c>
      <c r="C210" s="201" t="s">
        <v>362</v>
      </c>
      <c r="D210" s="80" t="s">
        <v>783</v>
      </c>
      <c r="E210" s="94" t="str">
        <f>IFERROR(VLOOKUP(A210,Estimate!A:Q,17,FALSE)," ")</f>
        <v xml:space="preserve"> </v>
      </c>
      <c r="F210" s="202" t="s">
        <v>781</v>
      </c>
      <c r="G210" s="202" t="s">
        <v>781</v>
      </c>
      <c r="H210" s="203" t="s">
        <v>781</v>
      </c>
      <c r="I210" s="203" t="s">
        <v>781</v>
      </c>
      <c r="J210" s="203" t="s">
        <v>781</v>
      </c>
      <c r="K210" s="203"/>
      <c r="L210" s="202" t="s">
        <v>781</v>
      </c>
      <c r="M210" s="204" t="str">
        <f t="shared" si="1205"/>
        <v xml:space="preserve"> </v>
      </c>
      <c r="N210" s="95" t="s">
        <v>781</v>
      </c>
      <c r="O210" s="204" t="str">
        <f t="shared" si="1205"/>
        <v xml:space="preserve"> </v>
      </c>
      <c r="P210" s="95" t="s">
        <v>781</v>
      </c>
      <c r="Q210" s="204" t="str">
        <f t="shared" ref="Q210:S210" si="1272">IFERROR(P210/$G210," ")</f>
        <v xml:space="preserve"> </v>
      </c>
      <c r="R210" s="95" t="s">
        <v>781</v>
      </c>
      <c r="S210" s="204" t="str">
        <f t="shared" si="1272"/>
        <v xml:space="preserve"> </v>
      </c>
      <c r="T210" s="95" t="s">
        <v>781</v>
      </c>
      <c r="U210" s="204" t="str">
        <f t="shared" ref="U210:W210" si="1273">IFERROR(T210/$G210," ")</f>
        <v xml:space="preserve"> </v>
      </c>
      <c r="V210" s="95" t="s">
        <v>781</v>
      </c>
      <c r="W210" s="204" t="str">
        <f t="shared" si="1273"/>
        <v xml:space="preserve"> </v>
      </c>
      <c r="X210" s="95" t="s">
        <v>781</v>
      </c>
      <c r="Y210" s="204" t="str">
        <f t="shared" ref="Y210:AA210" si="1274">IFERROR(X210/$G210," ")</f>
        <v xml:space="preserve"> </v>
      </c>
      <c r="Z210" s="95" t="s">
        <v>781</v>
      </c>
      <c r="AA210" s="204" t="str">
        <f t="shared" si="1274"/>
        <v xml:space="preserve"> </v>
      </c>
      <c r="AB210" s="95" t="s">
        <v>781</v>
      </c>
      <c r="AC210" s="204" t="str">
        <f t="shared" ref="AC210:AE210" si="1275">IFERROR(AB210/$G210," ")</f>
        <v xml:space="preserve"> </v>
      </c>
      <c r="AD210" s="95" t="s">
        <v>781</v>
      </c>
      <c r="AE210" s="204" t="str">
        <f t="shared" si="1275"/>
        <v xml:space="preserve"> </v>
      </c>
      <c r="AF210" s="95" t="s">
        <v>781</v>
      </c>
      <c r="AG210" s="204" t="str">
        <f t="shared" ref="AG210:AI210" si="1276">IFERROR(AF210/$G210," ")</f>
        <v xml:space="preserve"> </v>
      </c>
      <c r="AH210" s="95" t="s">
        <v>781</v>
      </c>
      <c r="AI210" s="204" t="str">
        <f t="shared" si="1276"/>
        <v xml:space="preserve"> </v>
      </c>
      <c r="AJ210" s="95" t="s">
        <v>781</v>
      </c>
      <c r="AK210" s="204" t="str">
        <f t="shared" ref="AK210:AM210" si="1277">IFERROR(AJ210/$G210," ")</f>
        <v xml:space="preserve"> </v>
      </c>
      <c r="AL210" s="95" t="s">
        <v>781</v>
      </c>
      <c r="AM210" s="204" t="str">
        <f t="shared" si="1277"/>
        <v xml:space="preserve"> </v>
      </c>
      <c r="AN210" s="95"/>
      <c r="AO210" s="94" t="str">
        <f t="shared" si="1212"/>
        <v xml:space="preserve"> </v>
      </c>
      <c r="AP210" s="94" t="str">
        <f t="shared" si="1202"/>
        <v xml:space="preserve"> </v>
      </c>
      <c r="AQ210" s="94" t="str">
        <f t="shared" si="1203"/>
        <v xml:space="preserve"> </v>
      </c>
      <c r="AR210" s="94" t="str">
        <f t="shared" si="1213"/>
        <v xml:space="preserve"> </v>
      </c>
      <c r="AS210" s="94" t="str">
        <f t="shared" si="1214"/>
        <v xml:space="preserve"> </v>
      </c>
      <c r="AT210" s="94" t="str">
        <f t="shared" si="1215"/>
        <v xml:space="preserve"> </v>
      </c>
      <c r="AU210" s="94" t="str">
        <f t="shared" si="1216"/>
        <v xml:space="preserve"> </v>
      </c>
      <c r="AV210" s="94" t="str">
        <f t="shared" si="1217"/>
        <v xml:space="preserve"> </v>
      </c>
      <c r="AW210" s="94" t="str">
        <f t="shared" si="1218"/>
        <v xml:space="preserve"> </v>
      </c>
      <c r="AX210" s="94" t="str">
        <f t="shared" si="1219"/>
        <v xml:space="preserve"> </v>
      </c>
      <c r="AY210" s="94" t="str">
        <f t="shared" si="1220"/>
        <v xml:space="preserve"> </v>
      </c>
      <c r="AZ210" s="94" t="str">
        <f t="shared" si="1221"/>
        <v xml:space="preserve"> </v>
      </c>
      <c r="BA210" s="94" t="str">
        <f t="shared" si="1222"/>
        <v xml:space="preserve"> </v>
      </c>
      <c r="BB210" s="94" t="str">
        <f t="shared" si="1223"/>
        <v xml:space="preserve"> </v>
      </c>
    </row>
    <row r="211" spans="1:54" ht="30" x14ac:dyDescent="0.25">
      <c r="A211" s="80">
        <v>94</v>
      </c>
      <c r="B211" s="95">
        <v>113</v>
      </c>
      <c r="C211" s="201" t="s">
        <v>364</v>
      </c>
      <c r="D211" s="80" t="s">
        <v>20</v>
      </c>
      <c r="E211" s="94">
        <f>IFERROR(VLOOKUP(A211,Estimate!A:Q,17,FALSE)," ")</f>
        <v>10066.666666666666</v>
      </c>
      <c r="F211" s="202">
        <v>1</v>
      </c>
      <c r="G211" s="202">
        <v>1</v>
      </c>
      <c r="H211" s="203">
        <v>13646.79</v>
      </c>
      <c r="I211" s="203">
        <v>13646.79</v>
      </c>
      <c r="J211" s="203">
        <v>13646.79</v>
      </c>
      <c r="K211" s="203"/>
      <c r="L211" s="202"/>
      <c r="M211" s="204">
        <f t="shared" si="1205"/>
        <v>0</v>
      </c>
      <c r="N211" s="95"/>
      <c r="O211" s="204">
        <f t="shared" si="1205"/>
        <v>0</v>
      </c>
      <c r="P211" s="95"/>
      <c r="Q211" s="204">
        <f t="shared" ref="Q211:S211" si="1278">IFERROR(P211/$G211," ")</f>
        <v>0</v>
      </c>
      <c r="R211" s="95">
        <v>0.5</v>
      </c>
      <c r="S211" s="204">
        <f t="shared" si="1278"/>
        <v>0.5</v>
      </c>
      <c r="T211" s="95">
        <v>1</v>
      </c>
      <c r="U211" s="204">
        <f t="shared" ref="U211:W211" si="1279">IFERROR(T211/$G211," ")</f>
        <v>1</v>
      </c>
      <c r="V211" s="95">
        <v>1</v>
      </c>
      <c r="W211" s="204">
        <f t="shared" si="1279"/>
        <v>1</v>
      </c>
      <c r="X211" s="95">
        <v>1</v>
      </c>
      <c r="Y211" s="204">
        <f t="shared" ref="Y211:AA211" si="1280">IFERROR(X211/$G211," ")</f>
        <v>1</v>
      </c>
      <c r="Z211" s="95">
        <v>1</v>
      </c>
      <c r="AA211" s="204">
        <f t="shared" si="1280"/>
        <v>1</v>
      </c>
      <c r="AB211" s="95">
        <v>1</v>
      </c>
      <c r="AC211" s="204">
        <f t="shared" ref="AC211:AE211" si="1281">IFERROR(AB211/$G211," ")</f>
        <v>1</v>
      </c>
      <c r="AD211" s="95">
        <v>1</v>
      </c>
      <c r="AE211" s="204">
        <f t="shared" si="1281"/>
        <v>1</v>
      </c>
      <c r="AF211" s="95">
        <v>1</v>
      </c>
      <c r="AG211" s="204">
        <f t="shared" ref="AG211:AI211" si="1282">IFERROR(AF211/$G211," ")</f>
        <v>1</v>
      </c>
      <c r="AH211" s="95">
        <v>1</v>
      </c>
      <c r="AI211" s="204">
        <f t="shared" si="1282"/>
        <v>1</v>
      </c>
      <c r="AJ211" s="95">
        <v>1</v>
      </c>
      <c r="AK211" s="204">
        <f t="shared" ref="AK211:AM211" si="1283">IFERROR(AJ211/$G211," ")</f>
        <v>1</v>
      </c>
      <c r="AL211" s="95">
        <v>1</v>
      </c>
      <c r="AM211" s="204">
        <f t="shared" si="1283"/>
        <v>1</v>
      </c>
      <c r="AN211" s="95"/>
      <c r="AO211" s="94">
        <f t="shared" si="1212"/>
        <v>0</v>
      </c>
      <c r="AP211" s="94">
        <f t="shared" si="1202"/>
        <v>0</v>
      </c>
      <c r="AQ211" s="94">
        <f t="shared" si="1203"/>
        <v>0</v>
      </c>
      <c r="AR211" s="94">
        <f t="shared" si="1213"/>
        <v>6823.3950000000004</v>
      </c>
      <c r="AS211" s="94">
        <f t="shared" si="1214"/>
        <v>13646.79</v>
      </c>
      <c r="AT211" s="94">
        <f t="shared" si="1215"/>
        <v>13646.79</v>
      </c>
      <c r="AU211" s="94">
        <f t="shared" si="1216"/>
        <v>13646.79</v>
      </c>
      <c r="AV211" s="94">
        <f t="shared" si="1217"/>
        <v>13646.79</v>
      </c>
      <c r="AW211" s="94">
        <f t="shared" si="1218"/>
        <v>13646.79</v>
      </c>
      <c r="AX211" s="94">
        <f t="shared" si="1219"/>
        <v>13646.79</v>
      </c>
      <c r="AY211" s="94">
        <f t="shared" si="1220"/>
        <v>13646.79</v>
      </c>
      <c r="AZ211" s="94">
        <f t="shared" si="1221"/>
        <v>13646.79</v>
      </c>
      <c r="BA211" s="94">
        <f t="shared" si="1222"/>
        <v>13646.79</v>
      </c>
      <c r="BB211" s="94">
        <f t="shared" si="1223"/>
        <v>13646.79</v>
      </c>
    </row>
    <row r="212" spans="1:54" x14ac:dyDescent="0.25">
      <c r="A212" s="80"/>
      <c r="B212" s="95" t="s">
        <v>2417</v>
      </c>
      <c r="C212" s="201" t="s">
        <v>781</v>
      </c>
      <c r="D212" s="80" t="s">
        <v>783</v>
      </c>
      <c r="E212" s="94" t="str">
        <f>IFERROR(VLOOKUP(A212,Estimate!A:Q,17,FALSE)," ")</f>
        <v xml:space="preserve"> </v>
      </c>
      <c r="F212" s="202" t="s">
        <v>781</v>
      </c>
      <c r="G212" s="202" t="s">
        <v>781</v>
      </c>
      <c r="H212" s="203" t="s">
        <v>781</v>
      </c>
      <c r="I212" s="203" t="s">
        <v>781</v>
      </c>
      <c r="J212" s="203" t="s">
        <v>781</v>
      </c>
      <c r="K212" s="203"/>
      <c r="L212" s="202" t="s">
        <v>781</v>
      </c>
      <c r="M212" s="204" t="str">
        <f t="shared" si="1205"/>
        <v xml:space="preserve"> </v>
      </c>
      <c r="N212" s="95" t="s">
        <v>781</v>
      </c>
      <c r="O212" s="204" t="str">
        <f t="shared" si="1205"/>
        <v xml:space="preserve"> </v>
      </c>
      <c r="P212" s="95" t="s">
        <v>781</v>
      </c>
      <c r="Q212" s="204" t="str">
        <f t="shared" ref="Q212:S212" si="1284">IFERROR(P212/$G212," ")</f>
        <v xml:space="preserve"> </v>
      </c>
      <c r="R212" s="95" t="s">
        <v>781</v>
      </c>
      <c r="S212" s="204" t="str">
        <f t="shared" si="1284"/>
        <v xml:space="preserve"> </v>
      </c>
      <c r="T212" s="95" t="s">
        <v>781</v>
      </c>
      <c r="U212" s="204" t="str">
        <f t="shared" ref="U212:W212" si="1285">IFERROR(T212/$G212," ")</f>
        <v xml:space="preserve"> </v>
      </c>
      <c r="V212" s="95" t="s">
        <v>781</v>
      </c>
      <c r="W212" s="204" t="str">
        <f t="shared" si="1285"/>
        <v xml:space="preserve"> </v>
      </c>
      <c r="X212" s="95" t="s">
        <v>781</v>
      </c>
      <c r="Y212" s="204" t="str">
        <f t="shared" ref="Y212:AA212" si="1286">IFERROR(X212/$G212," ")</f>
        <v xml:space="preserve"> </v>
      </c>
      <c r="Z212" s="95" t="s">
        <v>781</v>
      </c>
      <c r="AA212" s="204" t="str">
        <f t="shared" si="1286"/>
        <v xml:space="preserve"> </v>
      </c>
      <c r="AB212" s="95" t="s">
        <v>781</v>
      </c>
      <c r="AC212" s="204" t="str">
        <f t="shared" ref="AC212:AE212" si="1287">IFERROR(AB212/$G212," ")</f>
        <v xml:space="preserve"> </v>
      </c>
      <c r="AD212" s="95" t="s">
        <v>781</v>
      </c>
      <c r="AE212" s="204" t="str">
        <f t="shared" si="1287"/>
        <v xml:space="preserve"> </v>
      </c>
      <c r="AF212" s="95" t="s">
        <v>781</v>
      </c>
      <c r="AG212" s="204" t="str">
        <f t="shared" ref="AG212:AI212" si="1288">IFERROR(AF212/$G212," ")</f>
        <v xml:space="preserve"> </v>
      </c>
      <c r="AH212" s="95" t="s">
        <v>781</v>
      </c>
      <c r="AI212" s="204" t="str">
        <f t="shared" si="1288"/>
        <v xml:space="preserve"> </v>
      </c>
      <c r="AJ212" s="95" t="s">
        <v>781</v>
      </c>
      <c r="AK212" s="204" t="str">
        <f t="shared" ref="AK212:AM212" si="1289">IFERROR(AJ212/$G212," ")</f>
        <v xml:space="preserve"> </v>
      </c>
      <c r="AL212" s="95" t="s">
        <v>781</v>
      </c>
      <c r="AM212" s="204" t="str">
        <f t="shared" si="1289"/>
        <v xml:space="preserve"> </v>
      </c>
      <c r="AN212" s="95"/>
      <c r="AO212" s="94" t="str">
        <f t="shared" si="1212"/>
        <v xml:space="preserve"> </v>
      </c>
      <c r="AP212" s="94" t="str">
        <f t="shared" si="1202"/>
        <v xml:space="preserve"> </v>
      </c>
      <c r="AQ212" s="94" t="str">
        <f t="shared" si="1203"/>
        <v xml:space="preserve"> </v>
      </c>
      <c r="AR212" s="94" t="str">
        <f t="shared" si="1213"/>
        <v xml:space="preserve"> </v>
      </c>
      <c r="AS212" s="94" t="str">
        <f t="shared" si="1214"/>
        <v xml:space="preserve"> </v>
      </c>
      <c r="AT212" s="94" t="str">
        <f t="shared" si="1215"/>
        <v xml:space="preserve"> </v>
      </c>
      <c r="AU212" s="94" t="str">
        <f t="shared" si="1216"/>
        <v xml:space="preserve"> </v>
      </c>
      <c r="AV212" s="94" t="str">
        <f t="shared" si="1217"/>
        <v xml:space="preserve"> </v>
      </c>
      <c r="AW212" s="94" t="str">
        <f t="shared" si="1218"/>
        <v xml:space="preserve"> </v>
      </c>
      <c r="AX212" s="94" t="str">
        <f t="shared" si="1219"/>
        <v xml:space="preserve"> </v>
      </c>
      <c r="AY212" s="94" t="str">
        <f t="shared" si="1220"/>
        <v xml:space="preserve"> </v>
      </c>
      <c r="AZ212" s="94" t="str">
        <f t="shared" si="1221"/>
        <v xml:space="preserve"> </v>
      </c>
      <c r="BA212" s="94" t="str">
        <f t="shared" si="1222"/>
        <v xml:space="preserve"> </v>
      </c>
      <c r="BB212" s="94" t="str">
        <f t="shared" si="1223"/>
        <v xml:space="preserve"> </v>
      </c>
    </row>
    <row r="213" spans="1:54" x14ac:dyDescent="0.25">
      <c r="A213" s="80"/>
      <c r="B213" s="95" t="s">
        <v>2843</v>
      </c>
      <c r="C213" s="201" t="s">
        <v>59</v>
      </c>
      <c r="D213" s="80" t="s">
        <v>783</v>
      </c>
      <c r="E213" s="94" t="str">
        <f>IFERROR(VLOOKUP(A213,Estimate!A:Q,17,FALSE)," ")</f>
        <v xml:space="preserve"> </v>
      </c>
      <c r="F213" s="202" t="s">
        <v>781</v>
      </c>
      <c r="G213" s="202" t="s">
        <v>781</v>
      </c>
      <c r="H213" s="203" t="s">
        <v>781</v>
      </c>
      <c r="I213" s="203" t="s">
        <v>781</v>
      </c>
      <c r="J213" s="203" t="s">
        <v>781</v>
      </c>
      <c r="K213" s="203"/>
      <c r="L213" s="202" t="s">
        <v>781</v>
      </c>
      <c r="M213" s="204" t="str">
        <f t="shared" si="1205"/>
        <v xml:space="preserve"> </v>
      </c>
      <c r="N213" s="95" t="s">
        <v>781</v>
      </c>
      <c r="O213" s="204" t="str">
        <f t="shared" si="1205"/>
        <v xml:space="preserve"> </v>
      </c>
      <c r="P213" s="95" t="s">
        <v>781</v>
      </c>
      <c r="Q213" s="204" t="str">
        <f t="shared" ref="Q213:S213" si="1290">IFERROR(P213/$G213," ")</f>
        <v xml:space="preserve"> </v>
      </c>
      <c r="R213" s="95" t="s">
        <v>781</v>
      </c>
      <c r="S213" s="204" t="str">
        <f t="shared" si="1290"/>
        <v xml:space="preserve"> </v>
      </c>
      <c r="T213" s="95" t="s">
        <v>781</v>
      </c>
      <c r="U213" s="204" t="str">
        <f t="shared" ref="U213:W213" si="1291">IFERROR(T213/$G213," ")</f>
        <v xml:space="preserve"> </v>
      </c>
      <c r="V213" s="95" t="s">
        <v>781</v>
      </c>
      <c r="W213" s="204" t="str">
        <f t="shared" si="1291"/>
        <v xml:space="preserve"> </v>
      </c>
      <c r="X213" s="95" t="s">
        <v>781</v>
      </c>
      <c r="Y213" s="204" t="str">
        <f t="shared" ref="Y213:AA213" si="1292">IFERROR(X213/$G213," ")</f>
        <v xml:space="preserve"> </v>
      </c>
      <c r="Z213" s="95" t="s">
        <v>781</v>
      </c>
      <c r="AA213" s="204" t="str">
        <f t="shared" si="1292"/>
        <v xml:space="preserve"> </v>
      </c>
      <c r="AB213" s="95" t="s">
        <v>781</v>
      </c>
      <c r="AC213" s="204" t="str">
        <f t="shared" ref="AC213:AE213" si="1293">IFERROR(AB213/$G213," ")</f>
        <v xml:space="preserve"> </v>
      </c>
      <c r="AD213" s="95" t="s">
        <v>781</v>
      </c>
      <c r="AE213" s="204" t="str">
        <f t="shared" si="1293"/>
        <v xml:space="preserve"> </v>
      </c>
      <c r="AF213" s="95" t="s">
        <v>781</v>
      </c>
      <c r="AG213" s="204" t="str">
        <f t="shared" ref="AG213:AI213" si="1294">IFERROR(AF213/$G213," ")</f>
        <v xml:space="preserve"> </v>
      </c>
      <c r="AH213" s="95" t="s">
        <v>781</v>
      </c>
      <c r="AI213" s="204" t="str">
        <f t="shared" si="1294"/>
        <v xml:space="preserve"> </v>
      </c>
      <c r="AJ213" s="95" t="s">
        <v>781</v>
      </c>
      <c r="AK213" s="204" t="str">
        <f t="shared" ref="AK213:AM213" si="1295">IFERROR(AJ213/$G213," ")</f>
        <v xml:space="preserve"> </v>
      </c>
      <c r="AL213" s="95" t="s">
        <v>781</v>
      </c>
      <c r="AM213" s="204" t="str">
        <f t="shared" si="1295"/>
        <v xml:space="preserve"> </v>
      </c>
      <c r="AN213" s="95"/>
      <c r="AO213" s="94" t="str">
        <f t="shared" si="1212"/>
        <v xml:space="preserve"> </v>
      </c>
      <c r="AP213" s="94" t="str">
        <f t="shared" si="1202"/>
        <v xml:space="preserve"> </v>
      </c>
      <c r="AQ213" s="94" t="str">
        <f t="shared" si="1203"/>
        <v xml:space="preserve"> </v>
      </c>
      <c r="AR213" s="94" t="str">
        <f t="shared" si="1213"/>
        <v xml:space="preserve"> </v>
      </c>
      <c r="AS213" s="94" t="str">
        <f t="shared" si="1214"/>
        <v xml:space="preserve"> </v>
      </c>
      <c r="AT213" s="94" t="str">
        <f t="shared" si="1215"/>
        <v xml:space="preserve"> </v>
      </c>
      <c r="AU213" s="94" t="str">
        <f t="shared" si="1216"/>
        <v xml:space="preserve"> </v>
      </c>
      <c r="AV213" s="94" t="str">
        <f t="shared" si="1217"/>
        <v xml:space="preserve"> </v>
      </c>
      <c r="AW213" s="94" t="str">
        <f t="shared" si="1218"/>
        <v xml:space="preserve"> </v>
      </c>
      <c r="AX213" s="94" t="str">
        <f t="shared" si="1219"/>
        <v xml:space="preserve"> </v>
      </c>
      <c r="AY213" s="94" t="str">
        <f t="shared" si="1220"/>
        <v xml:space="preserve"> </v>
      </c>
      <c r="AZ213" s="94" t="str">
        <f t="shared" si="1221"/>
        <v xml:space="preserve"> </v>
      </c>
      <c r="BA213" s="94" t="str">
        <f t="shared" si="1222"/>
        <v xml:space="preserve"> </v>
      </c>
      <c r="BB213" s="94" t="str">
        <f t="shared" si="1223"/>
        <v xml:space="preserve"> </v>
      </c>
    </row>
    <row r="214" spans="1:54" x14ac:dyDescent="0.25">
      <c r="A214" s="80">
        <v>95</v>
      </c>
      <c r="B214" s="95" t="s">
        <v>2844</v>
      </c>
      <c r="C214" s="201" t="s">
        <v>61</v>
      </c>
      <c r="D214" s="80" t="s">
        <v>62</v>
      </c>
      <c r="E214" s="94">
        <f>IFERROR(VLOOKUP(A214,Estimate!A:Q,17,FALSE)," ")</f>
        <v>29655.241379310348</v>
      </c>
      <c r="F214" s="202">
        <v>1430</v>
      </c>
      <c r="G214" s="202">
        <v>1430</v>
      </c>
      <c r="H214" s="203">
        <v>26.05</v>
      </c>
      <c r="I214" s="203">
        <v>37251.5</v>
      </c>
      <c r="J214" s="203">
        <v>37251.5</v>
      </c>
      <c r="K214" s="203"/>
      <c r="L214" s="202"/>
      <c r="M214" s="204">
        <f t="shared" si="1205"/>
        <v>0</v>
      </c>
      <c r="N214" s="95"/>
      <c r="O214" s="204">
        <f t="shared" si="1205"/>
        <v>0</v>
      </c>
      <c r="P214" s="95"/>
      <c r="Q214" s="204">
        <f t="shared" ref="Q214:S214" si="1296">IFERROR(P214/$G214," ")</f>
        <v>0</v>
      </c>
      <c r="R214" s="95">
        <v>473</v>
      </c>
      <c r="S214" s="204">
        <f t="shared" si="1296"/>
        <v>0.33076923076923076</v>
      </c>
      <c r="T214" s="95">
        <v>1073</v>
      </c>
      <c r="U214" s="204">
        <f t="shared" ref="U214:W214" si="1297">IFERROR(T214/$G214," ")</f>
        <v>0.7503496503496504</v>
      </c>
      <c r="V214" s="95">
        <v>1430</v>
      </c>
      <c r="W214" s="204">
        <f t="shared" si="1297"/>
        <v>1</v>
      </c>
      <c r="X214" s="95">
        <v>1430</v>
      </c>
      <c r="Y214" s="204">
        <f t="shared" ref="Y214:AA214" si="1298">IFERROR(X214/$G214," ")</f>
        <v>1</v>
      </c>
      <c r="Z214" s="95">
        <v>1430</v>
      </c>
      <c r="AA214" s="204">
        <f t="shared" si="1298"/>
        <v>1</v>
      </c>
      <c r="AB214" s="95">
        <v>1430</v>
      </c>
      <c r="AC214" s="204">
        <f t="shared" ref="AC214:AE214" si="1299">IFERROR(AB214/$G214," ")</f>
        <v>1</v>
      </c>
      <c r="AD214" s="95">
        <v>1430</v>
      </c>
      <c r="AE214" s="204">
        <f t="shared" si="1299"/>
        <v>1</v>
      </c>
      <c r="AF214" s="95">
        <v>1430</v>
      </c>
      <c r="AG214" s="204">
        <f t="shared" ref="AG214:AI214" si="1300">IFERROR(AF214/$G214," ")</f>
        <v>1</v>
      </c>
      <c r="AH214" s="95">
        <v>1430</v>
      </c>
      <c r="AI214" s="204">
        <f t="shared" si="1300"/>
        <v>1</v>
      </c>
      <c r="AJ214" s="95">
        <v>1430</v>
      </c>
      <c r="AK214" s="204">
        <f t="shared" ref="AK214:AM214" si="1301">IFERROR(AJ214/$G214," ")</f>
        <v>1</v>
      </c>
      <c r="AL214" s="95">
        <v>1430</v>
      </c>
      <c r="AM214" s="204">
        <f t="shared" si="1301"/>
        <v>1</v>
      </c>
      <c r="AN214" s="95"/>
      <c r="AO214" s="94">
        <f t="shared" si="1212"/>
        <v>0</v>
      </c>
      <c r="AP214" s="94">
        <f t="shared" si="1202"/>
        <v>0</v>
      </c>
      <c r="AQ214" s="94">
        <f t="shared" si="1203"/>
        <v>0</v>
      </c>
      <c r="AR214" s="94">
        <f t="shared" si="1213"/>
        <v>12321.65</v>
      </c>
      <c r="AS214" s="94">
        <f t="shared" si="1214"/>
        <v>27951.65</v>
      </c>
      <c r="AT214" s="94">
        <f t="shared" si="1215"/>
        <v>37251.5</v>
      </c>
      <c r="AU214" s="94">
        <f t="shared" si="1216"/>
        <v>37251.5</v>
      </c>
      <c r="AV214" s="94">
        <f t="shared" si="1217"/>
        <v>37251.5</v>
      </c>
      <c r="AW214" s="94">
        <f t="shared" si="1218"/>
        <v>37251.5</v>
      </c>
      <c r="AX214" s="94">
        <f t="shared" si="1219"/>
        <v>37251.5</v>
      </c>
      <c r="AY214" s="94">
        <f t="shared" si="1220"/>
        <v>37251.5</v>
      </c>
      <c r="AZ214" s="94">
        <f t="shared" si="1221"/>
        <v>37251.5</v>
      </c>
      <c r="BA214" s="94">
        <f t="shared" si="1222"/>
        <v>37251.5</v>
      </c>
      <c r="BB214" s="94">
        <f t="shared" si="1223"/>
        <v>37251.5</v>
      </c>
    </row>
    <row r="215" spans="1:54" x14ac:dyDescent="0.25">
      <c r="A215" s="80"/>
      <c r="B215" s="95" t="s">
        <v>2417</v>
      </c>
      <c r="C215" s="201" t="s">
        <v>2837</v>
      </c>
      <c r="D215" s="80" t="s">
        <v>783</v>
      </c>
      <c r="E215" s="94" t="str">
        <f>IFERROR(VLOOKUP(A215,Estimate!A:Q,17,FALSE)," ")</f>
        <v xml:space="preserve"> </v>
      </c>
      <c r="F215" s="202" t="s">
        <v>781</v>
      </c>
      <c r="G215" s="202" t="s">
        <v>781</v>
      </c>
      <c r="H215" s="203" t="s">
        <v>781</v>
      </c>
      <c r="I215" s="203" t="s">
        <v>781</v>
      </c>
      <c r="J215" s="203" t="s">
        <v>781</v>
      </c>
      <c r="K215" s="203"/>
      <c r="L215" s="202" t="s">
        <v>781</v>
      </c>
      <c r="M215" s="204" t="str">
        <f t="shared" si="1205"/>
        <v xml:space="preserve"> </v>
      </c>
      <c r="N215" s="95" t="s">
        <v>781</v>
      </c>
      <c r="O215" s="204" t="str">
        <f t="shared" si="1205"/>
        <v xml:space="preserve"> </v>
      </c>
      <c r="P215" s="95" t="s">
        <v>781</v>
      </c>
      <c r="Q215" s="204" t="str">
        <f t="shared" ref="Q215:S215" si="1302">IFERROR(P215/$G215," ")</f>
        <v xml:space="preserve"> </v>
      </c>
      <c r="R215" s="95" t="s">
        <v>781</v>
      </c>
      <c r="S215" s="204" t="str">
        <f t="shared" si="1302"/>
        <v xml:space="preserve"> </v>
      </c>
      <c r="T215" s="95" t="s">
        <v>781</v>
      </c>
      <c r="U215" s="204" t="str">
        <f t="shared" ref="U215:W215" si="1303">IFERROR(T215/$G215," ")</f>
        <v xml:space="preserve"> </v>
      </c>
      <c r="V215" s="95" t="s">
        <v>781</v>
      </c>
      <c r="W215" s="204" t="str">
        <f t="shared" si="1303"/>
        <v xml:space="preserve"> </v>
      </c>
      <c r="X215" s="95" t="s">
        <v>781</v>
      </c>
      <c r="Y215" s="204" t="str">
        <f t="shared" ref="Y215:AA215" si="1304">IFERROR(X215/$G215," ")</f>
        <v xml:space="preserve"> </v>
      </c>
      <c r="Z215" s="95" t="s">
        <v>781</v>
      </c>
      <c r="AA215" s="204" t="str">
        <f t="shared" si="1304"/>
        <v xml:space="preserve"> </v>
      </c>
      <c r="AB215" s="95" t="s">
        <v>781</v>
      </c>
      <c r="AC215" s="204" t="str">
        <f t="shared" ref="AC215:AE215" si="1305">IFERROR(AB215/$G215," ")</f>
        <v xml:space="preserve"> </v>
      </c>
      <c r="AD215" s="95" t="s">
        <v>781</v>
      </c>
      <c r="AE215" s="204" t="str">
        <f t="shared" si="1305"/>
        <v xml:space="preserve"> </v>
      </c>
      <c r="AF215" s="95" t="s">
        <v>781</v>
      </c>
      <c r="AG215" s="204" t="str">
        <f t="shared" ref="AG215:AI215" si="1306">IFERROR(AF215/$G215," ")</f>
        <v xml:space="preserve"> </v>
      </c>
      <c r="AH215" s="95" t="s">
        <v>781</v>
      </c>
      <c r="AI215" s="204" t="str">
        <f t="shared" si="1306"/>
        <v xml:space="preserve"> </v>
      </c>
      <c r="AJ215" s="95" t="s">
        <v>781</v>
      </c>
      <c r="AK215" s="204" t="str">
        <f t="shared" ref="AK215:AM215" si="1307">IFERROR(AJ215/$G215," ")</f>
        <v xml:space="preserve"> </v>
      </c>
      <c r="AL215" s="95" t="s">
        <v>781</v>
      </c>
      <c r="AM215" s="204" t="str">
        <f t="shared" si="1307"/>
        <v xml:space="preserve"> </v>
      </c>
      <c r="AN215" s="95"/>
      <c r="AO215" s="94" t="str">
        <f t="shared" si="1212"/>
        <v xml:space="preserve"> </v>
      </c>
      <c r="AP215" s="94" t="str">
        <f t="shared" si="1202"/>
        <v xml:space="preserve"> </v>
      </c>
      <c r="AQ215" s="94" t="str">
        <f t="shared" si="1203"/>
        <v xml:space="preserve"> </v>
      </c>
      <c r="AR215" s="94" t="str">
        <f t="shared" si="1213"/>
        <v xml:space="preserve"> </v>
      </c>
      <c r="AS215" s="94" t="str">
        <f t="shared" si="1214"/>
        <v xml:space="preserve"> </v>
      </c>
      <c r="AT215" s="94" t="str">
        <f t="shared" si="1215"/>
        <v xml:space="preserve"> </v>
      </c>
      <c r="AU215" s="94" t="str">
        <f t="shared" si="1216"/>
        <v xml:space="preserve"> </v>
      </c>
      <c r="AV215" s="94" t="str">
        <f t="shared" si="1217"/>
        <v xml:space="preserve"> </v>
      </c>
      <c r="AW215" s="94" t="str">
        <f t="shared" si="1218"/>
        <v xml:space="preserve"> </v>
      </c>
      <c r="AX215" s="94" t="str">
        <f t="shared" si="1219"/>
        <v xml:space="preserve"> </v>
      </c>
      <c r="AY215" s="94" t="str">
        <f t="shared" si="1220"/>
        <v xml:space="preserve"> </v>
      </c>
      <c r="AZ215" s="94" t="str">
        <f t="shared" si="1221"/>
        <v xml:space="preserve"> </v>
      </c>
      <c r="BA215" s="94" t="str">
        <f t="shared" si="1222"/>
        <v xml:space="preserve"> </v>
      </c>
      <c r="BB215" s="94" t="str">
        <f t="shared" si="1223"/>
        <v xml:space="preserve"> </v>
      </c>
    </row>
    <row r="216" spans="1:54" x14ac:dyDescent="0.25">
      <c r="A216" s="80"/>
      <c r="B216" s="95" t="s">
        <v>2417</v>
      </c>
      <c r="C216" s="201" t="s">
        <v>71</v>
      </c>
      <c r="D216" s="80" t="s">
        <v>783</v>
      </c>
      <c r="E216" s="94" t="str">
        <f>IFERROR(VLOOKUP(A216,Estimate!A:Q,17,FALSE)," ")</f>
        <v xml:space="preserve"> </v>
      </c>
      <c r="F216" s="202" t="s">
        <v>781</v>
      </c>
      <c r="G216" s="202" t="s">
        <v>781</v>
      </c>
      <c r="H216" s="203" t="s">
        <v>781</v>
      </c>
      <c r="I216" s="203" t="s">
        <v>781</v>
      </c>
      <c r="J216" s="203" t="s">
        <v>781</v>
      </c>
      <c r="K216" s="203"/>
      <c r="L216" s="202" t="s">
        <v>781</v>
      </c>
      <c r="M216" s="204" t="str">
        <f t="shared" si="1205"/>
        <v xml:space="preserve"> </v>
      </c>
      <c r="N216" s="95" t="s">
        <v>781</v>
      </c>
      <c r="O216" s="204" t="str">
        <f t="shared" si="1205"/>
        <v xml:space="preserve"> </v>
      </c>
      <c r="P216" s="95" t="s">
        <v>781</v>
      </c>
      <c r="Q216" s="204" t="str">
        <f t="shared" ref="Q216:S216" si="1308">IFERROR(P216/$G216," ")</f>
        <v xml:space="preserve"> </v>
      </c>
      <c r="R216" s="95" t="s">
        <v>781</v>
      </c>
      <c r="S216" s="204" t="str">
        <f t="shared" si="1308"/>
        <v xml:space="preserve"> </v>
      </c>
      <c r="T216" s="95" t="s">
        <v>781</v>
      </c>
      <c r="U216" s="204" t="str">
        <f t="shared" ref="U216:W216" si="1309">IFERROR(T216/$G216," ")</f>
        <v xml:space="preserve"> </v>
      </c>
      <c r="V216" s="95" t="s">
        <v>781</v>
      </c>
      <c r="W216" s="204" t="str">
        <f t="shared" si="1309"/>
        <v xml:space="preserve"> </v>
      </c>
      <c r="X216" s="95" t="s">
        <v>781</v>
      </c>
      <c r="Y216" s="204" t="str">
        <f t="shared" ref="Y216:AA216" si="1310">IFERROR(X216/$G216," ")</f>
        <v xml:space="preserve"> </v>
      </c>
      <c r="Z216" s="95" t="s">
        <v>781</v>
      </c>
      <c r="AA216" s="204" t="str">
        <f t="shared" si="1310"/>
        <v xml:space="preserve"> </v>
      </c>
      <c r="AB216" s="95" t="s">
        <v>781</v>
      </c>
      <c r="AC216" s="204" t="str">
        <f t="shared" ref="AC216:AE216" si="1311">IFERROR(AB216/$G216," ")</f>
        <v xml:space="preserve"> </v>
      </c>
      <c r="AD216" s="95" t="s">
        <v>781</v>
      </c>
      <c r="AE216" s="204" t="str">
        <f t="shared" si="1311"/>
        <v xml:space="preserve"> </v>
      </c>
      <c r="AF216" s="95" t="s">
        <v>781</v>
      </c>
      <c r="AG216" s="204" t="str">
        <f t="shared" ref="AG216:AI216" si="1312">IFERROR(AF216/$G216," ")</f>
        <v xml:space="preserve"> </v>
      </c>
      <c r="AH216" s="95" t="s">
        <v>781</v>
      </c>
      <c r="AI216" s="204" t="str">
        <f t="shared" si="1312"/>
        <v xml:space="preserve"> </v>
      </c>
      <c r="AJ216" s="95" t="s">
        <v>781</v>
      </c>
      <c r="AK216" s="204" t="str">
        <f t="shared" ref="AK216:AM216" si="1313">IFERROR(AJ216/$G216," ")</f>
        <v xml:space="preserve"> </v>
      </c>
      <c r="AL216" s="95" t="s">
        <v>781</v>
      </c>
      <c r="AM216" s="204" t="str">
        <f t="shared" si="1313"/>
        <v xml:space="preserve"> </v>
      </c>
      <c r="AN216" s="95"/>
      <c r="AO216" s="94" t="str">
        <f t="shared" si="1212"/>
        <v xml:space="preserve"> </v>
      </c>
      <c r="AP216" s="94" t="str">
        <f t="shared" si="1202"/>
        <v xml:space="preserve"> </v>
      </c>
      <c r="AQ216" s="94" t="str">
        <f t="shared" si="1203"/>
        <v xml:space="preserve"> </v>
      </c>
      <c r="AR216" s="94" t="str">
        <f t="shared" si="1213"/>
        <v xml:space="preserve"> </v>
      </c>
      <c r="AS216" s="94" t="str">
        <f t="shared" si="1214"/>
        <v xml:space="preserve"> </v>
      </c>
      <c r="AT216" s="94" t="str">
        <f t="shared" si="1215"/>
        <v xml:space="preserve"> </v>
      </c>
      <c r="AU216" s="94" t="str">
        <f t="shared" si="1216"/>
        <v xml:space="preserve"> </v>
      </c>
      <c r="AV216" s="94" t="str">
        <f t="shared" si="1217"/>
        <v xml:space="preserve"> </v>
      </c>
      <c r="AW216" s="94" t="str">
        <f t="shared" si="1218"/>
        <v xml:space="preserve"> </v>
      </c>
      <c r="AX216" s="94" t="str">
        <f t="shared" si="1219"/>
        <v xml:space="preserve"> </v>
      </c>
      <c r="AY216" s="94" t="str">
        <f t="shared" si="1220"/>
        <v xml:space="preserve"> </v>
      </c>
      <c r="AZ216" s="94" t="str">
        <f t="shared" si="1221"/>
        <v xml:space="preserve"> </v>
      </c>
      <c r="BA216" s="94" t="str">
        <f t="shared" si="1222"/>
        <v xml:space="preserve"> </v>
      </c>
      <c r="BB216" s="94" t="str">
        <f t="shared" si="1223"/>
        <v xml:space="preserve"> </v>
      </c>
    </row>
    <row r="217" spans="1:54" x14ac:dyDescent="0.25">
      <c r="A217" s="80"/>
      <c r="B217" s="95" t="s">
        <v>2868</v>
      </c>
      <c r="C217" s="201" t="s">
        <v>170</v>
      </c>
      <c r="D217" s="80" t="s">
        <v>783</v>
      </c>
      <c r="E217" s="94" t="str">
        <f>IFERROR(VLOOKUP(A217,Estimate!A:Q,17,FALSE)," ")</f>
        <v xml:space="preserve"> </v>
      </c>
      <c r="F217" s="202" t="s">
        <v>781</v>
      </c>
      <c r="G217" s="202" t="s">
        <v>781</v>
      </c>
      <c r="H217" s="203" t="s">
        <v>781</v>
      </c>
      <c r="I217" s="203" t="s">
        <v>781</v>
      </c>
      <c r="J217" s="203" t="s">
        <v>781</v>
      </c>
      <c r="K217" s="203"/>
      <c r="L217" s="202" t="s">
        <v>781</v>
      </c>
      <c r="M217" s="204" t="str">
        <f t="shared" si="1205"/>
        <v xml:space="preserve"> </v>
      </c>
      <c r="N217" s="95" t="s">
        <v>781</v>
      </c>
      <c r="O217" s="204" t="str">
        <f t="shared" si="1205"/>
        <v xml:space="preserve"> </v>
      </c>
      <c r="P217" s="95" t="s">
        <v>781</v>
      </c>
      <c r="Q217" s="204" t="str">
        <f t="shared" ref="Q217:S217" si="1314">IFERROR(P217/$G217," ")</f>
        <v xml:space="preserve"> </v>
      </c>
      <c r="R217" s="95" t="s">
        <v>781</v>
      </c>
      <c r="S217" s="204" t="str">
        <f t="shared" si="1314"/>
        <v xml:space="preserve"> </v>
      </c>
      <c r="T217" s="95" t="s">
        <v>781</v>
      </c>
      <c r="U217" s="204" t="str">
        <f t="shared" ref="U217:W217" si="1315">IFERROR(T217/$G217," ")</f>
        <v xml:space="preserve"> </v>
      </c>
      <c r="V217" s="95" t="s">
        <v>781</v>
      </c>
      <c r="W217" s="204" t="str">
        <f t="shared" si="1315"/>
        <v xml:space="preserve"> </v>
      </c>
      <c r="X217" s="95" t="s">
        <v>781</v>
      </c>
      <c r="Y217" s="204" t="str">
        <f t="shared" ref="Y217:AA217" si="1316">IFERROR(X217/$G217," ")</f>
        <v xml:space="preserve"> </v>
      </c>
      <c r="Z217" s="95" t="s">
        <v>781</v>
      </c>
      <c r="AA217" s="204" t="str">
        <f t="shared" si="1316"/>
        <v xml:space="preserve"> </v>
      </c>
      <c r="AB217" s="95" t="s">
        <v>781</v>
      </c>
      <c r="AC217" s="204" t="str">
        <f t="shared" ref="AC217:AE217" si="1317">IFERROR(AB217/$G217," ")</f>
        <v xml:space="preserve"> </v>
      </c>
      <c r="AD217" s="95" t="s">
        <v>781</v>
      </c>
      <c r="AE217" s="204" t="str">
        <f t="shared" si="1317"/>
        <v xml:space="preserve"> </v>
      </c>
      <c r="AF217" s="95" t="s">
        <v>781</v>
      </c>
      <c r="AG217" s="204" t="str">
        <f t="shared" ref="AG217:AI217" si="1318">IFERROR(AF217/$G217," ")</f>
        <v xml:space="preserve"> </v>
      </c>
      <c r="AH217" s="95" t="s">
        <v>781</v>
      </c>
      <c r="AI217" s="204" t="str">
        <f t="shared" si="1318"/>
        <v xml:space="preserve"> </v>
      </c>
      <c r="AJ217" s="95" t="s">
        <v>781</v>
      </c>
      <c r="AK217" s="204" t="str">
        <f t="shared" ref="AK217:AM217" si="1319">IFERROR(AJ217/$G217," ")</f>
        <v xml:space="preserve"> </v>
      </c>
      <c r="AL217" s="95" t="s">
        <v>781</v>
      </c>
      <c r="AM217" s="204" t="str">
        <f t="shared" si="1319"/>
        <v xml:space="preserve"> </v>
      </c>
      <c r="AN217" s="95"/>
      <c r="AO217" s="94" t="str">
        <f t="shared" si="1212"/>
        <v xml:space="preserve"> </v>
      </c>
      <c r="AP217" s="94" t="str">
        <f t="shared" si="1202"/>
        <v xml:space="preserve"> </v>
      </c>
      <c r="AQ217" s="94" t="str">
        <f t="shared" si="1203"/>
        <v xml:space="preserve"> </v>
      </c>
      <c r="AR217" s="94" t="str">
        <f t="shared" si="1213"/>
        <v xml:space="preserve"> </v>
      </c>
      <c r="AS217" s="94" t="str">
        <f t="shared" si="1214"/>
        <v xml:space="preserve"> </v>
      </c>
      <c r="AT217" s="94" t="str">
        <f t="shared" si="1215"/>
        <v xml:space="preserve"> </v>
      </c>
      <c r="AU217" s="94" t="str">
        <f t="shared" si="1216"/>
        <v xml:space="preserve"> </v>
      </c>
      <c r="AV217" s="94" t="str">
        <f t="shared" si="1217"/>
        <v xml:space="preserve"> </v>
      </c>
      <c r="AW217" s="94" t="str">
        <f t="shared" si="1218"/>
        <v xml:space="preserve"> </v>
      </c>
      <c r="AX217" s="94" t="str">
        <f t="shared" si="1219"/>
        <v xml:space="preserve"> </v>
      </c>
      <c r="AY217" s="94" t="str">
        <f t="shared" si="1220"/>
        <v xml:space="preserve"> </v>
      </c>
      <c r="AZ217" s="94" t="str">
        <f t="shared" si="1221"/>
        <v xml:space="preserve"> </v>
      </c>
      <c r="BA217" s="94" t="str">
        <f t="shared" si="1222"/>
        <v xml:space="preserve"> </v>
      </c>
      <c r="BB217" s="94" t="str">
        <f t="shared" si="1223"/>
        <v xml:space="preserve"> </v>
      </c>
    </row>
    <row r="218" spans="1:54" ht="30" x14ac:dyDescent="0.25">
      <c r="A218" s="80">
        <v>96</v>
      </c>
      <c r="B218" s="95">
        <v>137</v>
      </c>
      <c r="C218" s="201" t="s">
        <v>172</v>
      </c>
      <c r="D218" s="80" t="s">
        <v>20</v>
      </c>
      <c r="E218" s="94">
        <f>IFERROR(VLOOKUP(A218,Estimate!A:Q,17,FALSE)," ")</f>
        <v>5490.9090909090919</v>
      </c>
      <c r="F218" s="202">
        <v>1</v>
      </c>
      <c r="G218" s="202">
        <v>1</v>
      </c>
      <c r="H218" s="203">
        <v>6829.54</v>
      </c>
      <c r="I218" s="203">
        <v>6829.54</v>
      </c>
      <c r="J218" s="203">
        <v>6829.54</v>
      </c>
      <c r="K218" s="203"/>
      <c r="L218" s="202"/>
      <c r="M218" s="204">
        <f t="shared" si="1205"/>
        <v>0</v>
      </c>
      <c r="N218" s="95"/>
      <c r="O218" s="204">
        <f t="shared" si="1205"/>
        <v>0</v>
      </c>
      <c r="P218" s="95"/>
      <c r="Q218" s="204">
        <f t="shared" ref="Q218:S218" si="1320">IFERROR(P218/$G218," ")</f>
        <v>0</v>
      </c>
      <c r="R218" s="95">
        <v>1</v>
      </c>
      <c r="S218" s="204">
        <f t="shared" si="1320"/>
        <v>1</v>
      </c>
      <c r="T218" s="95">
        <v>1</v>
      </c>
      <c r="U218" s="204">
        <f t="shared" ref="U218:W218" si="1321">IFERROR(T218/$G218," ")</f>
        <v>1</v>
      </c>
      <c r="V218" s="95">
        <v>1</v>
      </c>
      <c r="W218" s="204">
        <f t="shared" si="1321"/>
        <v>1</v>
      </c>
      <c r="X218" s="95">
        <v>1</v>
      </c>
      <c r="Y218" s="204">
        <f t="shared" ref="Y218:AA218" si="1322">IFERROR(X218/$G218," ")</f>
        <v>1</v>
      </c>
      <c r="Z218" s="95">
        <v>1</v>
      </c>
      <c r="AA218" s="204">
        <f t="shared" si="1322"/>
        <v>1</v>
      </c>
      <c r="AB218" s="95">
        <v>1</v>
      </c>
      <c r="AC218" s="204">
        <f t="shared" ref="AC218:AE218" si="1323">IFERROR(AB218/$G218," ")</f>
        <v>1</v>
      </c>
      <c r="AD218" s="95">
        <v>1</v>
      </c>
      <c r="AE218" s="204">
        <f t="shared" si="1323"/>
        <v>1</v>
      </c>
      <c r="AF218" s="95">
        <v>1</v>
      </c>
      <c r="AG218" s="204">
        <f t="shared" ref="AG218:AI218" si="1324">IFERROR(AF218/$G218," ")</f>
        <v>1</v>
      </c>
      <c r="AH218" s="95">
        <v>1</v>
      </c>
      <c r="AI218" s="204">
        <f t="shared" si="1324"/>
        <v>1</v>
      </c>
      <c r="AJ218" s="95">
        <v>1</v>
      </c>
      <c r="AK218" s="204">
        <f t="shared" ref="AK218:AM218" si="1325">IFERROR(AJ218/$G218," ")</f>
        <v>1</v>
      </c>
      <c r="AL218" s="95">
        <v>1</v>
      </c>
      <c r="AM218" s="204">
        <f t="shared" si="1325"/>
        <v>1</v>
      </c>
      <c r="AN218" s="95"/>
      <c r="AO218" s="94">
        <f t="shared" si="1212"/>
        <v>0</v>
      </c>
      <c r="AP218" s="94">
        <f t="shared" si="1202"/>
        <v>0</v>
      </c>
      <c r="AQ218" s="94">
        <f t="shared" si="1203"/>
        <v>0</v>
      </c>
      <c r="AR218" s="94">
        <f t="shared" si="1213"/>
        <v>6829.54</v>
      </c>
      <c r="AS218" s="94">
        <f t="shared" si="1214"/>
        <v>6829.54</v>
      </c>
      <c r="AT218" s="94">
        <f t="shared" si="1215"/>
        <v>6829.54</v>
      </c>
      <c r="AU218" s="94">
        <f t="shared" si="1216"/>
        <v>6829.54</v>
      </c>
      <c r="AV218" s="94">
        <f t="shared" si="1217"/>
        <v>6829.54</v>
      </c>
      <c r="AW218" s="94">
        <f t="shared" si="1218"/>
        <v>6829.54</v>
      </c>
      <c r="AX218" s="94">
        <f t="shared" si="1219"/>
        <v>6829.54</v>
      </c>
      <c r="AY218" s="94">
        <f t="shared" si="1220"/>
        <v>6829.54</v>
      </c>
      <c r="AZ218" s="94">
        <f t="shared" si="1221"/>
        <v>6829.54</v>
      </c>
      <c r="BA218" s="94">
        <f t="shared" si="1222"/>
        <v>6829.54</v>
      </c>
      <c r="BB218" s="94">
        <f t="shared" si="1223"/>
        <v>6829.54</v>
      </c>
    </row>
    <row r="219" spans="1:54" ht="30" x14ac:dyDescent="0.25">
      <c r="A219" s="80">
        <v>97</v>
      </c>
      <c r="B219" s="95">
        <v>138</v>
      </c>
      <c r="C219" s="201" t="s">
        <v>371</v>
      </c>
      <c r="D219" s="80" t="s">
        <v>20</v>
      </c>
      <c r="E219" s="94">
        <f>IFERROR(VLOOKUP(A219,Estimate!A:Q,17,FALSE)," ")</f>
        <v>9600</v>
      </c>
      <c r="F219" s="202">
        <v>1</v>
      </c>
      <c r="G219" s="202">
        <v>1</v>
      </c>
      <c r="H219" s="203">
        <v>12059.79</v>
      </c>
      <c r="I219" s="203">
        <v>12059.79</v>
      </c>
      <c r="J219" s="203">
        <v>12059.79</v>
      </c>
      <c r="K219" s="203"/>
      <c r="L219" s="202"/>
      <c r="M219" s="204">
        <f t="shared" si="1205"/>
        <v>0</v>
      </c>
      <c r="N219" s="95"/>
      <c r="O219" s="204">
        <f t="shared" si="1205"/>
        <v>0</v>
      </c>
      <c r="P219" s="95"/>
      <c r="Q219" s="204">
        <f t="shared" ref="Q219:S219" si="1326">IFERROR(P219/$G219," ")</f>
        <v>0</v>
      </c>
      <c r="R219" s="95">
        <v>1</v>
      </c>
      <c r="S219" s="204">
        <f t="shared" si="1326"/>
        <v>1</v>
      </c>
      <c r="T219" s="95">
        <v>1</v>
      </c>
      <c r="U219" s="204">
        <f t="shared" ref="U219:W219" si="1327">IFERROR(T219/$G219," ")</f>
        <v>1</v>
      </c>
      <c r="V219" s="95">
        <v>1</v>
      </c>
      <c r="W219" s="204">
        <f t="shared" si="1327"/>
        <v>1</v>
      </c>
      <c r="X219" s="95">
        <v>1</v>
      </c>
      <c r="Y219" s="204">
        <f t="shared" ref="Y219:AA219" si="1328">IFERROR(X219/$G219," ")</f>
        <v>1</v>
      </c>
      <c r="Z219" s="95">
        <v>1</v>
      </c>
      <c r="AA219" s="204">
        <f t="shared" si="1328"/>
        <v>1</v>
      </c>
      <c r="AB219" s="95">
        <v>1</v>
      </c>
      <c r="AC219" s="204">
        <f t="shared" ref="AC219:AE219" si="1329">IFERROR(AB219/$G219," ")</f>
        <v>1</v>
      </c>
      <c r="AD219" s="95">
        <v>1</v>
      </c>
      <c r="AE219" s="204">
        <f t="shared" si="1329"/>
        <v>1</v>
      </c>
      <c r="AF219" s="95">
        <v>1</v>
      </c>
      <c r="AG219" s="204">
        <f t="shared" ref="AG219:AI219" si="1330">IFERROR(AF219/$G219," ")</f>
        <v>1</v>
      </c>
      <c r="AH219" s="95">
        <v>1</v>
      </c>
      <c r="AI219" s="204">
        <f t="shared" si="1330"/>
        <v>1</v>
      </c>
      <c r="AJ219" s="95">
        <v>1</v>
      </c>
      <c r="AK219" s="204">
        <f t="shared" ref="AK219:AM219" si="1331">IFERROR(AJ219/$G219," ")</f>
        <v>1</v>
      </c>
      <c r="AL219" s="95">
        <v>1</v>
      </c>
      <c r="AM219" s="204">
        <f t="shared" si="1331"/>
        <v>1</v>
      </c>
      <c r="AN219" s="95"/>
      <c r="AO219" s="94">
        <f t="shared" si="1212"/>
        <v>0</v>
      </c>
      <c r="AP219" s="94">
        <f t="shared" si="1202"/>
        <v>0</v>
      </c>
      <c r="AQ219" s="94">
        <f t="shared" si="1203"/>
        <v>0</v>
      </c>
      <c r="AR219" s="94">
        <f t="shared" si="1213"/>
        <v>12059.79</v>
      </c>
      <c r="AS219" s="94">
        <f t="shared" si="1214"/>
        <v>12059.79</v>
      </c>
      <c r="AT219" s="94">
        <f t="shared" si="1215"/>
        <v>12059.79</v>
      </c>
      <c r="AU219" s="94">
        <f t="shared" si="1216"/>
        <v>12059.79</v>
      </c>
      <c r="AV219" s="94">
        <f t="shared" si="1217"/>
        <v>12059.79</v>
      </c>
      <c r="AW219" s="94">
        <f t="shared" si="1218"/>
        <v>12059.79</v>
      </c>
      <c r="AX219" s="94">
        <f t="shared" si="1219"/>
        <v>12059.79</v>
      </c>
      <c r="AY219" s="94">
        <f t="shared" si="1220"/>
        <v>12059.79</v>
      </c>
      <c r="AZ219" s="94">
        <f t="shared" si="1221"/>
        <v>12059.79</v>
      </c>
      <c r="BA219" s="94">
        <f t="shared" si="1222"/>
        <v>12059.79</v>
      </c>
      <c r="BB219" s="94">
        <f t="shared" si="1223"/>
        <v>12059.79</v>
      </c>
    </row>
    <row r="220" spans="1:54" x14ac:dyDescent="0.25">
      <c r="A220" s="80"/>
      <c r="B220" s="95" t="s">
        <v>2846</v>
      </c>
      <c r="C220" s="201" t="s">
        <v>73</v>
      </c>
      <c r="D220" s="80" t="s">
        <v>783</v>
      </c>
      <c r="E220" s="94" t="str">
        <f>IFERROR(VLOOKUP(A220,Estimate!A:Q,17,FALSE)," ")</f>
        <v xml:space="preserve"> </v>
      </c>
      <c r="F220" s="202" t="s">
        <v>781</v>
      </c>
      <c r="G220" s="202" t="s">
        <v>781</v>
      </c>
      <c r="H220" s="203" t="s">
        <v>781</v>
      </c>
      <c r="I220" s="203" t="s">
        <v>781</v>
      </c>
      <c r="J220" s="203" t="s">
        <v>781</v>
      </c>
      <c r="K220" s="203"/>
      <c r="L220" s="202" t="s">
        <v>781</v>
      </c>
      <c r="M220" s="204" t="str">
        <f t="shared" si="1205"/>
        <v xml:space="preserve"> </v>
      </c>
      <c r="N220" s="95" t="s">
        <v>781</v>
      </c>
      <c r="O220" s="204" t="str">
        <f t="shared" si="1205"/>
        <v xml:space="preserve"> </v>
      </c>
      <c r="P220" s="95" t="s">
        <v>781</v>
      </c>
      <c r="Q220" s="204" t="str">
        <f t="shared" ref="Q220:S220" si="1332">IFERROR(P220/$G220," ")</f>
        <v xml:space="preserve"> </v>
      </c>
      <c r="R220" s="95" t="s">
        <v>781</v>
      </c>
      <c r="S220" s="204" t="str">
        <f t="shared" si="1332"/>
        <v xml:space="preserve"> </v>
      </c>
      <c r="T220" s="95" t="s">
        <v>781</v>
      </c>
      <c r="U220" s="204" t="str">
        <f t="shared" ref="U220:W220" si="1333">IFERROR(T220/$G220," ")</f>
        <v xml:space="preserve"> </v>
      </c>
      <c r="V220" s="95" t="s">
        <v>781</v>
      </c>
      <c r="W220" s="204" t="str">
        <f t="shared" si="1333"/>
        <v xml:space="preserve"> </v>
      </c>
      <c r="X220" s="95" t="s">
        <v>781</v>
      </c>
      <c r="Y220" s="204" t="str">
        <f t="shared" ref="Y220:AA220" si="1334">IFERROR(X220/$G220," ")</f>
        <v xml:space="preserve"> </v>
      </c>
      <c r="Z220" s="95" t="s">
        <v>781</v>
      </c>
      <c r="AA220" s="204" t="str">
        <f t="shared" si="1334"/>
        <v xml:space="preserve"> </v>
      </c>
      <c r="AB220" s="95" t="s">
        <v>781</v>
      </c>
      <c r="AC220" s="204" t="str">
        <f t="shared" ref="AC220:AE220" si="1335">IFERROR(AB220/$G220," ")</f>
        <v xml:space="preserve"> </v>
      </c>
      <c r="AD220" s="95" t="s">
        <v>781</v>
      </c>
      <c r="AE220" s="204" t="str">
        <f t="shared" si="1335"/>
        <v xml:space="preserve"> </v>
      </c>
      <c r="AF220" s="95" t="s">
        <v>781</v>
      </c>
      <c r="AG220" s="204" t="str">
        <f t="shared" ref="AG220:AI220" si="1336">IFERROR(AF220/$G220," ")</f>
        <v xml:space="preserve"> </v>
      </c>
      <c r="AH220" s="95" t="s">
        <v>781</v>
      </c>
      <c r="AI220" s="204" t="str">
        <f t="shared" si="1336"/>
        <v xml:space="preserve"> </v>
      </c>
      <c r="AJ220" s="95" t="s">
        <v>781</v>
      </c>
      <c r="AK220" s="204" t="str">
        <f t="shared" ref="AK220:AM220" si="1337">IFERROR(AJ220/$G220," ")</f>
        <v xml:space="preserve"> </v>
      </c>
      <c r="AL220" s="95" t="s">
        <v>781</v>
      </c>
      <c r="AM220" s="204" t="str">
        <f t="shared" si="1337"/>
        <v xml:space="preserve"> </v>
      </c>
      <c r="AN220" s="95"/>
      <c r="AO220" s="94" t="str">
        <f t="shared" si="1212"/>
        <v xml:space="preserve"> </v>
      </c>
      <c r="AP220" s="94" t="str">
        <f t="shared" si="1202"/>
        <v xml:space="preserve"> </v>
      </c>
      <c r="AQ220" s="94" t="str">
        <f t="shared" si="1203"/>
        <v xml:space="preserve"> </v>
      </c>
      <c r="AR220" s="94" t="str">
        <f t="shared" si="1213"/>
        <v xml:space="preserve"> </v>
      </c>
      <c r="AS220" s="94" t="str">
        <f t="shared" si="1214"/>
        <v xml:space="preserve"> </v>
      </c>
      <c r="AT220" s="94" t="str">
        <f t="shared" si="1215"/>
        <v xml:space="preserve"> </v>
      </c>
      <c r="AU220" s="94" t="str">
        <f t="shared" si="1216"/>
        <v xml:space="preserve"> </v>
      </c>
      <c r="AV220" s="94" t="str">
        <f t="shared" si="1217"/>
        <v xml:space="preserve"> </v>
      </c>
      <c r="AW220" s="94" t="str">
        <f t="shared" si="1218"/>
        <v xml:space="preserve"> </v>
      </c>
      <c r="AX220" s="94" t="str">
        <f t="shared" si="1219"/>
        <v xml:space="preserve"> </v>
      </c>
      <c r="AY220" s="94" t="str">
        <f t="shared" si="1220"/>
        <v xml:space="preserve"> </v>
      </c>
      <c r="AZ220" s="94" t="str">
        <f t="shared" si="1221"/>
        <v xml:space="preserve"> </v>
      </c>
      <c r="BA220" s="94" t="str">
        <f t="shared" si="1222"/>
        <v xml:space="preserve"> </v>
      </c>
      <c r="BB220" s="94" t="str">
        <f t="shared" si="1223"/>
        <v xml:space="preserve"> </v>
      </c>
    </row>
    <row r="221" spans="1:54" x14ac:dyDescent="0.25">
      <c r="A221" s="80">
        <v>98</v>
      </c>
      <c r="B221" s="95" t="s">
        <v>2894</v>
      </c>
      <c r="C221" s="201" t="s">
        <v>374</v>
      </c>
      <c r="D221" s="80" t="s">
        <v>89</v>
      </c>
      <c r="E221" s="94">
        <f>IFERROR(VLOOKUP(A221,Estimate!A:Q,17,FALSE)," ")</f>
        <v>1893.5897424657535</v>
      </c>
      <c r="F221" s="202">
        <v>7.32</v>
      </c>
      <c r="G221" s="202">
        <v>7.32</v>
      </c>
      <c r="H221" s="203">
        <v>324.36</v>
      </c>
      <c r="I221" s="203">
        <v>2374.3200000000002</v>
      </c>
      <c r="J221" s="203">
        <v>2374.3152</v>
      </c>
      <c r="K221" s="203"/>
      <c r="L221" s="202"/>
      <c r="M221" s="204">
        <f t="shared" si="1205"/>
        <v>0</v>
      </c>
      <c r="N221" s="95"/>
      <c r="O221" s="204">
        <f t="shared" si="1205"/>
        <v>0</v>
      </c>
      <c r="P221" s="95"/>
      <c r="Q221" s="204">
        <f t="shared" ref="Q221:S221" si="1338">IFERROR(P221/$G221," ")</f>
        <v>0</v>
      </c>
      <c r="R221" s="95">
        <v>7.32</v>
      </c>
      <c r="S221" s="204">
        <f t="shared" si="1338"/>
        <v>1</v>
      </c>
      <c r="T221" s="95">
        <v>7.32</v>
      </c>
      <c r="U221" s="204">
        <f t="shared" ref="U221:W221" si="1339">IFERROR(T221/$G221," ")</f>
        <v>1</v>
      </c>
      <c r="V221" s="95">
        <v>7.32</v>
      </c>
      <c r="W221" s="204">
        <f t="shared" si="1339"/>
        <v>1</v>
      </c>
      <c r="X221" s="95">
        <v>7.32</v>
      </c>
      <c r="Y221" s="204">
        <f t="shared" ref="Y221:AA221" si="1340">IFERROR(X221/$G221," ")</f>
        <v>1</v>
      </c>
      <c r="Z221" s="95">
        <v>7.32</v>
      </c>
      <c r="AA221" s="204">
        <f t="shared" si="1340"/>
        <v>1</v>
      </c>
      <c r="AB221" s="95">
        <v>7.32</v>
      </c>
      <c r="AC221" s="204">
        <f t="shared" ref="AC221:AE221" si="1341">IFERROR(AB221/$G221," ")</f>
        <v>1</v>
      </c>
      <c r="AD221" s="95">
        <v>7.32</v>
      </c>
      <c r="AE221" s="204">
        <f t="shared" si="1341"/>
        <v>1</v>
      </c>
      <c r="AF221" s="95">
        <v>7.32</v>
      </c>
      <c r="AG221" s="204">
        <f t="shared" ref="AG221:AI221" si="1342">IFERROR(AF221/$G221," ")</f>
        <v>1</v>
      </c>
      <c r="AH221" s="95">
        <v>7.32</v>
      </c>
      <c r="AI221" s="204">
        <f t="shared" si="1342"/>
        <v>1</v>
      </c>
      <c r="AJ221" s="95">
        <v>7.32</v>
      </c>
      <c r="AK221" s="204">
        <f t="shared" ref="AK221:AM221" si="1343">IFERROR(AJ221/$G221," ")</f>
        <v>1</v>
      </c>
      <c r="AL221" s="95">
        <v>7.32</v>
      </c>
      <c r="AM221" s="204">
        <f t="shared" si="1343"/>
        <v>1</v>
      </c>
      <c r="AN221" s="95"/>
      <c r="AO221" s="94">
        <f t="shared" si="1212"/>
        <v>0</v>
      </c>
      <c r="AP221" s="94">
        <f t="shared" si="1202"/>
        <v>0</v>
      </c>
      <c r="AQ221" s="94">
        <f t="shared" si="1203"/>
        <v>0</v>
      </c>
      <c r="AR221" s="94">
        <f t="shared" si="1213"/>
        <v>2374.3152</v>
      </c>
      <c r="AS221" s="94">
        <f t="shared" si="1214"/>
        <v>2374.3152</v>
      </c>
      <c r="AT221" s="94">
        <f t="shared" si="1215"/>
        <v>2374.3152</v>
      </c>
      <c r="AU221" s="94">
        <f t="shared" si="1216"/>
        <v>2374.3152</v>
      </c>
      <c r="AV221" s="94">
        <f t="shared" si="1217"/>
        <v>2374.3152</v>
      </c>
      <c r="AW221" s="94">
        <f t="shared" si="1218"/>
        <v>2374.3152</v>
      </c>
      <c r="AX221" s="94">
        <f t="shared" si="1219"/>
        <v>2374.3152</v>
      </c>
      <c r="AY221" s="94">
        <f t="shared" si="1220"/>
        <v>2374.3152</v>
      </c>
      <c r="AZ221" s="94">
        <f t="shared" si="1221"/>
        <v>2374.3152</v>
      </c>
      <c r="BA221" s="94">
        <f t="shared" si="1222"/>
        <v>2374.3152</v>
      </c>
      <c r="BB221" s="94">
        <f t="shared" si="1223"/>
        <v>2374.3152</v>
      </c>
    </row>
    <row r="222" spans="1:54" x14ac:dyDescent="0.25">
      <c r="A222" s="80">
        <v>99</v>
      </c>
      <c r="B222" s="95" t="s">
        <v>2894</v>
      </c>
      <c r="C222" s="201" t="s">
        <v>377</v>
      </c>
      <c r="D222" s="80" t="s">
        <v>89</v>
      </c>
      <c r="E222" s="94">
        <f>IFERROR(VLOOKUP(A222,Estimate!A:Q,17,FALSE)," ")</f>
        <v>2668.5072842105264</v>
      </c>
      <c r="F222" s="202">
        <v>17.079999999999998</v>
      </c>
      <c r="G222" s="202">
        <v>17.079999999999998</v>
      </c>
      <c r="H222" s="203">
        <v>196.38</v>
      </c>
      <c r="I222" s="203">
        <v>3354.17</v>
      </c>
      <c r="J222" s="203">
        <v>3354.1704</v>
      </c>
      <c r="K222" s="203"/>
      <c r="L222" s="202"/>
      <c r="M222" s="204">
        <f t="shared" si="1205"/>
        <v>0</v>
      </c>
      <c r="N222" s="95"/>
      <c r="O222" s="204">
        <f t="shared" si="1205"/>
        <v>0</v>
      </c>
      <c r="P222" s="95"/>
      <c r="Q222" s="204">
        <f t="shared" ref="Q222:S222" si="1344">IFERROR(P222/$G222," ")</f>
        <v>0</v>
      </c>
      <c r="R222" s="95">
        <v>17.079999999999998</v>
      </c>
      <c r="S222" s="204">
        <f t="shared" si="1344"/>
        <v>1</v>
      </c>
      <c r="T222" s="95">
        <v>17.079999999999998</v>
      </c>
      <c r="U222" s="204">
        <f t="shared" ref="U222:W222" si="1345">IFERROR(T222/$G222," ")</f>
        <v>1</v>
      </c>
      <c r="V222" s="95">
        <v>17.079999999999998</v>
      </c>
      <c r="W222" s="204">
        <f t="shared" si="1345"/>
        <v>1</v>
      </c>
      <c r="X222" s="95">
        <v>17.079999999999998</v>
      </c>
      <c r="Y222" s="204">
        <f t="shared" ref="Y222:AA222" si="1346">IFERROR(X222/$G222," ")</f>
        <v>1</v>
      </c>
      <c r="Z222" s="95">
        <v>17.079999999999998</v>
      </c>
      <c r="AA222" s="204">
        <f t="shared" si="1346"/>
        <v>1</v>
      </c>
      <c r="AB222" s="95">
        <v>17.079999999999998</v>
      </c>
      <c r="AC222" s="204">
        <f t="shared" ref="AC222:AE222" si="1347">IFERROR(AB222/$G222," ")</f>
        <v>1</v>
      </c>
      <c r="AD222" s="95">
        <v>17.079999999999998</v>
      </c>
      <c r="AE222" s="204">
        <f t="shared" si="1347"/>
        <v>1</v>
      </c>
      <c r="AF222" s="95">
        <v>17.079999999999998</v>
      </c>
      <c r="AG222" s="204">
        <f t="shared" ref="AG222:AI222" si="1348">IFERROR(AF222/$G222," ")</f>
        <v>1</v>
      </c>
      <c r="AH222" s="95">
        <v>17.079999999999998</v>
      </c>
      <c r="AI222" s="204">
        <f t="shared" si="1348"/>
        <v>1</v>
      </c>
      <c r="AJ222" s="95">
        <v>17.079999999999998</v>
      </c>
      <c r="AK222" s="204">
        <f t="shared" ref="AK222:AM222" si="1349">IFERROR(AJ222/$G222," ")</f>
        <v>1</v>
      </c>
      <c r="AL222" s="95">
        <v>17.079999999999998</v>
      </c>
      <c r="AM222" s="204">
        <f t="shared" si="1349"/>
        <v>1</v>
      </c>
      <c r="AN222" s="95"/>
      <c r="AO222" s="94">
        <f t="shared" si="1212"/>
        <v>0</v>
      </c>
      <c r="AP222" s="94">
        <f t="shared" si="1202"/>
        <v>0</v>
      </c>
      <c r="AQ222" s="94">
        <f t="shared" si="1203"/>
        <v>0</v>
      </c>
      <c r="AR222" s="94">
        <f t="shared" si="1213"/>
        <v>3354.1704</v>
      </c>
      <c r="AS222" s="94">
        <f t="shared" si="1214"/>
        <v>3354.1704</v>
      </c>
      <c r="AT222" s="94">
        <f t="shared" si="1215"/>
        <v>3354.1704</v>
      </c>
      <c r="AU222" s="94">
        <f t="shared" si="1216"/>
        <v>3354.1704</v>
      </c>
      <c r="AV222" s="94">
        <f t="shared" si="1217"/>
        <v>3354.1704</v>
      </c>
      <c r="AW222" s="94">
        <f t="shared" si="1218"/>
        <v>3354.1704</v>
      </c>
      <c r="AX222" s="94">
        <f t="shared" si="1219"/>
        <v>3354.1704</v>
      </c>
      <c r="AY222" s="94">
        <f t="shared" si="1220"/>
        <v>3354.1704</v>
      </c>
      <c r="AZ222" s="94">
        <f t="shared" si="1221"/>
        <v>3354.1704</v>
      </c>
      <c r="BA222" s="94">
        <f t="shared" si="1222"/>
        <v>3354.1704</v>
      </c>
      <c r="BB222" s="94">
        <f t="shared" si="1223"/>
        <v>3354.1704</v>
      </c>
    </row>
    <row r="223" spans="1:54" x14ac:dyDescent="0.25">
      <c r="A223" s="80">
        <v>100</v>
      </c>
      <c r="B223" s="95" t="s">
        <v>2847</v>
      </c>
      <c r="C223" s="201" t="s">
        <v>379</v>
      </c>
      <c r="D223" s="80" t="s">
        <v>20</v>
      </c>
      <c r="E223" s="94">
        <f>IFERROR(VLOOKUP(A223,Estimate!A:Q,17,FALSE)," ")</f>
        <v>6320</v>
      </c>
      <c r="F223" s="202">
        <v>1</v>
      </c>
      <c r="G223" s="202">
        <v>1</v>
      </c>
      <c r="H223" s="203">
        <v>7939.36</v>
      </c>
      <c r="I223" s="203">
        <v>7939.36</v>
      </c>
      <c r="J223" s="203">
        <v>7939.36</v>
      </c>
      <c r="K223" s="203"/>
      <c r="L223" s="202"/>
      <c r="M223" s="204">
        <f t="shared" si="1205"/>
        <v>0</v>
      </c>
      <c r="N223" s="95"/>
      <c r="O223" s="204">
        <f t="shared" si="1205"/>
        <v>0</v>
      </c>
      <c r="P223" s="95"/>
      <c r="Q223" s="204">
        <f t="shared" ref="Q223:S223" si="1350">IFERROR(P223/$G223," ")</f>
        <v>0</v>
      </c>
      <c r="R223" s="95"/>
      <c r="S223" s="204">
        <f t="shared" si="1350"/>
        <v>0</v>
      </c>
      <c r="T223" s="95"/>
      <c r="U223" s="204">
        <f t="shared" ref="U223:W223" si="1351">IFERROR(T223/$G223," ")</f>
        <v>0</v>
      </c>
      <c r="V223" s="95">
        <v>0.82</v>
      </c>
      <c r="W223" s="204">
        <f t="shared" si="1351"/>
        <v>0.82</v>
      </c>
      <c r="X223" s="95">
        <v>1</v>
      </c>
      <c r="Y223" s="204">
        <f t="shared" ref="Y223:AA223" si="1352">IFERROR(X223/$G223," ")</f>
        <v>1</v>
      </c>
      <c r="Z223" s="95">
        <v>1</v>
      </c>
      <c r="AA223" s="204">
        <f t="shared" si="1352"/>
        <v>1</v>
      </c>
      <c r="AB223" s="95">
        <v>1</v>
      </c>
      <c r="AC223" s="204">
        <f t="shared" ref="AC223:AE223" si="1353">IFERROR(AB223/$G223," ")</f>
        <v>1</v>
      </c>
      <c r="AD223" s="95">
        <v>1</v>
      </c>
      <c r="AE223" s="204">
        <f t="shared" si="1353"/>
        <v>1</v>
      </c>
      <c r="AF223" s="95">
        <v>1</v>
      </c>
      <c r="AG223" s="204">
        <f t="shared" ref="AG223:AI223" si="1354">IFERROR(AF223/$G223," ")</f>
        <v>1</v>
      </c>
      <c r="AH223" s="95">
        <v>1</v>
      </c>
      <c r="AI223" s="204">
        <f t="shared" si="1354"/>
        <v>1</v>
      </c>
      <c r="AJ223" s="95">
        <v>1</v>
      </c>
      <c r="AK223" s="204">
        <f t="shared" ref="AK223:AM223" si="1355">IFERROR(AJ223/$G223," ")</f>
        <v>1</v>
      </c>
      <c r="AL223" s="95">
        <v>1</v>
      </c>
      <c r="AM223" s="204">
        <f t="shared" si="1355"/>
        <v>1</v>
      </c>
      <c r="AN223" s="95"/>
      <c r="AO223" s="94">
        <f t="shared" si="1212"/>
        <v>0</v>
      </c>
      <c r="AP223" s="94">
        <f t="shared" si="1202"/>
        <v>0</v>
      </c>
      <c r="AQ223" s="94">
        <f t="shared" si="1203"/>
        <v>0</v>
      </c>
      <c r="AR223" s="94">
        <f t="shared" si="1213"/>
        <v>0</v>
      </c>
      <c r="AS223" s="94">
        <f t="shared" si="1214"/>
        <v>0</v>
      </c>
      <c r="AT223" s="94">
        <f t="shared" si="1215"/>
        <v>6510.2751999999991</v>
      </c>
      <c r="AU223" s="94">
        <f t="shared" si="1216"/>
        <v>7939.36</v>
      </c>
      <c r="AV223" s="94">
        <f t="shared" si="1217"/>
        <v>7939.36</v>
      </c>
      <c r="AW223" s="94">
        <f t="shared" si="1218"/>
        <v>7939.36</v>
      </c>
      <c r="AX223" s="94">
        <f t="shared" si="1219"/>
        <v>7939.36</v>
      </c>
      <c r="AY223" s="94">
        <f t="shared" si="1220"/>
        <v>7939.36</v>
      </c>
      <c r="AZ223" s="94">
        <f t="shared" si="1221"/>
        <v>7939.36</v>
      </c>
      <c r="BA223" s="94">
        <f t="shared" si="1222"/>
        <v>7939.36</v>
      </c>
      <c r="BB223" s="94">
        <f t="shared" si="1223"/>
        <v>7939.36</v>
      </c>
    </row>
    <row r="224" spans="1:54" x14ac:dyDescent="0.25">
      <c r="A224" s="80"/>
      <c r="B224" s="95" t="s">
        <v>2851</v>
      </c>
      <c r="C224" s="201" t="s">
        <v>94</v>
      </c>
      <c r="D224" s="80" t="s">
        <v>783</v>
      </c>
      <c r="E224" s="94" t="str">
        <f>IFERROR(VLOOKUP(A224,Estimate!A:Q,17,FALSE)," ")</f>
        <v xml:space="preserve"> </v>
      </c>
      <c r="F224" s="202" t="s">
        <v>781</v>
      </c>
      <c r="G224" s="202" t="s">
        <v>781</v>
      </c>
      <c r="H224" s="203" t="s">
        <v>781</v>
      </c>
      <c r="I224" s="203" t="s">
        <v>781</v>
      </c>
      <c r="J224" s="203" t="s">
        <v>781</v>
      </c>
      <c r="K224" s="203"/>
      <c r="L224" s="202" t="s">
        <v>781</v>
      </c>
      <c r="M224" s="204" t="str">
        <f t="shared" si="1205"/>
        <v xml:space="preserve"> </v>
      </c>
      <c r="N224" s="95" t="s">
        <v>781</v>
      </c>
      <c r="O224" s="204" t="str">
        <f t="shared" si="1205"/>
        <v xml:space="preserve"> </v>
      </c>
      <c r="P224" s="95" t="s">
        <v>781</v>
      </c>
      <c r="Q224" s="204" t="str">
        <f t="shared" ref="Q224:S224" si="1356">IFERROR(P224/$G224," ")</f>
        <v xml:space="preserve"> </v>
      </c>
      <c r="R224" s="95" t="s">
        <v>781</v>
      </c>
      <c r="S224" s="204" t="str">
        <f t="shared" si="1356"/>
        <v xml:space="preserve"> </v>
      </c>
      <c r="T224" s="95" t="s">
        <v>781</v>
      </c>
      <c r="U224" s="204" t="str">
        <f t="shared" ref="U224:W224" si="1357">IFERROR(T224/$G224," ")</f>
        <v xml:space="preserve"> </v>
      </c>
      <c r="V224" s="95" t="s">
        <v>781</v>
      </c>
      <c r="W224" s="204" t="str">
        <f t="shared" si="1357"/>
        <v xml:space="preserve"> </v>
      </c>
      <c r="X224" s="95" t="s">
        <v>781</v>
      </c>
      <c r="Y224" s="204" t="str">
        <f t="shared" ref="Y224:AA224" si="1358">IFERROR(X224/$G224," ")</f>
        <v xml:space="preserve"> </v>
      </c>
      <c r="Z224" s="95" t="s">
        <v>781</v>
      </c>
      <c r="AA224" s="204" t="str">
        <f t="shared" si="1358"/>
        <v xml:space="preserve"> </v>
      </c>
      <c r="AB224" s="95" t="s">
        <v>781</v>
      </c>
      <c r="AC224" s="204" t="str">
        <f t="shared" ref="AC224:AE224" si="1359">IFERROR(AB224/$G224," ")</f>
        <v xml:space="preserve"> </v>
      </c>
      <c r="AD224" s="95" t="s">
        <v>781</v>
      </c>
      <c r="AE224" s="204" t="str">
        <f t="shared" si="1359"/>
        <v xml:space="preserve"> </v>
      </c>
      <c r="AF224" s="95" t="s">
        <v>781</v>
      </c>
      <c r="AG224" s="204" t="str">
        <f t="shared" ref="AG224:AI224" si="1360">IFERROR(AF224/$G224," ")</f>
        <v xml:space="preserve"> </v>
      </c>
      <c r="AH224" s="95" t="s">
        <v>781</v>
      </c>
      <c r="AI224" s="204" t="str">
        <f t="shared" si="1360"/>
        <v xml:space="preserve"> </v>
      </c>
      <c r="AJ224" s="95" t="s">
        <v>781</v>
      </c>
      <c r="AK224" s="204" t="str">
        <f t="shared" ref="AK224:AM224" si="1361">IFERROR(AJ224/$G224," ")</f>
        <v xml:space="preserve"> </v>
      </c>
      <c r="AL224" s="95" t="s">
        <v>781</v>
      </c>
      <c r="AM224" s="204" t="str">
        <f t="shared" si="1361"/>
        <v xml:space="preserve"> </v>
      </c>
      <c r="AN224" s="95"/>
      <c r="AO224" s="94" t="str">
        <f t="shared" si="1212"/>
        <v xml:space="preserve"> </v>
      </c>
      <c r="AP224" s="94" t="str">
        <f t="shared" si="1202"/>
        <v xml:space="preserve"> </v>
      </c>
      <c r="AQ224" s="94" t="str">
        <f t="shared" si="1203"/>
        <v xml:space="preserve"> </v>
      </c>
      <c r="AR224" s="94" t="str">
        <f t="shared" si="1213"/>
        <v xml:space="preserve"> </v>
      </c>
      <c r="AS224" s="94" t="str">
        <f t="shared" si="1214"/>
        <v xml:space="preserve"> </v>
      </c>
      <c r="AT224" s="94" t="str">
        <f t="shared" si="1215"/>
        <v xml:space="preserve"> </v>
      </c>
      <c r="AU224" s="94" t="str">
        <f t="shared" si="1216"/>
        <v xml:space="preserve"> </v>
      </c>
      <c r="AV224" s="94" t="str">
        <f t="shared" si="1217"/>
        <v xml:space="preserve"> </v>
      </c>
      <c r="AW224" s="94" t="str">
        <f t="shared" si="1218"/>
        <v xml:space="preserve"> </v>
      </c>
      <c r="AX224" s="94" t="str">
        <f t="shared" si="1219"/>
        <v xml:space="preserve"> </v>
      </c>
      <c r="AY224" s="94" t="str">
        <f t="shared" si="1220"/>
        <v xml:space="preserve"> </v>
      </c>
      <c r="AZ224" s="94" t="str">
        <f t="shared" si="1221"/>
        <v xml:space="preserve"> </v>
      </c>
      <c r="BA224" s="94" t="str">
        <f t="shared" si="1222"/>
        <v xml:space="preserve"> </v>
      </c>
      <c r="BB224" s="94" t="str">
        <f t="shared" si="1223"/>
        <v xml:space="preserve"> </v>
      </c>
    </row>
    <row r="225" spans="1:54" x14ac:dyDescent="0.25">
      <c r="A225" s="80">
        <v>101</v>
      </c>
      <c r="B225" s="95" t="s">
        <v>2870</v>
      </c>
      <c r="C225" s="201" t="s">
        <v>382</v>
      </c>
      <c r="D225" s="80" t="s">
        <v>29</v>
      </c>
      <c r="E225" s="94">
        <f>IFERROR(VLOOKUP(A225,Estimate!A:Q,17,FALSE)," ")</f>
        <v>14020</v>
      </c>
      <c r="F225" s="202">
        <v>4</v>
      </c>
      <c r="G225" s="202">
        <v>4</v>
      </c>
      <c r="H225" s="203">
        <v>4403.08</v>
      </c>
      <c r="I225" s="203">
        <v>17612.32</v>
      </c>
      <c r="J225" s="203">
        <v>17612.32</v>
      </c>
      <c r="K225" s="203"/>
      <c r="L225" s="202"/>
      <c r="M225" s="204">
        <f t="shared" si="1205"/>
        <v>0</v>
      </c>
      <c r="N225" s="95"/>
      <c r="O225" s="204">
        <f t="shared" si="1205"/>
        <v>0</v>
      </c>
      <c r="P225" s="95"/>
      <c r="Q225" s="204">
        <f t="shared" ref="Q225:S225" si="1362">IFERROR(P225/$G225," ")</f>
        <v>0</v>
      </c>
      <c r="R225" s="95">
        <v>4</v>
      </c>
      <c r="S225" s="204">
        <f t="shared" si="1362"/>
        <v>1</v>
      </c>
      <c r="T225" s="95">
        <v>3</v>
      </c>
      <c r="U225" s="204">
        <f t="shared" ref="U225:W225" si="1363">IFERROR(T225/$G225," ")</f>
        <v>0.75</v>
      </c>
      <c r="V225" s="95">
        <v>3</v>
      </c>
      <c r="W225" s="204">
        <f t="shared" si="1363"/>
        <v>0.75</v>
      </c>
      <c r="X225" s="95">
        <v>4</v>
      </c>
      <c r="Y225" s="204">
        <f t="shared" ref="Y225:AA225" si="1364">IFERROR(X225/$G225," ")</f>
        <v>1</v>
      </c>
      <c r="Z225" s="95">
        <v>4</v>
      </c>
      <c r="AA225" s="204">
        <f t="shared" si="1364"/>
        <v>1</v>
      </c>
      <c r="AB225" s="95">
        <v>4</v>
      </c>
      <c r="AC225" s="204">
        <f t="shared" ref="AC225:AE225" si="1365">IFERROR(AB225/$G225," ")</f>
        <v>1</v>
      </c>
      <c r="AD225" s="95">
        <v>4</v>
      </c>
      <c r="AE225" s="204">
        <f t="shared" si="1365"/>
        <v>1</v>
      </c>
      <c r="AF225" s="95">
        <v>4</v>
      </c>
      <c r="AG225" s="204">
        <f t="shared" ref="AG225:AI225" si="1366">IFERROR(AF225/$G225," ")</f>
        <v>1</v>
      </c>
      <c r="AH225" s="95">
        <v>4</v>
      </c>
      <c r="AI225" s="204">
        <f t="shared" si="1366"/>
        <v>1</v>
      </c>
      <c r="AJ225" s="95">
        <v>4</v>
      </c>
      <c r="AK225" s="204">
        <f t="shared" ref="AK225:AM225" si="1367">IFERROR(AJ225/$G225," ")</f>
        <v>1</v>
      </c>
      <c r="AL225" s="95">
        <v>4</v>
      </c>
      <c r="AM225" s="204">
        <f t="shared" si="1367"/>
        <v>1</v>
      </c>
      <c r="AN225" s="95"/>
      <c r="AO225" s="94">
        <f t="shared" si="1212"/>
        <v>0</v>
      </c>
      <c r="AP225" s="94">
        <f t="shared" si="1202"/>
        <v>0</v>
      </c>
      <c r="AQ225" s="94">
        <f t="shared" si="1203"/>
        <v>0</v>
      </c>
      <c r="AR225" s="94">
        <f t="shared" si="1213"/>
        <v>17612.32</v>
      </c>
      <c r="AS225" s="94">
        <f t="shared" si="1214"/>
        <v>13209.24</v>
      </c>
      <c r="AT225" s="94">
        <f t="shared" si="1215"/>
        <v>13209.24</v>
      </c>
      <c r="AU225" s="94">
        <f t="shared" si="1216"/>
        <v>17612.32</v>
      </c>
      <c r="AV225" s="94">
        <f t="shared" si="1217"/>
        <v>17612.32</v>
      </c>
      <c r="AW225" s="94">
        <f t="shared" si="1218"/>
        <v>17612.32</v>
      </c>
      <c r="AX225" s="94">
        <f t="shared" si="1219"/>
        <v>17612.32</v>
      </c>
      <c r="AY225" s="94">
        <f t="shared" si="1220"/>
        <v>17612.32</v>
      </c>
      <c r="AZ225" s="94">
        <f t="shared" si="1221"/>
        <v>17612.32</v>
      </c>
      <c r="BA225" s="94">
        <f t="shared" si="1222"/>
        <v>17612.32</v>
      </c>
      <c r="BB225" s="94">
        <f t="shared" si="1223"/>
        <v>17612.32</v>
      </c>
    </row>
    <row r="226" spans="1:54" x14ac:dyDescent="0.25">
      <c r="A226" s="80"/>
      <c r="B226" s="95" t="s">
        <v>2853</v>
      </c>
      <c r="C226" s="201" t="s">
        <v>98</v>
      </c>
      <c r="D226" s="80" t="s">
        <v>783</v>
      </c>
      <c r="E226" s="94" t="str">
        <f>IFERROR(VLOOKUP(A226,Estimate!A:Q,17,FALSE)," ")</f>
        <v xml:space="preserve"> </v>
      </c>
      <c r="F226" s="202" t="s">
        <v>781</v>
      </c>
      <c r="G226" s="202" t="s">
        <v>781</v>
      </c>
      <c r="H226" s="203" t="s">
        <v>781</v>
      </c>
      <c r="I226" s="203" t="s">
        <v>781</v>
      </c>
      <c r="J226" s="203" t="s">
        <v>781</v>
      </c>
      <c r="K226" s="203"/>
      <c r="L226" s="202" t="s">
        <v>781</v>
      </c>
      <c r="M226" s="204" t="str">
        <f t="shared" si="1205"/>
        <v xml:space="preserve"> </v>
      </c>
      <c r="N226" s="95" t="s">
        <v>781</v>
      </c>
      <c r="O226" s="204" t="str">
        <f t="shared" si="1205"/>
        <v xml:space="preserve"> </v>
      </c>
      <c r="P226" s="95" t="s">
        <v>781</v>
      </c>
      <c r="Q226" s="204" t="str">
        <f t="shared" ref="Q226:S226" si="1368">IFERROR(P226/$G226," ")</f>
        <v xml:space="preserve"> </v>
      </c>
      <c r="R226" s="95" t="s">
        <v>781</v>
      </c>
      <c r="S226" s="204" t="str">
        <f t="shared" si="1368"/>
        <v xml:space="preserve"> </v>
      </c>
      <c r="T226" s="95" t="s">
        <v>781</v>
      </c>
      <c r="U226" s="204" t="str">
        <f t="shared" ref="U226:W226" si="1369">IFERROR(T226/$G226," ")</f>
        <v xml:space="preserve"> </v>
      </c>
      <c r="V226" s="95" t="s">
        <v>781</v>
      </c>
      <c r="W226" s="204" t="str">
        <f t="shared" si="1369"/>
        <v xml:space="preserve"> </v>
      </c>
      <c r="X226" s="95" t="s">
        <v>781</v>
      </c>
      <c r="Y226" s="204" t="str">
        <f t="shared" ref="Y226:AA226" si="1370">IFERROR(X226/$G226," ")</f>
        <v xml:space="preserve"> </v>
      </c>
      <c r="Z226" s="95" t="s">
        <v>781</v>
      </c>
      <c r="AA226" s="204" t="str">
        <f t="shared" si="1370"/>
        <v xml:space="preserve"> </v>
      </c>
      <c r="AB226" s="95" t="s">
        <v>781</v>
      </c>
      <c r="AC226" s="204" t="str">
        <f t="shared" ref="AC226:AE226" si="1371">IFERROR(AB226/$G226," ")</f>
        <v xml:space="preserve"> </v>
      </c>
      <c r="AD226" s="95" t="s">
        <v>781</v>
      </c>
      <c r="AE226" s="204" t="str">
        <f t="shared" si="1371"/>
        <v xml:space="preserve"> </v>
      </c>
      <c r="AF226" s="95" t="s">
        <v>781</v>
      </c>
      <c r="AG226" s="204" t="str">
        <f t="shared" ref="AG226:AI226" si="1372">IFERROR(AF226/$G226," ")</f>
        <v xml:space="preserve"> </v>
      </c>
      <c r="AH226" s="95" t="s">
        <v>781</v>
      </c>
      <c r="AI226" s="204" t="str">
        <f t="shared" si="1372"/>
        <v xml:space="preserve"> </v>
      </c>
      <c r="AJ226" s="95" t="s">
        <v>781</v>
      </c>
      <c r="AK226" s="204" t="str">
        <f t="shared" ref="AK226:AM226" si="1373">IFERROR(AJ226/$G226," ")</f>
        <v xml:space="preserve"> </v>
      </c>
      <c r="AL226" s="95" t="s">
        <v>781</v>
      </c>
      <c r="AM226" s="204" t="str">
        <f t="shared" si="1373"/>
        <v xml:space="preserve"> </v>
      </c>
      <c r="AN226" s="95"/>
      <c r="AO226" s="94" t="str">
        <f t="shared" si="1212"/>
        <v xml:space="preserve"> </v>
      </c>
      <c r="AP226" s="94" t="str">
        <f t="shared" si="1202"/>
        <v xml:space="preserve"> </v>
      </c>
      <c r="AQ226" s="94" t="str">
        <f t="shared" si="1203"/>
        <v xml:space="preserve"> </v>
      </c>
      <c r="AR226" s="94" t="str">
        <f t="shared" si="1213"/>
        <v xml:space="preserve"> </v>
      </c>
      <c r="AS226" s="94" t="str">
        <f t="shared" si="1214"/>
        <v xml:space="preserve"> </v>
      </c>
      <c r="AT226" s="94" t="str">
        <f t="shared" si="1215"/>
        <v xml:space="preserve"> </v>
      </c>
      <c r="AU226" s="94" t="str">
        <f t="shared" si="1216"/>
        <v xml:space="preserve"> </v>
      </c>
      <c r="AV226" s="94" t="str">
        <f t="shared" si="1217"/>
        <v xml:space="preserve"> </v>
      </c>
      <c r="AW226" s="94" t="str">
        <f t="shared" si="1218"/>
        <v xml:space="preserve"> </v>
      </c>
      <c r="AX226" s="94" t="str">
        <f t="shared" si="1219"/>
        <v xml:space="preserve"> </v>
      </c>
      <c r="AY226" s="94" t="str">
        <f t="shared" si="1220"/>
        <v xml:space="preserve"> </v>
      </c>
      <c r="AZ226" s="94" t="str">
        <f t="shared" si="1221"/>
        <v xml:space="preserve"> </v>
      </c>
      <c r="BA226" s="94" t="str">
        <f t="shared" si="1222"/>
        <v xml:space="preserve"> </v>
      </c>
      <c r="BB226" s="94" t="str">
        <f t="shared" si="1223"/>
        <v xml:space="preserve"> </v>
      </c>
    </row>
    <row r="227" spans="1:54" x14ac:dyDescent="0.25">
      <c r="A227" s="80">
        <v>102</v>
      </c>
      <c r="B227" s="95" t="s">
        <v>2872</v>
      </c>
      <c r="C227" s="201" t="s">
        <v>195</v>
      </c>
      <c r="D227" s="80" t="s">
        <v>89</v>
      </c>
      <c r="E227" s="94">
        <f>IFERROR(VLOOKUP(A227,Estimate!A:Q,17,FALSE)," ")</f>
        <v>27857.424186046512</v>
      </c>
      <c r="F227" s="202">
        <v>524</v>
      </c>
      <c r="G227" s="202">
        <v>524</v>
      </c>
      <c r="H227" s="203">
        <v>66.790000000000006</v>
      </c>
      <c r="I227" s="203">
        <v>34997.96</v>
      </c>
      <c r="J227" s="203">
        <v>34997.96</v>
      </c>
      <c r="K227" s="203"/>
      <c r="L227" s="202"/>
      <c r="M227" s="204">
        <f t="shared" si="1205"/>
        <v>0</v>
      </c>
      <c r="N227" s="95"/>
      <c r="O227" s="204">
        <f t="shared" si="1205"/>
        <v>0</v>
      </c>
      <c r="P227" s="95"/>
      <c r="Q227" s="204">
        <f t="shared" ref="Q227:S227" si="1374">IFERROR(P227/$G227," ")</f>
        <v>0</v>
      </c>
      <c r="R227" s="95"/>
      <c r="S227" s="204">
        <f t="shared" si="1374"/>
        <v>0</v>
      </c>
      <c r="T227" s="95">
        <v>250</v>
      </c>
      <c r="U227" s="204">
        <f t="shared" ref="U227:W227" si="1375">IFERROR(T227/$G227," ")</f>
        <v>0.47709923664122139</v>
      </c>
      <c r="V227" s="95">
        <v>250</v>
      </c>
      <c r="W227" s="204">
        <f t="shared" si="1375"/>
        <v>0.47709923664122139</v>
      </c>
      <c r="X227" s="95">
        <v>524</v>
      </c>
      <c r="Y227" s="204">
        <f t="shared" ref="Y227:AA227" si="1376">IFERROR(X227/$G227," ")</f>
        <v>1</v>
      </c>
      <c r="Z227" s="95">
        <v>524</v>
      </c>
      <c r="AA227" s="204">
        <f t="shared" si="1376"/>
        <v>1</v>
      </c>
      <c r="AB227" s="95">
        <v>524</v>
      </c>
      <c r="AC227" s="204">
        <f t="shared" ref="AC227:AE227" si="1377">IFERROR(AB227/$G227," ")</f>
        <v>1</v>
      </c>
      <c r="AD227" s="95">
        <v>524</v>
      </c>
      <c r="AE227" s="204">
        <f t="shared" si="1377"/>
        <v>1</v>
      </c>
      <c r="AF227" s="95">
        <v>524</v>
      </c>
      <c r="AG227" s="204">
        <f t="shared" ref="AG227:AI227" si="1378">IFERROR(AF227/$G227," ")</f>
        <v>1</v>
      </c>
      <c r="AH227" s="95">
        <v>524</v>
      </c>
      <c r="AI227" s="204">
        <f t="shared" si="1378"/>
        <v>1</v>
      </c>
      <c r="AJ227" s="95">
        <v>524</v>
      </c>
      <c r="AK227" s="204">
        <f t="shared" ref="AK227:AM227" si="1379">IFERROR(AJ227/$G227," ")</f>
        <v>1</v>
      </c>
      <c r="AL227" s="95">
        <v>524</v>
      </c>
      <c r="AM227" s="204">
        <f t="shared" si="1379"/>
        <v>1</v>
      </c>
      <c r="AN227" s="95"/>
      <c r="AO227" s="94">
        <f t="shared" si="1212"/>
        <v>0</v>
      </c>
      <c r="AP227" s="94">
        <f t="shared" si="1202"/>
        <v>0</v>
      </c>
      <c r="AQ227" s="94">
        <f t="shared" si="1203"/>
        <v>0</v>
      </c>
      <c r="AR227" s="94">
        <f t="shared" si="1213"/>
        <v>0</v>
      </c>
      <c r="AS227" s="94">
        <f t="shared" si="1214"/>
        <v>16697.5</v>
      </c>
      <c r="AT227" s="94">
        <f t="shared" si="1215"/>
        <v>16697.5</v>
      </c>
      <c r="AU227" s="94">
        <f t="shared" si="1216"/>
        <v>34997.96</v>
      </c>
      <c r="AV227" s="94">
        <f t="shared" si="1217"/>
        <v>34997.96</v>
      </c>
      <c r="AW227" s="94">
        <f t="shared" si="1218"/>
        <v>34997.96</v>
      </c>
      <c r="AX227" s="94">
        <f t="shared" si="1219"/>
        <v>34997.96</v>
      </c>
      <c r="AY227" s="94">
        <f t="shared" si="1220"/>
        <v>34997.96</v>
      </c>
      <c r="AZ227" s="94">
        <f t="shared" si="1221"/>
        <v>34997.96</v>
      </c>
      <c r="BA227" s="94">
        <f t="shared" si="1222"/>
        <v>34997.96</v>
      </c>
      <c r="BB227" s="94">
        <f t="shared" si="1223"/>
        <v>34997.96</v>
      </c>
    </row>
    <row r="228" spans="1:54" x14ac:dyDescent="0.25">
      <c r="A228" s="80">
        <v>103</v>
      </c>
      <c r="B228" s="95" t="s">
        <v>2895</v>
      </c>
      <c r="C228" s="201" t="s">
        <v>388</v>
      </c>
      <c r="D228" s="80" t="s">
        <v>89</v>
      </c>
      <c r="E228" s="94">
        <f>IFERROR(VLOOKUP(A228,Estimate!A:Q,17,FALSE)," ")</f>
        <v>2354.94</v>
      </c>
      <c r="F228" s="202">
        <v>42</v>
      </c>
      <c r="G228" s="202">
        <v>130</v>
      </c>
      <c r="H228" s="203">
        <v>70.44</v>
      </c>
      <c r="I228" s="203">
        <v>2958.48</v>
      </c>
      <c r="J228" s="203">
        <v>9157.2000000000007</v>
      </c>
      <c r="K228" s="203"/>
      <c r="L228" s="202"/>
      <c r="M228" s="204">
        <f t="shared" si="1205"/>
        <v>0</v>
      </c>
      <c r="N228" s="95"/>
      <c r="O228" s="204">
        <f t="shared" si="1205"/>
        <v>0</v>
      </c>
      <c r="P228" s="95"/>
      <c r="Q228" s="204">
        <f t="shared" ref="Q228:S228" si="1380">IFERROR(P228/$G228," ")</f>
        <v>0</v>
      </c>
      <c r="R228" s="95"/>
      <c r="S228" s="204">
        <f t="shared" si="1380"/>
        <v>0</v>
      </c>
      <c r="T228" s="95">
        <v>42</v>
      </c>
      <c r="U228" s="204">
        <f t="shared" ref="U228:W228" si="1381">IFERROR(T228/$G228," ")</f>
        <v>0.32307692307692309</v>
      </c>
      <c r="V228" s="95">
        <v>42</v>
      </c>
      <c r="W228" s="204">
        <f t="shared" si="1381"/>
        <v>0.32307692307692309</v>
      </c>
      <c r="X228" s="95">
        <v>42</v>
      </c>
      <c r="Y228" s="204">
        <f t="shared" ref="Y228:AA228" si="1382">IFERROR(X228/$G228," ")</f>
        <v>0.32307692307692309</v>
      </c>
      <c r="Z228" s="95">
        <v>42</v>
      </c>
      <c r="AA228" s="204">
        <f t="shared" si="1382"/>
        <v>0.32307692307692309</v>
      </c>
      <c r="AB228" s="95">
        <v>42</v>
      </c>
      <c r="AC228" s="204">
        <f t="shared" ref="AC228:AE228" si="1383">IFERROR(AB228/$G228," ")</f>
        <v>0.32307692307692309</v>
      </c>
      <c r="AD228" s="95">
        <v>42</v>
      </c>
      <c r="AE228" s="204">
        <f t="shared" si="1383"/>
        <v>0.32307692307692309</v>
      </c>
      <c r="AF228" s="95">
        <v>42</v>
      </c>
      <c r="AG228" s="204">
        <f t="shared" ref="AG228:AI228" si="1384">IFERROR(AF228/$G228," ")</f>
        <v>0.32307692307692309</v>
      </c>
      <c r="AH228" s="95">
        <v>42</v>
      </c>
      <c r="AI228" s="204">
        <f t="shared" si="1384"/>
        <v>0.32307692307692309</v>
      </c>
      <c r="AJ228" s="95">
        <v>42</v>
      </c>
      <c r="AK228" s="204">
        <f t="shared" ref="AK228:AM228" si="1385">IFERROR(AJ228/$G228," ")</f>
        <v>0.32307692307692309</v>
      </c>
      <c r="AL228" s="95">
        <v>42</v>
      </c>
      <c r="AM228" s="204">
        <f t="shared" si="1385"/>
        <v>0.32307692307692309</v>
      </c>
      <c r="AN228" s="95"/>
      <c r="AO228" s="94">
        <f t="shared" si="1212"/>
        <v>0</v>
      </c>
      <c r="AP228" s="94">
        <f t="shared" si="1202"/>
        <v>0</v>
      </c>
      <c r="AQ228" s="94">
        <f t="shared" si="1203"/>
        <v>0</v>
      </c>
      <c r="AR228" s="94">
        <f t="shared" si="1213"/>
        <v>0</v>
      </c>
      <c r="AS228" s="94">
        <f t="shared" si="1214"/>
        <v>2958.4800000000005</v>
      </c>
      <c r="AT228" s="94">
        <f t="shared" si="1215"/>
        <v>2958.4800000000005</v>
      </c>
      <c r="AU228" s="94">
        <f t="shared" si="1216"/>
        <v>2958.4800000000005</v>
      </c>
      <c r="AV228" s="94">
        <f t="shared" si="1217"/>
        <v>2958.4800000000005</v>
      </c>
      <c r="AW228" s="94">
        <f t="shared" si="1218"/>
        <v>2958.4800000000005</v>
      </c>
      <c r="AX228" s="94">
        <f t="shared" si="1219"/>
        <v>2958.4800000000005</v>
      </c>
      <c r="AY228" s="94">
        <f t="shared" si="1220"/>
        <v>2958.4800000000005</v>
      </c>
      <c r="AZ228" s="94">
        <f t="shared" si="1221"/>
        <v>2958.4800000000005</v>
      </c>
      <c r="BA228" s="94">
        <f t="shared" si="1222"/>
        <v>2958.4800000000005</v>
      </c>
      <c r="BB228" s="94">
        <f t="shared" si="1223"/>
        <v>2958.4800000000005</v>
      </c>
    </row>
    <row r="229" spans="1:54" x14ac:dyDescent="0.25">
      <c r="A229" s="80"/>
      <c r="B229" s="95" t="s">
        <v>2417</v>
      </c>
      <c r="C229" s="201" t="s">
        <v>2837</v>
      </c>
      <c r="D229" s="80" t="s">
        <v>783</v>
      </c>
      <c r="E229" s="94" t="str">
        <f>IFERROR(VLOOKUP(A229,Estimate!A:Q,17,FALSE)," ")</f>
        <v xml:space="preserve"> </v>
      </c>
      <c r="F229" s="202" t="s">
        <v>781</v>
      </c>
      <c r="G229" s="202" t="s">
        <v>781</v>
      </c>
      <c r="H229" s="203" t="s">
        <v>781</v>
      </c>
      <c r="I229" s="203" t="s">
        <v>781</v>
      </c>
      <c r="J229" s="203" t="s">
        <v>781</v>
      </c>
      <c r="K229" s="203"/>
      <c r="L229" s="202" t="s">
        <v>781</v>
      </c>
      <c r="M229" s="204" t="str">
        <f t="shared" si="1205"/>
        <v xml:space="preserve"> </v>
      </c>
      <c r="N229" s="95" t="s">
        <v>781</v>
      </c>
      <c r="O229" s="204" t="str">
        <f t="shared" si="1205"/>
        <v xml:space="preserve"> </v>
      </c>
      <c r="P229" s="95" t="s">
        <v>781</v>
      </c>
      <c r="Q229" s="204" t="str">
        <f t="shared" ref="Q229:S229" si="1386">IFERROR(P229/$G229," ")</f>
        <v xml:space="preserve"> </v>
      </c>
      <c r="R229" s="95" t="s">
        <v>781</v>
      </c>
      <c r="S229" s="204" t="str">
        <f t="shared" si="1386"/>
        <v xml:space="preserve"> </v>
      </c>
      <c r="T229" s="95" t="s">
        <v>781</v>
      </c>
      <c r="U229" s="204" t="str">
        <f t="shared" ref="U229:W229" si="1387">IFERROR(T229/$G229," ")</f>
        <v xml:space="preserve"> </v>
      </c>
      <c r="V229" s="95" t="s">
        <v>781</v>
      </c>
      <c r="W229" s="204" t="str">
        <f t="shared" si="1387"/>
        <v xml:space="preserve"> </v>
      </c>
      <c r="X229" s="95" t="s">
        <v>781</v>
      </c>
      <c r="Y229" s="204" t="str">
        <f t="shared" ref="Y229:AA229" si="1388">IFERROR(X229/$G229," ")</f>
        <v xml:space="preserve"> </v>
      </c>
      <c r="Z229" s="95" t="s">
        <v>781</v>
      </c>
      <c r="AA229" s="204" t="str">
        <f t="shared" si="1388"/>
        <v xml:space="preserve"> </v>
      </c>
      <c r="AB229" s="95" t="s">
        <v>781</v>
      </c>
      <c r="AC229" s="204" t="str">
        <f t="shared" ref="AC229:AE229" si="1389">IFERROR(AB229/$G229," ")</f>
        <v xml:space="preserve"> </v>
      </c>
      <c r="AD229" s="95" t="s">
        <v>781</v>
      </c>
      <c r="AE229" s="204" t="str">
        <f t="shared" si="1389"/>
        <v xml:space="preserve"> </v>
      </c>
      <c r="AF229" s="95" t="s">
        <v>781</v>
      </c>
      <c r="AG229" s="204" t="str">
        <f t="shared" ref="AG229:AI229" si="1390">IFERROR(AF229/$G229," ")</f>
        <v xml:space="preserve"> </v>
      </c>
      <c r="AH229" s="95" t="s">
        <v>781</v>
      </c>
      <c r="AI229" s="204" t="str">
        <f t="shared" si="1390"/>
        <v xml:space="preserve"> </v>
      </c>
      <c r="AJ229" s="95" t="s">
        <v>781</v>
      </c>
      <c r="AK229" s="204" t="str">
        <f t="shared" ref="AK229:AM229" si="1391">IFERROR(AJ229/$G229," ")</f>
        <v xml:space="preserve"> </v>
      </c>
      <c r="AL229" s="95" t="s">
        <v>781</v>
      </c>
      <c r="AM229" s="204" t="str">
        <f t="shared" si="1391"/>
        <v xml:space="preserve"> </v>
      </c>
      <c r="AN229" s="95"/>
      <c r="AO229" s="94" t="str">
        <f t="shared" si="1212"/>
        <v xml:space="preserve"> </v>
      </c>
      <c r="AP229" s="94" t="str">
        <f t="shared" si="1202"/>
        <v xml:space="preserve"> </v>
      </c>
      <c r="AQ229" s="94" t="str">
        <f t="shared" si="1203"/>
        <v xml:space="preserve"> </v>
      </c>
      <c r="AR229" s="94" t="str">
        <f t="shared" si="1213"/>
        <v xml:space="preserve"> </v>
      </c>
      <c r="AS229" s="94" t="str">
        <f t="shared" si="1214"/>
        <v xml:space="preserve"> </v>
      </c>
      <c r="AT229" s="94" t="str">
        <f t="shared" si="1215"/>
        <v xml:space="preserve"> </v>
      </c>
      <c r="AU229" s="94" t="str">
        <f t="shared" si="1216"/>
        <v xml:space="preserve"> </v>
      </c>
      <c r="AV229" s="94" t="str">
        <f t="shared" si="1217"/>
        <v xml:space="preserve"> </v>
      </c>
      <c r="AW229" s="94" t="str">
        <f t="shared" si="1218"/>
        <v xml:space="preserve"> </v>
      </c>
      <c r="AX229" s="94" t="str">
        <f t="shared" si="1219"/>
        <v xml:space="preserve"> </v>
      </c>
      <c r="AY229" s="94" t="str">
        <f t="shared" si="1220"/>
        <v xml:space="preserve"> </v>
      </c>
      <c r="AZ229" s="94" t="str">
        <f t="shared" si="1221"/>
        <v xml:space="preserve"> </v>
      </c>
      <c r="BA229" s="94" t="str">
        <f t="shared" si="1222"/>
        <v xml:space="preserve"> </v>
      </c>
      <c r="BB229" s="94" t="str">
        <f t="shared" si="1223"/>
        <v xml:space="preserve"> </v>
      </c>
    </row>
    <row r="230" spans="1:54" x14ac:dyDescent="0.25">
      <c r="A230" s="80"/>
      <c r="B230" s="95" t="s">
        <v>2417</v>
      </c>
      <c r="C230" s="201" t="s">
        <v>204</v>
      </c>
      <c r="D230" s="80" t="s">
        <v>783</v>
      </c>
      <c r="E230" s="94" t="str">
        <f>IFERROR(VLOOKUP(A230,Estimate!A:Q,17,FALSE)," ")</f>
        <v xml:space="preserve"> </v>
      </c>
      <c r="F230" s="202" t="s">
        <v>781</v>
      </c>
      <c r="G230" s="202" t="s">
        <v>781</v>
      </c>
      <c r="H230" s="203" t="s">
        <v>781</v>
      </c>
      <c r="I230" s="203" t="s">
        <v>781</v>
      </c>
      <c r="J230" s="203" t="s">
        <v>781</v>
      </c>
      <c r="K230" s="203"/>
      <c r="L230" s="202" t="s">
        <v>781</v>
      </c>
      <c r="M230" s="204" t="str">
        <f t="shared" si="1205"/>
        <v xml:space="preserve"> </v>
      </c>
      <c r="N230" s="95" t="s">
        <v>781</v>
      </c>
      <c r="O230" s="204" t="str">
        <f t="shared" si="1205"/>
        <v xml:space="preserve"> </v>
      </c>
      <c r="P230" s="95" t="s">
        <v>781</v>
      </c>
      <c r="Q230" s="204" t="str">
        <f t="shared" ref="Q230:S230" si="1392">IFERROR(P230/$G230," ")</f>
        <v xml:space="preserve"> </v>
      </c>
      <c r="R230" s="95" t="s">
        <v>781</v>
      </c>
      <c r="S230" s="204" t="str">
        <f t="shared" si="1392"/>
        <v xml:space="preserve"> </v>
      </c>
      <c r="T230" s="95" t="s">
        <v>781</v>
      </c>
      <c r="U230" s="204" t="str">
        <f t="shared" ref="U230:W230" si="1393">IFERROR(T230/$G230," ")</f>
        <v xml:space="preserve"> </v>
      </c>
      <c r="V230" s="95" t="s">
        <v>781</v>
      </c>
      <c r="W230" s="204" t="str">
        <f t="shared" si="1393"/>
        <v xml:space="preserve"> </v>
      </c>
      <c r="X230" s="95" t="s">
        <v>781</v>
      </c>
      <c r="Y230" s="204" t="str">
        <f t="shared" ref="Y230:AA230" si="1394">IFERROR(X230/$G230," ")</f>
        <v xml:space="preserve"> </v>
      </c>
      <c r="Z230" s="95" t="s">
        <v>781</v>
      </c>
      <c r="AA230" s="204" t="str">
        <f t="shared" si="1394"/>
        <v xml:space="preserve"> </v>
      </c>
      <c r="AB230" s="95" t="s">
        <v>781</v>
      </c>
      <c r="AC230" s="204" t="str">
        <f t="shared" ref="AC230:AE230" si="1395">IFERROR(AB230/$G230," ")</f>
        <v xml:space="preserve"> </v>
      </c>
      <c r="AD230" s="95" t="s">
        <v>781</v>
      </c>
      <c r="AE230" s="204" t="str">
        <f t="shared" si="1395"/>
        <v xml:space="preserve"> </v>
      </c>
      <c r="AF230" s="95" t="s">
        <v>781</v>
      </c>
      <c r="AG230" s="204" t="str">
        <f t="shared" ref="AG230:AI230" si="1396">IFERROR(AF230/$G230," ")</f>
        <v xml:space="preserve"> </v>
      </c>
      <c r="AH230" s="95" t="s">
        <v>781</v>
      </c>
      <c r="AI230" s="204" t="str">
        <f t="shared" si="1396"/>
        <v xml:space="preserve"> </v>
      </c>
      <c r="AJ230" s="95" t="s">
        <v>781</v>
      </c>
      <c r="AK230" s="204" t="str">
        <f t="shared" ref="AK230:AM230" si="1397">IFERROR(AJ230/$G230," ")</f>
        <v xml:space="preserve"> </v>
      </c>
      <c r="AL230" s="95" t="s">
        <v>781</v>
      </c>
      <c r="AM230" s="204" t="str">
        <f t="shared" si="1397"/>
        <v xml:space="preserve"> </v>
      </c>
      <c r="AN230" s="95"/>
      <c r="AO230" s="94" t="str">
        <f t="shared" si="1212"/>
        <v xml:space="preserve"> </v>
      </c>
      <c r="AP230" s="94" t="str">
        <f t="shared" si="1202"/>
        <v xml:space="preserve"> </v>
      </c>
      <c r="AQ230" s="94" t="str">
        <f t="shared" si="1203"/>
        <v xml:space="preserve"> </v>
      </c>
      <c r="AR230" s="94" t="str">
        <f t="shared" si="1213"/>
        <v xml:space="preserve"> </v>
      </c>
      <c r="AS230" s="94" t="str">
        <f t="shared" si="1214"/>
        <v xml:space="preserve"> </v>
      </c>
      <c r="AT230" s="94" t="str">
        <f t="shared" si="1215"/>
        <v xml:space="preserve"> </v>
      </c>
      <c r="AU230" s="94" t="str">
        <f t="shared" si="1216"/>
        <v xml:space="preserve"> </v>
      </c>
      <c r="AV230" s="94" t="str">
        <f t="shared" si="1217"/>
        <v xml:space="preserve"> </v>
      </c>
      <c r="AW230" s="94" t="str">
        <f t="shared" si="1218"/>
        <v xml:space="preserve"> </v>
      </c>
      <c r="AX230" s="94" t="str">
        <f t="shared" si="1219"/>
        <v xml:space="preserve"> </v>
      </c>
      <c r="AY230" s="94" t="str">
        <f t="shared" si="1220"/>
        <v xml:space="preserve"> </v>
      </c>
      <c r="AZ230" s="94" t="str">
        <f t="shared" si="1221"/>
        <v xml:space="preserve"> </v>
      </c>
      <c r="BA230" s="94" t="str">
        <f t="shared" si="1222"/>
        <v xml:space="preserve"> </v>
      </c>
      <c r="BB230" s="94" t="str">
        <f t="shared" si="1223"/>
        <v xml:space="preserve"> </v>
      </c>
    </row>
    <row r="231" spans="1:54" x14ac:dyDescent="0.25">
      <c r="A231" s="80"/>
      <c r="B231" s="95" t="s">
        <v>2896</v>
      </c>
      <c r="C231" s="201" t="s">
        <v>391</v>
      </c>
      <c r="D231" s="80" t="s">
        <v>783</v>
      </c>
      <c r="E231" s="94" t="str">
        <f>IFERROR(VLOOKUP(A231,Estimate!A:Q,17,FALSE)," ")</f>
        <v xml:space="preserve"> </v>
      </c>
      <c r="F231" s="202" t="s">
        <v>781</v>
      </c>
      <c r="G231" s="202" t="s">
        <v>781</v>
      </c>
      <c r="H231" s="203" t="s">
        <v>781</v>
      </c>
      <c r="I231" s="203" t="s">
        <v>781</v>
      </c>
      <c r="J231" s="203" t="s">
        <v>781</v>
      </c>
      <c r="K231" s="203"/>
      <c r="L231" s="202" t="s">
        <v>781</v>
      </c>
      <c r="M231" s="204" t="str">
        <f t="shared" si="1205"/>
        <v xml:space="preserve"> </v>
      </c>
      <c r="N231" s="95" t="s">
        <v>781</v>
      </c>
      <c r="O231" s="204" t="str">
        <f t="shared" si="1205"/>
        <v xml:space="preserve"> </v>
      </c>
      <c r="P231" s="95" t="s">
        <v>781</v>
      </c>
      <c r="Q231" s="204" t="str">
        <f t="shared" ref="Q231:S231" si="1398">IFERROR(P231/$G231," ")</f>
        <v xml:space="preserve"> </v>
      </c>
      <c r="R231" s="95" t="s">
        <v>781</v>
      </c>
      <c r="S231" s="204" t="str">
        <f t="shared" si="1398"/>
        <v xml:space="preserve"> </v>
      </c>
      <c r="T231" s="95" t="s">
        <v>781</v>
      </c>
      <c r="U231" s="204" t="str">
        <f t="shared" ref="U231:W231" si="1399">IFERROR(T231/$G231," ")</f>
        <v xml:space="preserve"> </v>
      </c>
      <c r="V231" s="95" t="s">
        <v>781</v>
      </c>
      <c r="W231" s="204" t="str">
        <f t="shared" si="1399"/>
        <v xml:space="preserve"> </v>
      </c>
      <c r="X231" s="95" t="s">
        <v>781</v>
      </c>
      <c r="Y231" s="204" t="str">
        <f t="shared" ref="Y231:AA231" si="1400">IFERROR(X231/$G231," ")</f>
        <v xml:space="preserve"> </v>
      </c>
      <c r="Z231" s="95" t="s">
        <v>781</v>
      </c>
      <c r="AA231" s="204" t="str">
        <f t="shared" si="1400"/>
        <v xml:space="preserve"> </v>
      </c>
      <c r="AB231" s="95" t="s">
        <v>781</v>
      </c>
      <c r="AC231" s="204" t="str">
        <f t="shared" ref="AC231:AE231" si="1401">IFERROR(AB231/$G231," ")</f>
        <v xml:space="preserve"> </v>
      </c>
      <c r="AD231" s="95" t="s">
        <v>781</v>
      </c>
      <c r="AE231" s="204" t="str">
        <f t="shared" si="1401"/>
        <v xml:space="preserve"> </v>
      </c>
      <c r="AF231" s="95" t="s">
        <v>781</v>
      </c>
      <c r="AG231" s="204" t="str">
        <f t="shared" ref="AG231:AI231" si="1402">IFERROR(AF231/$G231," ")</f>
        <v xml:space="preserve"> </v>
      </c>
      <c r="AH231" s="95" t="s">
        <v>781</v>
      </c>
      <c r="AI231" s="204" t="str">
        <f t="shared" si="1402"/>
        <v xml:space="preserve"> </v>
      </c>
      <c r="AJ231" s="95" t="s">
        <v>781</v>
      </c>
      <c r="AK231" s="204" t="str">
        <f t="shared" ref="AK231:AM231" si="1403">IFERROR(AJ231/$G231," ")</f>
        <v xml:space="preserve"> </v>
      </c>
      <c r="AL231" s="95" t="s">
        <v>781</v>
      </c>
      <c r="AM231" s="204" t="str">
        <f t="shared" si="1403"/>
        <v xml:space="preserve"> </v>
      </c>
      <c r="AN231" s="95"/>
      <c r="AO231" s="94" t="str">
        <f t="shared" si="1212"/>
        <v xml:space="preserve"> </v>
      </c>
      <c r="AP231" s="94" t="str">
        <f t="shared" si="1202"/>
        <v xml:space="preserve"> </v>
      </c>
      <c r="AQ231" s="94" t="str">
        <f t="shared" si="1203"/>
        <v xml:space="preserve"> </v>
      </c>
      <c r="AR231" s="94" t="str">
        <f t="shared" si="1213"/>
        <v xml:space="preserve"> </v>
      </c>
      <c r="AS231" s="94" t="str">
        <f t="shared" si="1214"/>
        <v xml:space="preserve"> </v>
      </c>
      <c r="AT231" s="94" t="str">
        <f t="shared" si="1215"/>
        <v xml:space="preserve"> </v>
      </c>
      <c r="AU231" s="94" t="str">
        <f t="shared" si="1216"/>
        <v xml:space="preserve"> </v>
      </c>
      <c r="AV231" s="94" t="str">
        <f t="shared" si="1217"/>
        <v xml:space="preserve"> </v>
      </c>
      <c r="AW231" s="94" t="str">
        <f t="shared" si="1218"/>
        <v xml:space="preserve"> </v>
      </c>
      <c r="AX231" s="94" t="str">
        <f t="shared" si="1219"/>
        <v xml:space="preserve"> </v>
      </c>
      <c r="AY231" s="94" t="str">
        <f t="shared" si="1220"/>
        <v xml:space="preserve"> </v>
      </c>
      <c r="AZ231" s="94" t="str">
        <f t="shared" si="1221"/>
        <v xml:space="preserve"> </v>
      </c>
      <c r="BA231" s="94" t="str">
        <f t="shared" si="1222"/>
        <v xml:space="preserve"> </v>
      </c>
      <c r="BB231" s="94" t="str">
        <f t="shared" si="1223"/>
        <v xml:space="preserve"> </v>
      </c>
    </row>
    <row r="232" spans="1:54" x14ac:dyDescent="0.25">
      <c r="A232" s="80">
        <v>104</v>
      </c>
      <c r="B232" s="95" t="s">
        <v>2876</v>
      </c>
      <c r="C232" s="201" t="s">
        <v>208</v>
      </c>
      <c r="D232" s="80" t="s">
        <v>89</v>
      </c>
      <c r="E232" s="94">
        <f>IFERROR(VLOOKUP(A232,Estimate!A:Q,17,FALSE)," ")</f>
        <v>20269.577789378938</v>
      </c>
      <c r="F232" s="202">
        <v>491</v>
      </c>
      <c r="G232" s="202">
        <v>491</v>
      </c>
      <c r="H232" s="203">
        <v>51.86</v>
      </c>
      <c r="I232" s="203">
        <v>25463.26</v>
      </c>
      <c r="J232" s="203">
        <v>25463.26</v>
      </c>
      <c r="K232" s="203"/>
      <c r="L232" s="202"/>
      <c r="M232" s="204">
        <f t="shared" si="1205"/>
        <v>0</v>
      </c>
      <c r="N232" s="95"/>
      <c r="O232" s="204">
        <f t="shared" si="1205"/>
        <v>0</v>
      </c>
      <c r="P232" s="95"/>
      <c r="Q232" s="204">
        <f t="shared" ref="Q232:S232" si="1404">IFERROR(P232/$G232," ")</f>
        <v>0</v>
      </c>
      <c r="R232" s="95"/>
      <c r="S232" s="204">
        <f t="shared" si="1404"/>
        <v>0</v>
      </c>
      <c r="T232" s="95">
        <v>450</v>
      </c>
      <c r="U232" s="204">
        <f t="shared" ref="U232:W232" si="1405">IFERROR(T232/$G232," ")</f>
        <v>0.91649694501018331</v>
      </c>
      <c r="V232" s="95">
        <v>450</v>
      </c>
      <c r="W232" s="204">
        <f t="shared" si="1405"/>
        <v>0.91649694501018331</v>
      </c>
      <c r="X232" s="95">
        <v>491</v>
      </c>
      <c r="Y232" s="204">
        <f t="shared" ref="Y232:AA232" si="1406">IFERROR(X232/$G232," ")</f>
        <v>1</v>
      </c>
      <c r="Z232" s="95">
        <v>491</v>
      </c>
      <c r="AA232" s="204">
        <f t="shared" si="1406"/>
        <v>1</v>
      </c>
      <c r="AB232" s="95">
        <v>491</v>
      </c>
      <c r="AC232" s="204">
        <f t="shared" ref="AC232:AE232" si="1407">IFERROR(AB232/$G232," ")</f>
        <v>1</v>
      </c>
      <c r="AD232" s="95">
        <v>491</v>
      </c>
      <c r="AE232" s="204">
        <f t="shared" si="1407"/>
        <v>1</v>
      </c>
      <c r="AF232" s="95">
        <v>491</v>
      </c>
      <c r="AG232" s="204">
        <f t="shared" ref="AG232:AI232" si="1408">IFERROR(AF232/$G232," ")</f>
        <v>1</v>
      </c>
      <c r="AH232" s="95">
        <v>491</v>
      </c>
      <c r="AI232" s="204">
        <f t="shared" si="1408"/>
        <v>1</v>
      </c>
      <c r="AJ232" s="95">
        <v>491</v>
      </c>
      <c r="AK232" s="204">
        <f t="shared" ref="AK232:AM232" si="1409">IFERROR(AJ232/$G232," ")</f>
        <v>1</v>
      </c>
      <c r="AL232" s="95">
        <v>491</v>
      </c>
      <c r="AM232" s="204">
        <f t="shared" si="1409"/>
        <v>1</v>
      </c>
      <c r="AN232" s="95"/>
      <c r="AO232" s="94">
        <f t="shared" si="1212"/>
        <v>0</v>
      </c>
      <c r="AP232" s="94">
        <f t="shared" si="1202"/>
        <v>0</v>
      </c>
      <c r="AQ232" s="94">
        <f t="shared" si="1203"/>
        <v>0</v>
      </c>
      <c r="AR232" s="94">
        <f t="shared" si="1213"/>
        <v>0</v>
      </c>
      <c r="AS232" s="94">
        <f t="shared" si="1214"/>
        <v>23337</v>
      </c>
      <c r="AT232" s="94">
        <f t="shared" si="1215"/>
        <v>23337</v>
      </c>
      <c r="AU232" s="94">
        <f t="shared" si="1216"/>
        <v>25463.26</v>
      </c>
      <c r="AV232" s="94">
        <f t="shared" si="1217"/>
        <v>25463.26</v>
      </c>
      <c r="AW232" s="94">
        <f t="shared" si="1218"/>
        <v>25463.26</v>
      </c>
      <c r="AX232" s="94">
        <f t="shared" si="1219"/>
        <v>25463.26</v>
      </c>
      <c r="AY232" s="94">
        <f t="shared" si="1220"/>
        <v>25463.26</v>
      </c>
      <c r="AZ232" s="94">
        <f t="shared" si="1221"/>
        <v>25463.26</v>
      </c>
      <c r="BA232" s="94">
        <f t="shared" si="1222"/>
        <v>25463.26</v>
      </c>
      <c r="BB232" s="94">
        <f t="shared" si="1223"/>
        <v>25463.26</v>
      </c>
    </row>
    <row r="233" spans="1:54" x14ac:dyDescent="0.25">
      <c r="A233" s="80">
        <v>105</v>
      </c>
      <c r="B233" s="95" t="s">
        <v>2877</v>
      </c>
      <c r="C233" s="201" t="s">
        <v>213</v>
      </c>
      <c r="D233" s="80" t="s">
        <v>29</v>
      </c>
      <c r="E233" s="94">
        <f>IFERROR(VLOOKUP(A233,Estimate!A:Q,17,FALSE)," ")</f>
        <v>2002</v>
      </c>
      <c r="F233" s="202">
        <v>14</v>
      </c>
      <c r="G233" s="202">
        <v>14</v>
      </c>
      <c r="H233" s="203">
        <v>179.64</v>
      </c>
      <c r="I233" s="203">
        <v>2514.96</v>
      </c>
      <c r="J233" s="203">
        <v>2514.96</v>
      </c>
      <c r="K233" s="203"/>
      <c r="L233" s="202"/>
      <c r="M233" s="204">
        <f t="shared" si="1205"/>
        <v>0</v>
      </c>
      <c r="N233" s="95"/>
      <c r="O233" s="204">
        <f t="shared" si="1205"/>
        <v>0</v>
      </c>
      <c r="P233" s="95"/>
      <c r="Q233" s="204">
        <f t="shared" ref="Q233:S233" si="1410">IFERROR(P233/$G233," ")</f>
        <v>0</v>
      </c>
      <c r="R233" s="95"/>
      <c r="S233" s="204">
        <f t="shared" si="1410"/>
        <v>0</v>
      </c>
      <c r="T233" s="95"/>
      <c r="U233" s="204">
        <f t="shared" ref="U233:W233" si="1411">IFERROR(T233/$G233," ")</f>
        <v>0</v>
      </c>
      <c r="V233" s="95">
        <v>12</v>
      </c>
      <c r="W233" s="204">
        <f t="shared" si="1411"/>
        <v>0.8571428571428571</v>
      </c>
      <c r="X233" s="95">
        <v>14</v>
      </c>
      <c r="Y233" s="204">
        <f t="shared" ref="Y233:AA233" si="1412">IFERROR(X233/$G233," ")</f>
        <v>1</v>
      </c>
      <c r="Z233" s="95">
        <v>14</v>
      </c>
      <c r="AA233" s="204">
        <f t="shared" si="1412"/>
        <v>1</v>
      </c>
      <c r="AB233" s="95">
        <v>14</v>
      </c>
      <c r="AC233" s="204">
        <f t="shared" ref="AC233:AE233" si="1413">IFERROR(AB233/$G233," ")</f>
        <v>1</v>
      </c>
      <c r="AD233" s="95">
        <v>14</v>
      </c>
      <c r="AE233" s="204">
        <f t="shared" si="1413"/>
        <v>1</v>
      </c>
      <c r="AF233" s="95">
        <v>14</v>
      </c>
      <c r="AG233" s="204">
        <f t="shared" ref="AG233:AI233" si="1414">IFERROR(AF233/$G233," ")</f>
        <v>1</v>
      </c>
      <c r="AH233" s="95">
        <v>14</v>
      </c>
      <c r="AI233" s="204">
        <f t="shared" si="1414"/>
        <v>1</v>
      </c>
      <c r="AJ233" s="95">
        <v>14</v>
      </c>
      <c r="AK233" s="204">
        <f t="shared" ref="AK233:AM233" si="1415">IFERROR(AJ233/$G233," ")</f>
        <v>1</v>
      </c>
      <c r="AL233" s="95">
        <v>14</v>
      </c>
      <c r="AM233" s="204">
        <f t="shared" si="1415"/>
        <v>1</v>
      </c>
      <c r="AN233" s="95"/>
      <c r="AO233" s="94">
        <f t="shared" si="1212"/>
        <v>0</v>
      </c>
      <c r="AP233" s="94">
        <f t="shared" si="1202"/>
        <v>0</v>
      </c>
      <c r="AQ233" s="94">
        <f t="shared" si="1203"/>
        <v>0</v>
      </c>
      <c r="AR233" s="94">
        <f t="shared" ref="AR233:AR263" si="1416">IFERROR(S233*$J233," ")</f>
        <v>0</v>
      </c>
      <c r="AS233" s="94">
        <f t="shared" si="1214"/>
        <v>0</v>
      </c>
      <c r="AT233" s="94">
        <f t="shared" si="1215"/>
        <v>2155.6799999999998</v>
      </c>
      <c r="AU233" s="94">
        <f t="shared" si="1216"/>
        <v>2514.96</v>
      </c>
      <c r="AV233" s="94">
        <f t="shared" si="1217"/>
        <v>2514.96</v>
      </c>
      <c r="AW233" s="94">
        <f t="shared" si="1218"/>
        <v>2514.96</v>
      </c>
      <c r="AX233" s="94">
        <f t="shared" si="1219"/>
        <v>2514.96</v>
      </c>
      <c r="AY233" s="94">
        <f t="shared" si="1220"/>
        <v>2514.96</v>
      </c>
      <c r="AZ233" s="94">
        <f t="shared" si="1221"/>
        <v>2514.96</v>
      </c>
      <c r="BA233" s="94">
        <f t="shared" si="1222"/>
        <v>2514.96</v>
      </c>
      <c r="BB233" s="94">
        <f t="shared" si="1223"/>
        <v>2514.96</v>
      </c>
    </row>
    <row r="234" spans="1:54" x14ac:dyDescent="0.25">
      <c r="A234" s="80"/>
      <c r="B234" s="95" t="s">
        <v>2417</v>
      </c>
      <c r="C234" s="201" t="s">
        <v>2837</v>
      </c>
      <c r="D234" s="80" t="s">
        <v>783</v>
      </c>
      <c r="E234" s="94" t="str">
        <f>IFERROR(VLOOKUP(A234,Estimate!A:Q,17,FALSE)," ")</f>
        <v xml:space="preserve"> </v>
      </c>
      <c r="F234" s="202" t="s">
        <v>781</v>
      </c>
      <c r="G234" s="202" t="s">
        <v>781</v>
      </c>
      <c r="H234" s="203" t="s">
        <v>781</v>
      </c>
      <c r="I234" s="203" t="s">
        <v>781</v>
      </c>
      <c r="J234" s="203" t="s">
        <v>781</v>
      </c>
      <c r="K234" s="203"/>
      <c r="L234" s="202" t="s">
        <v>781</v>
      </c>
      <c r="M234" s="204" t="str">
        <f t="shared" si="1205"/>
        <v xml:space="preserve"> </v>
      </c>
      <c r="N234" s="95" t="s">
        <v>781</v>
      </c>
      <c r="O234" s="204" t="str">
        <f t="shared" si="1205"/>
        <v xml:space="preserve"> </v>
      </c>
      <c r="P234" s="95" t="s">
        <v>781</v>
      </c>
      <c r="Q234" s="204" t="str">
        <f t="shared" ref="Q234:S234" si="1417">IFERROR(P234/$G234," ")</f>
        <v xml:space="preserve"> </v>
      </c>
      <c r="R234" s="95" t="s">
        <v>781</v>
      </c>
      <c r="S234" s="204" t="str">
        <f t="shared" si="1417"/>
        <v xml:space="preserve"> </v>
      </c>
      <c r="T234" s="95" t="s">
        <v>781</v>
      </c>
      <c r="U234" s="204" t="str">
        <f t="shared" ref="U234:W234" si="1418">IFERROR(T234/$G234," ")</f>
        <v xml:space="preserve"> </v>
      </c>
      <c r="V234" s="95" t="s">
        <v>781</v>
      </c>
      <c r="W234" s="204" t="str">
        <f t="shared" si="1418"/>
        <v xml:space="preserve"> </v>
      </c>
      <c r="X234" s="95" t="s">
        <v>781</v>
      </c>
      <c r="Y234" s="204" t="str">
        <f t="shared" ref="Y234:AA234" si="1419">IFERROR(X234/$G234," ")</f>
        <v xml:space="preserve"> </v>
      </c>
      <c r="Z234" s="95" t="s">
        <v>781</v>
      </c>
      <c r="AA234" s="204" t="str">
        <f t="shared" si="1419"/>
        <v xml:space="preserve"> </v>
      </c>
      <c r="AB234" s="95" t="s">
        <v>781</v>
      </c>
      <c r="AC234" s="204" t="str">
        <f t="shared" ref="AC234:AE234" si="1420">IFERROR(AB234/$G234," ")</f>
        <v xml:space="preserve"> </v>
      </c>
      <c r="AD234" s="95" t="s">
        <v>781</v>
      </c>
      <c r="AE234" s="204" t="str">
        <f t="shared" si="1420"/>
        <v xml:space="preserve"> </v>
      </c>
      <c r="AF234" s="95" t="s">
        <v>781</v>
      </c>
      <c r="AG234" s="204" t="str">
        <f t="shared" ref="AG234:AI234" si="1421">IFERROR(AF234/$G234," ")</f>
        <v xml:space="preserve"> </v>
      </c>
      <c r="AH234" s="95" t="s">
        <v>781</v>
      </c>
      <c r="AI234" s="204" t="str">
        <f t="shared" si="1421"/>
        <v xml:space="preserve"> </v>
      </c>
      <c r="AJ234" s="95" t="s">
        <v>781</v>
      </c>
      <c r="AK234" s="204" t="str">
        <f t="shared" ref="AK234:AM234" si="1422">IFERROR(AJ234/$G234," ")</f>
        <v xml:space="preserve"> </v>
      </c>
      <c r="AL234" s="95" t="s">
        <v>781</v>
      </c>
      <c r="AM234" s="204" t="str">
        <f t="shared" si="1422"/>
        <v xml:space="preserve"> </v>
      </c>
      <c r="AN234" s="95"/>
      <c r="AO234" s="94" t="str">
        <f t="shared" si="1212"/>
        <v xml:space="preserve"> </v>
      </c>
      <c r="AP234" s="94" t="str">
        <f t="shared" si="1202"/>
        <v xml:space="preserve"> </v>
      </c>
      <c r="AQ234" s="94" t="str">
        <f t="shared" si="1203"/>
        <v xml:space="preserve"> </v>
      </c>
      <c r="AR234" s="94" t="str">
        <f t="shared" si="1416"/>
        <v xml:space="preserve"> </v>
      </c>
      <c r="AS234" s="94" t="str">
        <f t="shared" si="1214"/>
        <v xml:space="preserve"> </v>
      </c>
      <c r="AT234" s="94" t="str">
        <f t="shared" si="1215"/>
        <v xml:space="preserve"> </v>
      </c>
      <c r="AU234" s="94" t="str">
        <f t="shared" si="1216"/>
        <v xml:space="preserve"> </v>
      </c>
      <c r="AV234" s="94" t="str">
        <f t="shared" si="1217"/>
        <v xml:space="preserve"> </v>
      </c>
      <c r="AW234" s="94" t="str">
        <f t="shared" si="1218"/>
        <v xml:space="preserve"> </v>
      </c>
      <c r="AX234" s="94" t="str">
        <f t="shared" si="1219"/>
        <v xml:space="preserve"> </v>
      </c>
      <c r="AY234" s="94" t="str">
        <f t="shared" si="1220"/>
        <v xml:space="preserve"> </v>
      </c>
      <c r="AZ234" s="94" t="str">
        <f t="shared" si="1221"/>
        <v xml:space="preserve"> </v>
      </c>
      <c r="BA234" s="94" t="str">
        <f t="shared" si="1222"/>
        <v xml:space="preserve"> </v>
      </c>
      <c r="BB234" s="94" t="str">
        <f t="shared" si="1223"/>
        <v xml:space="preserve"> </v>
      </c>
    </row>
    <row r="235" spans="1:54" x14ac:dyDescent="0.25">
      <c r="A235" s="80"/>
      <c r="B235" s="95" t="s">
        <v>2417</v>
      </c>
      <c r="C235" s="201" t="s">
        <v>102</v>
      </c>
      <c r="D235" s="80" t="s">
        <v>783</v>
      </c>
      <c r="E235" s="94" t="str">
        <f>IFERROR(VLOOKUP(A235,Estimate!A:Q,17,FALSE)," ")</f>
        <v xml:space="preserve"> </v>
      </c>
      <c r="F235" s="202" t="s">
        <v>781</v>
      </c>
      <c r="G235" s="202" t="s">
        <v>781</v>
      </c>
      <c r="H235" s="203" t="s">
        <v>781</v>
      </c>
      <c r="I235" s="203" t="s">
        <v>781</v>
      </c>
      <c r="J235" s="203" t="s">
        <v>781</v>
      </c>
      <c r="K235" s="203"/>
      <c r="L235" s="202" t="s">
        <v>781</v>
      </c>
      <c r="M235" s="204" t="str">
        <f t="shared" si="1205"/>
        <v xml:space="preserve"> </v>
      </c>
      <c r="N235" s="95" t="s">
        <v>781</v>
      </c>
      <c r="O235" s="204" t="str">
        <f t="shared" si="1205"/>
        <v xml:space="preserve"> </v>
      </c>
      <c r="P235" s="95" t="s">
        <v>781</v>
      </c>
      <c r="Q235" s="204" t="str">
        <f t="shared" ref="Q235:S235" si="1423">IFERROR(P235/$G235," ")</f>
        <v xml:space="preserve"> </v>
      </c>
      <c r="R235" s="95" t="s">
        <v>781</v>
      </c>
      <c r="S235" s="204" t="str">
        <f t="shared" si="1423"/>
        <v xml:space="preserve"> </v>
      </c>
      <c r="T235" s="95" t="s">
        <v>781</v>
      </c>
      <c r="U235" s="204" t="str">
        <f t="shared" ref="U235:W235" si="1424">IFERROR(T235/$G235," ")</f>
        <v xml:space="preserve"> </v>
      </c>
      <c r="V235" s="95" t="s">
        <v>781</v>
      </c>
      <c r="W235" s="204" t="str">
        <f t="shared" si="1424"/>
        <v xml:space="preserve"> </v>
      </c>
      <c r="X235" s="95" t="s">
        <v>781</v>
      </c>
      <c r="Y235" s="204" t="str">
        <f t="shared" ref="Y235:AA235" si="1425">IFERROR(X235/$G235," ")</f>
        <v xml:space="preserve"> </v>
      </c>
      <c r="Z235" s="95" t="s">
        <v>781</v>
      </c>
      <c r="AA235" s="204" t="str">
        <f t="shared" si="1425"/>
        <v xml:space="preserve"> </v>
      </c>
      <c r="AB235" s="95" t="s">
        <v>781</v>
      </c>
      <c r="AC235" s="204" t="str">
        <f t="shared" ref="AC235:AE235" si="1426">IFERROR(AB235/$G235," ")</f>
        <v xml:space="preserve"> </v>
      </c>
      <c r="AD235" s="95" t="s">
        <v>781</v>
      </c>
      <c r="AE235" s="204" t="str">
        <f t="shared" si="1426"/>
        <v xml:space="preserve"> </v>
      </c>
      <c r="AF235" s="95" t="s">
        <v>781</v>
      </c>
      <c r="AG235" s="204" t="str">
        <f t="shared" ref="AG235:AI235" si="1427">IFERROR(AF235/$G235," ")</f>
        <v xml:space="preserve"> </v>
      </c>
      <c r="AH235" s="95" t="s">
        <v>781</v>
      </c>
      <c r="AI235" s="204" t="str">
        <f t="shared" si="1427"/>
        <v xml:space="preserve"> </v>
      </c>
      <c r="AJ235" s="95" t="s">
        <v>781</v>
      </c>
      <c r="AK235" s="204" t="str">
        <f t="shared" ref="AK235:AM235" si="1428">IFERROR(AJ235/$G235," ")</f>
        <v xml:space="preserve"> </v>
      </c>
      <c r="AL235" s="95" t="s">
        <v>781</v>
      </c>
      <c r="AM235" s="204" t="str">
        <f t="shared" si="1428"/>
        <v xml:space="preserve"> </v>
      </c>
      <c r="AN235" s="95"/>
      <c r="AO235" s="94" t="str">
        <f t="shared" si="1212"/>
        <v xml:space="preserve"> </v>
      </c>
      <c r="AP235" s="94" t="str">
        <f t="shared" si="1202"/>
        <v xml:space="preserve"> </v>
      </c>
      <c r="AQ235" s="94" t="str">
        <f t="shared" si="1203"/>
        <v xml:space="preserve"> </v>
      </c>
      <c r="AR235" s="94" t="str">
        <f t="shared" si="1416"/>
        <v xml:space="preserve"> </v>
      </c>
      <c r="AS235" s="94" t="str">
        <f t="shared" si="1214"/>
        <v xml:space="preserve"> </v>
      </c>
      <c r="AT235" s="94" t="str">
        <f t="shared" si="1215"/>
        <v xml:space="preserve"> </v>
      </c>
      <c r="AU235" s="94" t="str">
        <f t="shared" si="1216"/>
        <v xml:space="preserve"> </v>
      </c>
      <c r="AV235" s="94" t="str">
        <f t="shared" si="1217"/>
        <v xml:space="preserve"> </v>
      </c>
      <c r="AW235" s="94" t="str">
        <f t="shared" si="1218"/>
        <v xml:space="preserve"> </v>
      </c>
      <c r="AX235" s="94" t="str">
        <f t="shared" si="1219"/>
        <v xml:space="preserve"> </v>
      </c>
      <c r="AY235" s="94" t="str">
        <f t="shared" si="1220"/>
        <v xml:space="preserve"> </v>
      </c>
      <c r="AZ235" s="94" t="str">
        <f t="shared" si="1221"/>
        <v xml:space="preserve"> </v>
      </c>
      <c r="BA235" s="94" t="str">
        <f t="shared" si="1222"/>
        <v xml:space="preserve"> </v>
      </c>
      <c r="BB235" s="94" t="str">
        <f t="shared" si="1223"/>
        <v xml:space="preserve"> </v>
      </c>
    </row>
    <row r="236" spans="1:54" x14ac:dyDescent="0.25">
      <c r="A236" s="80"/>
      <c r="B236" s="95" t="s">
        <v>2856</v>
      </c>
      <c r="C236" s="201" t="s">
        <v>111</v>
      </c>
      <c r="D236" s="80" t="s">
        <v>783</v>
      </c>
      <c r="E236" s="94" t="str">
        <f>IFERROR(VLOOKUP(A236,Estimate!A:Q,17,FALSE)," ")</f>
        <v xml:space="preserve"> </v>
      </c>
      <c r="F236" s="202" t="s">
        <v>781</v>
      </c>
      <c r="G236" s="202" t="s">
        <v>781</v>
      </c>
      <c r="H236" s="203" t="s">
        <v>781</v>
      </c>
      <c r="I236" s="203" t="s">
        <v>781</v>
      </c>
      <c r="J236" s="203" t="s">
        <v>781</v>
      </c>
      <c r="K236" s="203"/>
      <c r="L236" s="202" t="s">
        <v>781</v>
      </c>
      <c r="M236" s="204" t="str">
        <f t="shared" si="1205"/>
        <v xml:space="preserve"> </v>
      </c>
      <c r="N236" s="95" t="s">
        <v>781</v>
      </c>
      <c r="O236" s="204" t="str">
        <f t="shared" si="1205"/>
        <v xml:space="preserve"> </v>
      </c>
      <c r="P236" s="95" t="s">
        <v>781</v>
      </c>
      <c r="Q236" s="204" t="str">
        <f t="shared" ref="Q236:S236" si="1429">IFERROR(P236/$G236," ")</f>
        <v xml:space="preserve"> </v>
      </c>
      <c r="R236" s="95" t="s">
        <v>781</v>
      </c>
      <c r="S236" s="204" t="str">
        <f t="shared" si="1429"/>
        <v xml:space="preserve"> </v>
      </c>
      <c r="T236" s="95" t="s">
        <v>781</v>
      </c>
      <c r="U236" s="204" t="str">
        <f t="shared" ref="U236:W236" si="1430">IFERROR(T236/$G236," ")</f>
        <v xml:space="preserve"> </v>
      </c>
      <c r="V236" s="95" t="s">
        <v>781</v>
      </c>
      <c r="W236" s="204" t="str">
        <f t="shared" si="1430"/>
        <v xml:space="preserve"> </v>
      </c>
      <c r="X236" s="95" t="s">
        <v>781</v>
      </c>
      <c r="Y236" s="204" t="str">
        <f t="shared" ref="Y236:AA236" si="1431">IFERROR(X236/$G236," ")</f>
        <v xml:space="preserve"> </v>
      </c>
      <c r="Z236" s="95" t="s">
        <v>781</v>
      </c>
      <c r="AA236" s="204" t="str">
        <f t="shared" si="1431"/>
        <v xml:space="preserve"> </v>
      </c>
      <c r="AB236" s="95" t="s">
        <v>781</v>
      </c>
      <c r="AC236" s="204" t="str">
        <f t="shared" ref="AC236:AE236" si="1432">IFERROR(AB236/$G236," ")</f>
        <v xml:space="preserve"> </v>
      </c>
      <c r="AD236" s="95" t="s">
        <v>781</v>
      </c>
      <c r="AE236" s="204" t="str">
        <f t="shared" si="1432"/>
        <v xml:space="preserve"> </v>
      </c>
      <c r="AF236" s="95" t="s">
        <v>781</v>
      </c>
      <c r="AG236" s="204" t="str">
        <f t="shared" ref="AG236:AI236" si="1433">IFERROR(AF236/$G236," ")</f>
        <v xml:space="preserve"> </v>
      </c>
      <c r="AH236" s="95" t="s">
        <v>781</v>
      </c>
      <c r="AI236" s="204" t="str">
        <f t="shared" si="1433"/>
        <v xml:space="preserve"> </v>
      </c>
      <c r="AJ236" s="95" t="s">
        <v>781</v>
      </c>
      <c r="AK236" s="204" t="str">
        <f t="shared" ref="AK236:AM236" si="1434">IFERROR(AJ236/$G236," ")</f>
        <v xml:space="preserve"> </v>
      </c>
      <c r="AL236" s="95" t="s">
        <v>781</v>
      </c>
      <c r="AM236" s="204" t="str">
        <f t="shared" si="1434"/>
        <v xml:space="preserve"> </v>
      </c>
      <c r="AN236" s="95"/>
      <c r="AO236" s="94" t="str">
        <f t="shared" si="1212"/>
        <v xml:space="preserve"> </v>
      </c>
      <c r="AP236" s="94" t="str">
        <f t="shared" si="1202"/>
        <v xml:space="preserve"> </v>
      </c>
      <c r="AQ236" s="94" t="str">
        <f t="shared" si="1203"/>
        <v xml:space="preserve"> </v>
      </c>
      <c r="AR236" s="94" t="str">
        <f t="shared" si="1416"/>
        <v xml:space="preserve"> </v>
      </c>
      <c r="AS236" s="94" t="str">
        <f t="shared" si="1214"/>
        <v xml:space="preserve"> </v>
      </c>
      <c r="AT236" s="94" t="str">
        <f t="shared" si="1215"/>
        <v xml:space="preserve"> </v>
      </c>
      <c r="AU236" s="94" t="str">
        <f t="shared" si="1216"/>
        <v xml:space="preserve"> </v>
      </c>
      <c r="AV236" s="94" t="str">
        <f t="shared" si="1217"/>
        <v xml:space="preserve"> </v>
      </c>
      <c r="AW236" s="94" t="str">
        <f t="shared" si="1218"/>
        <v xml:space="preserve"> </v>
      </c>
      <c r="AX236" s="94" t="str">
        <f t="shared" si="1219"/>
        <v xml:space="preserve"> </v>
      </c>
      <c r="AY236" s="94" t="str">
        <f t="shared" si="1220"/>
        <v xml:space="preserve"> </v>
      </c>
      <c r="AZ236" s="94" t="str">
        <f t="shared" si="1221"/>
        <v xml:space="preserve"> </v>
      </c>
      <c r="BA236" s="94" t="str">
        <f t="shared" si="1222"/>
        <v xml:space="preserve"> </v>
      </c>
      <c r="BB236" s="94" t="str">
        <f t="shared" si="1223"/>
        <v xml:space="preserve"> </v>
      </c>
    </row>
    <row r="237" spans="1:54" x14ac:dyDescent="0.25">
      <c r="A237" s="80">
        <v>106</v>
      </c>
      <c r="B237" s="95">
        <v>491</v>
      </c>
      <c r="C237" s="201" t="s">
        <v>118</v>
      </c>
      <c r="D237" s="80" t="s">
        <v>62</v>
      </c>
      <c r="E237" s="94">
        <f>IFERROR(VLOOKUP(A237,Estimate!A:Q,17,FALSE)," ")</f>
        <v>29500.612645048292</v>
      </c>
      <c r="F237" s="202">
        <v>521</v>
      </c>
      <c r="G237" s="202">
        <v>521</v>
      </c>
      <c r="H237" s="203">
        <v>71.13</v>
      </c>
      <c r="I237" s="203">
        <v>37058.730000000003</v>
      </c>
      <c r="J237" s="203">
        <v>37058.730000000003</v>
      </c>
      <c r="K237" s="203"/>
      <c r="L237" s="202"/>
      <c r="M237" s="204">
        <f t="shared" si="1205"/>
        <v>0</v>
      </c>
      <c r="N237" s="95"/>
      <c r="O237" s="204">
        <f t="shared" si="1205"/>
        <v>0</v>
      </c>
      <c r="P237" s="95"/>
      <c r="Q237" s="204">
        <f t="shared" ref="Q237:S237" si="1435">IFERROR(P237/$G237," ")</f>
        <v>0</v>
      </c>
      <c r="R237" s="95">
        <v>170</v>
      </c>
      <c r="S237" s="204">
        <f t="shared" si="1435"/>
        <v>0.32629558541266795</v>
      </c>
      <c r="T237" s="95">
        <v>224</v>
      </c>
      <c r="U237" s="204">
        <f t="shared" ref="U237:W237" si="1436">IFERROR(T237/$G237," ")</f>
        <v>0.42994241842610365</v>
      </c>
      <c r="V237" s="95">
        <v>312.60000000000002</v>
      </c>
      <c r="W237" s="204">
        <f t="shared" si="1436"/>
        <v>0.60000000000000009</v>
      </c>
      <c r="X237" s="95">
        <v>521</v>
      </c>
      <c r="Y237" s="204">
        <f t="shared" ref="Y237:AA237" si="1437">IFERROR(X237/$G237," ")</f>
        <v>1</v>
      </c>
      <c r="Z237" s="95">
        <v>521</v>
      </c>
      <c r="AA237" s="204">
        <f t="shared" si="1437"/>
        <v>1</v>
      </c>
      <c r="AB237" s="95">
        <v>521</v>
      </c>
      <c r="AC237" s="204">
        <f t="shared" ref="AC237:AE237" si="1438">IFERROR(AB237/$G237," ")</f>
        <v>1</v>
      </c>
      <c r="AD237" s="95">
        <v>521</v>
      </c>
      <c r="AE237" s="204">
        <f t="shared" si="1438"/>
        <v>1</v>
      </c>
      <c r="AF237" s="95">
        <v>521</v>
      </c>
      <c r="AG237" s="204">
        <f t="shared" ref="AG237:AI237" si="1439">IFERROR(AF237/$G237," ")</f>
        <v>1</v>
      </c>
      <c r="AH237" s="95">
        <v>521</v>
      </c>
      <c r="AI237" s="204">
        <f t="shared" si="1439"/>
        <v>1</v>
      </c>
      <c r="AJ237" s="95">
        <v>521</v>
      </c>
      <c r="AK237" s="204">
        <f t="shared" ref="AK237:AM237" si="1440">IFERROR(AJ237/$G237," ")</f>
        <v>1</v>
      </c>
      <c r="AL237" s="95">
        <v>521</v>
      </c>
      <c r="AM237" s="204">
        <f t="shared" si="1440"/>
        <v>1</v>
      </c>
      <c r="AN237" s="95"/>
      <c r="AO237" s="94">
        <f t="shared" si="1212"/>
        <v>0</v>
      </c>
      <c r="AP237" s="94">
        <f t="shared" si="1202"/>
        <v>0</v>
      </c>
      <c r="AQ237" s="94">
        <f t="shared" si="1203"/>
        <v>0</v>
      </c>
      <c r="AR237" s="94">
        <f t="shared" si="1416"/>
        <v>12092.100000000002</v>
      </c>
      <c r="AS237" s="94">
        <f t="shared" si="1214"/>
        <v>15933.12</v>
      </c>
      <c r="AT237" s="94">
        <f t="shared" si="1215"/>
        <v>22235.238000000005</v>
      </c>
      <c r="AU237" s="94">
        <f t="shared" si="1216"/>
        <v>37058.730000000003</v>
      </c>
      <c r="AV237" s="94">
        <f t="shared" si="1217"/>
        <v>37058.730000000003</v>
      </c>
      <c r="AW237" s="94">
        <f t="shared" si="1218"/>
        <v>37058.730000000003</v>
      </c>
      <c r="AX237" s="94">
        <f t="shared" si="1219"/>
        <v>37058.730000000003</v>
      </c>
      <c r="AY237" s="94">
        <f t="shared" si="1220"/>
        <v>37058.730000000003</v>
      </c>
      <c r="AZ237" s="94">
        <f t="shared" si="1221"/>
        <v>37058.730000000003</v>
      </c>
      <c r="BA237" s="94">
        <f t="shared" si="1222"/>
        <v>37058.730000000003</v>
      </c>
      <c r="BB237" s="94">
        <f t="shared" si="1223"/>
        <v>37058.730000000003</v>
      </c>
    </row>
    <row r="238" spans="1:54" x14ac:dyDescent="0.25">
      <c r="A238" s="80">
        <v>107</v>
      </c>
      <c r="B238" s="95">
        <v>490</v>
      </c>
      <c r="C238" s="201" t="s">
        <v>219</v>
      </c>
      <c r="D238" s="80" t="s">
        <v>62</v>
      </c>
      <c r="E238" s="94">
        <f>IFERROR(VLOOKUP(A238,Estimate!A:Q,17,FALSE)," ")</f>
        <v>27437.097487741048</v>
      </c>
      <c r="F238" s="202">
        <v>345</v>
      </c>
      <c r="G238" s="202">
        <v>345</v>
      </c>
      <c r="H238" s="203">
        <v>99.92</v>
      </c>
      <c r="I238" s="203">
        <v>34472.400000000001</v>
      </c>
      <c r="J238" s="203">
        <v>34472.400000000001</v>
      </c>
      <c r="K238" s="203"/>
      <c r="L238" s="202"/>
      <c r="M238" s="204">
        <f t="shared" si="1205"/>
        <v>0</v>
      </c>
      <c r="N238" s="95"/>
      <c r="O238" s="204">
        <f t="shared" si="1205"/>
        <v>0</v>
      </c>
      <c r="P238" s="95"/>
      <c r="Q238" s="204">
        <f t="shared" ref="Q238:S238" si="1441">IFERROR(P238/$G238," ")</f>
        <v>0</v>
      </c>
      <c r="R238" s="95"/>
      <c r="S238" s="204">
        <f t="shared" si="1441"/>
        <v>0</v>
      </c>
      <c r="T238" s="95">
        <v>48</v>
      </c>
      <c r="U238" s="204">
        <f t="shared" ref="U238:W238" si="1442">IFERROR(T238/$G238," ")</f>
        <v>0.1391304347826087</v>
      </c>
      <c r="V238" s="95">
        <v>295</v>
      </c>
      <c r="W238" s="204">
        <f t="shared" si="1442"/>
        <v>0.85507246376811596</v>
      </c>
      <c r="X238" s="95">
        <v>345</v>
      </c>
      <c r="Y238" s="204">
        <f t="shared" ref="Y238:AA238" si="1443">IFERROR(X238/$G238," ")</f>
        <v>1</v>
      </c>
      <c r="Z238" s="95">
        <v>345</v>
      </c>
      <c r="AA238" s="204">
        <f t="shared" si="1443"/>
        <v>1</v>
      </c>
      <c r="AB238" s="95">
        <v>345</v>
      </c>
      <c r="AC238" s="204">
        <f t="shared" ref="AC238:AE238" si="1444">IFERROR(AB238/$G238," ")</f>
        <v>1</v>
      </c>
      <c r="AD238" s="95">
        <v>345</v>
      </c>
      <c r="AE238" s="204">
        <f t="shared" si="1444"/>
        <v>1</v>
      </c>
      <c r="AF238" s="95">
        <v>345</v>
      </c>
      <c r="AG238" s="204">
        <f t="shared" ref="AG238:AI238" si="1445">IFERROR(AF238/$G238," ")</f>
        <v>1</v>
      </c>
      <c r="AH238" s="95">
        <v>345</v>
      </c>
      <c r="AI238" s="204">
        <f t="shared" si="1445"/>
        <v>1</v>
      </c>
      <c r="AJ238" s="95">
        <v>345</v>
      </c>
      <c r="AK238" s="204">
        <f t="shared" ref="AK238:AM238" si="1446">IFERROR(AJ238/$G238," ")</f>
        <v>1</v>
      </c>
      <c r="AL238" s="95">
        <v>345</v>
      </c>
      <c r="AM238" s="204">
        <f t="shared" si="1446"/>
        <v>1</v>
      </c>
      <c r="AN238" s="95"/>
      <c r="AO238" s="94">
        <f t="shared" si="1212"/>
        <v>0</v>
      </c>
      <c r="AP238" s="94">
        <f t="shared" si="1202"/>
        <v>0</v>
      </c>
      <c r="AQ238" s="94">
        <f t="shared" si="1203"/>
        <v>0</v>
      </c>
      <c r="AR238" s="94">
        <f t="shared" si="1416"/>
        <v>0</v>
      </c>
      <c r="AS238" s="94">
        <f t="shared" si="1214"/>
        <v>4796.16</v>
      </c>
      <c r="AT238" s="94">
        <f t="shared" si="1215"/>
        <v>29476.400000000001</v>
      </c>
      <c r="AU238" s="94">
        <f t="shared" si="1216"/>
        <v>34472.400000000001</v>
      </c>
      <c r="AV238" s="94">
        <f t="shared" si="1217"/>
        <v>34472.400000000001</v>
      </c>
      <c r="AW238" s="94">
        <f t="shared" si="1218"/>
        <v>34472.400000000001</v>
      </c>
      <c r="AX238" s="94">
        <f t="shared" si="1219"/>
        <v>34472.400000000001</v>
      </c>
      <c r="AY238" s="94">
        <f t="shared" si="1220"/>
        <v>34472.400000000001</v>
      </c>
      <c r="AZ238" s="94">
        <f t="shared" si="1221"/>
        <v>34472.400000000001</v>
      </c>
      <c r="BA238" s="94">
        <f t="shared" si="1222"/>
        <v>34472.400000000001</v>
      </c>
      <c r="BB238" s="94">
        <f t="shared" si="1223"/>
        <v>34472.400000000001</v>
      </c>
    </row>
    <row r="239" spans="1:54" x14ac:dyDescent="0.25">
      <c r="A239" s="80">
        <v>108</v>
      </c>
      <c r="B239" s="95">
        <v>539</v>
      </c>
      <c r="C239" s="201" t="s">
        <v>223</v>
      </c>
      <c r="D239" s="80" t="s">
        <v>107</v>
      </c>
      <c r="E239" s="94">
        <f>IFERROR(VLOOKUP(A239,Estimate!A:Q,17,FALSE)," ")</f>
        <v>4423.4309649122815</v>
      </c>
      <c r="F239" s="202">
        <v>2797</v>
      </c>
      <c r="G239" s="202">
        <v>2797</v>
      </c>
      <c r="H239" s="203">
        <v>1.99</v>
      </c>
      <c r="I239" s="203">
        <v>5566.03</v>
      </c>
      <c r="J239" s="203">
        <v>5566.03</v>
      </c>
      <c r="K239" s="203"/>
      <c r="L239" s="202"/>
      <c r="M239" s="204">
        <f t="shared" si="1205"/>
        <v>0</v>
      </c>
      <c r="N239" s="95"/>
      <c r="O239" s="204">
        <f t="shared" si="1205"/>
        <v>0</v>
      </c>
      <c r="P239" s="95"/>
      <c r="Q239" s="204">
        <f t="shared" ref="Q239:S239" si="1447">IFERROR(P239/$G239," ")</f>
        <v>0</v>
      </c>
      <c r="R239" s="95">
        <v>880</v>
      </c>
      <c r="S239" s="204">
        <f t="shared" si="1447"/>
        <v>0.31462281015373617</v>
      </c>
      <c r="T239" s="95">
        <v>2377</v>
      </c>
      <c r="U239" s="204">
        <f t="shared" ref="U239:W239" si="1448">IFERROR(T239/$G239," ")</f>
        <v>0.84983911333571682</v>
      </c>
      <c r="V239" s="95">
        <v>2657</v>
      </c>
      <c r="W239" s="204">
        <f t="shared" si="1448"/>
        <v>0.94994637111190561</v>
      </c>
      <c r="X239" s="95">
        <v>2797</v>
      </c>
      <c r="Y239" s="204">
        <f t="shared" ref="Y239:AA239" si="1449">IFERROR(X239/$G239," ")</f>
        <v>1</v>
      </c>
      <c r="Z239" s="95">
        <v>2797</v>
      </c>
      <c r="AA239" s="204">
        <f t="shared" si="1449"/>
        <v>1</v>
      </c>
      <c r="AB239" s="95">
        <v>2797</v>
      </c>
      <c r="AC239" s="204">
        <f t="shared" ref="AC239:AE239" si="1450">IFERROR(AB239/$G239," ")</f>
        <v>1</v>
      </c>
      <c r="AD239" s="95">
        <v>2797</v>
      </c>
      <c r="AE239" s="204">
        <f t="shared" si="1450"/>
        <v>1</v>
      </c>
      <c r="AF239" s="95">
        <v>2797</v>
      </c>
      <c r="AG239" s="204">
        <f t="shared" ref="AG239:AI239" si="1451">IFERROR(AF239/$G239," ")</f>
        <v>1</v>
      </c>
      <c r="AH239" s="95">
        <v>2797</v>
      </c>
      <c r="AI239" s="204">
        <f t="shared" si="1451"/>
        <v>1</v>
      </c>
      <c r="AJ239" s="95">
        <v>2797</v>
      </c>
      <c r="AK239" s="204">
        <f t="shared" ref="AK239:AM239" si="1452">IFERROR(AJ239/$G239," ")</f>
        <v>1</v>
      </c>
      <c r="AL239" s="95">
        <v>2797</v>
      </c>
      <c r="AM239" s="204">
        <f t="shared" si="1452"/>
        <v>1</v>
      </c>
      <c r="AN239" s="95"/>
      <c r="AO239" s="94">
        <f t="shared" si="1212"/>
        <v>0</v>
      </c>
      <c r="AP239" s="94">
        <f t="shared" si="1202"/>
        <v>0</v>
      </c>
      <c r="AQ239" s="94">
        <f t="shared" si="1203"/>
        <v>0</v>
      </c>
      <c r="AR239" s="94">
        <f t="shared" si="1416"/>
        <v>1751.2</v>
      </c>
      <c r="AS239" s="94">
        <f t="shared" si="1214"/>
        <v>4730.2299999999996</v>
      </c>
      <c r="AT239" s="94">
        <f t="shared" si="1215"/>
        <v>5287.4299999999994</v>
      </c>
      <c r="AU239" s="94">
        <f t="shared" si="1216"/>
        <v>5566.03</v>
      </c>
      <c r="AV239" s="94">
        <f t="shared" si="1217"/>
        <v>5566.03</v>
      </c>
      <c r="AW239" s="94">
        <f t="shared" si="1218"/>
        <v>5566.03</v>
      </c>
      <c r="AX239" s="94">
        <f t="shared" si="1219"/>
        <v>5566.03</v>
      </c>
      <c r="AY239" s="94">
        <f t="shared" si="1220"/>
        <v>5566.03</v>
      </c>
      <c r="AZ239" s="94">
        <f t="shared" si="1221"/>
        <v>5566.03</v>
      </c>
      <c r="BA239" s="94">
        <f t="shared" si="1222"/>
        <v>5566.03</v>
      </c>
      <c r="BB239" s="94">
        <f t="shared" si="1223"/>
        <v>5566.03</v>
      </c>
    </row>
    <row r="240" spans="1:54" x14ac:dyDescent="0.25">
      <c r="A240" s="80"/>
      <c r="B240" s="95" t="s">
        <v>2857</v>
      </c>
      <c r="C240" s="201" t="s">
        <v>120</v>
      </c>
      <c r="D240" s="80" t="s">
        <v>783</v>
      </c>
      <c r="E240" s="94" t="str">
        <f>IFERROR(VLOOKUP(A240,Estimate!A:Q,17,FALSE)," ")</f>
        <v xml:space="preserve"> </v>
      </c>
      <c r="F240" s="202" t="s">
        <v>781</v>
      </c>
      <c r="G240" s="202" t="s">
        <v>781</v>
      </c>
      <c r="H240" s="203" t="s">
        <v>781</v>
      </c>
      <c r="I240" s="203" t="s">
        <v>781</v>
      </c>
      <c r="J240" s="203" t="s">
        <v>781</v>
      </c>
      <c r="K240" s="203"/>
      <c r="L240" s="202" t="s">
        <v>781</v>
      </c>
      <c r="M240" s="204" t="str">
        <f t="shared" si="1205"/>
        <v xml:space="preserve"> </v>
      </c>
      <c r="N240" s="95" t="s">
        <v>781</v>
      </c>
      <c r="O240" s="204" t="str">
        <f t="shared" si="1205"/>
        <v xml:space="preserve"> </v>
      </c>
      <c r="P240" s="95" t="s">
        <v>781</v>
      </c>
      <c r="Q240" s="204" t="str">
        <f t="shared" ref="Q240:S240" si="1453">IFERROR(P240/$G240," ")</f>
        <v xml:space="preserve"> </v>
      </c>
      <c r="R240" s="95" t="s">
        <v>781</v>
      </c>
      <c r="S240" s="204" t="str">
        <f t="shared" si="1453"/>
        <v xml:space="preserve"> </v>
      </c>
      <c r="T240" s="95" t="s">
        <v>781</v>
      </c>
      <c r="U240" s="204" t="str">
        <f t="shared" ref="U240:W240" si="1454">IFERROR(T240/$G240," ")</f>
        <v xml:space="preserve"> </v>
      </c>
      <c r="V240" s="95" t="s">
        <v>781</v>
      </c>
      <c r="W240" s="204" t="str">
        <f t="shared" si="1454"/>
        <v xml:space="preserve"> </v>
      </c>
      <c r="X240" s="95" t="s">
        <v>781</v>
      </c>
      <c r="Y240" s="204" t="str">
        <f t="shared" ref="Y240:AA240" si="1455">IFERROR(X240/$G240," ")</f>
        <v xml:space="preserve"> </v>
      </c>
      <c r="Z240" s="95" t="s">
        <v>781</v>
      </c>
      <c r="AA240" s="204" t="str">
        <f t="shared" si="1455"/>
        <v xml:space="preserve"> </v>
      </c>
      <c r="AB240" s="95" t="s">
        <v>781</v>
      </c>
      <c r="AC240" s="204" t="str">
        <f t="shared" ref="AC240:AE240" si="1456">IFERROR(AB240/$G240," ")</f>
        <v xml:space="preserve"> </v>
      </c>
      <c r="AD240" s="95" t="s">
        <v>781</v>
      </c>
      <c r="AE240" s="204" t="str">
        <f t="shared" si="1456"/>
        <v xml:space="preserve"> </v>
      </c>
      <c r="AF240" s="95" t="s">
        <v>781</v>
      </c>
      <c r="AG240" s="204" t="str">
        <f t="shared" ref="AG240:AI240" si="1457">IFERROR(AF240/$G240," ")</f>
        <v xml:space="preserve"> </v>
      </c>
      <c r="AH240" s="95" t="s">
        <v>781</v>
      </c>
      <c r="AI240" s="204" t="str">
        <f t="shared" si="1457"/>
        <v xml:space="preserve"> </v>
      </c>
      <c r="AJ240" s="95" t="s">
        <v>781</v>
      </c>
      <c r="AK240" s="204" t="str">
        <f t="shared" ref="AK240:AM240" si="1458">IFERROR(AJ240/$G240," ")</f>
        <v xml:space="preserve"> </v>
      </c>
      <c r="AL240" s="95" t="s">
        <v>781</v>
      </c>
      <c r="AM240" s="204" t="str">
        <f t="shared" si="1458"/>
        <v xml:space="preserve"> </v>
      </c>
      <c r="AN240" s="95"/>
      <c r="AO240" s="94" t="str">
        <f t="shared" si="1212"/>
        <v xml:space="preserve"> </v>
      </c>
      <c r="AP240" s="94" t="str">
        <f t="shared" si="1202"/>
        <v xml:space="preserve"> </v>
      </c>
      <c r="AQ240" s="94" t="str">
        <f t="shared" si="1203"/>
        <v xml:space="preserve"> </v>
      </c>
      <c r="AR240" s="94" t="str">
        <f t="shared" si="1416"/>
        <v xml:space="preserve"> </v>
      </c>
      <c r="AS240" s="94" t="str">
        <f t="shared" si="1214"/>
        <v xml:space="preserve"> </v>
      </c>
      <c r="AT240" s="94" t="str">
        <f t="shared" si="1215"/>
        <v xml:space="preserve"> </v>
      </c>
      <c r="AU240" s="94" t="str">
        <f t="shared" si="1216"/>
        <v xml:space="preserve"> </v>
      </c>
      <c r="AV240" s="94" t="str">
        <f t="shared" si="1217"/>
        <v xml:space="preserve"> </v>
      </c>
      <c r="AW240" s="94" t="str">
        <f t="shared" si="1218"/>
        <v xml:space="preserve"> </v>
      </c>
      <c r="AX240" s="94" t="str">
        <f t="shared" si="1219"/>
        <v xml:space="preserve"> </v>
      </c>
      <c r="AY240" s="94" t="str">
        <f t="shared" si="1220"/>
        <v xml:space="preserve"> </v>
      </c>
      <c r="AZ240" s="94" t="str">
        <f t="shared" si="1221"/>
        <v xml:space="preserve"> </v>
      </c>
      <c r="BA240" s="94" t="str">
        <f t="shared" si="1222"/>
        <v xml:space="preserve"> </v>
      </c>
      <c r="BB240" s="94" t="str">
        <f t="shared" si="1223"/>
        <v xml:space="preserve"> </v>
      </c>
    </row>
    <row r="241" spans="1:54" ht="45" x14ac:dyDescent="0.25">
      <c r="A241" s="80"/>
      <c r="B241" s="95" t="s">
        <v>2858</v>
      </c>
      <c r="C241" s="201" t="s">
        <v>122</v>
      </c>
      <c r="D241" s="80" t="s">
        <v>783</v>
      </c>
      <c r="E241" s="94" t="str">
        <f>IFERROR(VLOOKUP(A241,Estimate!A:Q,17,FALSE)," ")</f>
        <v xml:space="preserve"> </v>
      </c>
      <c r="F241" s="202" t="s">
        <v>781</v>
      </c>
      <c r="G241" s="202" t="s">
        <v>781</v>
      </c>
      <c r="H241" s="203" t="s">
        <v>781</v>
      </c>
      <c r="I241" s="203" t="s">
        <v>781</v>
      </c>
      <c r="J241" s="203" t="s">
        <v>781</v>
      </c>
      <c r="K241" s="203"/>
      <c r="L241" s="202" t="s">
        <v>781</v>
      </c>
      <c r="M241" s="204" t="str">
        <f t="shared" si="1205"/>
        <v xml:space="preserve"> </v>
      </c>
      <c r="N241" s="95" t="s">
        <v>781</v>
      </c>
      <c r="O241" s="204" t="str">
        <f t="shared" si="1205"/>
        <v xml:space="preserve"> </v>
      </c>
      <c r="P241" s="95" t="s">
        <v>781</v>
      </c>
      <c r="Q241" s="204" t="str">
        <f t="shared" ref="Q241:S241" si="1459">IFERROR(P241/$G241," ")</f>
        <v xml:space="preserve"> </v>
      </c>
      <c r="R241" s="95" t="s">
        <v>781</v>
      </c>
      <c r="S241" s="204" t="str">
        <f t="shared" si="1459"/>
        <v xml:space="preserve"> </v>
      </c>
      <c r="T241" s="95" t="s">
        <v>781</v>
      </c>
      <c r="U241" s="204" t="str">
        <f t="shared" ref="U241:W241" si="1460">IFERROR(T241/$G241," ")</f>
        <v xml:space="preserve"> </v>
      </c>
      <c r="V241" s="95" t="s">
        <v>781</v>
      </c>
      <c r="W241" s="204" t="str">
        <f t="shared" si="1460"/>
        <v xml:space="preserve"> </v>
      </c>
      <c r="X241" s="95" t="s">
        <v>781</v>
      </c>
      <c r="Y241" s="204" t="str">
        <f t="shared" ref="Y241:AA241" si="1461">IFERROR(X241/$G241," ")</f>
        <v xml:space="preserve"> </v>
      </c>
      <c r="Z241" s="95" t="s">
        <v>781</v>
      </c>
      <c r="AA241" s="204" t="str">
        <f t="shared" si="1461"/>
        <v xml:space="preserve"> </v>
      </c>
      <c r="AB241" s="95" t="s">
        <v>781</v>
      </c>
      <c r="AC241" s="204" t="str">
        <f t="shared" ref="AC241:AE241" si="1462">IFERROR(AB241/$G241," ")</f>
        <v xml:space="preserve"> </v>
      </c>
      <c r="AD241" s="95" t="s">
        <v>781</v>
      </c>
      <c r="AE241" s="204" t="str">
        <f t="shared" si="1462"/>
        <v xml:space="preserve"> </v>
      </c>
      <c r="AF241" s="95" t="s">
        <v>781</v>
      </c>
      <c r="AG241" s="204" t="str">
        <f t="shared" ref="AG241:AI241" si="1463">IFERROR(AF241/$G241," ")</f>
        <v xml:space="preserve"> </v>
      </c>
      <c r="AH241" s="95" t="s">
        <v>781</v>
      </c>
      <c r="AI241" s="204" t="str">
        <f t="shared" si="1463"/>
        <v xml:space="preserve"> </v>
      </c>
      <c r="AJ241" s="95" t="s">
        <v>781</v>
      </c>
      <c r="AK241" s="204" t="str">
        <f t="shared" ref="AK241:AM241" si="1464">IFERROR(AJ241/$G241," ")</f>
        <v xml:space="preserve"> </v>
      </c>
      <c r="AL241" s="95" t="s">
        <v>781</v>
      </c>
      <c r="AM241" s="204" t="str">
        <f t="shared" si="1464"/>
        <v xml:space="preserve"> </v>
      </c>
      <c r="AN241" s="95"/>
      <c r="AO241" s="94" t="str">
        <f t="shared" si="1212"/>
        <v xml:space="preserve"> </v>
      </c>
      <c r="AP241" s="94" t="str">
        <f t="shared" si="1202"/>
        <v xml:space="preserve"> </v>
      </c>
      <c r="AQ241" s="94" t="str">
        <f t="shared" si="1203"/>
        <v xml:space="preserve"> </v>
      </c>
      <c r="AR241" s="94" t="str">
        <f t="shared" si="1416"/>
        <v xml:space="preserve"> </v>
      </c>
      <c r="AS241" s="94" t="str">
        <f t="shared" si="1214"/>
        <v xml:space="preserve"> </v>
      </c>
      <c r="AT241" s="94" t="str">
        <f t="shared" si="1215"/>
        <v xml:space="preserve"> </v>
      </c>
      <c r="AU241" s="94" t="str">
        <f t="shared" si="1216"/>
        <v xml:space="preserve"> </v>
      </c>
      <c r="AV241" s="94" t="str">
        <f t="shared" si="1217"/>
        <v xml:space="preserve"> </v>
      </c>
      <c r="AW241" s="94" t="str">
        <f t="shared" si="1218"/>
        <v xml:space="preserve"> </v>
      </c>
      <c r="AX241" s="94" t="str">
        <f t="shared" si="1219"/>
        <v xml:space="preserve"> </v>
      </c>
      <c r="AY241" s="94" t="str">
        <f t="shared" si="1220"/>
        <v xml:space="preserve"> </v>
      </c>
      <c r="AZ241" s="94" t="str">
        <f t="shared" si="1221"/>
        <v xml:space="preserve"> </v>
      </c>
      <c r="BA241" s="94" t="str">
        <f t="shared" si="1222"/>
        <v xml:space="preserve"> </v>
      </c>
      <c r="BB241" s="94" t="str">
        <f t="shared" si="1223"/>
        <v xml:space="preserve"> </v>
      </c>
    </row>
    <row r="242" spans="1:54" x14ac:dyDescent="0.25">
      <c r="A242" s="80">
        <v>109</v>
      </c>
      <c r="B242" s="95" t="s">
        <v>2859</v>
      </c>
      <c r="C242" s="201" t="s">
        <v>124</v>
      </c>
      <c r="D242" s="80" t="s">
        <v>107</v>
      </c>
      <c r="E242" s="94">
        <f>IFERROR(VLOOKUP(A242,Estimate!A:Q,17,FALSE)," ")</f>
        <v>18617.067000000003</v>
      </c>
      <c r="F242" s="202">
        <v>2466</v>
      </c>
      <c r="G242" s="202">
        <v>2466</v>
      </c>
      <c r="H242" s="203">
        <v>7.74</v>
      </c>
      <c r="I242" s="203">
        <v>19086.84</v>
      </c>
      <c r="J242" s="203">
        <v>19086.84</v>
      </c>
      <c r="K242" s="203"/>
      <c r="L242" s="202"/>
      <c r="M242" s="204">
        <f t="shared" si="1205"/>
        <v>0</v>
      </c>
      <c r="N242" s="95"/>
      <c r="O242" s="204">
        <f t="shared" si="1205"/>
        <v>0</v>
      </c>
      <c r="P242" s="95"/>
      <c r="Q242" s="204">
        <f t="shared" ref="Q242:S242" si="1465">IFERROR(P242/$G242," ")</f>
        <v>0</v>
      </c>
      <c r="R242" s="95"/>
      <c r="S242" s="204">
        <f t="shared" si="1465"/>
        <v>0</v>
      </c>
      <c r="T242" s="95"/>
      <c r="U242" s="204">
        <f t="shared" ref="U242:W242" si="1466">IFERROR(T242/$G242," ")</f>
        <v>0</v>
      </c>
      <c r="V242" s="95">
        <v>2000</v>
      </c>
      <c r="W242" s="204">
        <f t="shared" si="1466"/>
        <v>0.81103000811030013</v>
      </c>
      <c r="X242" s="95">
        <v>2466</v>
      </c>
      <c r="Y242" s="204">
        <f t="shared" ref="Y242:AA242" si="1467">IFERROR(X242/$G242," ")</f>
        <v>1</v>
      </c>
      <c r="Z242" s="95">
        <v>2466</v>
      </c>
      <c r="AA242" s="204">
        <f t="shared" si="1467"/>
        <v>1</v>
      </c>
      <c r="AB242" s="95">
        <v>2466</v>
      </c>
      <c r="AC242" s="204">
        <f t="shared" ref="AC242:AE242" si="1468">IFERROR(AB242/$G242," ")</f>
        <v>1</v>
      </c>
      <c r="AD242" s="95">
        <v>2466</v>
      </c>
      <c r="AE242" s="204">
        <f t="shared" si="1468"/>
        <v>1</v>
      </c>
      <c r="AF242" s="95">
        <v>2466</v>
      </c>
      <c r="AG242" s="204">
        <f t="shared" ref="AG242:AI242" si="1469">IFERROR(AF242/$G242," ")</f>
        <v>1</v>
      </c>
      <c r="AH242" s="95">
        <v>2466</v>
      </c>
      <c r="AI242" s="204">
        <f t="shared" si="1469"/>
        <v>1</v>
      </c>
      <c r="AJ242" s="95">
        <v>2466</v>
      </c>
      <c r="AK242" s="204">
        <f t="shared" ref="AK242:AM242" si="1470">IFERROR(AJ242/$G242," ")</f>
        <v>1</v>
      </c>
      <c r="AL242" s="95">
        <v>2466</v>
      </c>
      <c r="AM242" s="204">
        <f t="shared" si="1470"/>
        <v>1</v>
      </c>
      <c r="AN242" s="95"/>
      <c r="AO242" s="94">
        <f t="shared" si="1212"/>
        <v>0</v>
      </c>
      <c r="AP242" s="94">
        <f t="shared" si="1202"/>
        <v>0</v>
      </c>
      <c r="AQ242" s="94">
        <f t="shared" si="1203"/>
        <v>0</v>
      </c>
      <c r="AR242" s="94">
        <f t="shared" si="1416"/>
        <v>0</v>
      </c>
      <c r="AS242" s="94">
        <f t="shared" si="1214"/>
        <v>0</v>
      </c>
      <c r="AT242" s="94">
        <f t="shared" si="1215"/>
        <v>15480.000000000002</v>
      </c>
      <c r="AU242" s="94">
        <f t="shared" si="1216"/>
        <v>19086.84</v>
      </c>
      <c r="AV242" s="94">
        <f t="shared" si="1217"/>
        <v>19086.84</v>
      </c>
      <c r="AW242" s="94">
        <f t="shared" si="1218"/>
        <v>19086.84</v>
      </c>
      <c r="AX242" s="94">
        <f t="shared" si="1219"/>
        <v>19086.84</v>
      </c>
      <c r="AY242" s="94">
        <f t="shared" si="1220"/>
        <v>19086.84</v>
      </c>
      <c r="AZ242" s="94">
        <f t="shared" si="1221"/>
        <v>19086.84</v>
      </c>
      <c r="BA242" s="94">
        <f t="shared" si="1222"/>
        <v>19086.84</v>
      </c>
      <c r="BB242" s="94">
        <f t="shared" si="1223"/>
        <v>19086.84</v>
      </c>
    </row>
    <row r="243" spans="1:54" x14ac:dyDescent="0.25">
      <c r="A243" s="80"/>
      <c r="B243" s="95" t="s">
        <v>2897</v>
      </c>
      <c r="C243" s="201" t="s">
        <v>403</v>
      </c>
      <c r="D243" s="80" t="s">
        <v>783</v>
      </c>
      <c r="E243" s="94" t="str">
        <f>IFERROR(VLOOKUP(A243,Estimate!A:Q,17,FALSE)," ")</f>
        <v xml:space="preserve"> </v>
      </c>
      <c r="F243" s="202" t="s">
        <v>781</v>
      </c>
      <c r="G243" s="202" t="s">
        <v>781</v>
      </c>
      <c r="H243" s="203" t="s">
        <v>781</v>
      </c>
      <c r="I243" s="203" t="s">
        <v>781</v>
      </c>
      <c r="J243" s="203" t="s">
        <v>781</v>
      </c>
      <c r="K243" s="203"/>
      <c r="L243" s="202" t="s">
        <v>781</v>
      </c>
      <c r="M243" s="204" t="str">
        <f t="shared" si="1205"/>
        <v xml:space="preserve"> </v>
      </c>
      <c r="N243" s="95" t="s">
        <v>781</v>
      </c>
      <c r="O243" s="204" t="str">
        <f t="shared" si="1205"/>
        <v xml:space="preserve"> </v>
      </c>
      <c r="P243" s="95" t="s">
        <v>781</v>
      </c>
      <c r="Q243" s="204" t="str">
        <f t="shared" ref="Q243:S243" si="1471">IFERROR(P243/$G243," ")</f>
        <v xml:space="preserve"> </v>
      </c>
      <c r="R243" s="95" t="s">
        <v>781</v>
      </c>
      <c r="S243" s="204" t="str">
        <f t="shared" si="1471"/>
        <v xml:space="preserve"> </v>
      </c>
      <c r="T243" s="95" t="s">
        <v>781</v>
      </c>
      <c r="U243" s="204" t="str">
        <f t="shared" ref="U243:W243" si="1472">IFERROR(T243/$G243," ")</f>
        <v xml:space="preserve"> </v>
      </c>
      <c r="V243" s="95" t="s">
        <v>781</v>
      </c>
      <c r="W243" s="204" t="str">
        <f t="shared" si="1472"/>
        <v xml:space="preserve"> </v>
      </c>
      <c r="X243" s="95" t="s">
        <v>781</v>
      </c>
      <c r="Y243" s="204" t="str">
        <f t="shared" ref="Y243:AA243" si="1473">IFERROR(X243/$G243," ")</f>
        <v xml:space="preserve"> </v>
      </c>
      <c r="Z243" s="95" t="s">
        <v>781</v>
      </c>
      <c r="AA243" s="204" t="str">
        <f t="shared" si="1473"/>
        <v xml:space="preserve"> </v>
      </c>
      <c r="AB243" s="95" t="s">
        <v>781</v>
      </c>
      <c r="AC243" s="204" t="str">
        <f t="shared" ref="AC243:AE243" si="1474">IFERROR(AB243/$G243," ")</f>
        <v xml:space="preserve"> </v>
      </c>
      <c r="AD243" s="95" t="s">
        <v>781</v>
      </c>
      <c r="AE243" s="204" t="str">
        <f t="shared" si="1474"/>
        <v xml:space="preserve"> </v>
      </c>
      <c r="AF243" s="95" t="s">
        <v>781</v>
      </c>
      <c r="AG243" s="204" t="str">
        <f t="shared" ref="AG243:AI243" si="1475">IFERROR(AF243/$G243," ")</f>
        <v xml:space="preserve"> </v>
      </c>
      <c r="AH243" s="95" t="s">
        <v>781</v>
      </c>
      <c r="AI243" s="204" t="str">
        <f t="shared" si="1475"/>
        <v xml:space="preserve"> </v>
      </c>
      <c r="AJ243" s="95" t="s">
        <v>781</v>
      </c>
      <c r="AK243" s="204" t="str">
        <f t="shared" ref="AK243:AM243" si="1476">IFERROR(AJ243/$G243," ")</f>
        <v xml:space="preserve"> </v>
      </c>
      <c r="AL243" s="95" t="s">
        <v>781</v>
      </c>
      <c r="AM243" s="204" t="str">
        <f t="shared" si="1476"/>
        <v xml:space="preserve"> </v>
      </c>
      <c r="AN243" s="95"/>
      <c r="AO243" s="94" t="str">
        <f t="shared" si="1212"/>
        <v xml:space="preserve"> </v>
      </c>
      <c r="AP243" s="94" t="str">
        <f t="shared" si="1202"/>
        <v xml:space="preserve"> </v>
      </c>
      <c r="AQ243" s="94" t="str">
        <f t="shared" si="1203"/>
        <v xml:space="preserve"> </v>
      </c>
      <c r="AR243" s="94" t="str">
        <f t="shared" si="1416"/>
        <v xml:space="preserve"> </v>
      </c>
      <c r="AS243" s="94" t="str">
        <f t="shared" si="1214"/>
        <v xml:space="preserve"> </v>
      </c>
      <c r="AT243" s="94" t="str">
        <f t="shared" si="1215"/>
        <v xml:space="preserve"> </v>
      </c>
      <c r="AU243" s="94" t="str">
        <f t="shared" si="1216"/>
        <v xml:space="preserve"> </v>
      </c>
      <c r="AV243" s="94" t="str">
        <f t="shared" si="1217"/>
        <v xml:space="preserve"> </v>
      </c>
      <c r="AW243" s="94" t="str">
        <f t="shared" si="1218"/>
        <v xml:space="preserve"> </v>
      </c>
      <c r="AX243" s="94" t="str">
        <f t="shared" si="1219"/>
        <v xml:space="preserve"> </v>
      </c>
      <c r="AY243" s="94" t="str">
        <f t="shared" si="1220"/>
        <v xml:space="preserve"> </v>
      </c>
      <c r="AZ243" s="94" t="str">
        <f t="shared" si="1221"/>
        <v xml:space="preserve"> </v>
      </c>
      <c r="BA243" s="94" t="str">
        <f t="shared" si="1222"/>
        <v xml:space="preserve"> </v>
      </c>
      <c r="BB243" s="94" t="str">
        <f t="shared" si="1223"/>
        <v xml:space="preserve"> </v>
      </c>
    </row>
    <row r="244" spans="1:54" x14ac:dyDescent="0.25">
      <c r="A244" s="80"/>
      <c r="B244" s="95" t="s">
        <v>2878</v>
      </c>
      <c r="C244" s="201" t="s">
        <v>226</v>
      </c>
      <c r="D244" s="80" t="s">
        <v>783</v>
      </c>
      <c r="E244" s="94" t="str">
        <f>IFERROR(VLOOKUP(A244,Estimate!A:Q,17,FALSE)," ")</f>
        <v xml:space="preserve"> </v>
      </c>
      <c r="F244" s="202" t="s">
        <v>781</v>
      </c>
      <c r="G244" s="202" t="s">
        <v>781</v>
      </c>
      <c r="H244" s="203" t="s">
        <v>781</v>
      </c>
      <c r="I244" s="203" t="s">
        <v>781</v>
      </c>
      <c r="J244" s="203" t="s">
        <v>781</v>
      </c>
      <c r="K244" s="203"/>
      <c r="L244" s="202" t="s">
        <v>781</v>
      </c>
      <c r="M244" s="204" t="str">
        <f t="shared" si="1205"/>
        <v xml:space="preserve"> </v>
      </c>
      <c r="N244" s="95" t="s">
        <v>781</v>
      </c>
      <c r="O244" s="204" t="str">
        <f t="shared" si="1205"/>
        <v xml:space="preserve"> </v>
      </c>
      <c r="P244" s="95" t="s">
        <v>781</v>
      </c>
      <c r="Q244" s="204" t="str">
        <f t="shared" ref="Q244:S244" si="1477">IFERROR(P244/$G244," ")</f>
        <v xml:space="preserve"> </v>
      </c>
      <c r="R244" s="95" t="s">
        <v>781</v>
      </c>
      <c r="S244" s="204" t="str">
        <f t="shared" si="1477"/>
        <v xml:space="preserve"> </v>
      </c>
      <c r="T244" s="95" t="s">
        <v>781</v>
      </c>
      <c r="U244" s="204" t="str">
        <f t="shared" ref="U244:W244" si="1478">IFERROR(T244/$G244," ")</f>
        <v xml:space="preserve"> </v>
      </c>
      <c r="V244" s="95" t="s">
        <v>781</v>
      </c>
      <c r="W244" s="204" t="str">
        <f t="shared" si="1478"/>
        <v xml:space="preserve"> </v>
      </c>
      <c r="X244" s="95" t="s">
        <v>781</v>
      </c>
      <c r="Y244" s="204" t="str">
        <f t="shared" ref="Y244:AA244" si="1479">IFERROR(X244/$G244," ")</f>
        <v xml:space="preserve"> </v>
      </c>
      <c r="Z244" s="95" t="s">
        <v>781</v>
      </c>
      <c r="AA244" s="204" t="str">
        <f t="shared" si="1479"/>
        <v xml:space="preserve"> </v>
      </c>
      <c r="AB244" s="95" t="s">
        <v>781</v>
      </c>
      <c r="AC244" s="204" t="str">
        <f t="shared" ref="AC244:AE244" si="1480">IFERROR(AB244/$G244," ")</f>
        <v xml:space="preserve"> </v>
      </c>
      <c r="AD244" s="95" t="s">
        <v>781</v>
      </c>
      <c r="AE244" s="204" t="str">
        <f t="shared" si="1480"/>
        <v xml:space="preserve"> </v>
      </c>
      <c r="AF244" s="95" t="s">
        <v>781</v>
      </c>
      <c r="AG244" s="204" t="str">
        <f t="shared" ref="AG244:AI244" si="1481">IFERROR(AF244/$G244," ")</f>
        <v xml:space="preserve"> </v>
      </c>
      <c r="AH244" s="95" t="s">
        <v>781</v>
      </c>
      <c r="AI244" s="204" t="str">
        <f t="shared" si="1481"/>
        <v xml:space="preserve"> </v>
      </c>
      <c r="AJ244" s="95" t="s">
        <v>781</v>
      </c>
      <c r="AK244" s="204" t="str">
        <f t="shared" ref="AK244:AM244" si="1482">IFERROR(AJ244/$G244," ")</f>
        <v xml:space="preserve"> </v>
      </c>
      <c r="AL244" s="95" t="s">
        <v>781</v>
      </c>
      <c r="AM244" s="204" t="str">
        <f t="shared" si="1482"/>
        <v xml:space="preserve"> </v>
      </c>
      <c r="AN244" s="95"/>
      <c r="AO244" s="94" t="str">
        <f t="shared" si="1212"/>
        <v xml:space="preserve"> </v>
      </c>
      <c r="AP244" s="94" t="str">
        <f t="shared" si="1202"/>
        <v xml:space="preserve"> </v>
      </c>
      <c r="AQ244" s="94" t="str">
        <f t="shared" si="1203"/>
        <v xml:space="preserve"> </v>
      </c>
      <c r="AR244" s="94" t="str">
        <f t="shared" si="1416"/>
        <v xml:space="preserve"> </v>
      </c>
      <c r="AS244" s="94" t="str">
        <f t="shared" si="1214"/>
        <v xml:space="preserve"> </v>
      </c>
      <c r="AT244" s="94" t="str">
        <f t="shared" si="1215"/>
        <v xml:space="preserve"> </v>
      </c>
      <c r="AU244" s="94" t="str">
        <f t="shared" si="1216"/>
        <v xml:space="preserve"> </v>
      </c>
      <c r="AV244" s="94" t="str">
        <f t="shared" si="1217"/>
        <v xml:space="preserve"> </v>
      </c>
      <c r="AW244" s="94" t="str">
        <f t="shared" si="1218"/>
        <v xml:space="preserve"> </v>
      </c>
      <c r="AX244" s="94" t="str">
        <f t="shared" si="1219"/>
        <v xml:space="preserve"> </v>
      </c>
      <c r="AY244" s="94" t="str">
        <f t="shared" si="1220"/>
        <v xml:space="preserve"> </v>
      </c>
      <c r="AZ244" s="94" t="str">
        <f t="shared" si="1221"/>
        <v xml:space="preserve"> </v>
      </c>
      <c r="BA244" s="94" t="str">
        <f t="shared" si="1222"/>
        <v xml:space="preserve"> </v>
      </c>
      <c r="BB244" s="94" t="str">
        <f t="shared" si="1223"/>
        <v xml:space="preserve"> </v>
      </c>
    </row>
    <row r="245" spans="1:54" x14ac:dyDescent="0.25">
      <c r="A245" s="80">
        <v>110</v>
      </c>
      <c r="B245" s="95" t="s">
        <v>2879</v>
      </c>
      <c r="C245" s="201" t="s">
        <v>228</v>
      </c>
      <c r="D245" s="80" t="s">
        <v>82</v>
      </c>
      <c r="E245" s="94">
        <f>IFERROR(VLOOKUP(A245,Estimate!A:Q,17,FALSE)," ")</f>
        <v>80186.400000000009</v>
      </c>
      <c r="F245" s="202">
        <v>296</v>
      </c>
      <c r="G245" s="202">
        <v>296</v>
      </c>
      <c r="H245" s="203">
        <v>277.67</v>
      </c>
      <c r="I245" s="203">
        <v>82190.320000000007</v>
      </c>
      <c r="J245" s="203">
        <v>82190.320000000007</v>
      </c>
      <c r="K245" s="203"/>
      <c r="L245" s="202"/>
      <c r="M245" s="204">
        <f t="shared" si="1205"/>
        <v>0</v>
      </c>
      <c r="N245" s="95"/>
      <c r="O245" s="204">
        <f t="shared" si="1205"/>
        <v>0</v>
      </c>
      <c r="P245" s="95"/>
      <c r="Q245" s="204">
        <f t="shared" ref="Q245:S245" si="1483">IFERROR(P245/$G245," ")</f>
        <v>0</v>
      </c>
      <c r="R245" s="95"/>
      <c r="S245" s="204">
        <f t="shared" si="1483"/>
        <v>0</v>
      </c>
      <c r="T245" s="95"/>
      <c r="U245" s="204">
        <f t="shared" ref="U245:W245" si="1484">IFERROR(T245/$G245," ")</f>
        <v>0</v>
      </c>
      <c r="V245" s="95"/>
      <c r="W245" s="204">
        <f t="shared" si="1484"/>
        <v>0</v>
      </c>
      <c r="X245" s="95"/>
      <c r="Y245" s="204">
        <f t="shared" ref="Y245:AA245" si="1485">IFERROR(X245/$G245," ")</f>
        <v>0</v>
      </c>
      <c r="Z245" s="95">
        <v>296</v>
      </c>
      <c r="AA245" s="204">
        <f t="shared" si="1485"/>
        <v>1</v>
      </c>
      <c r="AB245" s="95">
        <v>296</v>
      </c>
      <c r="AC245" s="204">
        <f t="shared" ref="AC245:AE245" si="1486">IFERROR(AB245/$G245," ")</f>
        <v>1</v>
      </c>
      <c r="AD245" s="95">
        <v>296</v>
      </c>
      <c r="AE245" s="204">
        <f t="shared" si="1486"/>
        <v>1</v>
      </c>
      <c r="AF245" s="95">
        <v>296</v>
      </c>
      <c r="AG245" s="204">
        <f t="shared" ref="AG245:AI245" si="1487">IFERROR(AF245/$G245," ")</f>
        <v>1</v>
      </c>
      <c r="AH245" s="95">
        <v>296</v>
      </c>
      <c r="AI245" s="204">
        <f t="shared" si="1487"/>
        <v>1</v>
      </c>
      <c r="AJ245" s="95">
        <v>296</v>
      </c>
      <c r="AK245" s="204">
        <f t="shared" ref="AK245:AM245" si="1488">IFERROR(AJ245/$G245," ")</f>
        <v>1</v>
      </c>
      <c r="AL245" s="95">
        <v>296</v>
      </c>
      <c r="AM245" s="204">
        <f t="shared" si="1488"/>
        <v>1</v>
      </c>
      <c r="AN245" s="95"/>
      <c r="AO245" s="94">
        <f t="shared" si="1212"/>
        <v>0</v>
      </c>
      <c r="AP245" s="94">
        <f t="shared" si="1202"/>
        <v>0</v>
      </c>
      <c r="AQ245" s="94">
        <f t="shared" si="1203"/>
        <v>0</v>
      </c>
      <c r="AR245" s="94">
        <f t="shared" si="1416"/>
        <v>0</v>
      </c>
      <c r="AS245" s="94">
        <f t="shared" si="1214"/>
        <v>0</v>
      </c>
      <c r="AT245" s="94">
        <f t="shared" si="1215"/>
        <v>0</v>
      </c>
      <c r="AU245" s="94">
        <f t="shared" si="1216"/>
        <v>0</v>
      </c>
      <c r="AV245" s="94">
        <f t="shared" si="1217"/>
        <v>82190.320000000007</v>
      </c>
      <c r="AW245" s="94">
        <f t="shared" si="1218"/>
        <v>82190.320000000007</v>
      </c>
      <c r="AX245" s="94">
        <f t="shared" si="1219"/>
        <v>82190.320000000007</v>
      </c>
      <c r="AY245" s="94">
        <f t="shared" si="1220"/>
        <v>82190.320000000007</v>
      </c>
      <c r="AZ245" s="94">
        <f t="shared" si="1221"/>
        <v>82190.320000000007</v>
      </c>
      <c r="BA245" s="94">
        <f t="shared" si="1222"/>
        <v>82190.320000000007</v>
      </c>
      <c r="BB245" s="94">
        <f t="shared" si="1223"/>
        <v>82190.320000000007</v>
      </c>
    </row>
    <row r="246" spans="1:54" x14ac:dyDescent="0.25">
      <c r="A246" s="80"/>
      <c r="B246" s="95" t="s">
        <v>2417</v>
      </c>
      <c r="C246" s="201" t="s">
        <v>2837</v>
      </c>
      <c r="D246" s="80" t="s">
        <v>783</v>
      </c>
      <c r="E246" s="94" t="str">
        <f>IFERROR(VLOOKUP(A246,Estimate!A:Q,17,FALSE)," ")</f>
        <v xml:space="preserve"> </v>
      </c>
      <c r="F246" s="202" t="s">
        <v>781</v>
      </c>
      <c r="G246" s="202" t="s">
        <v>781</v>
      </c>
      <c r="H246" s="203" t="s">
        <v>781</v>
      </c>
      <c r="I246" s="203" t="s">
        <v>781</v>
      </c>
      <c r="J246" s="203" t="s">
        <v>781</v>
      </c>
      <c r="K246" s="203"/>
      <c r="L246" s="202" t="s">
        <v>781</v>
      </c>
      <c r="M246" s="204" t="str">
        <f t="shared" si="1205"/>
        <v xml:space="preserve"> </v>
      </c>
      <c r="N246" s="95" t="s">
        <v>781</v>
      </c>
      <c r="O246" s="204" t="str">
        <f t="shared" si="1205"/>
        <v xml:space="preserve"> </v>
      </c>
      <c r="P246" s="95" t="s">
        <v>781</v>
      </c>
      <c r="Q246" s="204" t="str">
        <f t="shared" ref="Q246:S246" si="1489">IFERROR(P246/$G246," ")</f>
        <v xml:space="preserve"> </v>
      </c>
      <c r="R246" s="95" t="s">
        <v>781</v>
      </c>
      <c r="S246" s="204" t="str">
        <f t="shared" si="1489"/>
        <v xml:space="preserve"> </v>
      </c>
      <c r="T246" s="95" t="s">
        <v>781</v>
      </c>
      <c r="U246" s="204" t="str">
        <f t="shared" ref="U246:W246" si="1490">IFERROR(T246/$G246," ")</f>
        <v xml:space="preserve"> </v>
      </c>
      <c r="V246" s="95" t="s">
        <v>781</v>
      </c>
      <c r="W246" s="204" t="str">
        <f t="shared" si="1490"/>
        <v xml:space="preserve"> </v>
      </c>
      <c r="X246" s="95" t="s">
        <v>781</v>
      </c>
      <c r="Y246" s="204" t="str">
        <f t="shared" ref="Y246:AA246" si="1491">IFERROR(X246/$G246," ")</f>
        <v xml:space="preserve"> </v>
      </c>
      <c r="Z246" s="95" t="s">
        <v>781</v>
      </c>
      <c r="AA246" s="204" t="str">
        <f t="shared" si="1491"/>
        <v xml:space="preserve"> </v>
      </c>
      <c r="AB246" s="95" t="s">
        <v>781</v>
      </c>
      <c r="AC246" s="204" t="str">
        <f t="shared" ref="AC246:AE246" si="1492">IFERROR(AB246/$G246," ")</f>
        <v xml:space="preserve"> </v>
      </c>
      <c r="AD246" s="95" t="s">
        <v>781</v>
      </c>
      <c r="AE246" s="204" t="str">
        <f t="shared" si="1492"/>
        <v xml:space="preserve"> </v>
      </c>
      <c r="AF246" s="95" t="s">
        <v>781</v>
      </c>
      <c r="AG246" s="204" t="str">
        <f t="shared" ref="AG246:AI246" si="1493">IFERROR(AF246/$G246," ")</f>
        <v xml:space="preserve"> </v>
      </c>
      <c r="AH246" s="95" t="s">
        <v>781</v>
      </c>
      <c r="AI246" s="204" t="str">
        <f t="shared" si="1493"/>
        <v xml:space="preserve"> </v>
      </c>
      <c r="AJ246" s="95" t="s">
        <v>781</v>
      </c>
      <c r="AK246" s="204" t="str">
        <f t="shared" ref="AK246:AM246" si="1494">IFERROR(AJ246/$G246," ")</f>
        <v xml:space="preserve"> </v>
      </c>
      <c r="AL246" s="95" t="s">
        <v>781</v>
      </c>
      <c r="AM246" s="204" t="str">
        <f t="shared" si="1494"/>
        <v xml:space="preserve"> </v>
      </c>
      <c r="AN246" s="95"/>
      <c r="AO246" s="94" t="str">
        <f t="shared" si="1212"/>
        <v xml:space="preserve"> </v>
      </c>
      <c r="AP246" s="94" t="str">
        <f t="shared" si="1202"/>
        <v xml:space="preserve"> </v>
      </c>
      <c r="AQ246" s="94" t="str">
        <f t="shared" si="1203"/>
        <v xml:space="preserve"> </v>
      </c>
      <c r="AR246" s="94" t="str">
        <f t="shared" si="1416"/>
        <v xml:space="preserve"> </v>
      </c>
      <c r="AS246" s="94" t="str">
        <f t="shared" si="1214"/>
        <v xml:space="preserve"> </v>
      </c>
      <c r="AT246" s="94" t="str">
        <f t="shared" si="1215"/>
        <v xml:space="preserve"> </v>
      </c>
      <c r="AU246" s="94" t="str">
        <f t="shared" si="1216"/>
        <v xml:space="preserve"> </v>
      </c>
      <c r="AV246" s="94" t="str">
        <f t="shared" si="1217"/>
        <v xml:space="preserve"> </v>
      </c>
      <c r="AW246" s="94" t="str">
        <f t="shared" si="1218"/>
        <v xml:space="preserve"> </v>
      </c>
      <c r="AX246" s="94" t="str">
        <f t="shared" si="1219"/>
        <v xml:space="preserve"> </v>
      </c>
      <c r="AY246" s="94" t="str">
        <f t="shared" si="1220"/>
        <v xml:space="preserve"> </v>
      </c>
      <c r="AZ246" s="94" t="str">
        <f t="shared" si="1221"/>
        <v xml:space="preserve"> </v>
      </c>
      <c r="BA246" s="94" t="str">
        <f t="shared" si="1222"/>
        <v xml:space="preserve"> </v>
      </c>
      <c r="BB246" s="94" t="str">
        <f t="shared" si="1223"/>
        <v xml:space="preserve"> </v>
      </c>
    </row>
    <row r="247" spans="1:54" x14ac:dyDescent="0.25">
      <c r="A247" s="80"/>
      <c r="B247" s="95" t="s">
        <v>2417</v>
      </c>
      <c r="C247" s="201" t="s">
        <v>129</v>
      </c>
      <c r="D247" s="80" t="s">
        <v>783</v>
      </c>
      <c r="E247" s="94" t="str">
        <f>IFERROR(VLOOKUP(A247,Estimate!A:Q,17,FALSE)," ")</f>
        <v xml:space="preserve"> </v>
      </c>
      <c r="F247" s="202" t="s">
        <v>781</v>
      </c>
      <c r="G247" s="202" t="s">
        <v>781</v>
      </c>
      <c r="H247" s="203" t="s">
        <v>781</v>
      </c>
      <c r="I247" s="203" t="s">
        <v>781</v>
      </c>
      <c r="J247" s="203" t="s">
        <v>781</v>
      </c>
      <c r="K247" s="203"/>
      <c r="L247" s="202" t="s">
        <v>781</v>
      </c>
      <c r="M247" s="204" t="str">
        <f t="shared" si="1205"/>
        <v xml:space="preserve"> </v>
      </c>
      <c r="N247" s="95" t="s">
        <v>781</v>
      </c>
      <c r="O247" s="204" t="str">
        <f t="shared" si="1205"/>
        <v xml:space="preserve"> </v>
      </c>
      <c r="P247" s="95" t="s">
        <v>781</v>
      </c>
      <c r="Q247" s="204" t="str">
        <f t="shared" ref="Q247:S247" si="1495">IFERROR(P247/$G247," ")</f>
        <v xml:space="preserve"> </v>
      </c>
      <c r="R247" s="95" t="s">
        <v>781</v>
      </c>
      <c r="S247" s="204" t="str">
        <f t="shared" si="1495"/>
        <v xml:space="preserve"> </v>
      </c>
      <c r="T247" s="95" t="s">
        <v>781</v>
      </c>
      <c r="U247" s="204" t="str">
        <f t="shared" ref="U247:W247" si="1496">IFERROR(T247/$G247," ")</f>
        <v xml:space="preserve"> </v>
      </c>
      <c r="V247" s="95" t="s">
        <v>781</v>
      </c>
      <c r="W247" s="204" t="str">
        <f t="shared" si="1496"/>
        <v xml:space="preserve"> </v>
      </c>
      <c r="X247" s="95" t="s">
        <v>781</v>
      </c>
      <c r="Y247" s="204" t="str">
        <f t="shared" ref="Y247:AA247" si="1497">IFERROR(X247/$G247," ")</f>
        <v xml:space="preserve"> </v>
      </c>
      <c r="Z247" s="95" t="s">
        <v>781</v>
      </c>
      <c r="AA247" s="204" t="str">
        <f t="shared" si="1497"/>
        <v xml:space="preserve"> </v>
      </c>
      <c r="AB247" s="95" t="s">
        <v>781</v>
      </c>
      <c r="AC247" s="204" t="str">
        <f t="shared" ref="AC247:AE247" si="1498">IFERROR(AB247/$G247," ")</f>
        <v xml:space="preserve"> </v>
      </c>
      <c r="AD247" s="95" t="s">
        <v>781</v>
      </c>
      <c r="AE247" s="204" t="str">
        <f t="shared" si="1498"/>
        <v xml:space="preserve"> </v>
      </c>
      <c r="AF247" s="95" t="s">
        <v>781</v>
      </c>
      <c r="AG247" s="204" t="str">
        <f t="shared" ref="AG247:AI247" si="1499">IFERROR(AF247/$G247," ")</f>
        <v xml:space="preserve"> </v>
      </c>
      <c r="AH247" s="95" t="s">
        <v>781</v>
      </c>
      <c r="AI247" s="204" t="str">
        <f t="shared" si="1499"/>
        <v xml:space="preserve"> </v>
      </c>
      <c r="AJ247" s="95" t="s">
        <v>781</v>
      </c>
      <c r="AK247" s="204" t="str">
        <f t="shared" ref="AK247:AM247" si="1500">IFERROR(AJ247/$G247," ")</f>
        <v xml:space="preserve"> </v>
      </c>
      <c r="AL247" s="95" t="s">
        <v>781</v>
      </c>
      <c r="AM247" s="204" t="str">
        <f t="shared" si="1500"/>
        <v xml:space="preserve"> </v>
      </c>
      <c r="AN247" s="95"/>
      <c r="AO247" s="94" t="str">
        <f t="shared" si="1212"/>
        <v xml:space="preserve"> </v>
      </c>
      <c r="AP247" s="94" t="str">
        <f t="shared" si="1202"/>
        <v xml:space="preserve"> </v>
      </c>
      <c r="AQ247" s="94" t="str">
        <f t="shared" si="1203"/>
        <v xml:space="preserve"> </v>
      </c>
      <c r="AR247" s="94" t="str">
        <f t="shared" si="1416"/>
        <v xml:space="preserve"> </v>
      </c>
      <c r="AS247" s="94" t="str">
        <f t="shared" si="1214"/>
        <v xml:space="preserve"> </v>
      </c>
      <c r="AT247" s="94" t="str">
        <f t="shared" si="1215"/>
        <v xml:space="preserve"> </v>
      </c>
      <c r="AU247" s="94" t="str">
        <f t="shared" si="1216"/>
        <v xml:space="preserve"> </v>
      </c>
      <c r="AV247" s="94" t="str">
        <f t="shared" si="1217"/>
        <v xml:space="preserve"> </v>
      </c>
      <c r="AW247" s="94" t="str">
        <f t="shared" si="1218"/>
        <v xml:space="preserve"> </v>
      </c>
      <c r="AX247" s="94" t="str">
        <f t="shared" si="1219"/>
        <v xml:space="preserve"> </v>
      </c>
      <c r="AY247" s="94" t="str">
        <f t="shared" si="1220"/>
        <v xml:space="preserve"> </v>
      </c>
      <c r="AZ247" s="94" t="str">
        <f t="shared" si="1221"/>
        <v xml:space="preserve"> </v>
      </c>
      <c r="BA247" s="94" t="str">
        <f t="shared" si="1222"/>
        <v xml:space="preserve"> </v>
      </c>
      <c r="BB247" s="94" t="str">
        <f t="shared" si="1223"/>
        <v xml:space="preserve"> </v>
      </c>
    </row>
    <row r="248" spans="1:54" x14ac:dyDescent="0.25">
      <c r="A248" s="80"/>
      <c r="B248" s="95" t="s">
        <v>2889</v>
      </c>
      <c r="C248" s="201" t="s">
        <v>286</v>
      </c>
      <c r="D248" s="80" t="s">
        <v>783</v>
      </c>
      <c r="E248" s="94" t="str">
        <f>IFERROR(VLOOKUP(A248,Estimate!A:Q,17,FALSE)," ")</f>
        <v xml:space="preserve"> </v>
      </c>
      <c r="F248" s="202" t="s">
        <v>781</v>
      </c>
      <c r="G248" s="202" t="s">
        <v>781</v>
      </c>
      <c r="H248" s="203" t="s">
        <v>781</v>
      </c>
      <c r="I248" s="203" t="s">
        <v>781</v>
      </c>
      <c r="J248" s="203" t="s">
        <v>781</v>
      </c>
      <c r="K248" s="203"/>
      <c r="L248" s="202" t="s">
        <v>781</v>
      </c>
      <c r="M248" s="204" t="str">
        <f t="shared" si="1205"/>
        <v xml:space="preserve"> </v>
      </c>
      <c r="N248" s="95" t="s">
        <v>781</v>
      </c>
      <c r="O248" s="204" t="str">
        <f t="shared" si="1205"/>
        <v xml:space="preserve"> </v>
      </c>
      <c r="P248" s="95" t="s">
        <v>781</v>
      </c>
      <c r="Q248" s="204" t="str">
        <f t="shared" ref="Q248:S248" si="1501">IFERROR(P248/$G248," ")</f>
        <v xml:space="preserve"> </v>
      </c>
      <c r="R248" s="95" t="s">
        <v>781</v>
      </c>
      <c r="S248" s="204" t="str">
        <f t="shared" si="1501"/>
        <v xml:space="preserve"> </v>
      </c>
      <c r="T248" s="95" t="s">
        <v>781</v>
      </c>
      <c r="U248" s="204" t="str">
        <f t="shared" ref="U248:W248" si="1502">IFERROR(T248/$G248," ")</f>
        <v xml:space="preserve"> </v>
      </c>
      <c r="V248" s="95" t="s">
        <v>781</v>
      </c>
      <c r="W248" s="204" t="str">
        <f t="shared" si="1502"/>
        <v xml:space="preserve"> </v>
      </c>
      <c r="X248" s="95" t="s">
        <v>781</v>
      </c>
      <c r="Y248" s="204" t="str">
        <f t="shared" ref="Y248:AA248" si="1503">IFERROR(X248/$G248," ")</f>
        <v xml:space="preserve"> </v>
      </c>
      <c r="Z248" s="95" t="s">
        <v>781</v>
      </c>
      <c r="AA248" s="204" t="str">
        <f t="shared" si="1503"/>
        <v xml:space="preserve"> </v>
      </c>
      <c r="AB248" s="95" t="s">
        <v>781</v>
      </c>
      <c r="AC248" s="204" t="str">
        <f t="shared" ref="AC248:AE248" si="1504">IFERROR(AB248/$G248," ")</f>
        <v xml:space="preserve"> </v>
      </c>
      <c r="AD248" s="95" t="s">
        <v>781</v>
      </c>
      <c r="AE248" s="204" t="str">
        <f t="shared" si="1504"/>
        <v xml:space="preserve"> </v>
      </c>
      <c r="AF248" s="95" t="s">
        <v>781</v>
      </c>
      <c r="AG248" s="204" t="str">
        <f t="shared" ref="AG248:AI248" si="1505">IFERROR(AF248/$G248," ")</f>
        <v xml:space="preserve"> </v>
      </c>
      <c r="AH248" s="95" t="s">
        <v>781</v>
      </c>
      <c r="AI248" s="204" t="str">
        <f t="shared" si="1505"/>
        <v xml:space="preserve"> </v>
      </c>
      <c r="AJ248" s="95" t="s">
        <v>781</v>
      </c>
      <c r="AK248" s="204" t="str">
        <f t="shared" ref="AK248:AM248" si="1506">IFERROR(AJ248/$G248," ")</f>
        <v xml:space="preserve"> </v>
      </c>
      <c r="AL248" s="95" t="s">
        <v>781</v>
      </c>
      <c r="AM248" s="204" t="str">
        <f t="shared" si="1506"/>
        <v xml:space="preserve"> </v>
      </c>
      <c r="AN248" s="95"/>
      <c r="AO248" s="94" t="str">
        <f t="shared" si="1212"/>
        <v xml:space="preserve"> </v>
      </c>
      <c r="AP248" s="94" t="str">
        <f t="shared" si="1202"/>
        <v xml:space="preserve"> </v>
      </c>
      <c r="AQ248" s="94" t="str">
        <f t="shared" si="1203"/>
        <v xml:space="preserve"> </v>
      </c>
      <c r="AR248" s="94" t="str">
        <f t="shared" si="1416"/>
        <v xml:space="preserve"> </v>
      </c>
      <c r="AS248" s="94" t="str">
        <f t="shared" si="1214"/>
        <v xml:space="preserve"> </v>
      </c>
      <c r="AT248" s="94" t="str">
        <f t="shared" si="1215"/>
        <v xml:space="preserve"> </v>
      </c>
      <c r="AU248" s="94" t="str">
        <f t="shared" si="1216"/>
        <v xml:space="preserve"> </v>
      </c>
      <c r="AV248" s="94" t="str">
        <f t="shared" si="1217"/>
        <v xml:space="preserve"> </v>
      </c>
      <c r="AW248" s="94" t="str">
        <f t="shared" si="1218"/>
        <v xml:space="preserve"> </v>
      </c>
      <c r="AX248" s="94" t="str">
        <f t="shared" si="1219"/>
        <v xml:space="preserve"> </v>
      </c>
      <c r="AY248" s="94" t="str">
        <f t="shared" si="1220"/>
        <v xml:space="preserve"> </v>
      </c>
      <c r="AZ248" s="94" t="str">
        <f t="shared" si="1221"/>
        <v xml:space="preserve"> </v>
      </c>
      <c r="BA248" s="94" t="str">
        <f t="shared" si="1222"/>
        <v xml:space="preserve"> </v>
      </c>
      <c r="BB248" s="94" t="str">
        <f t="shared" si="1223"/>
        <v xml:space="preserve"> </v>
      </c>
    </row>
    <row r="249" spans="1:54" ht="30" x14ac:dyDescent="0.25">
      <c r="A249" s="80">
        <v>111</v>
      </c>
      <c r="B249" s="95" t="s">
        <v>2891</v>
      </c>
      <c r="C249" s="201" t="s">
        <v>291</v>
      </c>
      <c r="D249" s="80" t="s">
        <v>33</v>
      </c>
      <c r="E249" s="94">
        <f>IFERROR(VLOOKUP(A249,Estimate!A:Q,17,FALSE)," ")</f>
        <v>2000</v>
      </c>
      <c r="F249" s="202">
        <v>2</v>
      </c>
      <c r="G249" s="202">
        <v>2</v>
      </c>
      <c r="H249" s="203">
        <v>1256.23</v>
      </c>
      <c r="I249" s="203">
        <v>2512.46</v>
      </c>
      <c r="J249" s="203">
        <v>2512.46</v>
      </c>
      <c r="K249" s="203"/>
      <c r="L249" s="202"/>
      <c r="M249" s="204">
        <f t="shared" si="1205"/>
        <v>0</v>
      </c>
      <c r="N249" s="95"/>
      <c r="O249" s="204">
        <f t="shared" si="1205"/>
        <v>0</v>
      </c>
      <c r="P249" s="95"/>
      <c r="Q249" s="204">
        <f t="shared" ref="Q249:S249" si="1507">IFERROR(P249/$G249," ")</f>
        <v>0</v>
      </c>
      <c r="R249" s="95"/>
      <c r="S249" s="204">
        <f t="shared" si="1507"/>
        <v>0</v>
      </c>
      <c r="T249" s="95"/>
      <c r="U249" s="204">
        <f t="shared" ref="U249:W249" si="1508">IFERROR(T249/$G249," ")</f>
        <v>0</v>
      </c>
      <c r="V249" s="95"/>
      <c r="W249" s="204">
        <f t="shared" si="1508"/>
        <v>0</v>
      </c>
      <c r="X249" s="95"/>
      <c r="Y249" s="204">
        <f t="shared" ref="Y249:AA249" si="1509">IFERROR(X249/$G249," ")</f>
        <v>0</v>
      </c>
      <c r="Z249" s="95"/>
      <c r="AA249" s="204">
        <f t="shared" si="1509"/>
        <v>0</v>
      </c>
      <c r="AB249" s="95"/>
      <c r="AC249" s="204">
        <f t="shared" ref="AC249:AE249" si="1510">IFERROR(AB249/$G249," ")</f>
        <v>0</v>
      </c>
      <c r="AD249" s="95"/>
      <c r="AE249" s="204">
        <f t="shared" si="1510"/>
        <v>0</v>
      </c>
      <c r="AF249" s="95"/>
      <c r="AG249" s="204">
        <f t="shared" ref="AG249:AI249" si="1511">IFERROR(AF249/$G249," ")</f>
        <v>0</v>
      </c>
      <c r="AH249" s="95">
        <v>2</v>
      </c>
      <c r="AI249" s="204">
        <f t="shared" si="1511"/>
        <v>1</v>
      </c>
      <c r="AJ249" s="95">
        <v>2</v>
      </c>
      <c r="AK249" s="204">
        <f t="shared" ref="AK249:AM249" si="1512">IFERROR(AJ249/$G249," ")</f>
        <v>1</v>
      </c>
      <c r="AL249" s="95">
        <v>2</v>
      </c>
      <c r="AM249" s="204">
        <f t="shared" si="1512"/>
        <v>1</v>
      </c>
      <c r="AN249" s="95"/>
      <c r="AO249" s="94">
        <f t="shared" si="1212"/>
        <v>0</v>
      </c>
      <c r="AP249" s="94">
        <f t="shared" si="1202"/>
        <v>0</v>
      </c>
      <c r="AQ249" s="94">
        <f t="shared" si="1203"/>
        <v>0</v>
      </c>
      <c r="AR249" s="94">
        <f t="shared" si="1416"/>
        <v>0</v>
      </c>
      <c r="AS249" s="94">
        <f t="shared" si="1214"/>
        <v>0</v>
      </c>
      <c r="AT249" s="94">
        <f t="shared" si="1215"/>
        <v>0</v>
      </c>
      <c r="AU249" s="94">
        <f t="shared" si="1216"/>
        <v>0</v>
      </c>
      <c r="AV249" s="94">
        <f t="shared" si="1217"/>
        <v>0</v>
      </c>
      <c r="AW249" s="94">
        <f t="shared" si="1218"/>
        <v>0</v>
      </c>
      <c r="AX249" s="94">
        <f t="shared" si="1219"/>
        <v>0</v>
      </c>
      <c r="AY249" s="94">
        <f t="shared" si="1220"/>
        <v>0</v>
      </c>
      <c r="AZ249" s="94">
        <f t="shared" si="1221"/>
        <v>2512.46</v>
      </c>
      <c r="BA249" s="94">
        <f t="shared" si="1222"/>
        <v>2512.46</v>
      </c>
      <c r="BB249" s="94">
        <f t="shared" si="1223"/>
        <v>2512.46</v>
      </c>
    </row>
    <row r="250" spans="1:54" ht="30" x14ac:dyDescent="0.25">
      <c r="A250" s="80">
        <v>112</v>
      </c>
      <c r="B250" s="95" t="s">
        <v>2898</v>
      </c>
      <c r="C250" s="201" t="s">
        <v>410</v>
      </c>
      <c r="D250" s="80" t="s">
        <v>33</v>
      </c>
      <c r="E250" s="94">
        <f>IFERROR(VLOOKUP(A250,Estimate!A:Q,17,FALSE)," ")</f>
        <v>472</v>
      </c>
      <c r="F250" s="202">
        <v>2</v>
      </c>
      <c r="G250" s="202">
        <v>2</v>
      </c>
      <c r="H250" s="203">
        <v>296.47000000000003</v>
      </c>
      <c r="I250" s="203">
        <v>592.94000000000005</v>
      </c>
      <c r="J250" s="203">
        <v>592.94000000000005</v>
      </c>
      <c r="K250" s="203"/>
      <c r="L250" s="202"/>
      <c r="M250" s="204">
        <f t="shared" si="1205"/>
        <v>0</v>
      </c>
      <c r="N250" s="95"/>
      <c r="O250" s="204">
        <f t="shared" si="1205"/>
        <v>0</v>
      </c>
      <c r="P250" s="95"/>
      <c r="Q250" s="204">
        <f t="shared" ref="Q250:S250" si="1513">IFERROR(P250/$G250," ")</f>
        <v>0</v>
      </c>
      <c r="R250" s="95"/>
      <c r="S250" s="204">
        <f t="shared" si="1513"/>
        <v>0</v>
      </c>
      <c r="T250" s="95"/>
      <c r="U250" s="204">
        <f t="shared" ref="U250:W250" si="1514">IFERROR(T250/$G250," ")</f>
        <v>0</v>
      </c>
      <c r="V250" s="95"/>
      <c r="W250" s="204">
        <f t="shared" si="1514"/>
        <v>0</v>
      </c>
      <c r="X250" s="95">
        <v>1</v>
      </c>
      <c r="Y250" s="204">
        <f t="shared" ref="Y250:AA250" si="1515">IFERROR(X250/$G250," ")</f>
        <v>0.5</v>
      </c>
      <c r="Z250" s="95">
        <v>2</v>
      </c>
      <c r="AA250" s="204">
        <f t="shared" si="1515"/>
        <v>1</v>
      </c>
      <c r="AB250" s="95">
        <v>2</v>
      </c>
      <c r="AC250" s="204">
        <f t="shared" ref="AC250:AE250" si="1516">IFERROR(AB250/$G250," ")</f>
        <v>1</v>
      </c>
      <c r="AD250" s="95">
        <v>2</v>
      </c>
      <c r="AE250" s="204">
        <f t="shared" si="1516"/>
        <v>1</v>
      </c>
      <c r="AF250" s="95">
        <v>2</v>
      </c>
      <c r="AG250" s="204">
        <f t="shared" ref="AG250:AI250" si="1517">IFERROR(AF250/$G250," ")</f>
        <v>1</v>
      </c>
      <c r="AH250" s="95">
        <v>2</v>
      </c>
      <c r="AI250" s="204">
        <f t="shared" si="1517"/>
        <v>1</v>
      </c>
      <c r="AJ250" s="95">
        <v>2</v>
      </c>
      <c r="AK250" s="204">
        <f t="shared" ref="AK250:AM250" si="1518">IFERROR(AJ250/$G250," ")</f>
        <v>1</v>
      </c>
      <c r="AL250" s="95">
        <v>2</v>
      </c>
      <c r="AM250" s="204">
        <f t="shared" si="1518"/>
        <v>1</v>
      </c>
      <c r="AN250" s="95"/>
      <c r="AO250" s="94">
        <f t="shared" si="1212"/>
        <v>0</v>
      </c>
      <c r="AP250" s="94">
        <f t="shared" si="1202"/>
        <v>0</v>
      </c>
      <c r="AQ250" s="94">
        <f t="shared" si="1203"/>
        <v>0</v>
      </c>
      <c r="AR250" s="94">
        <f t="shared" si="1416"/>
        <v>0</v>
      </c>
      <c r="AS250" s="94">
        <f t="shared" si="1214"/>
        <v>0</v>
      </c>
      <c r="AT250" s="94">
        <f t="shared" si="1215"/>
        <v>0</v>
      </c>
      <c r="AU250" s="94">
        <f t="shared" si="1216"/>
        <v>296.47000000000003</v>
      </c>
      <c r="AV250" s="94">
        <f t="shared" si="1217"/>
        <v>592.94000000000005</v>
      </c>
      <c r="AW250" s="94">
        <f t="shared" si="1218"/>
        <v>592.94000000000005</v>
      </c>
      <c r="AX250" s="94">
        <f t="shared" si="1219"/>
        <v>592.94000000000005</v>
      </c>
      <c r="AY250" s="94">
        <f t="shared" si="1220"/>
        <v>592.94000000000005</v>
      </c>
      <c r="AZ250" s="94">
        <f t="shared" si="1221"/>
        <v>592.94000000000005</v>
      </c>
      <c r="BA250" s="94">
        <f t="shared" si="1222"/>
        <v>592.94000000000005</v>
      </c>
      <c r="BB250" s="94">
        <f t="shared" si="1223"/>
        <v>592.94000000000005</v>
      </c>
    </row>
    <row r="251" spans="1:54" x14ac:dyDescent="0.25">
      <c r="A251" s="80"/>
      <c r="B251" s="95" t="s">
        <v>2417</v>
      </c>
      <c r="C251" s="201" t="s">
        <v>2837</v>
      </c>
      <c r="D251" s="80" t="s">
        <v>783</v>
      </c>
      <c r="E251" s="94" t="str">
        <f>IFERROR(VLOOKUP(A251,Estimate!A:Q,17,FALSE)," ")</f>
        <v xml:space="preserve"> </v>
      </c>
      <c r="F251" s="202" t="s">
        <v>781</v>
      </c>
      <c r="G251" s="202" t="s">
        <v>781</v>
      </c>
      <c r="H251" s="203" t="s">
        <v>781</v>
      </c>
      <c r="I251" s="203" t="s">
        <v>781</v>
      </c>
      <c r="J251" s="203" t="s">
        <v>781</v>
      </c>
      <c r="K251" s="203"/>
      <c r="L251" s="202" t="s">
        <v>781</v>
      </c>
      <c r="M251" s="204" t="str">
        <f t="shared" si="1205"/>
        <v xml:space="preserve"> </v>
      </c>
      <c r="N251" s="95" t="s">
        <v>781</v>
      </c>
      <c r="O251" s="204" t="str">
        <f t="shared" si="1205"/>
        <v xml:space="preserve"> </v>
      </c>
      <c r="P251" s="95" t="s">
        <v>781</v>
      </c>
      <c r="Q251" s="204" t="str">
        <f t="shared" ref="Q251:S251" si="1519">IFERROR(P251/$G251," ")</f>
        <v xml:space="preserve"> </v>
      </c>
      <c r="R251" s="95" t="s">
        <v>781</v>
      </c>
      <c r="S251" s="204" t="str">
        <f t="shared" si="1519"/>
        <v xml:space="preserve"> </v>
      </c>
      <c r="T251" s="95" t="s">
        <v>781</v>
      </c>
      <c r="U251" s="204" t="str">
        <f t="shared" ref="U251:W251" si="1520">IFERROR(T251/$G251," ")</f>
        <v xml:space="preserve"> </v>
      </c>
      <c r="V251" s="95" t="s">
        <v>781</v>
      </c>
      <c r="W251" s="204" t="str">
        <f t="shared" si="1520"/>
        <v xml:space="preserve"> </v>
      </c>
      <c r="X251" s="95" t="s">
        <v>781</v>
      </c>
      <c r="Y251" s="204" t="str">
        <f t="shared" ref="Y251:AA251" si="1521">IFERROR(X251/$G251," ")</f>
        <v xml:space="preserve"> </v>
      </c>
      <c r="Z251" s="95" t="s">
        <v>781</v>
      </c>
      <c r="AA251" s="204" t="str">
        <f t="shared" si="1521"/>
        <v xml:space="preserve"> </v>
      </c>
      <c r="AB251" s="95" t="s">
        <v>781</v>
      </c>
      <c r="AC251" s="204" t="str">
        <f t="shared" ref="AC251:AE251" si="1522">IFERROR(AB251/$G251," ")</f>
        <v xml:space="preserve"> </v>
      </c>
      <c r="AD251" s="95" t="s">
        <v>781</v>
      </c>
      <c r="AE251" s="204" t="str">
        <f t="shared" si="1522"/>
        <v xml:space="preserve"> </v>
      </c>
      <c r="AF251" s="95" t="s">
        <v>781</v>
      </c>
      <c r="AG251" s="204" t="str">
        <f t="shared" ref="AG251:AI251" si="1523">IFERROR(AF251/$G251," ")</f>
        <v xml:space="preserve"> </v>
      </c>
      <c r="AH251" s="95" t="s">
        <v>781</v>
      </c>
      <c r="AI251" s="204" t="str">
        <f t="shared" si="1523"/>
        <v xml:space="preserve"> </v>
      </c>
      <c r="AJ251" s="95" t="s">
        <v>781</v>
      </c>
      <c r="AK251" s="204" t="str">
        <f t="shared" ref="AK251:AM251" si="1524">IFERROR(AJ251/$G251," ")</f>
        <v xml:space="preserve"> </v>
      </c>
      <c r="AL251" s="95" t="s">
        <v>781</v>
      </c>
      <c r="AM251" s="204" t="str">
        <f t="shared" si="1524"/>
        <v xml:space="preserve"> </v>
      </c>
      <c r="AN251" s="95"/>
      <c r="AO251" s="94" t="str">
        <f t="shared" si="1212"/>
        <v xml:space="preserve"> </v>
      </c>
      <c r="AP251" s="94" t="str">
        <f t="shared" si="1202"/>
        <v xml:space="preserve"> </v>
      </c>
      <c r="AQ251" s="94" t="str">
        <f t="shared" si="1203"/>
        <v xml:space="preserve"> </v>
      </c>
      <c r="AR251" s="94" t="str">
        <f t="shared" si="1416"/>
        <v xml:space="preserve"> </v>
      </c>
      <c r="AS251" s="94" t="str">
        <f t="shared" si="1214"/>
        <v xml:space="preserve"> </v>
      </c>
      <c r="AT251" s="94" t="str">
        <f t="shared" si="1215"/>
        <v xml:space="preserve"> </v>
      </c>
      <c r="AU251" s="94" t="str">
        <f t="shared" si="1216"/>
        <v xml:space="preserve"> </v>
      </c>
      <c r="AV251" s="94" t="str">
        <f t="shared" si="1217"/>
        <v xml:space="preserve"> </v>
      </c>
      <c r="AW251" s="94" t="str">
        <f t="shared" si="1218"/>
        <v xml:space="preserve"> </v>
      </c>
      <c r="AX251" s="94" t="str">
        <f t="shared" si="1219"/>
        <v xml:space="preserve"> </v>
      </c>
      <c r="AY251" s="94" t="str">
        <f t="shared" si="1220"/>
        <v xml:space="preserve"> </v>
      </c>
      <c r="AZ251" s="94" t="str">
        <f t="shared" si="1221"/>
        <v xml:space="preserve"> </v>
      </c>
      <c r="BA251" s="94" t="str">
        <f t="shared" si="1222"/>
        <v xml:space="preserve"> </v>
      </c>
      <c r="BB251" s="94" t="str">
        <f t="shared" si="1223"/>
        <v xml:space="preserve"> </v>
      </c>
    </row>
    <row r="252" spans="1:54" x14ac:dyDescent="0.25">
      <c r="A252" s="80"/>
      <c r="B252" s="95" t="s">
        <v>2417</v>
      </c>
      <c r="C252" s="201" t="s">
        <v>136</v>
      </c>
      <c r="D252" s="80" t="s">
        <v>783</v>
      </c>
      <c r="E252" s="94" t="str">
        <f>IFERROR(VLOOKUP(A252,Estimate!A:Q,17,FALSE)," ")</f>
        <v xml:space="preserve"> </v>
      </c>
      <c r="F252" s="202" t="s">
        <v>781</v>
      </c>
      <c r="G252" s="202" t="s">
        <v>781</v>
      </c>
      <c r="H252" s="203" t="s">
        <v>781</v>
      </c>
      <c r="I252" s="203" t="s">
        <v>781</v>
      </c>
      <c r="J252" s="203" t="s">
        <v>781</v>
      </c>
      <c r="K252" s="203"/>
      <c r="L252" s="202" t="s">
        <v>781</v>
      </c>
      <c r="M252" s="204" t="str">
        <f t="shared" si="1205"/>
        <v xml:space="preserve"> </v>
      </c>
      <c r="N252" s="95" t="s">
        <v>781</v>
      </c>
      <c r="O252" s="204" t="str">
        <f t="shared" si="1205"/>
        <v xml:space="preserve"> </v>
      </c>
      <c r="P252" s="95" t="s">
        <v>781</v>
      </c>
      <c r="Q252" s="204" t="str">
        <f t="shared" ref="Q252:S252" si="1525">IFERROR(P252/$G252," ")</f>
        <v xml:space="preserve"> </v>
      </c>
      <c r="R252" s="95" t="s">
        <v>781</v>
      </c>
      <c r="S252" s="204" t="str">
        <f t="shared" si="1525"/>
        <v xml:space="preserve"> </v>
      </c>
      <c r="T252" s="95" t="s">
        <v>781</v>
      </c>
      <c r="U252" s="204" t="str">
        <f t="shared" ref="U252:W252" si="1526">IFERROR(T252/$G252," ")</f>
        <v xml:space="preserve"> </v>
      </c>
      <c r="V252" s="95" t="s">
        <v>781</v>
      </c>
      <c r="W252" s="204" t="str">
        <f t="shared" si="1526"/>
        <v xml:space="preserve"> </v>
      </c>
      <c r="X252" s="95" t="s">
        <v>781</v>
      </c>
      <c r="Y252" s="204" t="str">
        <f t="shared" ref="Y252:AA252" si="1527">IFERROR(X252/$G252," ")</f>
        <v xml:space="preserve"> </v>
      </c>
      <c r="Z252" s="95" t="s">
        <v>781</v>
      </c>
      <c r="AA252" s="204" t="str">
        <f t="shared" si="1527"/>
        <v xml:space="preserve"> </v>
      </c>
      <c r="AB252" s="95" t="s">
        <v>781</v>
      </c>
      <c r="AC252" s="204" t="str">
        <f t="shared" ref="AC252:AE252" si="1528">IFERROR(AB252/$G252," ")</f>
        <v xml:space="preserve"> </v>
      </c>
      <c r="AD252" s="95" t="s">
        <v>781</v>
      </c>
      <c r="AE252" s="204" t="str">
        <f t="shared" si="1528"/>
        <v xml:space="preserve"> </v>
      </c>
      <c r="AF252" s="95" t="s">
        <v>781</v>
      </c>
      <c r="AG252" s="204" t="str">
        <f t="shared" ref="AG252:AI252" si="1529">IFERROR(AF252/$G252," ")</f>
        <v xml:space="preserve"> </v>
      </c>
      <c r="AH252" s="95" t="s">
        <v>781</v>
      </c>
      <c r="AI252" s="204" t="str">
        <f t="shared" si="1529"/>
        <v xml:space="preserve"> </v>
      </c>
      <c r="AJ252" s="95" t="s">
        <v>781</v>
      </c>
      <c r="AK252" s="204" t="str">
        <f t="shared" ref="AK252:AM252" si="1530">IFERROR(AJ252/$G252," ")</f>
        <v xml:space="preserve"> </v>
      </c>
      <c r="AL252" s="95" t="s">
        <v>781</v>
      </c>
      <c r="AM252" s="204" t="str">
        <f t="shared" si="1530"/>
        <v xml:space="preserve"> </v>
      </c>
      <c r="AN252" s="95"/>
      <c r="AO252" s="94" t="str">
        <f t="shared" si="1212"/>
        <v xml:space="preserve"> </v>
      </c>
      <c r="AP252" s="94" t="str">
        <f t="shared" si="1202"/>
        <v xml:space="preserve"> </v>
      </c>
      <c r="AQ252" s="94" t="str">
        <f t="shared" si="1203"/>
        <v xml:space="preserve"> </v>
      </c>
      <c r="AR252" s="94" t="str">
        <f t="shared" si="1416"/>
        <v xml:space="preserve"> </v>
      </c>
      <c r="AS252" s="94" t="str">
        <f t="shared" si="1214"/>
        <v xml:space="preserve"> </v>
      </c>
      <c r="AT252" s="94" t="str">
        <f t="shared" si="1215"/>
        <v xml:space="preserve"> </v>
      </c>
      <c r="AU252" s="94" t="str">
        <f t="shared" si="1216"/>
        <v xml:space="preserve"> </v>
      </c>
      <c r="AV252" s="94" t="str">
        <f t="shared" si="1217"/>
        <v xml:space="preserve"> </v>
      </c>
      <c r="AW252" s="94" t="str">
        <f t="shared" si="1218"/>
        <v xml:space="preserve"> </v>
      </c>
      <c r="AX252" s="94" t="str">
        <f t="shared" si="1219"/>
        <v xml:space="preserve"> </v>
      </c>
      <c r="AY252" s="94" t="str">
        <f t="shared" si="1220"/>
        <v xml:space="preserve"> </v>
      </c>
      <c r="AZ252" s="94" t="str">
        <f t="shared" si="1221"/>
        <v xml:space="preserve"> </v>
      </c>
      <c r="BA252" s="94" t="str">
        <f t="shared" si="1222"/>
        <v xml:space="preserve"> </v>
      </c>
      <c r="BB252" s="94" t="str">
        <f t="shared" si="1223"/>
        <v xml:space="preserve"> </v>
      </c>
    </row>
    <row r="253" spans="1:54" x14ac:dyDescent="0.25">
      <c r="A253" s="80"/>
      <c r="B253" s="95" t="s">
        <v>2880</v>
      </c>
      <c r="C253" s="201" t="s">
        <v>231</v>
      </c>
      <c r="D253" s="80" t="s">
        <v>783</v>
      </c>
      <c r="E253" s="94" t="str">
        <f>IFERROR(VLOOKUP(A253,Estimate!A:Q,17,FALSE)," ")</f>
        <v xml:space="preserve"> </v>
      </c>
      <c r="F253" s="202" t="s">
        <v>781</v>
      </c>
      <c r="G253" s="202" t="s">
        <v>781</v>
      </c>
      <c r="H253" s="203" t="s">
        <v>781</v>
      </c>
      <c r="I253" s="203" t="s">
        <v>781</v>
      </c>
      <c r="J253" s="203" t="s">
        <v>781</v>
      </c>
      <c r="K253" s="203"/>
      <c r="L253" s="202" t="s">
        <v>781</v>
      </c>
      <c r="M253" s="204" t="str">
        <f t="shared" si="1205"/>
        <v xml:space="preserve"> </v>
      </c>
      <c r="N253" s="95" t="s">
        <v>781</v>
      </c>
      <c r="O253" s="204" t="str">
        <f t="shared" si="1205"/>
        <v xml:space="preserve"> </v>
      </c>
      <c r="P253" s="95" t="s">
        <v>781</v>
      </c>
      <c r="Q253" s="204" t="str">
        <f t="shared" ref="Q253:S253" si="1531">IFERROR(P253/$G253," ")</f>
        <v xml:space="preserve"> </v>
      </c>
      <c r="R253" s="95" t="s">
        <v>781</v>
      </c>
      <c r="S253" s="204" t="str">
        <f t="shared" si="1531"/>
        <v xml:space="preserve"> </v>
      </c>
      <c r="T253" s="95" t="s">
        <v>781</v>
      </c>
      <c r="U253" s="204" t="str">
        <f t="shared" ref="U253:W253" si="1532">IFERROR(T253/$G253," ")</f>
        <v xml:space="preserve"> </v>
      </c>
      <c r="V253" s="95" t="s">
        <v>781</v>
      </c>
      <c r="W253" s="204" t="str">
        <f t="shared" si="1532"/>
        <v xml:space="preserve"> </v>
      </c>
      <c r="X253" s="95" t="s">
        <v>781</v>
      </c>
      <c r="Y253" s="204" t="str">
        <f t="shared" ref="Y253:AA253" si="1533">IFERROR(X253/$G253," ")</f>
        <v xml:space="preserve"> </v>
      </c>
      <c r="Z253" s="95" t="s">
        <v>781</v>
      </c>
      <c r="AA253" s="204" t="str">
        <f t="shared" si="1533"/>
        <v xml:space="preserve"> </v>
      </c>
      <c r="AB253" s="95" t="s">
        <v>781</v>
      </c>
      <c r="AC253" s="204" t="str">
        <f t="shared" ref="AC253:AE253" si="1534">IFERROR(AB253/$G253," ")</f>
        <v xml:space="preserve"> </v>
      </c>
      <c r="AD253" s="95" t="s">
        <v>781</v>
      </c>
      <c r="AE253" s="204" t="str">
        <f t="shared" si="1534"/>
        <v xml:space="preserve"> </v>
      </c>
      <c r="AF253" s="95" t="s">
        <v>781</v>
      </c>
      <c r="AG253" s="204" t="str">
        <f t="shared" ref="AG253:AI253" si="1535">IFERROR(AF253/$G253," ")</f>
        <v xml:space="preserve"> </v>
      </c>
      <c r="AH253" s="95" t="s">
        <v>781</v>
      </c>
      <c r="AI253" s="204" t="str">
        <f t="shared" si="1535"/>
        <v xml:space="preserve"> </v>
      </c>
      <c r="AJ253" s="95" t="s">
        <v>781</v>
      </c>
      <c r="AK253" s="204" t="str">
        <f t="shared" ref="AK253:AM253" si="1536">IFERROR(AJ253/$G253," ")</f>
        <v xml:space="preserve"> </v>
      </c>
      <c r="AL253" s="95" t="s">
        <v>781</v>
      </c>
      <c r="AM253" s="204" t="str">
        <f t="shared" si="1536"/>
        <v xml:space="preserve"> </v>
      </c>
      <c r="AN253" s="95"/>
      <c r="AO253" s="94" t="str">
        <f t="shared" si="1212"/>
        <v xml:space="preserve"> </v>
      </c>
      <c r="AP253" s="94" t="str">
        <f t="shared" si="1202"/>
        <v xml:space="preserve"> </v>
      </c>
      <c r="AQ253" s="94" t="str">
        <f t="shared" si="1203"/>
        <v xml:space="preserve"> </v>
      </c>
      <c r="AR253" s="94" t="str">
        <f t="shared" si="1416"/>
        <v xml:space="preserve"> </v>
      </c>
      <c r="AS253" s="94" t="str">
        <f t="shared" si="1214"/>
        <v xml:space="preserve"> </v>
      </c>
      <c r="AT253" s="94" t="str">
        <f t="shared" si="1215"/>
        <v xml:space="preserve"> </v>
      </c>
      <c r="AU253" s="94" t="str">
        <f t="shared" si="1216"/>
        <v xml:space="preserve"> </v>
      </c>
      <c r="AV253" s="94" t="str">
        <f t="shared" si="1217"/>
        <v xml:space="preserve"> </v>
      </c>
      <c r="AW253" s="94" t="str">
        <f t="shared" si="1218"/>
        <v xml:space="preserve"> </v>
      </c>
      <c r="AX253" s="94" t="str">
        <f t="shared" si="1219"/>
        <v xml:space="preserve"> </v>
      </c>
      <c r="AY253" s="94" t="str">
        <f t="shared" si="1220"/>
        <v xml:space="preserve"> </v>
      </c>
      <c r="AZ253" s="94" t="str">
        <f t="shared" si="1221"/>
        <v xml:space="preserve"> </v>
      </c>
      <c r="BA253" s="94" t="str">
        <f t="shared" si="1222"/>
        <v xml:space="preserve"> </v>
      </c>
      <c r="BB253" s="94" t="str">
        <f t="shared" si="1223"/>
        <v xml:space="preserve"> </v>
      </c>
    </row>
    <row r="254" spans="1:54" ht="30" x14ac:dyDescent="0.25">
      <c r="A254" s="80"/>
      <c r="B254" s="95" t="s">
        <v>2899</v>
      </c>
      <c r="C254" s="201" t="s">
        <v>415</v>
      </c>
      <c r="D254" s="80" t="s">
        <v>783</v>
      </c>
      <c r="E254" s="94" t="str">
        <f>IFERROR(VLOOKUP(A254,Estimate!A:Q,17,FALSE)," ")</f>
        <v xml:space="preserve"> </v>
      </c>
      <c r="F254" s="202" t="s">
        <v>781</v>
      </c>
      <c r="G254" s="202" t="s">
        <v>781</v>
      </c>
      <c r="H254" s="203" t="s">
        <v>781</v>
      </c>
      <c r="I254" s="203" t="s">
        <v>781</v>
      </c>
      <c r="J254" s="203" t="s">
        <v>781</v>
      </c>
      <c r="K254" s="203"/>
      <c r="L254" s="202" t="s">
        <v>781</v>
      </c>
      <c r="M254" s="204" t="str">
        <f t="shared" si="1205"/>
        <v xml:space="preserve"> </v>
      </c>
      <c r="N254" s="95" t="s">
        <v>781</v>
      </c>
      <c r="O254" s="204" t="str">
        <f t="shared" si="1205"/>
        <v xml:space="preserve"> </v>
      </c>
      <c r="P254" s="95" t="s">
        <v>781</v>
      </c>
      <c r="Q254" s="204" t="str">
        <f t="shared" ref="Q254:S254" si="1537">IFERROR(P254/$G254," ")</f>
        <v xml:space="preserve"> </v>
      </c>
      <c r="R254" s="95" t="s">
        <v>781</v>
      </c>
      <c r="S254" s="204" t="str">
        <f t="shared" si="1537"/>
        <v xml:space="preserve"> </v>
      </c>
      <c r="T254" s="95" t="s">
        <v>781</v>
      </c>
      <c r="U254" s="204" t="str">
        <f t="shared" ref="U254:W254" si="1538">IFERROR(T254/$G254," ")</f>
        <v xml:space="preserve"> </v>
      </c>
      <c r="V254" s="95" t="s">
        <v>781</v>
      </c>
      <c r="W254" s="204" t="str">
        <f t="shared" si="1538"/>
        <v xml:space="preserve"> </v>
      </c>
      <c r="X254" s="95" t="s">
        <v>781</v>
      </c>
      <c r="Y254" s="204" t="str">
        <f t="shared" ref="Y254:AA254" si="1539">IFERROR(X254/$G254," ")</f>
        <v xml:space="preserve"> </v>
      </c>
      <c r="Z254" s="95" t="s">
        <v>781</v>
      </c>
      <c r="AA254" s="204" t="str">
        <f t="shared" si="1539"/>
        <v xml:space="preserve"> </v>
      </c>
      <c r="AB254" s="95" t="s">
        <v>781</v>
      </c>
      <c r="AC254" s="204" t="str">
        <f t="shared" ref="AC254:AE254" si="1540">IFERROR(AB254/$G254," ")</f>
        <v xml:space="preserve"> </v>
      </c>
      <c r="AD254" s="95" t="s">
        <v>781</v>
      </c>
      <c r="AE254" s="204" t="str">
        <f t="shared" si="1540"/>
        <v xml:space="preserve"> </v>
      </c>
      <c r="AF254" s="95" t="s">
        <v>781</v>
      </c>
      <c r="AG254" s="204" t="str">
        <f t="shared" ref="AG254:AI254" si="1541">IFERROR(AF254/$G254," ")</f>
        <v xml:space="preserve"> </v>
      </c>
      <c r="AH254" s="95" t="s">
        <v>781</v>
      </c>
      <c r="AI254" s="204" t="str">
        <f t="shared" si="1541"/>
        <v xml:space="preserve"> </v>
      </c>
      <c r="AJ254" s="95" t="s">
        <v>781</v>
      </c>
      <c r="AK254" s="204" t="str">
        <f t="shared" ref="AK254:AM254" si="1542">IFERROR(AJ254/$G254," ")</f>
        <v xml:space="preserve"> </v>
      </c>
      <c r="AL254" s="95" t="s">
        <v>781</v>
      </c>
      <c r="AM254" s="204" t="str">
        <f t="shared" si="1542"/>
        <v xml:space="preserve"> </v>
      </c>
      <c r="AN254" s="95"/>
      <c r="AO254" s="94" t="str">
        <f t="shared" si="1212"/>
        <v xml:space="preserve"> </v>
      </c>
      <c r="AP254" s="94" t="str">
        <f t="shared" si="1202"/>
        <v xml:space="preserve"> </v>
      </c>
      <c r="AQ254" s="94" t="str">
        <f t="shared" si="1203"/>
        <v xml:space="preserve"> </v>
      </c>
      <c r="AR254" s="94" t="str">
        <f t="shared" si="1416"/>
        <v xml:space="preserve"> </v>
      </c>
      <c r="AS254" s="94" t="str">
        <f t="shared" si="1214"/>
        <v xml:space="preserve"> </v>
      </c>
      <c r="AT254" s="94" t="str">
        <f t="shared" si="1215"/>
        <v xml:space="preserve"> </v>
      </c>
      <c r="AU254" s="94" t="str">
        <f t="shared" si="1216"/>
        <v xml:space="preserve"> </v>
      </c>
      <c r="AV254" s="94" t="str">
        <f t="shared" si="1217"/>
        <v xml:space="preserve"> </v>
      </c>
      <c r="AW254" s="94" t="str">
        <f t="shared" si="1218"/>
        <v xml:space="preserve"> </v>
      </c>
      <c r="AX254" s="94" t="str">
        <f t="shared" si="1219"/>
        <v xml:space="preserve"> </v>
      </c>
      <c r="AY254" s="94" t="str">
        <f t="shared" si="1220"/>
        <v xml:space="preserve"> </v>
      </c>
      <c r="AZ254" s="94" t="str">
        <f t="shared" si="1221"/>
        <v xml:space="preserve"> </v>
      </c>
      <c r="BA254" s="94" t="str">
        <f t="shared" si="1222"/>
        <v xml:space="preserve"> </v>
      </c>
      <c r="BB254" s="94" t="str">
        <f t="shared" si="1223"/>
        <v xml:space="preserve"> </v>
      </c>
    </row>
    <row r="255" spans="1:54" x14ac:dyDescent="0.25">
      <c r="A255" s="80">
        <v>113</v>
      </c>
      <c r="B255" s="95" t="s">
        <v>2892</v>
      </c>
      <c r="C255" s="201" t="s">
        <v>295</v>
      </c>
      <c r="D255" s="80" t="s">
        <v>29</v>
      </c>
      <c r="E255" s="94">
        <f>IFERROR(VLOOKUP(A255,Estimate!A:Q,17,FALSE)," ")</f>
        <v>3363.9733333333334</v>
      </c>
      <c r="F255" s="202">
        <v>7</v>
      </c>
      <c r="G255" s="202">
        <v>8</v>
      </c>
      <c r="H255" s="203">
        <v>603.70000000000005</v>
      </c>
      <c r="I255" s="203">
        <v>4225.8999999999996</v>
      </c>
      <c r="J255" s="203">
        <v>4829.6000000000004</v>
      </c>
      <c r="K255" s="203"/>
      <c r="L255" s="202"/>
      <c r="M255" s="204">
        <f t="shared" si="1205"/>
        <v>0</v>
      </c>
      <c r="N255" s="95"/>
      <c r="O255" s="204">
        <f t="shared" si="1205"/>
        <v>0</v>
      </c>
      <c r="P255" s="95"/>
      <c r="Q255" s="204">
        <f t="shared" ref="Q255:S255" si="1543">IFERROR(P255/$G255," ")</f>
        <v>0</v>
      </c>
      <c r="R255" s="95"/>
      <c r="S255" s="204">
        <f t="shared" si="1543"/>
        <v>0</v>
      </c>
      <c r="T255" s="95"/>
      <c r="U255" s="204">
        <f t="shared" ref="U255:W255" si="1544">IFERROR(T255/$G255," ")</f>
        <v>0</v>
      </c>
      <c r="V255" s="95">
        <v>7</v>
      </c>
      <c r="W255" s="204">
        <f t="shared" si="1544"/>
        <v>0.875</v>
      </c>
      <c r="X255" s="95">
        <v>7</v>
      </c>
      <c r="Y255" s="204">
        <f t="shared" ref="Y255:AA255" si="1545">IFERROR(X255/$G255," ")</f>
        <v>0.875</v>
      </c>
      <c r="Z255" s="95">
        <v>7</v>
      </c>
      <c r="AA255" s="204">
        <f t="shared" si="1545"/>
        <v>0.875</v>
      </c>
      <c r="AB255" s="95">
        <v>7</v>
      </c>
      <c r="AC255" s="204">
        <f t="shared" ref="AC255:AE255" si="1546">IFERROR(AB255/$G255," ")</f>
        <v>0.875</v>
      </c>
      <c r="AD255" s="95">
        <v>7</v>
      </c>
      <c r="AE255" s="204">
        <f t="shared" si="1546"/>
        <v>0.875</v>
      </c>
      <c r="AF255" s="95">
        <v>7</v>
      </c>
      <c r="AG255" s="204">
        <f t="shared" ref="AG255:AI255" si="1547">IFERROR(AF255/$G255," ")</f>
        <v>0.875</v>
      </c>
      <c r="AH255" s="95">
        <v>7</v>
      </c>
      <c r="AI255" s="204">
        <f t="shared" si="1547"/>
        <v>0.875</v>
      </c>
      <c r="AJ255" s="95">
        <v>7</v>
      </c>
      <c r="AK255" s="204">
        <f t="shared" ref="AK255:AM255" si="1548">IFERROR(AJ255/$G255," ")</f>
        <v>0.875</v>
      </c>
      <c r="AL255" s="95">
        <v>7</v>
      </c>
      <c r="AM255" s="204">
        <f t="shared" si="1548"/>
        <v>0.875</v>
      </c>
      <c r="AN255" s="95"/>
      <c r="AO255" s="94">
        <f t="shared" si="1212"/>
        <v>0</v>
      </c>
      <c r="AP255" s="94">
        <f t="shared" si="1202"/>
        <v>0</v>
      </c>
      <c r="AQ255" s="94">
        <f t="shared" si="1203"/>
        <v>0</v>
      </c>
      <c r="AR255" s="94">
        <f t="shared" si="1416"/>
        <v>0</v>
      </c>
      <c r="AS255" s="94">
        <f t="shared" si="1214"/>
        <v>0</v>
      </c>
      <c r="AT255" s="94">
        <f t="shared" si="1215"/>
        <v>4225.9000000000005</v>
      </c>
      <c r="AU255" s="94">
        <f t="shared" si="1216"/>
        <v>4225.9000000000005</v>
      </c>
      <c r="AV255" s="94">
        <f t="shared" si="1217"/>
        <v>4225.9000000000005</v>
      </c>
      <c r="AW255" s="94">
        <f t="shared" si="1218"/>
        <v>4225.9000000000005</v>
      </c>
      <c r="AX255" s="94">
        <f t="shared" si="1219"/>
        <v>4225.9000000000005</v>
      </c>
      <c r="AY255" s="94">
        <f t="shared" si="1220"/>
        <v>4225.9000000000005</v>
      </c>
      <c r="AZ255" s="94">
        <f t="shared" si="1221"/>
        <v>4225.9000000000005</v>
      </c>
      <c r="BA255" s="94">
        <f t="shared" si="1222"/>
        <v>4225.9000000000005</v>
      </c>
      <c r="BB255" s="94">
        <f t="shared" si="1223"/>
        <v>4225.9000000000005</v>
      </c>
    </row>
    <row r="256" spans="1:54" x14ac:dyDescent="0.25">
      <c r="A256" s="210">
        <v>113.5</v>
      </c>
      <c r="B256" s="95" t="s">
        <v>2417</v>
      </c>
      <c r="C256" s="201" t="s">
        <v>2900</v>
      </c>
      <c r="D256" s="80" t="s">
        <v>107</v>
      </c>
      <c r="E256" s="94" t="str">
        <f>IFERROR(VLOOKUP(A256,Estimate!A:Q,17,FALSE)," ")</f>
        <v xml:space="preserve"> </v>
      </c>
      <c r="F256" s="202">
        <v>55</v>
      </c>
      <c r="G256" s="202">
        <v>55</v>
      </c>
      <c r="H256" s="203">
        <v>89.48</v>
      </c>
      <c r="I256" s="203">
        <v>4921.3999999999996</v>
      </c>
      <c r="J256" s="203">
        <v>4921.3999999999996</v>
      </c>
      <c r="K256" s="203"/>
      <c r="L256" s="202"/>
      <c r="M256" s="204">
        <f t="shared" si="1205"/>
        <v>0</v>
      </c>
      <c r="N256" s="95"/>
      <c r="O256" s="204">
        <f t="shared" si="1205"/>
        <v>0</v>
      </c>
      <c r="P256" s="95"/>
      <c r="Q256" s="204">
        <f t="shared" ref="Q256:S256" si="1549">IFERROR(P256/$G256," ")</f>
        <v>0</v>
      </c>
      <c r="R256" s="95"/>
      <c r="S256" s="204">
        <f t="shared" si="1549"/>
        <v>0</v>
      </c>
      <c r="T256" s="95"/>
      <c r="U256" s="204">
        <f t="shared" ref="U256:W256" si="1550">IFERROR(T256/$G256," ")</f>
        <v>0</v>
      </c>
      <c r="V256" s="95">
        <v>55</v>
      </c>
      <c r="W256" s="204">
        <f t="shared" si="1550"/>
        <v>1</v>
      </c>
      <c r="X256" s="95">
        <v>55</v>
      </c>
      <c r="Y256" s="204">
        <f t="shared" ref="Y256:AA256" si="1551">IFERROR(X256/$G256," ")</f>
        <v>1</v>
      </c>
      <c r="Z256" s="95">
        <v>55</v>
      </c>
      <c r="AA256" s="204">
        <f t="shared" si="1551"/>
        <v>1</v>
      </c>
      <c r="AB256" s="95">
        <v>55</v>
      </c>
      <c r="AC256" s="204">
        <f t="shared" ref="AC256:AE256" si="1552">IFERROR(AB256/$G256," ")</f>
        <v>1</v>
      </c>
      <c r="AD256" s="95">
        <v>55</v>
      </c>
      <c r="AE256" s="204">
        <f t="shared" si="1552"/>
        <v>1</v>
      </c>
      <c r="AF256" s="95">
        <v>55</v>
      </c>
      <c r="AG256" s="204">
        <f t="shared" ref="AG256:AI256" si="1553">IFERROR(AF256/$G256," ")</f>
        <v>1</v>
      </c>
      <c r="AH256" s="95">
        <v>55</v>
      </c>
      <c r="AI256" s="204">
        <f t="shared" si="1553"/>
        <v>1</v>
      </c>
      <c r="AJ256" s="95">
        <v>55</v>
      </c>
      <c r="AK256" s="204">
        <f t="shared" ref="AK256:AM256" si="1554">IFERROR(AJ256/$G256," ")</f>
        <v>1</v>
      </c>
      <c r="AL256" s="95">
        <v>55</v>
      </c>
      <c r="AM256" s="204">
        <f t="shared" si="1554"/>
        <v>1</v>
      </c>
      <c r="AN256" s="95"/>
      <c r="AO256" s="94">
        <f t="shared" si="1212"/>
        <v>0</v>
      </c>
      <c r="AP256" s="94">
        <f t="shared" si="1202"/>
        <v>0</v>
      </c>
      <c r="AQ256" s="94">
        <f t="shared" si="1203"/>
        <v>0</v>
      </c>
      <c r="AR256" s="94">
        <f t="shared" si="1416"/>
        <v>0</v>
      </c>
      <c r="AS256" s="94">
        <f t="shared" si="1214"/>
        <v>0</v>
      </c>
      <c r="AT256" s="94">
        <f t="shared" si="1215"/>
        <v>4921.3999999999996</v>
      </c>
      <c r="AU256" s="94">
        <f t="shared" si="1216"/>
        <v>4921.3999999999996</v>
      </c>
      <c r="AV256" s="94">
        <f t="shared" si="1217"/>
        <v>4921.3999999999996</v>
      </c>
      <c r="AW256" s="94">
        <f t="shared" si="1218"/>
        <v>4921.3999999999996</v>
      </c>
      <c r="AX256" s="94">
        <f t="shared" si="1219"/>
        <v>4921.3999999999996</v>
      </c>
      <c r="AY256" s="94">
        <f t="shared" si="1220"/>
        <v>4921.3999999999996</v>
      </c>
      <c r="AZ256" s="94">
        <f t="shared" si="1221"/>
        <v>4921.3999999999996</v>
      </c>
      <c r="BA256" s="94">
        <f t="shared" si="1222"/>
        <v>4921.3999999999996</v>
      </c>
      <c r="BB256" s="94">
        <f t="shared" si="1223"/>
        <v>4921.3999999999996</v>
      </c>
    </row>
    <row r="257" spans="1:54" x14ac:dyDescent="0.25">
      <c r="A257" s="80"/>
      <c r="B257" s="95" t="s">
        <v>2417</v>
      </c>
      <c r="C257" s="201" t="s">
        <v>2837</v>
      </c>
      <c r="D257" s="80" t="s">
        <v>783</v>
      </c>
      <c r="E257" s="94" t="str">
        <f>IFERROR(VLOOKUP(A257,Estimate!A:Q,17,FALSE)," ")</f>
        <v xml:space="preserve"> </v>
      </c>
      <c r="F257" s="202" t="s">
        <v>781</v>
      </c>
      <c r="G257" s="202" t="s">
        <v>781</v>
      </c>
      <c r="H257" s="203" t="s">
        <v>781</v>
      </c>
      <c r="I257" s="203" t="s">
        <v>781</v>
      </c>
      <c r="J257" s="203" t="s">
        <v>781</v>
      </c>
      <c r="K257" s="203"/>
      <c r="L257" s="202" t="s">
        <v>781</v>
      </c>
      <c r="M257" s="204" t="str">
        <f t="shared" si="1205"/>
        <v xml:space="preserve"> </v>
      </c>
      <c r="N257" s="95" t="s">
        <v>781</v>
      </c>
      <c r="O257" s="204" t="str">
        <f t="shared" si="1205"/>
        <v xml:space="preserve"> </v>
      </c>
      <c r="P257" s="95" t="s">
        <v>781</v>
      </c>
      <c r="Q257" s="204" t="str">
        <f t="shared" ref="Q257:S257" si="1555">IFERROR(P257/$G257," ")</f>
        <v xml:space="preserve"> </v>
      </c>
      <c r="R257" s="95" t="s">
        <v>781</v>
      </c>
      <c r="S257" s="204" t="str">
        <f t="shared" si="1555"/>
        <v xml:space="preserve"> </v>
      </c>
      <c r="T257" s="95" t="s">
        <v>781</v>
      </c>
      <c r="U257" s="204" t="str">
        <f t="shared" ref="U257:W257" si="1556">IFERROR(T257/$G257," ")</f>
        <v xml:space="preserve"> </v>
      </c>
      <c r="V257" s="95" t="s">
        <v>781</v>
      </c>
      <c r="W257" s="204" t="str">
        <f t="shared" si="1556"/>
        <v xml:space="preserve"> </v>
      </c>
      <c r="X257" s="95" t="s">
        <v>781</v>
      </c>
      <c r="Y257" s="204" t="str">
        <f t="shared" ref="Y257:AA257" si="1557">IFERROR(X257/$G257," ")</f>
        <v xml:space="preserve"> </v>
      </c>
      <c r="Z257" s="95" t="s">
        <v>781</v>
      </c>
      <c r="AA257" s="204" t="str">
        <f t="shared" si="1557"/>
        <v xml:space="preserve"> </v>
      </c>
      <c r="AB257" s="95" t="s">
        <v>781</v>
      </c>
      <c r="AC257" s="204" t="str">
        <f t="shared" ref="AC257:AE257" si="1558">IFERROR(AB257/$G257," ")</f>
        <v xml:space="preserve"> </v>
      </c>
      <c r="AD257" s="95" t="s">
        <v>781</v>
      </c>
      <c r="AE257" s="204" t="str">
        <f t="shared" si="1558"/>
        <v xml:space="preserve"> </v>
      </c>
      <c r="AF257" s="95" t="s">
        <v>781</v>
      </c>
      <c r="AG257" s="204" t="str">
        <f t="shared" ref="AG257:AI257" si="1559">IFERROR(AF257/$G257," ")</f>
        <v xml:space="preserve"> </v>
      </c>
      <c r="AH257" s="95" t="s">
        <v>781</v>
      </c>
      <c r="AI257" s="204" t="str">
        <f t="shared" si="1559"/>
        <v xml:space="preserve"> </v>
      </c>
      <c r="AJ257" s="95" t="s">
        <v>781</v>
      </c>
      <c r="AK257" s="204" t="str">
        <f t="shared" ref="AK257:AM257" si="1560">IFERROR(AJ257/$G257," ")</f>
        <v xml:space="preserve"> </v>
      </c>
      <c r="AL257" s="95" t="s">
        <v>781</v>
      </c>
      <c r="AM257" s="204" t="str">
        <f t="shared" si="1560"/>
        <v xml:space="preserve"> </v>
      </c>
      <c r="AN257" s="95"/>
      <c r="AO257" s="94" t="str">
        <f t="shared" si="1212"/>
        <v xml:space="preserve"> </v>
      </c>
      <c r="AP257" s="94" t="str">
        <f t="shared" si="1202"/>
        <v xml:space="preserve"> </v>
      </c>
      <c r="AQ257" s="94" t="str">
        <f t="shared" si="1203"/>
        <v xml:space="preserve"> </v>
      </c>
      <c r="AR257" s="94" t="str">
        <f t="shared" si="1416"/>
        <v xml:space="preserve"> </v>
      </c>
      <c r="AS257" s="94" t="str">
        <f t="shared" si="1214"/>
        <v xml:space="preserve"> </v>
      </c>
      <c r="AT257" s="94" t="str">
        <f t="shared" si="1215"/>
        <v xml:space="preserve"> </v>
      </c>
      <c r="AU257" s="94" t="str">
        <f t="shared" si="1216"/>
        <v xml:space="preserve"> </v>
      </c>
      <c r="AV257" s="94" t="str">
        <f t="shared" si="1217"/>
        <v xml:space="preserve"> </v>
      </c>
      <c r="AW257" s="94" t="str">
        <f t="shared" si="1218"/>
        <v xml:space="preserve"> </v>
      </c>
      <c r="AX257" s="94" t="str">
        <f t="shared" si="1219"/>
        <v xml:space="preserve"> </v>
      </c>
      <c r="AY257" s="94" t="str">
        <f t="shared" si="1220"/>
        <v xml:space="preserve"> </v>
      </c>
      <c r="AZ257" s="94" t="str">
        <f t="shared" si="1221"/>
        <v xml:space="preserve"> </v>
      </c>
      <c r="BA257" s="94" t="str">
        <f t="shared" si="1222"/>
        <v xml:space="preserve"> </v>
      </c>
      <c r="BB257" s="94" t="str">
        <f t="shared" si="1223"/>
        <v xml:space="preserve"> </v>
      </c>
    </row>
    <row r="258" spans="1:54" x14ac:dyDescent="0.25">
      <c r="A258" s="80"/>
      <c r="B258" s="95" t="s">
        <v>2417</v>
      </c>
      <c r="C258" s="201" t="s">
        <v>418</v>
      </c>
      <c r="D258" s="80" t="s">
        <v>783</v>
      </c>
      <c r="E258" s="94" t="str">
        <f>IFERROR(VLOOKUP(A258,Estimate!A:Q,17,FALSE)," ")</f>
        <v xml:space="preserve"> </v>
      </c>
      <c r="F258" s="202" t="s">
        <v>781</v>
      </c>
      <c r="G258" s="202" t="s">
        <v>781</v>
      </c>
      <c r="H258" s="203" t="s">
        <v>781</v>
      </c>
      <c r="I258" s="203" t="s">
        <v>781</v>
      </c>
      <c r="J258" s="203" t="s">
        <v>781</v>
      </c>
      <c r="K258" s="203"/>
      <c r="L258" s="202" t="s">
        <v>781</v>
      </c>
      <c r="M258" s="204" t="str">
        <f t="shared" si="1205"/>
        <v xml:space="preserve"> </v>
      </c>
      <c r="N258" s="95" t="s">
        <v>781</v>
      </c>
      <c r="O258" s="204" t="str">
        <f t="shared" si="1205"/>
        <v xml:space="preserve"> </v>
      </c>
      <c r="P258" s="95" t="s">
        <v>781</v>
      </c>
      <c r="Q258" s="204" t="str">
        <f t="shared" ref="Q258:S258" si="1561">IFERROR(P258/$G258," ")</f>
        <v xml:space="preserve"> </v>
      </c>
      <c r="R258" s="95" t="s">
        <v>781</v>
      </c>
      <c r="S258" s="204" t="str">
        <f t="shared" si="1561"/>
        <v xml:space="preserve"> </v>
      </c>
      <c r="T258" s="95" t="s">
        <v>781</v>
      </c>
      <c r="U258" s="204" t="str">
        <f t="shared" ref="U258:W258" si="1562">IFERROR(T258/$G258," ")</f>
        <v xml:space="preserve"> </v>
      </c>
      <c r="V258" s="95" t="s">
        <v>781</v>
      </c>
      <c r="W258" s="204" t="str">
        <f t="shared" si="1562"/>
        <v xml:space="preserve"> </v>
      </c>
      <c r="X258" s="95" t="s">
        <v>781</v>
      </c>
      <c r="Y258" s="204" t="str">
        <f t="shared" ref="Y258:AA258" si="1563">IFERROR(X258/$G258," ")</f>
        <v xml:space="preserve"> </v>
      </c>
      <c r="Z258" s="95" t="s">
        <v>781</v>
      </c>
      <c r="AA258" s="204" t="str">
        <f t="shared" si="1563"/>
        <v xml:space="preserve"> </v>
      </c>
      <c r="AB258" s="95" t="s">
        <v>781</v>
      </c>
      <c r="AC258" s="204" t="str">
        <f t="shared" ref="AC258:AE258" si="1564">IFERROR(AB258/$G258," ")</f>
        <v xml:space="preserve"> </v>
      </c>
      <c r="AD258" s="95" t="s">
        <v>781</v>
      </c>
      <c r="AE258" s="204" t="str">
        <f t="shared" si="1564"/>
        <v xml:space="preserve"> </v>
      </c>
      <c r="AF258" s="95" t="s">
        <v>781</v>
      </c>
      <c r="AG258" s="204" t="str">
        <f t="shared" ref="AG258:AI258" si="1565">IFERROR(AF258/$G258," ")</f>
        <v xml:space="preserve"> </v>
      </c>
      <c r="AH258" s="95" t="s">
        <v>781</v>
      </c>
      <c r="AI258" s="204" t="str">
        <f t="shared" si="1565"/>
        <v xml:space="preserve"> </v>
      </c>
      <c r="AJ258" s="95" t="s">
        <v>781</v>
      </c>
      <c r="AK258" s="204" t="str">
        <f t="shared" ref="AK258:AM258" si="1566">IFERROR(AJ258/$G258," ")</f>
        <v xml:space="preserve"> </v>
      </c>
      <c r="AL258" s="95" t="s">
        <v>781</v>
      </c>
      <c r="AM258" s="204" t="str">
        <f t="shared" si="1566"/>
        <v xml:space="preserve"> </v>
      </c>
      <c r="AN258" s="95"/>
      <c r="AO258" s="94" t="str">
        <f t="shared" si="1212"/>
        <v xml:space="preserve"> </v>
      </c>
      <c r="AP258" s="94" t="str">
        <f t="shared" si="1202"/>
        <v xml:space="preserve"> </v>
      </c>
      <c r="AQ258" s="94" t="str">
        <f t="shared" si="1203"/>
        <v xml:space="preserve"> </v>
      </c>
      <c r="AR258" s="94" t="str">
        <f t="shared" si="1416"/>
        <v xml:space="preserve"> </v>
      </c>
      <c r="AS258" s="94" t="str">
        <f t="shared" si="1214"/>
        <v xml:space="preserve"> </v>
      </c>
      <c r="AT258" s="94" t="str">
        <f t="shared" si="1215"/>
        <v xml:space="preserve"> </v>
      </c>
      <c r="AU258" s="94" t="str">
        <f t="shared" si="1216"/>
        <v xml:space="preserve"> </v>
      </c>
      <c r="AV258" s="94" t="str">
        <f t="shared" si="1217"/>
        <v xml:space="preserve"> </v>
      </c>
      <c r="AW258" s="94" t="str">
        <f t="shared" si="1218"/>
        <v xml:space="preserve"> </v>
      </c>
      <c r="AX258" s="94" t="str">
        <f t="shared" si="1219"/>
        <v xml:space="preserve"> </v>
      </c>
      <c r="AY258" s="94" t="str">
        <f t="shared" si="1220"/>
        <v xml:space="preserve"> </v>
      </c>
      <c r="AZ258" s="94" t="str">
        <f t="shared" si="1221"/>
        <v xml:space="preserve"> </v>
      </c>
      <c r="BA258" s="94" t="str">
        <f t="shared" si="1222"/>
        <v xml:space="preserve"> </v>
      </c>
      <c r="BB258" s="94" t="str">
        <f t="shared" si="1223"/>
        <v xml:space="preserve"> </v>
      </c>
    </row>
    <row r="259" spans="1:54" x14ac:dyDescent="0.25">
      <c r="A259" s="80"/>
      <c r="B259" s="95" t="s">
        <v>2901</v>
      </c>
      <c r="C259" s="201" t="s">
        <v>420</v>
      </c>
      <c r="D259" s="80" t="s">
        <v>783</v>
      </c>
      <c r="E259" s="94" t="str">
        <f>IFERROR(VLOOKUP(A259,Estimate!A:Q,17,FALSE)," ")</f>
        <v xml:space="preserve"> </v>
      </c>
      <c r="F259" s="202" t="s">
        <v>781</v>
      </c>
      <c r="G259" s="202" t="s">
        <v>781</v>
      </c>
      <c r="H259" s="203" t="s">
        <v>781</v>
      </c>
      <c r="I259" s="203" t="s">
        <v>781</v>
      </c>
      <c r="J259" s="203" t="s">
        <v>781</v>
      </c>
      <c r="K259" s="203"/>
      <c r="L259" s="202" t="s">
        <v>781</v>
      </c>
      <c r="M259" s="204" t="str">
        <f t="shared" si="1205"/>
        <v xml:space="preserve"> </v>
      </c>
      <c r="N259" s="95" t="s">
        <v>781</v>
      </c>
      <c r="O259" s="204" t="str">
        <f t="shared" si="1205"/>
        <v xml:space="preserve"> </v>
      </c>
      <c r="P259" s="95" t="s">
        <v>781</v>
      </c>
      <c r="Q259" s="204" t="str">
        <f t="shared" ref="Q259:S259" si="1567">IFERROR(P259/$G259," ")</f>
        <v xml:space="preserve"> </v>
      </c>
      <c r="R259" s="95" t="s">
        <v>781</v>
      </c>
      <c r="S259" s="204" t="str">
        <f t="shared" si="1567"/>
        <v xml:space="preserve"> </v>
      </c>
      <c r="T259" s="95" t="s">
        <v>781</v>
      </c>
      <c r="U259" s="204" t="str">
        <f t="shared" ref="U259:W259" si="1568">IFERROR(T259/$G259," ")</f>
        <v xml:space="preserve"> </v>
      </c>
      <c r="V259" s="95" t="s">
        <v>781</v>
      </c>
      <c r="W259" s="204" t="str">
        <f t="shared" si="1568"/>
        <v xml:space="preserve"> </v>
      </c>
      <c r="X259" s="95" t="s">
        <v>781</v>
      </c>
      <c r="Y259" s="204" t="str">
        <f t="shared" ref="Y259:AA259" si="1569">IFERROR(X259/$G259," ")</f>
        <v xml:space="preserve"> </v>
      </c>
      <c r="Z259" s="95" t="s">
        <v>781</v>
      </c>
      <c r="AA259" s="204" t="str">
        <f t="shared" si="1569"/>
        <v xml:space="preserve"> </v>
      </c>
      <c r="AB259" s="95" t="s">
        <v>781</v>
      </c>
      <c r="AC259" s="204" t="str">
        <f t="shared" ref="AC259:AE259" si="1570">IFERROR(AB259/$G259," ")</f>
        <v xml:space="preserve"> </v>
      </c>
      <c r="AD259" s="95" t="s">
        <v>781</v>
      </c>
      <c r="AE259" s="204" t="str">
        <f t="shared" si="1570"/>
        <v xml:space="preserve"> </v>
      </c>
      <c r="AF259" s="95" t="s">
        <v>781</v>
      </c>
      <c r="AG259" s="204" t="str">
        <f t="shared" ref="AG259:AI259" si="1571">IFERROR(AF259/$G259," ")</f>
        <v xml:space="preserve"> </v>
      </c>
      <c r="AH259" s="95" t="s">
        <v>781</v>
      </c>
      <c r="AI259" s="204" t="str">
        <f t="shared" si="1571"/>
        <v xml:space="preserve"> </v>
      </c>
      <c r="AJ259" s="95" t="s">
        <v>781</v>
      </c>
      <c r="AK259" s="204" t="str">
        <f t="shared" ref="AK259:AM259" si="1572">IFERROR(AJ259/$G259," ")</f>
        <v xml:space="preserve"> </v>
      </c>
      <c r="AL259" s="95" t="s">
        <v>781</v>
      </c>
      <c r="AM259" s="204" t="str">
        <f t="shared" si="1572"/>
        <v xml:space="preserve"> </v>
      </c>
      <c r="AN259" s="95"/>
      <c r="AO259" s="94" t="str">
        <f t="shared" si="1212"/>
        <v xml:space="preserve"> </v>
      </c>
      <c r="AP259" s="94" t="str">
        <f t="shared" si="1202"/>
        <v xml:space="preserve"> </v>
      </c>
      <c r="AQ259" s="94" t="str">
        <f t="shared" si="1203"/>
        <v xml:space="preserve"> </v>
      </c>
      <c r="AR259" s="94" t="str">
        <f t="shared" si="1416"/>
        <v xml:space="preserve"> </v>
      </c>
      <c r="AS259" s="94" t="str">
        <f t="shared" si="1214"/>
        <v xml:space="preserve"> </v>
      </c>
      <c r="AT259" s="94" t="str">
        <f t="shared" si="1215"/>
        <v xml:space="preserve"> </v>
      </c>
      <c r="AU259" s="94" t="str">
        <f t="shared" si="1216"/>
        <v xml:space="preserve"> </v>
      </c>
      <c r="AV259" s="94" t="str">
        <f t="shared" si="1217"/>
        <v xml:space="preserve"> </v>
      </c>
      <c r="AW259" s="94" t="str">
        <f t="shared" si="1218"/>
        <v xml:space="preserve"> </v>
      </c>
      <c r="AX259" s="94" t="str">
        <f t="shared" si="1219"/>
        <v xml:space="preserve"> </v>
      </c>
      <c r="AY259" s="94" t="str">
        <f t="shared" si="1220"/>
        <v xml:space="preserve"> </v>
      </c>
      <c r="AZ259" s="94" t="str">
        <f t="shared" si="1221"/>
        <v xml:space="preserve"> </v>
      </c>
      <c r="BA259" s="94" t="str">
        <f t="shared" si="1222"/>
        <v xml:space="preserve"> </v>
      </c>
      <c r="BB259" s="94" t="str">
        <f t="shared" si="1223"/>
        <v xml:space="preserve"> </v>
      </c>
    </row>
    <row r="260" spans="1:54" x14ac:dyDescent="0.25">
      <c r="A260" s="80"/>
      <c r="B260" s="95" t="s">
        <v>2417</v>
      </c>
      <c r="C260" s="201" t="s">
        <v>422</v>
      </c>
      <c r="D260" s="80" t="s">
        <v>20</v>
      </c>
      <c r="E260" s="94" t="str">
        <f>IFERROR(VLOOKUP(A260,Estimate!A:Q,17,FALSE)," ")</f>
        <v xml:space="preserve"> </v>
      </c>
      <c r="F260" s="202">
        <v>1</v>
      </c>
      <c r="G260" s="202">
        <v>1</v>
      </c>
      <c r="H260" s="203"/>
      <c r="I260" s="203"/>
      <c r="J260" s="203"/>
      <c r="K260" s="203"/>
      <c r="L260" s="202"/>
      <c r="M260" s="204">
        <f t="shared" si="1205"/>
        <v>0</v>
      </c>
      <c r="N260" s="95"/>
      <c r="O260" s="204">
        <f t="shared" si="1205"/>
        <v>0</v>
      </c>
      <c r="P260" s="95"/>
      <c r="Q260" s="204">
        <f t="shared" ref="Q260:S260" si="1573">IFERROR(P260/$G260," ")</f>
        <v>0</v>
      </c>
      <c r="R260" s="95"/>
      <c r="S260" s="204">
        <f t="shared" si="1573"/>
        <v>0</v>
      </c>
      <c r="T260" s="95"/>
      <c r="U260" s="204">
        <f t="shared" ref="U260:W260" si="1574">IFERROR(T260/$G260," ")</f>
        <v>0</v>
      </c>
      <c r="V260" s="95"/>
      <c r="W260" s="204">
        <f t="shared" si="1574"/>
        <v>0</v>
      </c>
      <c r="X260" s="95"/>
      <c r="Y260" s="204">
        <f t="shared" ref="Y260:AA260" si="1575">IFERROR(X260/$G260," ")</f>
        <v>0</v>
      </c>
      <c r="Z260" s="95"/>
      <c r="AA260" s="204">
        <f t="shared" si="1575"/>
        <v>0</v>
      </c>
      <c r="AB260" s="95"/>
      <c r="AC260" s="204">
        <f t="shared" ref="AC260:AE260" si="1576">IFERROR(AB260/$G260," ")</f>
        <v>0</v>
      </c>
      <c r="AD260" s="95"/>
      <c r="AE260" s="204">
        <f t="shared" si="1576"/>
        <v>0</v>
      </c>
      <c r="AF260" s="95"/>
      <c r="AG260" s="204">
        <f t="shared" ref="AG260:AI260" si="1577">IFERROR(AF260/$G260," ")</f>
        <v>0</v>
      </c>
      <c r="AH260" s="95"/>
      <c r="AI260" s="204">
        <f t="shared" si="1577"/>
        <v>0</v>
      </c>
      <c r="AJ260" s="95"/>
      <c r="AK260" s="204">
        <f t="shared" ref="AK260:AM260" si="1578">IFERROR(AJ260/$G260," ")</f>
        <v>0</v>
      </c>
      <c r="AL260" s="95"/>
      <c r="AM260" s="204">
        <f t="shared" si="1578"/>
        <v>0</v>
      </c>
      <c r="AN260" s="95"/>
      <c r="AO260" s="94">
        <f t="shared" si="1212"/>
        <v>0</v>
      </c>
      <c r="AP260" s="94">
        <f t="shared" si="1202"/>
        <v>0</v>
      </c>
      <c r="AQ260" s="94">
        <f t="shared" si="1203"/>
        <v>0</v>
      </c>
      <c r="AR260" s="94">
        <f t="shared" si="1416"/>
        <v>0</v>
      </c>
      <c r="AS260" s="94">
        <f t="shared" si="1214"/>
        <v>0</v>
      </c>
      <c r="AT260" s="94">
        <f t="shared" si="1215"/>
        <v>0</v>
      </c>
      <c r="AU260" s="94">
        <f t="shared" si="1216"/>
        <v>0</v>
      </c>
      <c r="AV260" s="94">
        <f t="shared" si="1217"/>
        <v>0</v>
      </c>
      <c r="AW260" s="94">
        <f t="shared" si="1218"/>
        <v>0</v>
      </c>
      <c r="AX260" s="94">
        <f t="shared" si="1219"/>
        <v>0</v>
      </c>
      <c r="AY260" s="94">
        <f t="shared" si="1220"/>
        <v>0</v>
      </c>
      <c r="AZ260" s="94">
        <f t="shared" si="1221"/>
        <v>0</v>
      </c>
      <c r="BA260" s="94">
        <f t="shared" si="1222"/>
        <v>0</v>
      </c>
      <c r="BB260" s="94">
        <f t="shared" si="1223"/>
        <v>0</v>
      </c>
    </row>
    <row r="261" spans="1:54" x14ac:dyDescent="0.25">
      <c r="A261" s="80"/>
      <c r="B261" s="95" t="s">
        <v>2417</v>
      </c>
      <c r="C261" s="201" t="s">
        <v>2837</v>
      </c>
      <c r="D261" s="80" t="s">
        <v>783</v>
      </c>
      <c r="E261" s="94" t="str">
        <f>IFERROR(VLOOKUP(A261,Estimate!A:Q,17,FALSE)," ")</f>
        <v xml:space="preserve"> </v>
      </c>
      <c r="F261" s="202" t="s">
        <v>781</v>
      </c>
      <c r="G261" s="202" t="s">
        <v>781</v>
      </c>
      <c r="H261" s="203" t="s">
        <v>781</v>
      </c>
      <c r="I261" s="203" t="s">
        <v>781</v>
      </c>
      <c r="J261" s="203" t="s">
        <v>781</v>
      </c>
      <c r="K261" s="203"/>
      <c r="L261" s="202" t="s">
        <v>781</v>
      </c>
      <c r="M261" s="204" t="str">
        <f t="shared" si="1205"/>
        <v xml:space="preserve"> </v>
      </c>
      <c r="N261" s="95" t="s">
        <v>781</v>
      </c>
      <c r="O261" s="204" t="str">
        <f t="shared" si="1205"/>
        <v xml:space="preserve"> </v>
      </c>
      <c r="P261" s="95" t="s">
        <v>781</v>
      </c>
      <c r="Q261" s="204" t="str">
        <f t="shared" ref="Q261:S261" si="1579">IFERROR(P261/$G261," ")</f>
        <v xml:space="preserve"> </v>
      </c>
      <c r="R261" s="95" t="s">
        <v>781</v>
      </c>
      <c r="S261" s="204" t="str">
        <f t="shared" si="1579"/>
        <v xml:space="preserve"> </v>
      </c>
      <c r="T261" s="95" t="s">
        <v>781</v>
      </c>
      <c r="U261" s="204" t="str">
        <f t="shared" ref="U261:W261" si="1580">IFERROR(T261/$G261," ")</f>
        <v xml:space="preserve"> </v>
      </c>
      <c r="V261" s="95" t="s">
        <v>781</v>
      </c>
      <c r="W261" s="204" t="str">
        <f t="shared" si="1580"/>
        <v xml:space="preserve"> </v>
      </c>
      <c r="X261" s="95" t="s">
        <v>781</v>
      </c>
      <c r="Y261" s="204" t="str">
        <f t="shared" ref="Y261:AA261" si="1581">IFERROR(X261/$G261," ")</f>
        <v xml:space="preserve"> </v>
      </c>
      <c r="Z261" s="95" t="s">
        <v>781</v>
      </c>
      <c r="AA261" s="204" t="str">
        <f t="shared" si="1581"/>
        <v xml:space="preserve"> </v>
      </c>
      <c r="AB261" s="95" t="s">
        <v>781</v>
      </c>
      <c r="AC261" s="204" t="str">
        <f t="shared" ref="AC261:AE261" si="1582">IFERROR(AB261/$G261," ")</f>
        <v xml:space="preserve"> </v>
      </c>
      <c r="AD261" s="95" t="s">
        <v>781</v>
      </c>
      <c r="AE261" s="204" t="str">
        <f t="shared" si="1582"/>
        <v xml:space="preserve"> </v>
      </c>
      <c r="AF261" s="95" t="s">
        <v>781</v>
      </c>
      <c r="AG261" s="204" t="str">
        <f t="shared" ref="AG261:AI261" si="1583">IFERROR(AF261/$G261," ")</f>
        <v xml:space="preserve"> </v>
      </c>
      <c r="AH261" s="95" t="s">
        <v>781</v>
      </c>
      <c r="AI261" s="204" t="str">
        <f t="shared" si="1583"/>
        <v xml:space="preserve"> </v>
      </c>
      <c r="AJ261" s="95" t="s">
        <v>781</v>
      </c>
      <c r="AK261" s="204" t="str">
        <f t="shared" ref="AK261:AM261" si="1584">IFERROR(AJ261/$G261," ")</f>
        <v xml:space="preserve"> </v>
      </c>
      <c r="AL261" s="95" t="s">
        <v>781</v>
      </c>
      <c r="AM261" s="204" t="str">
        <f t="shared" si="1584"/>
        <v xml:space="preserve"> </v>
      </c>
      <c r="AN261" s="95"/>
      <c r="AO261" s="94" t="str">
        <f t="shared" si="1212"/>
        <v xml:space="preserve"> </v>
      </c>
      <c r="AP261" s="94" t="str">
        <f t="shared" si="1202"/>
        <v xml:space="preserve"> </v>
      </c>
      <c r="AQ261" s="94" t="str">
        <f t="shared" si="1203"/>
        <v xml:space="preserve"> </v>
      </c>
      <c r="AR261" s="94" t="str">
        <f t="shared" si="1416"/>
        <v xml:space="preserve"> </v>
      </c>
      <c r="AS261" s="94" t="str">
        <f t="shared" si="1214"/>
        <v xml:space="preserve"> </v>
      </c>
      <c r="AT261" s="94" t="str">
        <f t="shared" si="1215"/>
        <v xml:space="preserve"> </v>
      </c>
      <c r="AU261" s="94" t="str">
        <f t="shared" si="1216"/>
        <v xml:space="preserve"> </v>
      </c>
      <c r="AV261" s="94" t="str">
        <f t="shared" si="1217"/>
        <v xml:space="preserve"> </v>
      </c>
      <c r="AW261" s="94" t="str">
        <f t="shared" si="1218"/>
        <v xml:space="preserve"> </v>
      </c>
      <c r="AX261" s="94" t="str">
        <f t="shared" si="1219"/>
        <v xml:space="preserve"> </v>
      </c>
      <c r="AY261" s="94" t="str">
        <f t="shared" si="1220"/>
        <v xml:space="preserve"> </v>
      </c>
      <c r="AZ261" s="94" t="str">
        <f t="shared" si="1221"/>
        <v xml:space="preserve"> </v>
      </c>
      <c r="BA261" s="94" t="str">
        <f t="shared" si="1222"/>
        <v xml:space="preserve"> </v>
      </c>
      <c r="BB261" s="94" t="str">
        <f t="shared" si="1223"/>
        <v xml:space="preserve"> </v>
      </c>
    </row>
    <row r="262" spans="1:54" x14ac:dyDescent="0.25">
      <c r="A262" s="80"/>
      <c r="B262" s="95" t="s">
        <v>2417</v>
      </c>
      <c r="C262" s="201" t="s">
        <v>145</v>
      </c>
      <c r="D262" s="80" t="s">
        <v>783</v>
      </c>
      <c r="E262" s="94" t="str">
        <f>IFERROR(VLOOKUP(A262,Estimate!A:Q,17,FALSE)," ")</f>
        <v xml:space="preserve"> </v>
      </c>
      <c r="F262" s="202" t="s">
        <v>781</v>
      </c>
      <c r="G262" s="202" t="s">
        <v>781</v>
      </c>
      <c r="H262" s="203" t="s">
        <v>781</v>
      </c>
      <c r="I262" s="203" t="s">
        <v>781</v>
      </c>
      <c r="J262" s="203" t="s">
        <v>781</v>
      </c>
      <c r="K262" s="203"/>
      <c r="L262" s="202" t="s">
        <v>781</v>
      </c>
      <c r="M262" s="204" t="str">
        <f t="shared" si="1205"/>
        <v xml:space="preserve"> </v>
      </c>
      <c r="N262" s="95" t="s">
        <v>781</v>
      </c>
      <c r="O262" s="204" t="str">
        <f t="shared" si="1205"/>
        <v xml:space="preserve"> </v>
      </c>
      <c r="P262" s="95" t="s">
        <v>781</v>
      </c>
      <c r="Q262" s="204" t="str">
        <f t="shared" ref="Q262:S262" si="1585">IFERROR(P262/$G262," ")</f>
        <v xml:space="preserve"> </v>
      </c>
      <c r="R262" s="95" t="s">
        <v>781</v>
      </c>
      <c r="S262" s="204" t="str">
        <f t="shared" si="1585"/>
        <v xml:space="preserve"> </v>
      </c>
      <c r="T262" s="95" t="s">
        <v>781</v>
      </c>
      <c r="U262" s="204" t="str">
        <f t="shared" ref="U262:W262" si="1586">IFERROR(T262/$G262," ")</f>
        <v xml:space="preserve"> </v>
      </c>
      <c r="V262" s="95" t="s">
        <v>781</v>
      </c>
      <c r="W262" s="204" t="str">
        <f t="shared" si="1586"/>
        <v xml:space="preserve"> </v>
      </c>
      <c r="X262" s="95" t="s">
        <v>781</v>
      </c>
      <c r="Y262" s="204" t="str">
        <f t="shared" ref="Y262:AA262" si="1587">IFERROR(X262/$G262," ")</f>
        <v xml:space="preserve"> </v>
      </c>
      <c r="Z262" s="95" t="s">
        <v>781</v>
      </c>
      <c r="AA262" s="204" t="str">
        <f t="shared" si="1587"/>
        <v xml:space="preserve"> </v>
      </c>
      <c r="AB262" s="95" t="s">
        <v>781</v>
      </c>
      <c r="AC262" s="204" t="str">
        <f t="shared" ref="AC262:AE262" si="1588">IFERROR(AB262/$G262," ")</f>
        <v xml:space="preserve"> </v>
      </c>
      <c r="AD262" s="95" t="s">
        <v>781</v>
      </c>
      <c r="AE262" s="204" t="str">
        <f t="shared" si="1588"/>
        <v xml:space="preserve"> </v>
      </c>
      <c r="AF262" s="95" t="s">
        <v>781</v>
      </c>
      <c r="AG262" s="204" t="str">
        <f t="shared" ref="AG262:AI262" si="1589">IFERROR(AF262/$G262," ")</f>
        <v xml:space="preserve"> </v>
      </c>
      <c r="AH262" s="95" t="s">
        <v>781</v>
      </c>
      <c r="AI262" s="204" t="str">
        <f t="shared" si="1589"/>
        <v xml:space="preserve"> </v>
      </c>
      <c r="AJ262" s="95" t="s">
        <v>781</v>
      </c>
      <c r="AK262" s="204" t="str">
        <f t="shared" ref="AK262:AM262" si="1590">IFERROR(AJ262/$G262," ")</f>
        <v xml:space="preserve"> </v>
      </c>
      <c r="AL262" s="95" t="s">
        <v>781</v>
      </c>
      <c r="AM262" s="204" t="str">
        <f t="shared" si="1590"/>
        <v xml:space="preserve"> </v>
      </c>
      <c r="AN262" s="95"/>
      <c r="AO262" s="94" t="str">
        <f t="shared" si="1212"/>
        <v xml:space="preserve"> </v>
      </c>
      <c r="AP262" s="94" t="str">
        <f t="shared" si="1202"/>
        <v xml:space="preserve"> </v>
      </c>
      <c r="AQ262" s="94" t="str">
        <f t="shared" si="1203"/>
        <v xml:space="preserve"> </v>
      </c>
      <c r="AR262" s="94" t="str">
        <f t="shared" si="1416"/>
        <v xml:space="preserve"> </v>
      </c>
      <c r="AS262" s="94" t="str">
        <f t="shared" si="1214"/>
        <v xml:space="preserve"> </v>
      </c>
      <c r="AT262" s="94" t="str">
        <f t="shared" si="1215"/>
        <v xml:space="preserve"> </v>
      </c>
      <c r="AU262" s="94" t="str">
        <f t="shared" si="1216"/>
        <v xml:space="preserve"> </v>
      </c>
      <c r="AV262" s="94" t="str">
        <f t="shared" si="1217"/>
        <v xml:space="preserve"> </v>
      </c>
      <c r="AW262" s="94" t="str">
        <f t="shared" si="1218"/>
        <v xml:space="preserve"> </v>
      </c>
      <c r="AX262" s="94" t="str">
        <f t="shared" si="1219"/>
        <v xml:space="preserve"> </v>
      </c>
      <c r="AY262" s="94" t="str">
        <f t="shared" si="1220"/>
        <v xml:space="preserve"> </v>
      </c>
      <c r="AZ262" s="94" t="str">
        <f t="shared" si="1221"/>
        <v xml:space="preserve"> </v>
      </c>
      <c r="BA262" s="94" t="str">
        <f t="shared" si="1222"/>
        <v xml:space="preserve"> </v>
      </c>
      <c r="BB262" s="94" t="str">
        <f t="shared" si="1223"/>
        <v xml:space="preserve"> </v>
      </c>
    </row>
    <row r="263" spans="1:54" x14ac:dyDescent="0.25">
      <c r="A263" s="80">
        <v>114</v>
      </c>
      <c r="B263" s="95">
        <v>1300</v>
      </c>
      <c r="C263" s="201" t="s">
        <v>147</v>
      </c>
      <c r="D263" s="80" t="s">
        <v>20</v>
      </c>
      <c r="E263" s="94">
        <f>IFERROR(VLOOKUP(A263,Estimate!A:Q,17,FALSE)," ")</f>
        <v>2500</v>
      </c>
      <c r="F263" s="202">
        <v>1</v>
      </c>
      <c r="G263" s="202">
        <v>1</v>
      </c>
      <c r="H263" s="203">
        <v>3140.57</v>
      </c>
      <c r="I263" s="203">
        <v>3140.57</v>
      </c>
      <c r="J263" s="203">
        <v>3140.57</v>
      </c>
      <c r="K263" s="203"/>
      <c r="L263" s="202"/>
      <c r="M263" s="204">
        <f t="shared" si="1205"/>
        <v>0</v>
      </c>
      <c r="N263" s="95"/>
      <c r="O263" s="204">
        <f t="shared" si="1205"/>
        <v>0</v>
      </c>
      <c r="P263" s="95"/>
      <c r="Q263" s="204">
        <f t="shared" ref="Q263:S263" si="1591">IFERROR(P263/$G263," ")</f>
        <v>0</v>
      </c>
      <c r="R263" s="95"/>
      <c r="S263" s="204">
        <f t="shared" si="1591"/>
        <v>0</v>
      </c>
      <c r="T263" s="95"/>
      <c r="U263" s="204">
        <f t="shared" ref="U263:W263" si="1592">IFERROR(T263/$G263," ")</f>
        <v>0</v>
      </c>
      <c r="V263" s="95"/>
      <c r="W263" s="204">
        <f t="shared" si="1592"/>
        <v>0</v>
      </c>
      <c r="X263" s="95">
        <v>0.8</v>
      </c>
      <c r="Y263" s="204">
        <f t="shared" ref="Y263:AA263" si="1593">IFERROR(X263/$G263," ")</f>
        <v>0.8</v>
      </c>
      <c r="Z263" s="95">
        <v>0.9</v>
      </c>
      <c r="AA263" s="204">
        <f t="shared" si="1593"/>
        <v>0.9</v>
      </c>
      <c r="AB263" s="95">
        <v>0.95</v>
      </c>
      <c r="AC263" s="204">
        <f t="shared" ref="AC263:AE263" si="1594">IFERROR(AB263/$G263," ")</f>
        <v>0.95</v>
      </c>
      <c r="AD263" s="95">
        <v>0.95</v>
      </c>
      <c r="AE263" s="204">
        <f t="shared" si="1594"/>
        <v>0.95</v>
      </c>
      <c r="AF263" s="95">
        <v>1</v>
      </c>
      <c r="AG263" s="204">
        <f t="shared" ref="AG263:AI263" si="1595">IFERROR(AF263/$G263," ")</f>
        <v>1</v>
      </c>
      <c r="AH263" s="95">
        <v>1</v>
      </c>
      <c r="AI263" s="204">
        <f t="shared" si="1595"/>
        <v>1</v>
      </c>
      <c r="AJ263" s="95">
        <v>1</v>
      </c>
      <c r="AK263" s="204">
        <f t="shared" ref="AK263:AM263" si="1596">IFERROR(AJ263/$G263," ")</f>
        <v>1</v>
      </c>
      <c r="AL263" s="95">
        <v>1</v>
      </c>
      <c r="AM263" s="204">
        <f t="shared" si="1596"/>
        <v>1</v>
      </c>
      <c r="AN263" s="95"/>
      <c r="AO263" s="94">
        <f t="shared" si="1212"/>
        <v>0</v>
      </c>
      <c r="AP263" s="94">
        <f t="shared" si="1202"/>
        <v>0</v>
      </c>
      <c r="AQ263" s="94">
        <f t="shared" si="1203"/>
        <v>0</v>
      </c>
      <c r="AR263" s="94">
        <f t="shared" si="1416"/>
        <v>0</v>
      </c>
      <c r="AS263" s="94">
        <f t="shared" si="1214"/>
        <v>0</v>
      </c>
      <c r="AT263" s="94">
        <f t="shared" si="1215"/>
        <v>0</v>
      </c>
      <c r="AU263" s="94">
        <f t="shared" si="1216"/>
        <v>2512.4560000000001</v>
      </c>
      <c r="AV263" s="94">
        <f t="shared" si="1217"/>
        <v>2826.5130000000004</v>
      </c>
      <c r="AW263" s="94">
        <f t="shared" si="1218"/>
        <v>2983.5414999999998</v>
      </c>
      <c r="AX263" s="94">
        <f t="shared" si="1219"/>
        <v>2983.5414999999998</v>
      </c>
      <c r="AY263" s="94">
        <f t="shared" si="1220"/>
        <v>3140.57</v>
      </c>
      <c r="AZ263" s="94">
        <f t="shared" si="1221"/>
        <v>3140.57</v>
      </c>
      <c r="BA263" s="94">
        <f t="shared" si="1222"/>
        <v>3140.57</v>
      </c>
      <c r="BB263" s="94">
        <f t="shared" si="1223"/>
        <v>3140.57</v>
      </c>
    </row>
    <row r="264" spans="1:54" x14ac:dyDescent="0.25">
      <c r="A264" s="80"/>
      <c r="B264" s="95" t="s">
        <v>2417</v>
      </c>
      <c r="C264" s="201" t="s">
        <v>2837</v>
      </c>
      <c r="D264" s="80" t="s">
        <v>783</v>
      </c>
      <c r="E264" s="94" t="str">
        <f>IFERROR(VLOOKUP(A264,Estimate!A:Q,17,FALSE)," ")</f>
        <v xml:space="preserve"> </v>
      </c>
      <c r="F264" s="202" t="s">
        <v>781</v>
      </c>
      <c r="G264" s="202" t="s">
        <v>781</v>
      </c>
      <c r="H264" s="203" t="s">
        <v>781</v>
      </c>
      <c r="I264" s="203" t="s">
        <v>781</v>
      </c>
      <c r="J264" s="203" t="s">
        <v>781</v>
      </c>
      <c r="K264" s="203"/>
      <c r="L264" s="202" t="s">
        <v>781</v>
      </c>
      <c r="M264" s="204" t="str">
        <f t="shared" si="1205"/>
        <v xml:space="preserve"> </v>
      </c>
      <c r="N264" s="95" t="s">
        <v>781</v>
      </c>
      <c r="O264" s="204" t="str">
        <f t="shared" si="1205"/>
        <v xml:space="preserve"> </v>
      </c>
      <c r="P264" s="95" t="s">
        <v>781</v>
      </c>
      <c r="Q264" s="204" t="str">
        <f t="shared" ref="Q264:S264" si="1597">IFERROR(P264/$G264," ")</f>
        <v xml:space="preserve"> </v>
      </c>
      <c r="R264" s="95" t="s">
        <v>781</v>
      </c>
      <c r="S264" s="204" t="str">
        <f t="shared" si="1597"/>
        <v xml:space="preserve"> </v>
      </c>
      <c r="T264" s="95" t="s">
        <v>781</v>
      </c>
      <c r="U264" s="204" t="str">
        <f t="shared" ref="U264:W264" si="1598">IFERROR(T264/$G264," ")</f>
        <v xml:space="preserve"> </v>
      </c>
      <c r="V264" s="95" t="s">
        <v>781</v>
      </c>
      <c r="W264" s="204" t="str">
        <f t="shared" si="1598"/>
        <v xml:space="preserve"> </v>
      </c>
      <c r="X264" s="95" t="s">
        <v>781</v>
      </c>
      <c r="Y264" s="204" t="str">
        <f t="shared" ref="Y264:AA264" si="1599">IFERROR(X264/$G264," ")</f>
        <v xml:space="preserve"> </v>
      </c>
      <c r="Z264" s="95" t="s">
        <v>781</v>
      </c>
      <c r="AA264" s="204" t="str">
        <f t="shared" si="1599"/>
        <v xml:space="preserve"> </v>
      </c>
      <c r="AB264" s="95" t="s">
        <v>781</v>
      </c>
      <c r="AC264" s="204" t="str">
        <f t="shared" ref="AC264:AE264" si="1600">IFERROR(AB264/$G264," ")</f>
        <v xml:space="preserve"> </v>
      </c>
      <c r="AD264" s="95" t="s">
        <v>781</v>
      </c>
      <c r="AE264" s="204" t="str">
        <f t="shared" si="1600"/>
        <v xml:space="preserve"> </v>
      </c>
      <c r="AF264" s="95" t="s">
        <v>781</v>
      </c>
      <c r="AG264" s="204" t="str">
        <f t="shared" ref="AG264:AI264" si="1601">IFERROR(AF264/$G264," ")</f>
        <v xml:space="preserve"> </v>
      </c>
      <c r="AH264" s="95" t="s">
        <v>781</v>
      </c>
      <c r="AI264" s="204" t="str">
        <f t="shared" si="1601"/>
        <v xml:space="preserve"> </v>
      </c>
      <c r="AJ264" s="95" t="s">
        <v>781</v>
      </c>
      <c r="AK264" s="204" t="str">
        <f t="shared" ref="AK264:AM264" si="1602">IFERROR(AJ264/$G264," ")</f>
        <v xml:space="preserve"> </v>
      </c>
      <c r="AL264" s="95" t="s">
        <v>781</v>
      </c>
      <c r="AM264" s="204" t="str">
        <f t="shared" si="1602"/>
        <v xml:space="preserve"> </v>
      </c>
      <c r="AN264" s="95"/>
      <c r="AO264" s="94" t="str">
        <f t="shared" si="1212"/>
        <v xml:space="preserve"> </v>
      </c>
      <c r="AP264" s="94" t="str">
        <f t="shared" ref="AP264:AP327" si="1603">IFERROR(O264*$J264," ")</f>
        <v xml:space="preserve"> </v>
      </c>
      <c r="AQ264" s="94" t="str">
        <f t="shared" ref="AQ264:AQ327" si="1604">IFERROR(Q264*$J264," ")</f>
        <v xml:space="preserve"> </v>
      </c>
      <c r="AR264" s="94" t="str">
        <f t="shared" ref="AR264" si="1605">IFERROR(S264*$J264," ")</f>
        <v xml:space="preserve"> </v>
      </c>
      <c r="AS264" s="94" t="str">
        <f t="shared" si="1214"/>
        <v xml:space="preserve"> </v>
      </c>
      <c r="AT264" s="94" t="str">
        <f t="shared" si="1215"/>
        <v xml:space="preserve"> </v>
      </c>
      <c r="AU264" s="94" t="str">
        <f t="shared" si="1216"/>
        <v xml:space="preserve"> </v>
      </c>
      <c r="AV264" s="94" t="str">
        <f t="shared" si="1217"/>
        <v xml:space="preserve"> </v>
      </c>
      <c r="AW264" s="94" t="str">
        <f t="shared" si="1218"/>
        <v xml:space="preserve"> </v>
      </c>
      <c r="AX264" s="94" t="str">
        <f t="shared" si="1219"/>
        <v xml:space="preserve"> </v>
      </c>
      <c r="AY264" s="94" t="str">
        <f t="shared" si="1220"/>
        <v xml:space="preserve"> </v>
      </c>
      <c r="AZ264" s="94" t="str">
        <f t="shared" si="1221"/>
        <v xml:space="preserve"> </v>
      </c>
      <c r="BA264" s="94" t="str">
        <f t="shared" si="1222"/>
        <v xml:space="preserve"> </v>
      </c>
      <c r="BB264" s="94" t="str">
        <f t="shared" si="1223"/>
        <v xml:space="preserve"> </v>
      </c>
    </row>
    <row r="265" spans="1:54" x14ac:dyDescent="0.25">
      <c r="A265" s="80"/>
      <c r="B265" s="205" t="s">
        <v>2417</v>
      </c>
      <c r="C265" s="206" t="s">
        <v>1916</v>
      </c>
      <c r="D265" s="207" t="s">
        <v>783</v>
      </c>
      <c r="E265" s="94" t="str">
        <f>IFERROR(VLOOKUP(A265,Estimate!A:Q,17,FALSE)," ")</f>
        <v xml:space="preserve"> </v>
      </c>
      <c r="F265" s="208" t="s">
        <v>781</v>
      </c>
      <c r="G265" s="208" t="s">
        <v>781</v>
      </c>
      <c r="H265" s="209" t="s">
        <v>781</v>
      </c>
      <c r="I265" s="209">
        <v>420443.98</v>
      </c>
      <c r="J265" s="209" t="s">
        <v>781</v>
      </c>
      <c r="K265" s="209"/>
      <c r="L265" s="208" t="s">
        <v>781</v>
      </c>
      <c r="M265" s="204" t="str">
        <f t="shared" ref="M265:O328" si="1606">IFERROR(L265/$G265," ")</f>
        <v xml:space="preserve"> </v>
      </c>
      <c r="N265" s="95" t="s">
        <v>781</v>
      </c>
      <c r="O265" s="204" t="str">
        <f t="shared" si="1606"/>
        <v xml:space="preserve"> </v>
      </c>
      <c r="P265" s="95" t="s">
        <v>781</v>
      </c>
      <c r="Q265" s="204" t="str">
        <f t="shared" ref="Q265:S265" si="1607">IFERROR(P265/$G265," ")</f>
        <v xml:space="preserve"> </v>
      </c>
      <c r="R265" s="95" t="s">
        <v>781</v>
      </c>
      <c r="S265" s="204" t="str">
        <f t="shared" si="1607"/>
        <v xml:space="preserve"> </v>
      </c>
      <c r="T265" s="95" t="s">
        <v>781</v>
      </c>
      <c r="U265" s="204" t="str">
        <f t="shared" ref="U265:W265" si="1608">IFERROR(T265/$G265," ")</f>
        <v xml:space="preserve"> </v>
      </c>
      <c r="V265" s="95" t="s">
        <v>781</v>
      </c>
      <c r="W265" s="204" t="str">
        <f t="shared" si="1608"/>
        <v xml:space="preserve"> </v>
      </c>
      <c r="X265" s="95" t="s">
        <v>781</v>
      </c>
      <c r="Y265" s="204" t="str">
        <f t="shared" ref="Y265:AA265" si="1609">IFERROR(X265/$G265," ")</f>
        <v xml:space="preserve"> </v>
      </c>
      <c r="Z265" s="95" t="s">
        <v>781</v>
      </c>
      <c r="AA265" s="204" t="str">
        <f t="shared" si="1609"/>
        <v xml:space="preserve"> </v>
      </c>
      <c r="AB265" s="95" t="s">
        <v>781</v>
      </c>
      <c r="AC265" s="204" t="str">
        <f t="shared" ref="AC265:AE265" si="1610">IFERROR(AB265/$G265," ")</f>
        <v xml:space="preserve"> </v>
      </c>
      <c r="AD265" s="95" t="s">
        <v>781</v>
      </c>
      <c r="AE265" s="204" t="str">
        <f t="shared" si="1610"/>
        <v xml:space="preserve"> </v>
      </c>
      <c r="AF265" s="95" t="s">
        <v>781</v>
      </c>
      <c r="AG265" s="204" t="str">
        <f t="shared" ref="AG265:AI265" si="1611">IFERROR(AF265/$G265," ")</f>
        <v xml:space="preserve"> </v>
      </c>
      <c r="AH265" s="95" t="s">
        <v>781</v>
      </c>
      <c r="AI265" s="204" t="str">
        <f t="shared" si="1611"/>
        <v xml:space="preserve"> </v>
      </c>
      <c r="AJ265" s="95" t="s">
        <v>781</v>
      </c>
      <c r="AK265" s="204" t="str">
        <f t="shared" ref="AK265:AM265" si="1612">IFERROR(AJ265/$G265," ")</f>
        <v xml:space="preserve"> </v>
      </c>
      <c r="AL265" s="95" t="s">
        <v>781</v>
      </c>
      <c r="AM265" s="204" t="str">
        <f t="shared" si="1612"/>
        <v xml:space="preserve"> </v>
      </c>
      <c r="AN265" s="95"/>
      <c r="AO265" s="94" t="str">
        <f t="shared" ref="AO265:AO328" si="1613">IFERROR(M265*$J265," ")</f>
        <v xml:space="preserve"> </v>
      </c>
      <c r="AP265" s="94" t="str">
        <f t="shared" si="1603"/>
        <v xml:space="preserve"> </v>
      </c>
      <c r="AQ265" s="94" t="str">
        <f t="shared" si="1604"/>
        <v xml:space="preserve"> </v>
      </c>
      <c r="AR265" s="94" t="str">
        <f t="shared" ref="AR265:AR296" si="1614">IFERROR(S265*$J265," ")</f>
        <v xml:space="preserve"> </v>
      </c>
      <c r="AS265" s="94" t="str">
        <f t="shared" ref="AS265:AS328" si="1615">IFERROR(U265*$J265," ")</f>
        <v xml:space="preserve"> </v>
      </c>
      <c r="AT265" s="94" t="str">
        <f t="shared" ref="AT265:AT328" si="1616">IFERROR(W265*$J265," ")</f>
        <v xml:space="preserve"> </v>
      </c>
      <c r="AU265" s="94" t="str">
        <f t="shared" ref="AU265:AU328" si="1617">IFERROR(Y265*$J265," ")</f>
        <v xml:space="preserve"> </v>
      </c>
      <c r="AV265" s="94" t="str">
        <f t="shared" ref="AV265:AV328" si="1618">IFERROR(AA265*$J265," ")</f>
        <v xml:space="preserve"> </v>
      </c>
      <c r="AW265" s="94" t="str">
        <f t="shared" ref="AW265:AW328" si="1619">IFERROR(AC265*$J265," ")</f>
        <v xml:space="preserve"> </v>
      </c>
      <c r="AX265" s="94" t="str">
        <f t="shared" ref="AX265:AX328" si="1620">IFERROR(AE265*$J265," ")</f>
        <v xml:space="preserve"> </v>
      </c>
      <c r="AY265" s="94" t="str">
        <f t="shared" ref="AY265:AY328" si="1621">IFERROR(AG265*$J265," ")</f>
        <v xml:space="preserve"> </v>
      </c>
      <c r="AZ265" s="94" t="str">
        <f t="shared" ref="AZ265:AZ328" si="1622">IFERROR(AI265*$J265," ")</f>
        <v xml:space="preserve"> </v>
      </c>
      <c r="BA265" s="94" t="str">
        <f t="shared" ref="BA265:BA328" si="1623">IFERROR(AK265*$J265," ")</f>
        <v xml:space="preserve"> </v>
      </c>
      <c r="BB265" s="94" t="str">
        <f t="shared" ref="BB265:BB328" si="1624">IFERROR(AM265*$J265," ")</f>
        <v xml:space="preserve"> </v>
      </c>
    </row>
    <row r="266" spans="1:54" x14ac:dyDescent="0.25">
      <c r="A266" s="80"/>
      <c r="B266" s="95" t="s">
        <v>2417</v>
      </c>
      <c r="C266" s="201" t="s">
        <v>781</v>
      </c>
      <c r="D266" s="80" t="s">
        <v>783</v>
      </c>
      <c r="E266" s="94" t="str">
        <f>IFERROR(VLOOKUP(A266,Estimate!A:Q,17,FALSE)," ")</f>
        <v xml:space="preserve"> </v>
      </c>
      <c r="F266" s="202" t="s">
        <v>781</v>
      </c>
      <c r="G266" s="202" t="s">
        <v>781</v>
      </c>
      <c r="H266" s="203" t="s">
        <v>781</v>
      </c>
      <c r="I266" s="203" t="s">
        <v>781</v>
      </c>
      <c r="J266" s="203" t="s">
        <v>781</v>
      </c>
      <c r="K266" s="203"/>
      <c r="L266" s="202" t="s">
        <v>781</v>
      </c>
      <c r="M266" s="204" t="str">
        <f t="shared" si="1606"/>
        <v xml:space="preserve"> </v>
      </c>
      <c r="N266" s="95" t="s">
        <v>781</v>
      </c>
      <c r="O266" s="204" t="str">
        <f t="shared" si="1606"/>
        <v xml:space="preserve"> </v>
      </c>
      <c r="P266" s="95" t="s">
        <v>781</v>
      </c>
      <c r="Q266" s="204" t="str">
        <f t="shared" ref="Q266:S266" si="1625">IFERROR(P266/$G266," ")</f>
        <v xml:space="preserve"> </v>
      </c>
      <c r="R266" s="95" t="s">
        <v>781</v>
      </c>
      <c r="S266" s="204" t="str">
        <f t="shared" si="1625"/>
        <v xml:space="preserve"> </v>
      </c>
      <c r="T266" s="95" t="s">
        <v>781</v>
      </c>
      <c r="U266" s="204" t="str">
        <f t="shared" ref="U266:W266" si="1626">IFERROR(T266/$G266," ")</f>
        <v xml:space="preserve"> </v>
      </c>
      <c r="V266" s="95" t="s">
        <v>781</v>
      </c>
      <c r="W266" s="204" t="str">
        <f t="shared" si="1626"/>
        <v xml:space="preserve"> </v>
      </c>
      <c r="X266" s="95" t="s">
        <v>781</v>
      </c>
      <c r="Y266" s="204" t="str">
        <f t="shared" ref="Y266:AA266" si="1627">IFERROR(X266/$G266," ")</f>
        <v xml:space="preserve"> </v>
      </c>
      <c r="Z266" s="95" t="s">
        <v>781</v>
      </c>
      <c r="AA266" s="204" t="str">
        <f t="shared" si="1627"/>
        <v xml:space="preserve"> </v>
      </c>
      <c r="AB266" s="95" t="s">
        <v>781</v>
      </c>
      <c r="AC266" s="204" t="str">
        <f t="shared" ref="AC266:AE266" si="1628">IFERROR(AB266/$G266," ")</f>
        <v xml:space="preserve"> </v>
      </c>
      <c r="AD266" s="95" t="s">
        <v>781</v>
      </c>
      <c r="AE266" s="204" t="str">
        <f t="shared" si="1628"/>
        <v xml:space="preserve"> </v>
      </c>
      <c r="AF266" s="95" t="s">
        <v>781</v>
      </c>
      <c r="AG266" s="204" t="str">
        <f t="shared" ref="AG266:AI266" si="1629">IFERROR(AF266/$G266," ")</f>
        <v xml:space="preserve"> </v>
      </c>
      <c r="AH266" s="95" t="s">
        <v>781</v>
      </c>
      <c r="AI266" s="204" t="str">
        <f t="shared" si="1629"/>
        <v xml:space="preserve"> </v>
      </c>
      <c r="AJ266" s="95" t="s">
        <v>781</v>
      </c>
      <c r="AK266" s="204" t="str">
        <f t="shared" ref="AK266:AM266" si="1630">IFERROR(AJ266/$G266," ")</f>
        <v xml:space="preserve"> </v>
      </c>
      <c r="AL266" s="95" t="s">
        <v>781</v>
      </c>
      <c r="AM266" s="204" t="str">
        <f t="shared" si="1630"/>
        <v xml:space="preserve"> </v>
      </c>
      <c r="AN266" s="95"/>
      <c r="AO266" s="94" t="str">
        <f t="shared" si="1613"/>
        <v xml:space="preserve"> </v>
      </c>
      <c r="AP266" s="94" t="str">
        <f t="shared" si="1603"/>
        <v xml:space="preserve"> </v>
      </c>
      <c r="AQ266" s="94" t="str">
        <f t="shared" si="1604"/>
        <v xml:space="preserve"> </v>
      </c>
      <c r="AR266" s="94" t="str">
        <f t="shared" si="1614"/>
        <v xml:space="preserve"> </v>
      </c>
      <c r="AS266" s="94" t="str">
        <f t="shared" si="1615"/>
        <v xml:space="preserve"> </v>
      </c>
      <c r="AT266" s="94" t="str">
        <f t="shared" si="1616"/>
        <v xml:space="preserve"> </v>
      </c>
      <c r="AU266" s="94" t="str">
        <f t="shared" si="1617"/>
        <v xml:space="preserve"> </v>
      </c>
      <c r="AV266" s="94" t="str">
        <f t="shared" si="1618"/>
        <v xml:space="preserve"> </v>
      </c>
      <c r="AW266" s="94" t="str">
        <f t="shared" si="1619"/>
        <v xml:space="preserve"> </v>
      </c>
      <c r="AX266" s="94" t="str">
        <f t="shared" si="1620"/>
        <v xml:space="preserve"> </v>
      </c>
      <c r="AY266" s="94" t="str">
        <f t="shared" si="1621"/>
        <v xml:space="preserve"> </v>
      </c>
      <c r="AZ266" s="94" t="str">
        <f t="shared" si="1622"/>
        <v xml:space="preserve"> </v>
      </c>
      <c r="BA266" s="94" t="str">
        <f t="shared" si="1623"/>
        <v xml:space="preserve"> </v>
      </c>
      <c r="BB266" s="94" t="str">
        <f t="shared" si="1624"/>
        <v xml:space="preserve"> </v>
      </c>
    </row>
    <row r="267" spans="1:54" x14ac:dyDescent="0.25">
      <c r="A267" s="80"/>
      <c r="B267" s="95" t="s">
        <v>2417</v>
      </c>
      <c r="C267" s="201" t="s">
        <v>426</v>
      </c>
      <c r="D267" s="80" t="s">
        <v>783</v>
      </c>
      <c r="E267" s="94" t="str">
        <f>IFERROR(VLOOKUP(A267,Estimate!A:Q,17,FALSE)," ")</f>
        <v xml:space="preserve"> </v>
      </c>
      <c r="F267" s="202" t="s">
        <v>781</v>
      </c>
      <c r="G267" s="202" t="s">
        <v>781</v>
      </c>
      <c r="H267" s="203" t="s">
        <v>781</v>
      </c>
      <c r="I267" s="203" t="s">
        <v>781</v>
      </c>
      <c r="J267" s="203" t="s">
        <v>781</v>
      </c>
      <c r="K267" s="203"/>
      <c r="L267" s="202" t="s">
        <v>781</v>
      </c>
      <c r="M267" s="204" t="str">
        <f t="shared" si="1606"/>
        <v xml:space="preserve"> </v>
      </c>
      <c r="N267" s="95" t="s">
        <v>781</v>
      </c>
      <c r="O267" s="204" t="str">
        <f t="shared" si="1606"/>
        <v xml:space="preserve"> </v>
      </c>
      <c r="P267" s="95" t="s">
        <v>781</v>
      </c>
      <c r="Q267" s="204" t="str">
        <f t="shared" ref="Q267:S267" si="1631">IFERROR(P267/$G267," ")</f>
        <v xml:space="preserve"> </v>
      </c>
      <c r="R267" s="95" t="s">
        <v>781</v>
      </c>
      <c r="S267" s="204" t="str">
        <f t="shared" si="1631"/>
        <v xml:space="preserve"> </v>
      </c>
      <c r="T267" s="95" t="s">
        <v>781</v>
      </c>
      <c r="U267" s="204" t="str">
        <f t="shared" ref="U267:W267" si="1632">IFERROR(T267/$G267," ")</f>
        <v xml:space="preserve"> </v>
      </c>
      <c r="V267" s="95" t="s">
        <v>781</v>
      </c>
      <c r="W267" s="204" t="str">
        <f t="shared" si="1632"/>
        <v xml:space="preserve"> </v>
      </c>
      <c r="X267" s="95" t="s">
        <v>781</v>
      </c>
      <c r="Y267" s="204" t="str">
        <f t="shared" ref="Y267:AA267" si="1633">IFERROR(X267/$G267," ")</f>
        <v xml:space="preserve"> </v>
      </c>
      <c r="Z267" s="95" t="s">
        <v>781</v>
      </c>
      <c r="AA267" s="204" t="str">
        <f t="shared" si="1633"/>
        <v xml:space="preserve"> </v>
      </c>
      <c r="AB267" s="95" t="s">
        <v>781</v>
      </c>
      <c r="AC267" s="204" t="str">
        <f t="shared" ref="AC267:AE267" si="1634">IFERROR(AB267/$G267," ")</f>
        <v xml:space="preserve"> </v>
      </c>
      <c r="AD267" s="95" t="s">
        <v>781</v>
      </c>
      <c r="AE267" s="204" t="str">
        <f t="shared" si="1634"/>
        <v xml:space="preserve"> </v>
      </c>
      <c r="AF267" s="95" t="s">
        <v>781</v>
      </c>
      <c r="AG267" s="204" t="str">
        <f t="shared" ref="AG267:AI267" si="1635">IFERROR(AF267/$G267," ")</f>
        <v xml:space="preserve"> </v>
      </c>
      <c r="AH267" s="95" t="s">
        <v>781</v>
      </c>
      <c r="AI267" s="204" t="str">
        <f t="shared" si="1635"/>
        <v xml:space="preserve"> </v>
      </c>
      <c r="AJ267" s="95" t="s">
        <v>781</v>
      </c>
      <c r="AK267" s="204" t="str">
        <f t="shared" ref="AK267:AM267" si="1636">IFERROR(AJ267/$G267," ")</f>
        <v xml:space="preserve"> </v>
      </c>
      <c r="AL267" s="95" t="s">
        <v>781</v>
      </c>
      <c r="AM267" s="204" t="str">
        <f t="shared" si="1636"/>
        <v xml:space="preserve"> </v>
      </c>
      <c r="AN267" s="95"/>
      <c r="AO267" s="94" t="str">
        <f t="shared" si="1613"/>
        <v xml:space="preserve"> </v>
      </c>
      <c r="AP267" s="94" t="str">
        <f t="shared" si="1603"/>
        <v xml:space="preserve"> </v>
      </c>
      <c r="AQ267" s="94" t="str">
        <f t="shared" si="1604"/>
        <v xml:space="preserve"> </v>
      </c>
      <c r="AR267" s="94" t="str">
        <f t="shared" si="1614"/>
        <v xml:space="preserve"> </v>
      </c>
      <c r="AS267" s="94" t="str">
        <f t="shared" si="1615"/>
        <v xml:space="preserve"> </v>
      </c>
      <c r="AT267" s="94" t="str">
        <f t="shared" si="1616"/>
        <v xml:space="preserve"> </v>
      </c>
      <c r="AU267" s="94" t="str">
        <f t="shared" si="1617"/>
        <v xml:space="preserve"> </v>
      </c>
      <c r="AV267" s="94" t="str">
        <f t="shared" si="1618"/>
        <v xml:space="preserve"> </v>
      </c>
      <c r="AW267" s="94" t="str">
        <f t="shared" si="1619"/>
        <v xml:space="preserve"> </v>
      </c>
      <c r="AX267" s="94" t="str">
        <f t="shared" si="1620"/>
        <v xml:space="preserve"> </v>
      </c>
      <c r="AY267" s="94" t="str">
        <f t="shared" si="1621"/>
        <v xml:space="preserve"> </v>
      </c>
      <c r="AZ267" s="94" t="str">
        <f t="shared" si="1622"/>
        <v xml:space="preserve"> </v>
      </c>
      <c r="BA267" s="94" t="str">
        <f t="shared" si="1623"/>
        <v xml:space="preserve"> </v>
      </c>
      <c r="BB267" s="94" t="str">
        <f t="shared" si="1624"/>
        <v xml:space="preserve"> </v>
      </c>
    </row>
    <row r="268" spans="1:54" x14ac:dyDescent="0.25">
      <c r="A268" s="80"/>
      <c r="B268" s="95" t="s">
        <v>2417</v>
      </c>
      <c r="C268" s="201" t="s">
        <v>781</v>
      </c>
      <c r="D268" s="80" t="s">
        <v>783</v>
      </c>
      <c r="E268" s="94" t="str">
        <f>IFERROR(VLOOKUP(A268,Estimate!A:Q,17,FALSE)," ")</f>
        <v xml:space="preserve"> </v>
      </c>
      <c r="F268" s="202" t="s">
        <v>781</v>
      </c>
      <c r="G268" s="202" t="s">
        <v>781</v>
      </c>
      <c r="H268" s="203" t="s">
        <v>781</v>
      </c>
      <c r="I268" s="203" t="s">
        <v>781</v>
      </c>
      <c r="J268" s="203" t="s">
        <v>781</v>
      </c>
      <c r="K268" s="203"/>
      <c r="L268" s="202" t="s">
        <v>781</v>
      </c>
      <c r="M268" s="204" t="str">
        <f t="shared" si="1606"/>
        <v xml:space="preserve"> </v>
      </c>
      <c r="N268" s="95" t="s">
        <v>781</v>
      </c>
      <c r="O268" s="204" t="str">
        <f t="shared" si="1606"/>
        <v xml:space="preserve"> </v>
      </c>
      <c r="P268" s="95" t="s">
        <v>781</v>
      </c>
      <c r="Q268" s="204" t="str">
        <f t="shared" ref="Q268:S268" si="1637">IFERROR(P268/$G268," ")</f>
        <v xml:space="preserve"> </v>
      </c>
      <c r="R268" s="95" t="s">
        <v>781</v>
      </c>
      <c r="S268" s="204" t="str">
        <f t="shared" si="1637"/>
        <v xml:space="preserve"> </v>
      </c>
      <c r="T268" s="95" t="s">
        <v>781</v>
      </c>
      <c r="U268" s="204" t="str">
        <f t="shared" ref="U268:W268" si="1638">IFERROR(T268/$G268," ")</f>
        <v xml:space="preserve"> </v>
      </c>
      <c r="V268" s="95" t="s">
        <v>781</v>
      </c>
      <c r="W268" s="204" t="str">
        <f t="shared" si="1638"/>
        <v xml:space="preserve"> </v>
      </c>
      <c r="X268" s="95" t="s">
        <v>781</v>
      </c>
      <c r="Y268" s="204" t="str">
        <f t="shared" ref="Y268:AA268" si="1639">IFERROR(X268/$G268," ")</f>
        <v xml:space="preserve"> </v>
      </c>
      <c r="Z268" s="95" t="s">
        <v>781</v>
      </c>
      <c r="AA268" s="204" t="str">
        <f t="shared" si="1639"/>
        <v xml:space="preserve"> </v>
      </c>
      <c r="AB268" s="95" t="s">
        <v>781</v>
      </c>
      <c r="AC268" s="204" t="str">
        <f t="shared" ref="AC268:AE268" si="1640">IFERROR(AB268/$G268," ")</f>
        <v xml:space="preserve"> </v>
      </c>
      <c r="AD268" s="95" t="s">
        <v>781</v>
      </c>
      <c r="AE268" s="204" t="str">
        <f t="shared" si="1640"/>
        <v xml:space="preserve"> </v>
      </c>
      <c r="AF268" s="95" t="s">
        <v>781</v>
      </c>
      <c r="AG268" s="204" t="str">
        <f t="shared" ref="AG268:AI268" si="1641">IFERROR(AF268/$G268," ")</f>
        <v xml:space="preserve"> </v>
      </c>
      <c r="AH268" s="95" t="s">
        <v>781</v>
      </c>
      <c r="AI268" s="204" t="str">
        <f t="shared" si="1641"/>
        <v xml:space="preserve"> </v>
      </c>
      <c r="AJ268" s="95" t="s">
        <v>781</v>
      </c>
      <c r="AK268" s="204" t="str">
        <f t="shared" ref="AK268:AM268" si="1642">IFERROR(AJ268/$G268," ")</f>
        <v xml:space="preserve"> </v>
      </c>
      <c r="AL268" s="95" t="s">
        <v>781</v>
      </c>
      <c r="AM268" s="204" t="str">
        <f t="shared" si="1642"/>
        <v xml:space="preserve"> </v>
      </c>
      <c r="AN268" s="95"/>
      <c r="AO268" s="94" t="str">
        <f t="shared" si="1613"/>
        <v xml:space="preserve"> </v>
      </c>
      <c r="AP268" s="94" t="str">
        <f t="shared" si="1603"/>
        <v xml:space="preserve"> </v>
      </c>
      <c r="AQ268" s="94" t="str">
        <f t="shared" si="1604"/>
        <v xml:space="preserve"> </v>
      </c>
      <c r="AR268" s="94" t="str">
        <f t="shared" si="1614"/>
        <v xml:space="preserve"> </v>
      </c>
      <c r="AS268" s="94" t="str">
        <f t="shared" si="1615"/>
        <v xml:space="preserve"> </v>
      </c>
      <c r="AT268" s="94" t="str">
        <f t="shared" si="1616"/>
        <v xml:space="preserve"> </v>
      </c>
      <c r="AU268" s="94" t="str">
        <f t="shared" si="1617"/>
        <v xml:space="preserve"> </v>
      </c>
      <c r="AV268" s="94" t="str">
        <f t="shared" si="1618"/>
        <v xml:space="preserve"> </v>
      </c>
      <c r="AW268" s="94" t="str">
        <f t="shared" si="1619"/>
        <v xml:space="preserve"> </v>
      </c>
      <c r="AX268" s="94" t="str">
        <f t="shared" si="1620"/>
        <v xml:space="preserve"> </v>
      </c>
      <c r="AY268" s="94" t="str">
        <f t="shared" si="1621"/>
        <v xml:space="preserve"> </v>
      </c>
      <c r="AZ268" s="94" t="str">
        <f t="shared" si="1622"/>
        <v xml:space="preserve"> </v>
      </c>
      <c r="BA268" s="94" t="str">
        <f t="shared" si="1623"/>
        <v xml:space="preserve"> </v>
      </c>
      <c r="BB268" s="94" t="str">
        <f t="shared" si="1624"/>
        <v xml:space="preserve"> </v>
      </c>
    </row>
    <row r="269" spans="1:54" x14ac:dyDescent="0.25">
      <c r="A269" s="80"/>
      <c r="B269" s="95" t="s">
        <v>2417</v>
      </c>
      <c r="C269" s="201" t="s">
        <v>17</v>
      </c>
      <c r="D269" s="80" t="s">
        <v>783</v>
      </c>
      <c r="E269" s="94" t="str">
        <f>IFERROR(VLOOKUP(A269,Estimate!A:Q,17,FALSE)," ")</f>
        <v xml:space="preserve"> </v>
      </c>
      <c r="F269" s="202" t="s">
        <v>781</v>
      </c>
      <c r="G269" s="202" t="s">
        <v>781</v>
      </c>
      <c r="H269" s="203" t="s">
        <v>781</v>
      </c>
      <c r="I269" s="203" t="s">
        <v>781</v>
      </c>
      <c r="J269" s="203" t="s">
        <v>781</v>
      </c>
      <c r="K269" s="203"/>
      <c r="L269" s="202" t="s">
        <v>781</v>
      </c>
      <c r="M269" s="204" t="str">
        <f t="shared" si="1606"/>
        <v xml:space="preserve"> </v>
      </c>
      <c r="N269" s="95" t="s">
        <v>781</v>
      </c>
      <c r="O269" s="204" t="str">
        <f t="shared" si="1606"/>
        <v xml:space="preserve"> </v>
      </c>
      <c r="P269" s="95" t="s">
        <v>781</v>
      </c>
      <c r="Q269" s="204" t="str">
        <f t="shared" ref="Q269:S269" si="1643">IFERROR(P269/$G269," ")</f>
        <v xml:space="preserve"> </v>
      </c>
      <c r="R269" s="95" t="s">
        <v>781</v>
      </c>
      <c r="S269" s="204" t="str">
        <f t="shared" si="1643"/>
        <v xml:space="preserve"> </v>
      </c>
      <c r="T269" s="95" t="s">
        <v>781</v>
      </c>
      <c r="U269" s="204" t="str">
        <f t="shared" ref="U269:W269" si="1644">IFERROR(T269/$G269," ")</f>
        <v xml:space="preserve"> </v>
      </c>
      <c r="V269" s="95" t="s">
        <v>781</v>
      </c>
      <c r="W269" s="204" t="str">
        <f t="shared" si="1644"/>
        <v xml:space="preserve"> </v>
      </c>
      <c r="X269" s="95" t="s">
        <v>781</v>
      </c>
      <c r="Y269" s="204" t="str">
        <f t="shared" ref="Y269:AA269" si="1645">IFERROR(X269/$G269," ")</f>
        <v xml:space="preserve"> </v>
      </c>
      <c r="Z269" s="95" t="s">
        <v>781</v>
      </c>
      <c r="AA269" s="204" t="str">
        <f t="shared" si="1645"/>
        <v xml:space="preserve"> </v>
      </c>
      <c r="AB269" s="95" t="s">
        <v>781</v>
      </c>
      <c r="AC269" s="204" t="str">
        <f t="shared" ref="AC269:AE269" si="1646">IFERROR(AB269/$G269," ")</f>
        <v xml:space="preserve"> </v>
      </c>
      <c r="AD269" s="95" t="s">
        <v>781</v>
      </c>
      <c r="AE269" s="204" t="str">
        <f t="shared" si="1646"/>
        <v xml:space="preserve"> </v>
      </c>
      <c r="AF269" s="95" t="s">
        <v>781</v>
      </c>
      <c r="AG269" s="204" t="str">
        <f t="shared" ref="AG269:AI269" si="1647">IFERROR(AF269/$G269," ")</f>
        <v xml:space="preserve"> </v>
      </c>
      <c r="AH269" s="95" t="s">
        <v>781</v>
      </c>
      <c r="AI269" s="204" t="str">
        <f t="shared" si="1647"/>
        <v xml:space="preserve"> </v>
      </c>
      <c r="AJ269" s="95" t="s">
        <v>781</v>
      </c>
      <c r="AK269" s="204" t="str">
        <f t="shared" ref="AK269:AM269" si="1648">IFERROR(AJ269/$G269," ")</f>
        <v xml:space="preserve"> </v>
      </c>
      <c r="AL269" s="95" t="s">
        <v>781</v>
      </c>
      <c r="AM269" s="204" t="str">
        <f t="shared" si="1648"/>
        <v xml:space="preserve"> </v>
      </c>
      <c r="AN269" s="95"/>
      <c r="AO269" s="94" t="str">
        <f t="shared" si="1613"/>
        <v xml:space="preserve"> </v>
      </c>
      <c r="AP269" s="94" t="str">
        <f t="shared" si="1603"/>
        <v xml:space="preserve"> </v>
      </c>
      <c r="AQ269" s="94" t="str">
        <f t="shared" si="1604"/>
        <v xml:space="preserve"> </v>
      </c>
      <c r="AR269" s="94" t="str">
        <f t="shared" si="1614"/>
        <v xml:space="preserve"> </v>
      </c>
      <c r="AS269" s="94" t="str">
        <f t="shared" si="1615"/>
        <v xml:space="preserve"> </v>
      </c>
      <c r="AT269" s="94" t="str">
        <f t="shared" si="1616"/>
        <v xml:space="preserve"> </v>
      </c>
      <c r="AU269" s="94" t="str">
        <f t="shared" si="1617"/>
        <v xml:space="preserve"> </v>
      </c>
      <c r="AV269" s="94" t="str">
        <f t="shared" si="1618"/>
        <v xml:space="preserve"> </v>
      </c>
      <c r="AW269" s="94" t="str">
        <f t="shared" si="1619"/>
        <v xml:space="preserve"> </v>
      </c>
      <c r="AX269" s="94" t="str">
        <f t="shared" si="1620"/>
        <v xml:space="preserve"> </v>
      </c>
      <c r="AY269" s="94" t="str">
        <f t="shared" si="1621"/>
        <v xml:space="preserve"> </v>
      </c>
      <c r="AZ269" s="94" t="str">
        <f t="shared" si="1622"/>
        <v xml:space="preserve"> </v>
      </c>
      <c r="BA269" s="94" t="str">
        <f t="shared" si="1623"/>
        <v xml:space="preserve"> </v>
      </c>
      <c r="BB269" s="94" t="str">
        <f t="shared" si="1624"/>
        <v xml:space="preserve"> </v>
      </c>
    </row>
    <row r="270" spans="1:54" x14ac:dyDescent="0.25">
      <c r="A270" s="80"/>
      <c r="B270" s="95" t="s">
        <v>2835</v>
      </c>
      <c r="C270" s="201" t="s">
        <v>25</v>
      </c>
      <c r="D270" s="80" t="s">
        <v>783</v>
      </c>
      <c r="E270" s="94" t="str">
        <f>IFERROR(VLOOKUP(A270,Estimate!A:Q,17,FALSE)," ")</f>
        <v xml:space="preserve"> </v>
      </c>
      <c r="F270" s="202" t="s">
        <v>781</v>
      </c>
      <c r="G270" s="202" t="s">
        <v>781</v>
      </c>
      <c r="H270" s="203" t="s">
        <v>781</v>
      </c>
      <c r="I270" s="203" t="s">
        <v>781</v>
      </c>
      <c r="J270" s="203" t="s">
        <v>781</v>
      </c>
      <c r="K270" s="203"/>
      <c r="L270" s="202" t="s">
        <v>781</v>
      </c>
      <c r="M270" s="204" t="str">
        <f t="shared" si="1606"/>
        <v xml:space="preserve"> </v>
      </c>
      <c r="N270" s="95" t="s">
        <v>781</v>
      </c>
      <c r="O270" s="204" t="str">
        <f t="shared" si="1606"/>
        <v xml:space="preserve"> </v>
      </c>
      <c r="P270" s="95" t="s">
        <v>781</v>
      </c>
      <c r="Q270" s="204" t="str">
        <f t="shared" ref="Q270:S270" si="1649">IFERROR(P270/$G270," ")</f>
        <v xml:space="preserve"> </v>
      </c>
      <c r="R270" s="95" t="s">
        <v>781</v>
      </c>
      <c r="S270" s="204" t="str">
        <f t="shared" si="1649"/>
        <v xml:space="preserve"> </v>
      </c>
      <c r="T270" s="95" t="s">
        <v>781</v>
      </c>
      <c r="U270" s="204" t="str">
        <f t="shared" ref="U270:W270" si="1650">IFERROR(T270/$G270," ")</f>
        <v xml:space="preserve"> </v>
      </c>
      <c r="V270" s="95" t="s">
        <v>781</v>
      </c>
      <c r="W270" s="204" t="str">
        <f t="shared" si="1650"/>
        <v xml:space="preserve"> </v>
      </c>
      <c r="X270" s="95" t="s">
        <v>781</v>
      </c>
      <c r="Y270" s="204" t="str">
        <f t="shared" ref="Y270:AA270" si="1651">IFERROR(X270/$G270," ")</f>
        <v xml:space="preserve"> </v>
      </c>
      <c r="Z270" s="95" t="s">
        <v>781</v>
      </c>
      <c r="AA270" s="204" t="str">
        <f t="shared" si="1651"/>
        <v xml:space="preserve"> </v>
      </c>
      <c r="AB270" s="95" t="s">
        <v>781</v>
      </c>
      <c r="AC270" s="204" t="str">
        <f t="shared" ref="AC270:AE270" si="1652">IFERROR(AB270/$G270," ")</f>
        <v xml:space="preserve"> </v>
      </c>
      <c r="AD270" s="95" t="s">
        <v>781</v>
      </c>
      <c r="AE270" s="204" t="str">
        <f t="shared" si="1652"/>
        <v xml:space="preserve"> </v>
      </c>
      <c r="AF270" s="95" t="s">
        <v>781</v>
      </c>
      <c r="AG270" s="204" t="str">
        <f t="shared" ref="AG270:AI270" si="1653">IFERROR(AF270/$G270," ")</f>
        <v xml:space="preserve"> </v>
      </c>
      <c r="AH270" s="95" t="s">
        <v>781</v>
      </c>
      <c r="AI270" s="204" t="str">
        <f t="shared" si="1653"/>
        <v xml:space="preserve"> </v>
      </c>
      <c r="AJ270" s="95" t="s">
        <v>781</v>
      </c>
      <c r="AK270" s="204" t="str">
        <f t="shared" ref="AK270:AM270" si="1654">IFERROR(AJ270/$G270," ")</f>
        <v xml:space="preserve"> </v>
      </c>
      <c r="AL270" s="95" t="s">
        <v>781</v>
      </c>
      <c r="AM270" s="204" t="str">
        <f t="shared" si="1654"/>
        <v xml:space="preserve"> </v>
      </c>
      <c r="AN270" s="95"/>
      <c r="AO270" s="94" t="str">
        <f t="shared" si="1613"/>
        <v xml:space="preserve"> </v>
      </c>
      <c r="AP270" s="94" t="str">
        <f t="shared" si="1603"/>
        <v xml:space="preserve"> </v>
      </c>
      <c r="AQ270" s="94" t="str">
        <f t="shared" si="1604"/>
        <v xml:space="preserve"> </v>
      </c>
      <c r="AR270" s="94" t="str">
        <f t="shared" si="1614"/>
        <v xml:space="preserve"> </v>
      </c>
      <c r="AS270" s="94" t="str">
        <f t="shared" si="1615"/>
        <v xml:space="preserve"> </v>
      </c>
      <c r="AT270" s="94" t="str">
        <f t="shared" si="1616"/>
        <v xml:space="preserve"> </v>
      </c>
      <c r="AU270" s="94" t="str">
        <f t="shared" si="1617"/>
        <v xml:space="preserve"> </v>
      </c>
      <c r="AV270" s="94" t="str">
        <f t="shared" si="1618"/>
        <v xml:space="preserve"> </v>
      </c>
      <c r="AW270" s="94" t="str">
        <f t="shared" si="1619"/>
        <v xml:space="preserve"> </v>
      </c>
      <c r="AX270" s="94" t="str">
        <f t="shared" si="1620"/>
        <v xml:space="preserve"> </v>
      </c>
      <c r="AY270" s="94" t="str">
        <f t="shared" si="1621"/>
        <v xml:space="preserve"> </v>
      </c>
      <c r="AZ270" s="94" t="str">
        <f t="shared" si="1622"/>
        <v xml:space="preserve"> </v>
      </c>
      <c r="BA270" s="94" t="str">
        <f t="shared" si="1623"/>
        <v xml:space="preserve"> </v>
      </c>
      <c r="BB270" s="94" t="str">
        <f t="shared" si="1624"/>
        <v xml:space="preserve"> </v>
      </c>
    </row>
    <row r="271" spans="1:54" x14ac:dyDescent="0.25">
      <c r="A271" s="80">
        <v>115</v>
      </c>
      <c r="B271" s="95" t="s">
        <v>2836</v>
      </c>
      <c r="C271" s="201" t="s">
        <v>27</v>
      </c>
      <c r="D271" s="80" t="s">
        <v>20</v>
      </c>
      <c r="E271" s="94">
        <f>IFERROR(VLOOKUP(A271,Estimate!A:Q,17,FALSE)," ")</f>
        <v>9760</v>
      </c>
      <c r="F271" s="202">
        <v>1</v>
      </c>
      <c r="G271" s="202">
        <v>1</v>
      </c>
      <c r="H271" s="203">
        <v>12260.78</v>
      </c>
      <c r="I271" s="203">
        <v>12260.78</v>
      </c>
      <c r="J271" s="203">
        <v>12260.78</v>
      </c>
      <c r="K271" s="203"/>
      <c r="L271" s="202"/>
      <c r="M271" s="204">
        <f t="shared" si="1606"/>
        <v>0</v>
      </c>
      <c r="N271" s="95"/>
      <c r="O271" s="204">
        <f t="shared" si="1606"/>
        <v>0</v>
      </c>
      <c r="P271" s="95"/>
      <c r="Q271" s="204">
        <f t="shared" ref="Q271:S271" si="1655">IFERROR(P271/$G271," ")</f>
        <v>0</v>
      </c>
      <c r="R271" s="95"/>
      <c r="S271" s="204">
        <f t="shared" si="1655"/>
        <v>0</v>
      </c>
      <c r="T271" s="95"/>
      <c r="U271" s="204">
        <f t="shared" ref="U271:W271" si="1656">IFERROR(T271/$G271," ")</f>
        <v>0</v>
      </c>
      <c r="V271" s="95"/>
      <c r="W271" s="204">
        <f t="shared" si="1656"/>
        <v>0</v>
      </c>
      <c r="X271" s="95"/>
      <c r="Y271" s="204">
        <f t="shared" ref="Y271:AA271" si="1657">IFERROR(X271/$G271," ")</f>
        <v>0</v>
      </c>
      <c r="Z271" s="95"/>
      <c r="AA271" s="204">
        <f t="shared" si="1657"/>
        <v>0</v>
      </c>
      <c r="AB271" s="95">
        <v>0.1</v>
      </c>
      <c r="AC271" s="204">
        <f t="shared" ref="AC271:AE271" si="1658">IFERROR(AB271/$G271," ")</f>
        <v>0.1</v>
      </c>
      <c r="AD271" s="95">
        <v>0.5</v>
      </c>
      <c r="AE271" s="204">
        <f t="shared" si="1658"/>
        <v>0.5</v>
      </c>
      <c r="AF271" s="95">
        <v>0.75</v>
      </c>
      <c r="AG271" s="204">
        <f t="shared" ref="AG271:AI271" si="1659">IFERROR(AF271/$G271," ")</f>
        <v>0.75</v>
      </c>
      <c r="AH271" s="95">
        <v>1</v>
      </c>
      <c r="AI271" s="204">
        <f t="shared" si="1659"/>
        <v>1</v>
      </c>
      <c r="AJ271" s="95">
        <v>1</v>
      </c>
      <c r="AK271" s="204">
        <f t="shared" ref="AK271:AM271" si="1660">IFERROR(AJ271/$G271," ")</f>
        <v>1</v>
      </c>
      <c r="AL271" s="95">
        <v>1</v>
      </c>
      <c r="AM271" s="204">
        <f t="shared" si="1660"/>
        <v>1</v>
      </c>
      <c r="AN271" s="95"/>
      <c r="AO271" s="94">
        <f t="shared" si="1613"/>
        <v>0</v>
      </c>
      <c r="AP271" s="94">
        <f t="shared" si="1603"/>
        <v>0</v>
      </c>
      <c r="AQ271" s="94">
        <f t="shared" si="1604"/>
        <v>0</v>
      </c>
      <c r="AR271" s="94">
        <f t="shared" si="1614"/>
        <v>0</v>
      </c>
      <c r="AS271" s="94">
        <f t="shared" si="1615"/>
        <v>0</v>
      </c>
      <c r="AT271" s="94">
        <f t="shared" si="1616"/>
        <v>0</v>
      </c>
      <c r="AU271" s="94">
        <f t="shared" si="1617"/>
        <v>0</v>
      </c>
      <c r="AV271" s="94">
        <f t="shared" si="1618"/>
        <v>0</v>
      </c>
      <c r="AW271" s="94">
        <f t="shared" si="1619"/>
        <v>1226.0780000000002</v>
      </c>
      <c r="AX271" s="94">
        <f t="shared" si="1620"/>
        <v>6130.39</v>
      </c>
      <c r="AY271" s="94">
        <f t="shared" si="1621"/>
        <v>9195.5850000000009</v>
      </c>
      <c r="AZ271" s="94">
        <f t="shared" si="1622"/>
        <v>12260.78</v>
      </c>
      <c r="BA271" s="94">
        <f t="shared" si="1623"/>
        <v>12260.78</v>
      </c>
      <c r="BB271" s="94">
        <f t="shared" si="1624"/>
        <v>12260.78</v>
      </c>
    </row>
    <row r="272" spans="1:54" x14ac:dyDescent="0.25">
      <c r="A272" s="80"/>
      <c r="B272" s="95" t="s">
        <v>2417</v>
      </c>
      <c r="C272" s="201" t="s">
        <v>2837</v>
      </c>
      <c r="D272" s="80" t="s">
        <v>783</v>
      </c>
      <c r="E272" s="94" t="str">
        <f>IFERROR(VLOOKUP(A272,Estimate!A:Q,17,FALSE)," ")</f>
        <v xml:space="preserve"> </v>
      </c>
      <c r="F272" s="202" t="s">
        <v>781</v>
      </c>
      <c r="G272" s="202" t="s">
        <v>781</v>
      </c>
      <c r="H272" s="203" t="s">
        <v>781</v>
      </c>
      <c r="I272" s="203" t="s">
        <v>781</v>
      </c>
      <c r="J272" s="203" t="s">
        <v>781</v>
      </c>
      <c r="K272" s="203"/>
      <c r="L272" s="202" t="s">
        <v>781</v>
      </c>
      <c r="M272" s="204" t="str">
        <f t="shared" si="1606"/>
        <v xml:space="preserve"> </v>
      </c>
      <c r="N272" s="95" t="s">
        <v>781</v>
      </c>
      <c r="O272" s="204" t="str">
        <f t="shared" si="1606"/>
        <v xml:space="preserve"> </v>
      </c>
      <c r="P272" s="95" t="s">
        <v>781</v>
      </c>
      <c r="Q272" s="204" t="str">
        <f t="shared" ref="Q272:S272" si="1661">IFERROR(P272/$G272," ")</f>
        <v xml:space="preserve"> </v>
      </c>
      <c r="R272" s="95" t="s">
        <v>781</v>
      </c>
      <c r="S272" s="204" t="str">
        <f t="shared" si="1661"/>
        <v xml:space="preserve"> </v>
      </c>
      <c r="T272" s="95" t="s">
        <v>781</v>
      </c>
      <c r="U272" s="204" t="str">
        <f t="shared" ref="U272:W272" si="1662">IFERROR(T272/$G272," ")</f>
        <v xml:space="preserve"> </v>
      </c>
      <c r="V272" s="95" t="s">
        <v>781</v>
      </c>
      <c r="W272" s="204" t="str">
        <f t="shared" si="1662"/>
        <v xml:space="preserve"> </v>
      </c>
      <c r="X272" s="95" t="s">
        <v>781</v>
      </c>
      <c r="Y272" s="204" t="str">
        <f t="shared" ref="Y272:AA272" si="1663">IFERROR(X272/$G272," ")</f>
        <v xml:space="preserve"> </v>
      </c>
      <c r="Z272" s="95" t="s">
        <v>781</v>
      </c>
      <c r="AA272" s="204" t="str">
        <f t="shared" si="1663"/>
        <v xml:space="preserve"> </v>
      </c>
      <c r="AB272" s="95" t="s">
        <v>781</v>
      </c>
      <c r="AC272" s="204" t="str">
        <f t="shared" ref="AC272:AE272" si="1664">IFERROR(AB272/$G272," ")</f>
        <v xml:space="preserve"> </v>
      </c>
      <c r="AD272" s="95" t="s">
        <v>781</v>
      </c>
      <c r="AE272" s="204" t="str">
        <f t="shared" si="1664"/>
        <v xml:space="preserve"> </v>
      </c>
      <c r="AF272" s="95" t="s">
        <v>781</v>
      </c>
      <c r="AG272" s="204" t="str">
        <f t="shared" ref="AG272:AI272" si="1665">IFERROR(AF272/$G272," ")</f>
        <v xml:space="preserve"> </v>
      </c>
      <c r="AH272" s="95" t="s">
        <v>781</v>
      </c>
      <c r="AI272" s="204" t="str">
        <f t="shared" si="1665"/>
        <v xml:space="preserve"> </v>
      </c>
      <c r="AJ272" s="95" t="s">
        <v>781</v>
      </c>
      <c r="AK272" s="204" t="str">
        <f t="shared" ref="AK272:AM272" si="1666">IFERROR(AJ272/$G272," ")</f>
        <v xml:space="preserve"> </v>
      </c>
      <c r="AL272" s="95" t="s">
        <v>781</v>
      </c>
      <c r="AM272" s="204" t="str">
        <f t="shared" si="1666"/>
        <v xml:space="preserve"> </v>
      </c>
      <c r="AN272" s="95"/>
      <c r="AO272" s="94" t="str">
        <f t="shared" si="1613"/>
        <v xml:space="preserve"> </v>
      </c>
      <c r="AP272" s="94" t="str">
        <f t="shared" si="1603"/>
        <v xml:space="preserve"> </v>
      </c>
      <c r="AQ272" s="94" t="str">
        <f t="shared" si="1604"/>
        <v xml:space="preserve"> </v>
      </c>
      <c r="AR272" s="94" t="str">
        <f t="shared" si="1614"/>
        <v xml:space="preserve"> </v>
      </c>
      <c r="AS272" s="94" t="str">
        <f t="shared" si="1615"/>
        <v xml:space="preserve"> </v>
      </c>
      <c r="AT272" s="94" t="str">
        <f t="shared" si="1616"/>
        <v xml:space="preserve"> </v>
      </c>
      <c r="AU272" s="94" t="str">
        <f t="shared" si="1617"/>
        <v xml:space="preserve"> </v>
      </c>
      <c r="AV272" s="94" t="str">
        <f t="shared" si="1618"/>
        <v xml:space="preserve"> </v>
      </c>
      <c r="AW272" s="94" t="str">
        <f t="shared" si="1619"/>
        <v xml:space="preserve"> </v>
      </c>
      <c r="AX272" s="94" t="str">
        <f t="shared" si="1620"/>
        <v xml:space="preserve"> </v>
      </c>
      <c r="AY272" s="94" t="str">
        <f t="shared" si="1621"/>
        <v xml:space="preserve"> </v>
      </c>
      <c r="AZ272" s="94" t="str">
        <f t="shared" si="1622"/>
        <v xml:space="preserve"> </v>
      </c>
      <c r="BA272" s="94" t="str">
        <f t="shared" si="1623"/>
        <v xml:space="preserve"> </v>
      </c>
      <c r="BB272" s="94" t="str">
        <f t="shared" si="1624"/>
        <v xml:space="preserve"> </v>
      </c>
    </row>
    <row r="273" spans="1:54" x14ac:dyDescent="0.25">
      <c r="A273" s="80"/>
      <c r="B273" s="95" t="s">
        <v>2417</v>
      </c>
      <c r="C273" s="201" t="s">
        <v>35</v>
      </c>
      <c r="D273" s="80" t="s">
        <v>783</v>
      </c>
      <c r="E273" s="94" t="str">
        <f>IFERROR(VLOOKUP(A273,Estimate!A:Q,17,FALSE)," ")</f>
        <v xml:space="preserve"> </v>
      </c>
      <c r="F273" s="202" t="s">
        <v>781</v>
      </c>
      <c r="G273" s="202" t="s">
        <v>781</v>
      </c>
      <c r="H273" s="203" t="s">
        <v>781</v>
      </c>
      <c r="I273" s="203" t="s">
        <v>781</v>
      </c>
      <c r="J273" s="203" t="s">
        <v>781</v>
      </c>
      <c r="K273" s="203"/>
      <c r="L273" s="202" t="s">
        <v>781</v>
      </c>
      <c r="M273" s="204" t="str">
        <f t="shared" si="1606"/>
        <v xml:space="preserve"> </v>
      </c>
      <c r="N273" s="95" t="s">
        <v>781</v>
      </c>
      <c r="O273" s="204" t="str">
        <f t="shared" si="1606"/>
        <v xml:space="preserve"> </v>
      </c>
      <c r="P273" s="95" t="s">
        <v>781</v>
      </c>
      <c r="Q273" s="204" t="str">
        <f t="shared" ref="Q273:S273" si="1667">IFERROR(P273/$G273," ")</f>
        <v xml:space="preserve"> </v>
      </c>
      <c r="R273" s="95" t="s">
        <v>781</v>
      </c>
      <c r="S273" s="204" t="str">
        <f t="shared" si="1667"/>
        <v xml:space="preserve"> </v>
      </c>
      <c r="T273" s="95" t="s">
        <v>781</v>
      </c>
      <c r="U273" s="204" t="str">
        <f t="shared" ref="U273:W273" si="1668">IFERROR(T273/$G273," ")</f>
        <v xml:space="preserve"> </v>
      </c>
      <c r="V273" s="95" t="s">
        <v>781</v>
      </c>
      <c r="W273" s="204" t="str">
        <f t="shared" si="1668"/>
        <v xml:space="preserve"> </v>
      </c>
      <c r="X273" s="95" t="s">
        <v>781</v>
      </c>
      <c r="Y273" s="204" t="str">
        <f t="shared" ref="Y273:AA273" si="1669">IFERROR(X273/$G273," ")</f>
        <v xml:space="preserve"> </v>
      </c>
      <c r="Z273" s="95" t="s">
        <v>781</v>
      </c>
      <c r="AA273" s="204" t="str">
        <f t="shared" si="1669"/>
        <v xml:space="preserve"> </v>
      </c>
      <c r="AB273" s="95" t="s">
        <v>781</v>
      </c>
      <c r="AC273" s="204" t="str">
        <f t="shared" ref="AC273:AE273" si="1670">IFERROR(AB273/$G273," ")</f>
        <v xml:space="preserve"> </v>
      </c>
      <c r="AD273" s="95" t="s">
        <v>781</v>
      </c>
      <c r="AE273" s="204" t="str">
        <f t="shared" si="1670"/>
        <v xml:space="preserve"> </v>
      </c>
      <c r="AF273" s="95" t="s">
        <v>781</v>
      </c>
      <c r="AG273" s="204" t="str">
        <f t="shared" ref="AG273:AI273" si="1671">IFERROR(AF273/$G273," ")</f>
        <v xml:space="preserve"> </v>
      </c>
      <c r="AH273" s="95" t="s">
        <v>781</v>
      </c>
      <c r="AI273" s="204" t="str">
        <f t="shared" si="1671"/>
        <v xml:space="preserve"> </v>
      </c>
      <c r="AJ273" s="95" t="s">
        <v>781</v>
      </c>
      <c r="AK273" s="204" t="str">
        <f t="shared" ref="AK273:AM273" si="1672">IFERROR(AJ273/$G273," ")</f>
        <v xml:space="preserve"> </v>
      </c>
      <c r="AL273" s="95" t="s">
        <v>781</v>
      </c>
      <c r="AM273" s="204" t="str">
        <f t="shared" si="1672"/>
        <v xml:space="preserve"> </v>
      </c>
      <c r="AN273" s="95"/>
      <c r="AO273" s="94" t="str">
        <f t="shared" si="1613"/>
        <v xml:space="preserve"> </v>
      </c>
      <c r="AP273" s="94" t="str">
        <f t="shared" si="1603"/>
        <v xml:space="preserve"> </v>
      </c>
      <c r="AQ273" s="94" t="str">
        <f t="shared" si="1604"/>
        <v xml:space="preserve"> </v>
      </c>
      <c r="AR273" s="94" t="str">
        <f t="shared" si="1614"/>
        <v xml:space="preserve"> </v>
      </c>
      <c r="AS273" s="94" t="str">
        <f t="shared" si="1615"/>
        <v xml:space="preserve"> </v>
      </c>
      <c r="AT273" s="94" t="str">
        <f t="shared" si="1616"/>
        <v xml:space="preserve"> </v>
      </c>
      <c r="AU273" s="94" t="str">
        <f t="shared" si="1617"/>
        <v xml:space="preserve"> </v>
      </c>
      <c r="AV273" s="94" t="str">
        <f t="shared" si="1618"/>
        <v xml:space="preserve"> </v>
      </c>
      <c r="AW273" s="94" t="str">
        <f t="shared" si="1619"/>
        <v xml:space="preserve"> </v>
      </c>
      <c r="AX273" s="94" t="str">
        <f t="shared" si="1620"/>
        <v xml:space="preserve"> </v>
      </c>
      <c r="AY273" s="94" t="str">
        <f t="shared" si="1621"/>
        <v xml:space="preserve"> </v>
      </c>
      <c r="AZ273" s="94" t="str">
        <f t="shared" si="1622"/>
        <v xml:space="preserve"> </v>
      </c>
      <c r="BA273" s="94" t="str">
        <f t="shared" si="1623"/>
        <v xml:space="preserve"> </v>
      </c>
      <c r="BB273" s="94" t="str">
        <f t="shared" si="1624"/>
        <v xml:space="preserve"> </v>
      </c>
    </row>
    <row r="274" spans="1:54" x14ac:dyDescent="0.25">
      <c r="A274" s="80"/>
      <c r="B274" s="95" t="s">
        <v>2838</v>
      </c>
      <c r="C274" s="201" t="s">
        <v>36</v>
      </c>
      <c r="D274" s="80" t="s">
        <v>783</v>
      </c>
      <c r="E274" s="94" t="str">
        <f>IFERROR(VLOOKUP(A274,Estimate!A:Q,17,FALSE)," ")</f>
        <v xml:space="preserve"> </v>
      </c>
      <c r="F274" s="202" t="s">
        <v>781</v>
      </c>
      <c r="G274" s="202" t="s">
        <v>781</v>
      </c>
      <c r="H274" s="203" t="s">
        <v>781</v>
      </c>
      <c r="I274" s="203" t="s">
        <v>781</v>
      </c>
      <c r="J274" s="203" t="s">
        <v>781</v>
      </c>
      <c r="K274" s="203"/>
      <c r="L274" s="202" t="s">
        <v>781</v>
      </c>
      <c r="M274" s="204" t="str">
        <f t="shared" si="1606"/>
        <v xml:space="preserve"> </v>
      </c>
      <c r="N274" s="95" t="s">
        <v>781</v>
      </c>
      <c r="O274" s="204" t="str">
        <f t="shared" si="1606"/>
        <v xml:space="preserve"> </v>
      </c>
      <c r="P274" s="95" t="s">
        <v>781</v>
      </c>
      <c r="Q274" s="204" t="str">
        <f t="shared" ref="Q274:S274" si="1673">IFERROR(P274/$G274," ")</f>
        <v xml:space="preserve"> </v>
      </c>
      <c r="R274" s="95" t="s">
        <v>781</v>
      </c>
      <c r="S274" s="204" t="str">
        <f t="shared" si="1673"/>
        <v xml:space="preserve"> </v>
      </c>
      <c r="T274" s="95" t="s">
        <v>781</v>
      </c>
      <c r="U274" s="204" t="str">
        <f t="shared" ref="U274:W274" si="1674">IFERROR(T274/$G274," ")</f>
        <v xml:space="preserve"> </v>
      </c>
      <c r="V274" s="95" t="s">
        <v>781</v>
      </c>
      <c r="W274" s="204" t="str">
        <f t="shared" si="1674"/>
        <v xml:space="preserve"> </v>
      </c>
      <c r="X274" s="95" t="s">
        <v>781</v>
      </c>
      <c r="Y274" s="204" t="str">
        <f t="shared" ref="Y274:AA274" si="1675">IFERROR(X274/$G274," ")</f>
        <v xml:space="preserve"> </v>
      </c>
      <c r="Z274" s="95" t="s">
        <v>781</v>
      </c>
      <c r="AA274" s="204" t="str">
        <f t="shared" si="1675"/>
        <v xml:space="preserve"> </v>
      </c>
      <c r="AB274" s="95" t="s">
        <v>781</v>
      </c>
      <c r="AC274" s="204" t="str">
        <f t="shared" ref="AC274:AE274" si="1676">IFERROR(AB274/$G274," ")</f>
        <v xml:space="preserve"> </v>
      </c>
      <c r="AD274" s="95" t="s">
        <v>781</v>
      </c>
      <c r="AE274" s="204" t="str">
        <f t="shared" si="1676"/>
        <v xml:space="preserve"> </v>
      </c>
      <c r="AF274" s="95" t="s">
        <v>781</v>
      </c>
      <c r="AG274" s="204" t="str">
        <f t="shared" ref="AG274:AI274" si="1677">IFERROR(AF274/$G274," ")</f>
        <v xml:space="preserve"> </v>
      </c>
      <c r="AH274" s="95" t="s">
        <v>781</v>
      </c>
      <c r="AI274" s="204" t="str">
        <f t="shared" si="1677"/>
        <v xml:space="preserve"> </v>
      </c>
      <c r="AJ274" s="95" t="s">
        <v>781</v>
      </c>
      <c r="AK274" s="204" t="str">
        <f t="shared" ref="AK274:AM274" si="1678">IFERROR(AJ274/$G274," ")</f>
        <v xml:space="preserve"> </v>
      </c>
      <c r="AL274" s="95" t="s">
        <v>781</v>
      </c>
      <c r="AM274" s="204" t="str">
        <f t="shared" si="1678"/>
        <v xml:space="preserve"> </v>
      </c>
      <c r="AN274" s="95"/>
      <c r="AO274" s="94" t="str">
        <f t="shared" si="1613"/>
        <v xml:space="preserve"> </v>
      </c>
      <c r="AP274" s="94" t="str">
        <f t="shared" si="1603"/>
        <v xml:space="preserve"> </v>
      </c>
      <c r="AQ274" s="94" t="str">
        <f t="shared" si="1604"/>
        <v xml:space="preserve"> </v>
      </c>
      <c r="AR274" s="94" t="str">
        <f t="shared" si="1614"/>
        <v xml:space="preserve"> </v>
      </c>
      <c r="AS274" s="94" t="str">
        <f t="shared" si="1615"/>
        <v xml:space="preserve"> </v>
      </c>
      <c r="AT274" s="94" t="str">
        <f t="shared" si="1616"/>
        <v xml:space="preserve"> </v>
      </c>
      <c r="AU274" s="94" t="str">
        <f t="shared" si="1617"/>
        <v xml:space="preserve"> </v>
      </c>
      <c r="AV274" s="94" t="str">
        <f t="shared" si="1618"/>
        <v xml:space="preserve"> </v>
      </c>
      <c r="AW274" s="94" t="str">
        <f t="shared" si="1619"/>
        <v xml:space="preserve"> </v>
      </c>
      <c r="AX274" s="94" t="str">
        <f t="shared" si="1620"/>
        <v xml:space="preserve"> </v>
      </c>
      <c r="AY274" s="94" t="str">
        <f t="shared" si="1621"/>
        <v xml:space="preserve"> </v>
      </c>
      <c r="AZ274" s="94" t="str">
        <f t="shared" si="1622"/>
        <v xml:space="preserve"> </v>
      </c>
      <c r="BA274" s="94" t="str">
        <f t="shared" si="1623"/>
        <v xml:space="preserve"> </v>
      </c>
      <c r="BB274" s="94" t="str">
        <f t="shared" si="1624"/>
        <v xml:space="preserve"> </v>
      </c>
    </row>
    <row r="275" spans="1:54" x14ac:dyDescent="0.25">
      <c r="A275" s="80"/>
      <c r="B275" s="95" t="s">
        <v>2839</v>
      </c>
      <c r="C275" s="201" t="s">
        <v>38</v>
      </c>
      <c r="D275" s="80" t="s">
        <v>20</v>
      </c>
      <c r="E275" s="94" t="str">
        <f>IFERROR(VLOOKUP(A275,Estimate!A:Q,17,FALSE)," ")</f>
        <v xml:space="preserve"> </v>
      </c>
      <c r="F275" s="202">
        <v>1</v>
      </c>
      <c r="G275" s="202">
        <v>1</v>
      </c>
      <c r="H275" s="203"/>
      <c r="I275" s="203"/>
      <c r="J275" s="203"/>
      <c r="K275" s="203"/>
      <c r="L275" s="202"/>
      <c r="M275" s="204">
        <f t="shared" si="1606"/>
        <v>0</v>
      </c>
      <c r="N275" s="95"/>
      <c r="O275" s="204">
        <f t="shared" si="1606"/>
        <v>0</v>
      </c>
      <c r="P275" s="95"/>
      <c r="Q275" s="204">
        <f t="shared" ref="Q275:S275" si="1679">IFERROR(P275/$G275," ")</f>
        <v>0</v>
      </c>
      <c r="R275" s="95"/>
      <c r="S275" s="204">
        <f t="shared" si="1679"/>
        <v>0</v>
      </c>
      <c r="T275" s="95"/>
      <c r="U275" s="204">
        <f t="shared" ref="U275:W275" si="1680">IFERROR(T275/$G275," ")</f>
        <v>0</v>
      </c>
      <c r="V275" s="95"/>
      <c r="W275" s="204">
        <f t="shared" si="1680"/>
        <v>0</v>
      </c>
      <c r="X275" s="95"/>
      <c r="Y275" s="204">
        <f t="shared" ref="Y275:AA275" si="1681">IFERROR(X275/$G275," ")</f>
        <v>0</v>
      </c>
      <c r="Z275" s="95"/>
      <c r="AA275" s="204">
        <f t="shared" si="1681"/>
        <v>0</v>
      </c>
      <c r="AB275" s="95"/>
      <c r="AC275" s="204">
        <f t="shared" ref="AC275:AE275" si="1682">IFERROR(AB275/$G275," ")</f>
        <v>0</v>
      </c>
      <c r="AD275" s="95"/>
      <c r="AE275" s="204">
        <f t="shared" si="1682"/>
        <v>0</v>
      </c>
      <c r="AF275" s="95"/>
      <c r="AG275" s="204">
        <f t="shared" ref="AG275:AI275" si="1683">IFERROR(AF275/$G275," ")</f>
        <v>0</v>
      </c>
      <c r="AH275" s="95"/>
      <c r="AI275" s="204">
        <f t="shared" si="1683"/>
        <v>0</v>
      </c>
      <c r="AJ275" s="95"/>
      <c r="AK275" s="204">
        <f t="shared" ref="AK275:AM275" si="1684">IFERROR(AJ275/$G275," ")</f>
        <v>0</v>
      </c>
      <c r="AL275" s="95"/>
      <c r="AM275" s="204">
        <f t="shared" si="1684"/>
        <v>0</v>
      </c>
      <c r="AN275" s="95"/>
      <c r="AO275" s="94">
        <f t="shared" si="1613"/>
        <v>0</v>
      </c>
      <c r="AP275" s="94">
        <f t="shared" si="1603"/>
        <v>0</v>
      </c>
      <c r="AQ275" s="94">
        <f t="shared" si="1604"/>
        <v>0</v>
      </c>
      <c r="AR275" s="94">
        <f t="shared" si="1614"/>
        <v>0</v>
      </c>
      <c r="AS275" s="94">
        <f t="shared" si="1615"/>
        <v>0</v>
      </c>
      <c r="AT275" s="94">
        <f t="shared" si="1616"/>
        <v>0</v>
      </c>
      <c r="AU275" s="94">
        <f t="shared" si="1617"/>
        <v>0</v>
      </c>
      <c r="AV275" s="94">
        <f t="shared" si="1618"/>
        <v>0</v>
      </c>
      <c r="AW275" s="94">
        <f t="shared" si="1619"/>
        <v>0</v>
      </c>
      <c r="AX275" s="94">
        <f t="shared" si="1620"/>
        <v>0</v>
      </c>
      <c r="AY275" s="94">
        <f t="shared" si="1621"/>
        <v>0</v>
      </c>
      <c r="AZ275" s="94">
        <f t="shared" si="1622"/>
        <v>0</v>
      </c>
      <c r="BA275" s="94">
        <f t="shared" si="1623"/>
        <v>0</v>
      </c>
      <c r="BB275" s="94">
        <f t="shared" si="1624"/>
        <v>0</v>
      </c>
    </row>
    <row r="276" spans="1:54" x14ac:dyDescent="0.25">
      <c r="A276" s="80"/>
      <c r="B276" s="95" t="s">
        <v>2417</v>
      </c>
      <c r="C276" s="201" t="s">
        <v>2837</v>
      </c>
      <c r="D276" s="80" t="s">
        <v>783</v>
      </c>
      <c r="E276" s="94" t="str">
        <f>IFERROR(VLOOKUP(A276,Estimate!A:Q,17,FALSE)," ")</f>
        <v xml:space="preserve"> </v>
      </c>
      <c r="F276" s="202" t="s">
        <v>781</v>
      </c>
      <c r="G276" s="202" t="s">
        <v>781</v>
      </c>
      <c r="H276" s="203" t="s">
        <v>781</v>
      </c>
      <c r="I276" s="203" t="s">
        <v>781</v>
      </c>
      <c r="J276" s="203" t="s">
        <v>781</v>
      </c>
      <c r="K276" s="203"/>
      <c r="L276" s="202" t="s">
        <v>781</v>
      </c>
      <c r="M276" s="204" t="str">
        <f t="shared" si="1606"/>
        <v xml:space="preserve"> </v>
      </c>
      <c r="N276" s="95" t="s">
        <v>781</v>
      </c>
      <c r="O276" s="204" t="str">
        <f t="shared" si="1606"/>
        <v xml:space="preserve"> </v>
      </c>
      <c r="P276" s="95" t="s">
        <v>781</v>
      </c>
      <c r="Q276" s="204" t="str">
        <f t="shared" ref="Q276:S276" si="1685">IFERROR(P276/$G276," ")</f>
        <v xml:space="preserve"> </v>
      </c>
      <c r="R276" s="95" t="s">
        <v>781</v>
      </c>
      <c r="S276" s="204" t="str">
        <f t="shared" si="1685"/>
        <v xml:space="preserve"> </v>
      </c>
      <c r="T276" s="95" t="s">
        <v>781</v>
      </c>
      <c r="U276" s="204" t="str">
        <f t="shared" ref="U276:W276" si="1686">IFERROR(T276/$G276," ")</f>
        <v xml:space="preserve"> </v>
      </c>
      <c r="V276" s="95" t="s">
        <v>781</v>
      </c>
      <c r="W276" s="204" t="str">
        <f t="shared" si="1686"/>
        <v xml:space="preserve"> </v>
      </c>
      <c r="X276" s="95" t="s">
        <v>781</v>
      </c>
      <c r="Y276" s="204" t="str">
        <f t="shared" ref="Y276:AA276" si="1687">IFERROR(X276/$G276," ")</f>
        <v xml:space="preserve"> </v>
      </c>
      <c r="Z276" s="95" t="s">
        <v>781</v>
      </c>
      <c r="AA276" s="204" t="str">
        <f t="shared" si="1687"/>
        <v xml:space="preserve"> </v>
      </c>
      <c r="AB276" s="95" t="s">
        <v>781</v>
      </c>
      <c r="AC276" s="204" t="str">
        <f t="shared" ref="AC276:AE276" si="1688">IFERROR(AB276/$G276," ")</f>
        <v xml:space="preserve"> </v>
      </c>
      <c r="AD276" s="95" t="s">
        <v>781</v>
      </c>
      <c r="AE276" s="204" t="str">
        <f t="shared" si="1688"/>
        <v xml:space="preserve"> </v>
      </c>
      <c r="AF276" s="95" t="s">
        <v>781</v>
      </c>
      <c r="AG276" s="204" t="str">
        <f t="shared" ref="AG276:AI276" si="1689">IFERROR(AF276/$G276," ")</f>
        <v xml:space="preserve"> </v>
      </c>
      <c r="AH276" s="95" t="s">
        <v>781</v>
      </c>
      <c r="AI276" s="204" t="str">
        <f t="shared" si="1689"/>
        <v xml:space="preserve"> </v>
      </c>
      <c r="AJ276" s="95" t="s">
        <v>781</v>
      </c>
      <c r="AK276" s="204" t="str">
        <f t="shared" ref="AK276:AM276" si="1690">IFERROR(AJ276/$G276," ")</f>
        <v xml:space="preserve"> </v>
      </c>
      <c r="AL276" s="95" t="s">
        <v>781</v>
      </c>
      <c r="AM276" s="204" t="str">
        <f t="shared" si="1690"/>
        <v xml:space="preserve"> </v>
      </c>
      <c r="AN276" s="95"/>
      <c r="AO276" s="94" t="str">
        <f t="shared" si="1613"/>
        <v xml:space="preserve"> </v>
      </c>
      <c r="AP276" s="94" t="str">
        <f t="shared" si="1603"/>
        <v xml:space="preserve"> </v>
      </c>
      <c r="AQ276" s="94" t="str">
        <f t="shared" si="1604"/>
        <v xml:space="preserve"> </v>
      </c>
      <c r="AR276" s="94" t="str">
        <f t="shared" si="1614"/>
        <v xml:space="preserve"> </v>
      </c>
      <c r="AS276" s="94" t="str">
        <f t="shared" si="1615"/>
        <v xml:space="preserve"> </v>
      </c>
      <c r="AT276" s="94" t="str">
        <f t="shared" si="1616"/>
        <v xml:space="preserve"> </v>
      </c>
      <c r="AU276" s="94" t="str">
        <f t="shared" si="1617"/>
        <v xml:space="preserve"> </v>
      </c>
      <c r="AV276" s="94" t="str">
        <f t="shared" si="1618"/>
        <v xml:space="preserve"> </v>
      </c>
      <c r="AW276" s="94" t="str">
        <f t="shared" si="1619"/>
        <v xml:space="preserve"> </v>
      </c>
      <c r="AX276" s="94" t="str">
        <f t="shared" si="1620"/>
        <v xml:space="preserve"> </v>
      </c>
      <c r="AY276" s="94" t="str">
        <f t="shared" si="1621"/>
        <v xml:space="preserve"> </v>
      </c>
      <c r="AZ276" s="94" t="str">
        <f t="shared" si="1622"/>
        <v xml:space="preserve"> </v>
      </c>
      <c r="BA276" s="94" t="str">
        <f t="shared" si="1623"/>
        <v xml:space="preserve"> </v>
      </c>
      <c r="BB276" s="94" t="str">
        <f t="shared" si="1624"/>
        <v xml:space="preserve"> </v>
      </c>
    </row>
    <row r="277" spans="1:54" x14ac:dyDescent="0.25">
      <c r="A277" s="80"/>
      <c r="B277" s="95" t="s">
        <v>2417</v>
      </c>
      <c r="C277" s="201" t="s">
        <v>50</v>
      </c>
      <c r="D277" s="80" t="s">
        <v>783</v>
      </c>
      <c r="E277" s="94" t="str">
        <f>IFERROR(VLOOKUP(A277,Estimate!A:Q,17,FALSE)," ")</f>
        <v xml:space="preserve"> </v>
      </c>
      <c r="F277" s="202" t="s">
        <v>781</v>
      </c>
      <c r="G277" s="202" t="s">
        <v>781</v>
      </c>
      <c r="H277" s="203" t="s">
        <v>781</v>
      </c>
      <c r="I277" s="203" t="s">
        <v>781</v>
      </c>
      <c r="J277" s="203" t="s">
        <v>781</v>
      </c>
      <c r="K277" s="203"/>
      <c r="L277" s="202" t="s">
        <v>781</v>
      </c>
      <c r="M277" s="204" t="str">
        <f t="shared" si="1606"/>
        <v xml:space="preserve"> </v>
      </c>
      <c r="N277" s="95" t="s">
        <v>781</v>
      </c>
      <c r="O277" s="204" t="str">
        <f t="shared" si="1606"/>
        <v xml:space="preserve"> </v>
      </c>
      <c r="P277" s="95" t="s">
        <v>781</v>
      </c>
      <c r="Q277" s="204" t="str">
        <f t="shared" ref="Q277:S277" si="1691">IFERROR(P277/$G277," ")</f>
        <v xml:space="preserve"> </v>
      </c>
      <c r="R277" s="95" t="s">
        <v>781</v>
      </c>
      <c r="S277" s="204" t="str">
        <f t="shared" si="1691"/>
        <v xml:space="preserve"> </v>
      </c>
      <c r="T277" s="95" t="s">
        <v>781</v>
      </c>
      <c r="U277" s="204" t="str">
        <f t="shared" ref="U277:W277" si="1692">IFERROR(T277/$G277," ")</f>
        <v xml:space="preserve"> </v>
      </c>
      <c r="V277" s="95" t="s">
        <v>781</v>
      </c>
      <c r="W277" s="204" t="str">
        <f t="shared" si="1692"/>
        <v xml:space="preserve"> </v>
      </c>
      <c r="X277" s="95" t="s">
        <v>781</v>
      </c>
      <c r="Y277" s="204" t="str">
        <f t="shared" ref="Y277:AA277" si="1693">IFERROR(X277/$G277," ")</f>
        <v xml:space="preserve"> </v>
      </c>
      <c r="Z277" s="95" t="s">
        <v>781</v>
      </c>
      <c r="AA277" s="204" t="str">
        <f t="shared" si="1693"/>
        <v xml:space="preserve"> </v>
      </c>
      <c r="AB277" s="95" t="s">
        <v>781</v>
      </c>
      <c r="AC277" s="204" t="str">
        <f t="shared" ref="AC277:AE277" si="1694">IFERROR(AB277/$G277," ")</f>
        <v xml:space="preserve"> </v>
      </c>
      <c r="AD277" s="95" t="s">
        <v>781</v>
      </c>
      <c r="AE277" s="204" t="str">
        <f t="shared" si="1694"/>
        <v xml:space="preserve"> </v>
      </c>
      <c r="AF277" s="95" t="s">
        <v>781</v>
      </c>
      <c r="AG277" s="204" t="str">
        <f t="shared" ref="AG277:AI277" si="1695">IFERROR(AF277/$G277," ")</f>
        <v xml:space="preserve"> </v>
      </c>
      <c r="AH277" s="95" t="s">
        <v>781</v>
      </c>
      <c r="AI277" s="204" t="str">
        <f t="shared" si="1695"/>
        <v xml:space="preserve"> </v>
      </c>
      <c r="AJ277" s="95" t="s">
        <v>781</v>
      </c>
      <c r="AK277" s="204" t="str">
        <f t="shared" ref="AK277:AM277" si="1696">IFERROR(AJ277/$G277," ")</f>
        <v xml:space="preserve"> </v>
      </c>
      <c r="AL277" s="95" t="s">
        <v>781</v>
      </c>
      <c r="AM277" s="204" t="str">
        <f t="shared" si="1696"/>
        <v xml:space="preserve"> </v>
      </c>
      <c r="AN277" s="95"/>
      <c r="AO277" s="94" t="str">
        <f t="shared" si="1613"/>
        <v xml:space="preserve"> </v>
      </c>
      <c r="AP277" s="94" t="str">
        <f t="shared" si="1603"/>
        <v xml:space="preserve"> </v>
      </c>
      <c r="AQ277" s="94" t="str">
        <f t="shared" si="1604"/>
        <v xml:space="preserve"> </v>
      </c>
      <c r="AR277" s="94" t="str">
        <f t="shared" si="1614"/>
        <v xml:space="preserve"> </v>
      </c>
      <c r="AS277" s="94" t="str">
        <f t="shared" si="1615"/>
        <v xml:space="preserve"> </v>
      </c>
      <c r="AT277" s="94" t="str">
        <f t="shared" si="1616"/>
        <v xml:space="preserve"> </v>
      </c>
      <c r="AU277" s="94" t="str">
        <f t="shared" si="1617"/>
        <v xml:space="preserve"> </v>
      </c>
      <c r="AV277" s="94" t="str">
        <f t="shared" si="1618"/>
        <v xml:space="preserve"> </v>
      </c>
      <c r="AW277" s="94" t="str">
        <f t="shared" si="1619"/>
        <v xml:space="preserve"> </v>
      </c>
      <c r="AX277" s="94" t="str">
        <f t="shared" si="1620"/>
        <v xml:space="preserve"> </v>
      </c>
      <c r="AY277" s="94" t="str">
        <f t="shared" si="1621"/>
        <v xml:space="preserve"> </v>
      </c>
      <c r="AZ277" s="94" t="str">
        <f t="shared" si="1622"/>
        <v xml:space="preserve"> </v>
      </c>
      <c r="BA277" s="94" t="str">
        <f t="shared" si="1623"/>
        <v xml:space="preserve"> </v>
      </c>
      <c r="BB277" s="94" t="str">
        <f t="shared" si="1624"/>
        <v xml:space="preserve"> </v>
      </c>
    </row>
    <row r="278" spans="1:54" x14ac:dyDescent="0.25">
      <c r="A278" s="80"/>
      <c r="B278" s="95" t="s">
        <v>2840</v>
      </c>
      <c r="C278" s="201" t="s">
        <v>52</v>
      </c>
      <c r="D278" s="80" t="s">
        <v>783</v>
      </c>
      <c r="E278" s="94" t="str">
        <f>IFERROR(VLOOKUP(A278,Estimate!A:Q,17,FALSE)," ")</f>
        <v xml:space="preserve"> </v>
      </c>
      <c r="F278" s="202" t="s">
        <v>781</v>
      </c>
      <c r="G278" s="202" t="s">
        <v>781</v>
      </c>
      <c r="H278" s="203" t="s">
        <v>781</v>
      </c>
      <c r="I278" s="203" t="s">
        <v>781</v>
      </c>
      <c r="J278" s="203" t="s">
        <v>781</v>
      </c>
      <c r="K278" s="203"/>
      <c r="L278" s="202" t="s">
        <v>781</v>
      </c>
      <c r="M278" s="204" t="str">
        <f t="shared" si="1606"/>
        <v xml:space="preserve"> </v>
      </c>
      <c r="N278" s="95" t="s">
        <v>781</v>
      </c>
      <c r="O278" s="204" t="str">
        <f t="shared" si="1606"/>
        <v xml:space="preserve"> </v>
      </c>
      <c r="P278" s="95" t="s">
        <v>781</v>
      </c>
      <c r="Q278" s="204" t="str">
        <f t="shared" ref="Q278:S278" si="1697">IFERROR(P278/$G278," ")</f>
        <v xml:space="preserve"> </v>
      </c>
      <c r="R278" s="95" t="s">
        <v>781</v>
      </c>
      <c r="S278" s="204" t="str">
        <f t="shared" si="1697"/>
        <v xml:space="preserve"> </v>
      </c>
      <c r="T278" s="95" t="s">
        <v>781</v>
      </c>
      <c r="U278" s="204" t="str">
        <f t="shared" ref="U278:W278" si="1698">IFERROR(T278/$G278," ")</f>
        <v xml:space="preserve"> </v>
      </c>
      <c r="V278" s="95" t="s">
        <v>781</v>
      </c>
      <c r="W278" s="204" t="str">
        <f t="shared" si="1698"/>
        <v xml:space="preserve"> </v>
      </c>
      <c r="X278" s="95" t="s">
        <v>781</v>
      </c>
      <c r="Y278" s="204" t="str">
        <f t="shared" ref="Y278:AA278" si="1699">IFERROR(X278/$G278," ")</f>
        <v xml:space="preserve"> </v>
      </c>
      <c r="Z278" s="95" t="s">
        <v>781</v>
      </c>
      <c r="AA278" s="204" t="str">
        <f t="shared" si="1699"/>
        <v xml:space="preserve"> </v>
      </c>
      <c r="AB278" s="95" t="s">
        <v>781</v>
      </c>
      <c r="AC278" s="204" t="str">
        <f t="shared" ref="AC278:AE278" si="1700">IFERROR(AB278/$G278," ")</f>
        <v xml:space="preserve"> </v>
      </c>
      <c r="AD278" s="95" t="s">
        <v>781</v>
      </c>
      <c r="AE278" s="204" t="str">
        <f t="shared" si="1700"/>
        <v xml:space="preserve"> </v>
      </c>
      <c r="AF278" s="95" t="s">
        <v>781</v>
      </c>
      <c r="AG278" s="204" t="str">
        <f t="shared" ref="AG278:AI278" si="1701">IFERROR(AF278/$G278," ")</f>
        <v xml:space="preserve"> </v>
      </c>
      <c r="AH278" s="95" t="s">
        <v>781</v>
      </c>
      <c r="AI278" s="204" t="str">
        <f t="shared" si="1701"/>
        <v xml:space="preserve"> </v>
      </c>
      <c r="AJ278" s="95" t="s">
        <v>781</v>
      </c>
      <c r="AK278" s="204" t="str">
        <f t="shared" ref="AK278:AM278" si="1702">IFERROR(AJ278/$G278," ")</f>
        <v xml:space="preserve"> </v>
      </c>
      <c r="AL278" s="95" t="s">
        <v>781</v>
      </c>
      <c r="AM278" s="204" t="str">
        <f t="shared" si="1702"/>
        <v xml:space="preserve"> </v>
      </c>
      <c r="AN278" s="95"/>
      <c r="AO278" s="94" t="str">
        <f t="shared" si="1613"/>
        <v xml:space="preserve"> </v>
      </c>
      <c r="AP278" s="94" t="str">
        <f t="shared" si="1603"/>
        <v xml:space="preserve"> </v>
      </c>
      <c r="AQ278" s="94" t="str">
        <f t="shared" si="1604"/>
        <v xml:space="preserve"> </v>
      </c>
      <c r="AR278" s="94" t="str">
        <f t="shared" si="1614"/>
        <v xml:space="preserve"> </v>
      </c>
      <c r="AS278" s="94" t="str">
        <f t="shared" si="1615"/>
        <v xml:space="preserve"> </v>
      </c>
      <c r="AT278" s="94" t="str">
        <f t="shared" si="1616"/>
        <v xml:space="preserve"> </v>
      </c>
      <c r="AU278" s="94" t="str">
        <f t="shared" si="1617"/>
        <v xml:space="preserve"> </v>
      </c>
      <c r="AV278" s="94" t="str">
        <f t="shared" si="1618"/>
        <v xml:space="preserve"> </v>
      </c>
      <c r="AW278" s="94" t="str">
        <f t="shared" si="1619"/>
        <v xml:space="preserve"> </v>
      </c>
      <c r="AX278" s="94" t="str">
        <f t="shared" si="1620"/>
        <v xml:space="preserve"> </v>
      </c>
      <c r="AY278" s="94" t="str">
        <f t="shared" si="1621"/>
        <v xml:space="preserve"> </v>
      </c>
      <c r="AZ278" s="94" t="str">
        <f t="shared" si="1622"/>
        <v xml:space="preserve"> </v>
      </c>
      <c r="BA278" s="94" t="str">
        <f t="shared" si="1623"/>
        <v xml:space="preserve"> </v>
      </c>
      <c r="BB278" s="94" t="str">
        <f t="shared" si="1624"/>
        <v xml:space="preserve"> </v>
      </c>
    </row>
    <row r="279" spans="1:54" x14ac:dyDescent="0.25">
      <c r="A279" s="80">
        <v>116</v>
      </c>
      <c r="B279" s="95" t="s">
        <v>2841</v>
      </c>
      <c r="C279" s="201" t="s">
        <v>54</v>
      </c>
      <c r="D279" s="80" t="s">
        <v>20</v>
      </c>
      <c r="E279" s="94">
        <f>IFERROR(VLOOKUP(A279,Estimate!A:Q,17,FALSE)," ")</f>
        <v>23292.48</v>
      </c>
      <c r="F279" s="202">
        <v>1</v>
      </c>
      <c r="G279" s="202">
        <v>1</v>
      </c>
      <c r="H279" s="203">
        <v>29260.65</v>
      </c>
      <c r="I279" s="203">
        <v>29260.65</v>
      </c>
      <c r="J279" s="203">
        <v>29260.65</v>
      </c>
      <c r="K279" s="203"/>
      <c r="L279" s="202"/>
      <c r="M279" s="204">
        <f t="shared" si="1606"/>
        <v>0</v>
      </c>
      <c r="N279" s="95"/>
      <c r="O279" s="204">
        <f t="shared" si="1606"/>
        <v>0</v>
      </c>
      <c r="P279" s="95"/>
      <c r="Q279" s="204">
        <f t="shared" ref="Q279:S279" si="1703">IFERROR(P279/$G279," ")</f>
        <v>0</v>
      </c>
      <c r="R279" s="95"/>
      <c r="S279" s="204">
        <f t="shared" si="1703"/>
        <v>0</v>
      </c>
      <c r="T279" s="95"/>
      <c r="U279" s="204">
        <f t="shared" ref="U279:W279" si="1704">IFERROR(T279/$G279," ")</f>
        <v>0</v>
      </c>
      <c r="V279" s="95"/>
      <c r="W279" s="204">
        <f t="shared" si="1704"/>
        <v>0</v>
      </c>
      <c r="X279" s="95"/>
      <c r="Y279" s="204">
        <f t="shared" ref="Y279:AA279" si="1705">IFERROR(X279/$G279," ")</f>
        <v>0</v>
      </c>
      <c r="Z279" s="95"/>
      <c r="AA279" s="204">
        <f t="shared" si="1705"/>
        <v>0</v>
      </c>
      <c r="AB279" s="95">
        <v>0.1</v>
      </c>
      <c r="AC279" s="204">
        <f t="shared" ref="AC279:AE279" si="1706">IFERROR(AB279/$G279," ")</f>
        <v>0.1</v>
      </c>
      <c r="AD279" s="95">
        <v>0.5</v>
      </c>
      <c r="AE279" s="204">
        <f t="shared" si="1706"/>
        <v>0.5</v>
      </c>
      <c r="AF279" s="95">
        <v>0.75</v>
      </c>
      <c r="AG279" s="204">
        <f t="shared" ref="AG279:AI279" si="1707">IFERROR(AF279/$G279," ")</f>
        <v>0.75</v>
      </c>
      <c r="AH279" s="95">
        <v>1</v>
      </c>
      <c r="AI279" s="204">
        <f t="shared" si="1707"/>
        <v>1</v>
      </c>
      <c r="AJ279" s="95">
        <v>1</v>
      </c>
      <c r="AK279" s="204">
        <f t="shared" ref="AK279:AM279" si="1708">IFERROR(AJ279/$G279," ")</f>
        <v>1</v>
      </c>
      <c r="AL279" s="95">
        <v>1</v>
      </c>
      <c r="AM279" s="204">
        <f t="shared" si="1708"/>
        <v>1</v>
      </c>
      <c r="AN279" s="95"/>
      <c r="AO279" s="94">
        <f t="shared" si="1613"/>
        <v>0</v>
      </c>
      <c r="AP279" s="94">
        <f t="shared" si="1603"/>
        <v>0</v>
      </c>
      <c r="AQ279" s="94">
        <f t="shared" si="1604"/>
        <v>0</v>
      </c>
      <c r="AR279" s="94">
        <f t="shared" si="1614"/>
        <v>0</v>
      </c>
      <c r="AS279" s="94">
        <f t="shared" si="1615"/>
        <v>0</v>
      </c>
      <c r="AT279" s="94">
        <f t="shared" si="1616"/>
        <v>0</v>
      </c>
      <c r="AU279" s="94">
        <f t="shared" si="1617"/>
        <v>0</v>
      </c>
      <c r="AV279" s="94">
        <f t="shared" si="1618"/>
        <v>0</v>
      </c>
      <c r="AW279" s="94">
        <f t="shared" si="1619"/>
        <v>2926.0650000000005</v>
      </c>
      <c r="AX279" s="94">
        <f t="shared" si="1620"/>
        <v>14630.325000000001</v>
      </c>
      <c r="AY279" s="94">
        <f t="shared" si="1621"/>
        <v>21945.487500000003</v>
      </c>
      <c r="AZ279" s="94">
        <f t="shared" si="1622"/>
        <v>29260.65</v>
      </c>
      <c r="BA279" s="94">
        <f t="shared" si="1623"/>
        <v>29260.65</v>
      </c>
      <c r="BB279" s="94">
        <f t="shared" si="1624"/>
        <v>29260.65</v>
      </c>
    </row>
    <row r="280" spans="1:54" x14ac:dyDescent="0.25">
      <c r="A280" s="80"/>
      <c r="B280" s="95" t="s">
        <v>2843</v>
      </c>
      <c r="C280" s="201" t="s">
        <v>59</v>
      </c>
      <c r="D280" s="80" t="s">
        <v>783</v>
      </c>
      <c r="E280" s="94" t="str">
        <f>IFERROR(VLOOKUP(A280,Estimate!A:Q,17,FALSE)," ")</f>
        <v xml:space="preserve"> </v>
      </c>
      <c r="F280" s="202" t="s">
        <v>781</v>
      </c>
      <c r="G280" s="202" t="s">
        <v>781</v>
      </c>
      <c r="H280" s="203" t="s">
        <v>781</v>
      </c>
      <c r="I280" s="203" t="s">
        <v>781</v>
      </c>
      <c r="J280" s="203" t="s">
        <v>781</v>
      </c>
      <c r="K280" s="203"/>
      <c r="L280" s="202" t="s">
        <v>781</v>
      </c>
      <c r="M280" s="204" t="str">
        <f t="shared" si="1606"/>
        <v xml:space="preserve"> </v>
      </c>
      <c r="N280" s="95" t="s">
        <v>781</v>
      </c>
      <c r="O280" s="204" t="str">
        <f t="shared" si="1606"/>
        <v xml:space="preserve"> </v>
      </c>
      <c r="P280" s="95" t="s">
        <v>781</v>
      </c>
      <c r="Q280" s="204" t="str">
        <f t="shared" ref="Q280:S280" si="1709">IFERROR(P280/$G280," ")</f>
        <v xml:space="preserve"> </v>
      </c>
      <c r="R280" s="95" t="s">
        <v>781</v>
      </c>
      <c r="S280" s="204" t="str">
        <f t="shared" si="1709"/>
        <v xml:space="preserve"> </v>
      </c>
      <c r="T280" s="95" t="s">
        <v>781</v>
      </c>
      <c r="U280" s="204" t="str">
        <f t="shared" ref="U280:W280" si="1710">IFERROR(T280/$G280," ")</f>
        <v xml:space="preserve"> </v>
      </c>
      <c r="V280" s="95" t="s">
        <v>781</v>
      </c>
      <c r="W280" s="204" t="str">
        <f t="shared" si="1710"/>
        <v xml:space="preserve"> </v>
      </c>
      <c r="X280" s="95" t="s">
        <v>781</v>
      </c>
      <c r="Y280" s="204" t="str">
        <f t="shared" ref="Y280:AA280" si="1711">IFERROR(X280/$G280," ")</f>
        <v xml:space="preserve"> </v>
      </c>
      <c r="Z280" s="95" t="s">
        <v>781</v>
      </c>
      <c r="AA280" s="204" t="str">
        <f t="shared" si="1711"/>
        <v xml:space="preserve"> </v>
      </c>
      <c r="AB280" s="95" t="s">
        <v>781</v>
      </c>
      <c r="AC280" s="204" t="str">
        <f t="shared" ref="AC280:AE280" si="1712">IFERROR(AB280/$G280," ")</f>
        <v xml:space="preserve"> </v>
      </c>
      <c r="AD280" s="95" t="s">
        <v>781</v>
      </c>
      <c r="AE280" s="204" t="str">
        <f t="shared" si="1712"/>
        <v xml:space="preserve"> </v>
      </c>
      <c r="AF280" s="95" t="s">
        <v>781</v>
      </c>
      <c r="AG280" s="204" t="str">
        <f t="shared" ref="AG280:AI280" si="1713">IFERROR(AF280/$G280," ")</f>
        <v xml:space="preserve"> </v>
      </c>
      <c r="AH280" s="95" t="s">
        <v>781</v>
      </c>
      <c r="AI280" s="204" t="str">
        <f t="shared" si="1713"/>
        <v xml:space="preserve"> </v>
      </c>
      <c r="AJ280" s="95" t="s">
        <v>781</v>
      </c>
      <c r="AK280" s="204" t="str">
        <f t="shared" ref="AK280:AM280" si="1714">IFERROR(AJ280/$G280," ")</f>
        <v xml:space="preserve"> </v>
      </c>
      <c r="AL280" s="95" t="s">
        <v>781</v>
      </c>
      <c r="AM280" s="204" t="str">
        <f t="shared" si="1714"/>
        <v xml:space="preserve"> </v>
      </c>
      <c r="AN280" s="95"/>
      <c r="AO280" s="94" t="str">
        <f t="shared" si="1613"/>
        <v xml:space="preserve"> </v>
      </c>
      <c r="AP280" s="94" t="str">
        <f t="shared" si="1603"/>
        <v xml:space="preserve"> </v>
      </c>
      <c r="AQ280" s="94" t="str">
        <f t="shared" si="1604"/>
        <v xml:space="preserve"> </v>
      </c>
      <c r="AR280" s="94" t="str">
        <f t="shared" si="1614"/>
        <v xml:space="preserve"> </v>
      </c>
      <c r="AS280" s="94" t="str">
        <f t="shared" si="1615"/>
        <v xml:space="preserve"> </v>
      </c>
      <c r="AT280" s="94" t="str">
        <f t="shared" si="1616"/>
        <v xml:space="preserve"> </v>
      </c>
      <c r="AU280" s="94" t="str">
        <f t="shared" si="1617"/>
        <v xml:space="preserve"> </v>
      </c>
      <c r="AV280" s="94" t="str">
        <f t="shared" si="1618"/>
        <v xml:space="preserve"> </v>
      </c>
      <c r="AW280" s="94" t="str">
        <f t="shared" si="1619"/>
        <v xml:space="preserve"> </v>
      </c>
      <c r="AX280" s="94" t="str">
        <f t="shared" si="1620"/>
        <v xml:space="preserve"> </v>
      </c>
      <c r="AY280" s="94" t="str">
        <f t="shared" si="1621"/>
        <v xml:space="preserve"> </v>
      </c>
      <c r="AZ280" s="94" t="str">
        <f t="shared" si="1622"/>
        <v xml:space="preserve"> </v>
      </c>
      <c r="BA280" s="94" t="str">
        <f t="shared" si="1623"/>
        <v xml:space="preserve"> </v>
      </c>
      <c r="BB280" s="94" t="str">
        <f t="shared" si="1624"/>
        <v xml:space="preserve"> </v>
      </c>
    </row>
    <row r="281" spans="1:54" x14ac:dyDescent="0.25">
      <c r="A281" s="80">
        <v>117</v>
      </c>
      <c r="B281" s="95" t="s">
        <v>2844</v>
      </c>
      <c r="C281" s="201" t="s">
        <v>61</v>
      </c>
      <c r="D281" s="80" t="s">
        <v>62</v>
      </c>
      <c r="E281" s="94">
        <f>IFERROR(VLOOKUP(A281,Estimate!A:Q,17,FALSE)," ")</f>
        <v>13017.300127064804</v>
      </c>
      <c r="F281" s="202">
        <v>652</v>
      </c>
      <c r="G281" s="202">
        <v>652</v>
      </c>
      <c r="H281" s="203">
        <v>25.08</v>
      </c>
      <c r="I281" s="203">
        <v>16352.16</v>
      </c>
      <c r="J281" s="203">
        <v>16352.16</v>
      </c>
      <c r="K281" s="203"/>
      <c r="L281" s="202"/>
      <c r="M281" s="204">
        <f t="shared" si="1606"/>
        <v>0</v>
      </c>
      <c r="N281" s="95"/>
      <c r="O281" s="204">
        <f t="shared" si="1606"/>
        <v>0</v>
      </c>
      <c r="P281" s="95"/>
      <c r="Q281" s="204">
        <f t="shared" ref="Q281:S281" si="1715">IFERROR(P281/$G281," ")</f>
        <v>0</v>
      </c>
      <c r="R281" s="95"/>
      <c r="S281" s="204">
        <f t="shared" si="1715"/>
        <v>0</v>
      </c>
      <c r="T281" s="95"/>
      <c r="U281" s="204">
        <f t="shared" ref="U281:W281" si="1716">IFERROR(T281/$G281," ")</f>
        <v>0</v>
      </c>
      <c r="V281" s="95"/>
      <c r="W281" s="204">
        <f t="shared" si="1716"/>
        <v>0</v>
      </c>
      <c r="X281" s="95"/>
      <c r="Y281" s="204">
        <f t="shared" ref="Y281:AA281" si="1717">IFERROR(X281/$G281," ")</f>
        <v>0</v>
      </c>
      <c r="Z281" s="95"/>
      <c r="AA281" s="204">
        <f t="shared" si="1717"/>
        <v>0</v>
      </c>
      <c r="AB281" s="95"/>
      <c r="AC281" s="204">
        <f t="shared" ref="AC281:AE281" si="1718">IFERROR(AB281/$G281," ")</f>
        <v>0</v>
      </c>
      <c r="AD281" s="95">
        <v>326</v>
      </c>
      <c r="AE281" s="204">
        <f t="shared" si="1718"/>
        <v>0.5</v>
      </c>
      <c r="AF281" s="95">
        <v>652</v>
      </c>
      <c r="AG281" s="204">
        <f t="shared" ref="AG281:AI281" si="1719">IFERROR(AF281/$G281," ")</f>
        <v>1</v>
      </c>
      <c r="AH281" s="95">
        <v>652</v>
      </c>
      <c r="AI281" s="204">
        <f t="shared" si="1719"/>
        <v>1</v>
      </c>
      <c r="AJ281" s="95">
        <v>652</v>
      </c>
      <c r="AK281" s="204">
        <f t="shared" ref="AK281:AM281" si="1720">IFERROR(AJ281/$G281," ")</f>
        <v>1</v>
      </c>
      <c r="AL281" s="95">
        <v>652</v>
      </c>
      <c r="AM281" s="204">
        <f t="shared" si="1720"/>
        <v>1</v>
      </c>
      <c r="AN281" s="95"/>
      <c r="AO281" s="94">
        <f t="shared" si="1613"/>
        <v>0</v>
      </c>
      <c r="AP281" s="94">
        <f t="shared" si="1603"/>
        <v>0</v>
      </c>
      <c r="AQ281" s="94">
        <f t="shared" si="1604"/>
        <v>0</v>
      </c>
      <c r="AR281" s="94">
        <f t="shared" si="1614"/>
        <v>0</v>
      </c>
      <c r="AS281" s="94">
        <f t="shared" si="1615"/>
        <v>0</v>
      </c>
      <c r="AT281" s="94">
        <f t="shared" si="1616"/>
        <v>0</v>
      </c>
      <c r="AU281" s="94">
        <f t="shared" si="1617"/>
        <v>0</v>
      </c>
      <c r="AV281" s="94">
        <f t="shared" si="1618"/>
        <v>0</v>
      </c>
      <c r="AW281" s="94">
        <f t="shared" si="1619"/>
        <v>0</v>
      </c>
      <c r="AX281" s="94">
        <f t="shared" si="1620"/>
        <v>8176.08</v>
      </c>
      <c r="AY281" s="94">
        <f t="shared" si="1621"/>
        <v>16352.16</v>
      </c>
      <c r="AZ281" s="94">
        <f t="shared" si="1622"/>
        <v>16352.16</v>
      </c>
      <c r="BA281" s="94">
        <f t="shared" si="1623"/>
        <v>16352.16</v>
      </c>
      <c r="BB281" s="94">
        <f t="shared" si="1624"/>
        <v>16352.16</v>
      </c>
    </row>
    <row r="282" spans="1:54" x14ac:dyDescent="0.25">
      <c r="A282" s="80">
        <v>118</v>
      </c>
      <c r="B282" s="95" t="s">
        <v>2885</v>
      </c>
      <c r="C282" s="201" t="s">
        <v>439</v>
      </c>
      <c r="D282" s="80" t="s">
        <v>62</v>
      </c>
      <c r="E282" s="94">
        <f>IFERROR(VLOOKUP(A282,Estimate!A:Q,17,FALSE)," ")</f>
        <v>2917.2</v>
      </c>
      <c r="F282" s="202">
        <v>104</v>
      </c>
      <c r="G282" s="202">
        <v>104</v>
      </c>
      <c r="H282" s="203">
        <v>35.24</v>
      </c>
      <c r="I282" s="203">
        <v>3664.96</v>
      </c>
      <c r="J282" s="203">
        <v>3664.96</v>
      </c>
      <c r="K282" s="203"/>
      <c r="L282" s="202"/>
      <c r="M282" s="204">
        <f t="shared" si="1606"/>
        <v>0</v>
      </c>
      <c r="N282" s="95"/>
      <c r="O282" s="204">
        <f t="shared" si="1606"/>
        <v>0</v>
      </c>
      <c r="P282" s="95"/>
      <c r="Q282" s="204">
        <f t="shared" ref="Q282:S282" si="1721">IFERROR(P282/$G282," ")</f>
        <v>0</v>
      </c>
      <c r="R282" s="95"/>
      <c r="S282" s="204">
        <f t="shared" si="1721"/>
        <v>0</v>
      </c>
      <c r="T282" s="95"/>
      <c r="U282" s="204">
        <f t="shared" ref="U282:W282" si="1722">IFERROR(T282/$G282," ")</f>
        <v>0</v>
      </c>
      <c r="V282" s="95"/>
      <c r="W282" s="204">
        <f t="shared" si="1722"/>
        <v>0</v>
      </c>
      <c r="X282" s="95"/>
      <c r="Y282" s="204">
        <f t="shared" ref="Y282:AA282" si="1723">IFERROR(X282/$G282," ")</f>
        <v>0</v>
      </c>
      <c r="Z282" s="95"/>
      <c r="AA282" s="204">
        <f t="shared" si="1723"/>
        <v>0</v>
      </c>
      <c r="AB282" s="95"/>
      <c r="AC282" s="204">
        <f t="shared" ref="AC282:AE282" si="1724">IFERROR(AB282/$G282," ")</f>
        <v>0</v>
      </c>
      <c r="AD282" s="95"/>
      <c r="AE282" s="204">
        <f t="shared" si="1724"/>
        <v>0</v>
      </c>
      <c r="AF282" s="95">
        <v>104</v>
      </c>
      <c r="AG282" s="204">
        <f t="shared" ref="AG282:AI282" si="1725">IFERROR(AF282/$G282," ")</f>
        <v>1</v>
      </c>
      <c r="AH282" s="95">
        <v>104</v>
      </c>
      <c r="AI282" s="204">
        <f t="shared" si="1725"/>
        <v>1</v>
      </c>
      <c r="AJ282" s="95">
        <v>104</v>
      </c>
      <c r="AK282" s="204">
        <f t="shared" ref="AK282:AM282" si="1726">IFERROR(AJ282/$G282," ")</f>
        <v>1</v>
      </c>
      <c r="AL282" s="95">
        <v>104</v>
      </c>
      <c r="AM282" s="204">
        <f t="shared" si="1726"/>
        <v>1</v>
      </c>
      <c r="AN282" s="95"/>
      <c r="AO282" s="94">
        <f t="shared" si="1613"/>
        <v>0</v>
      </c>
      <c r="AP282" s="94">
        <f t="shared" si="1603"/>
        <v>0</v>
      </c>
      <c r="AQ282" s="94">
        <f t="shared" si="1604"/>
        <v>0</v>
      </c>
      <c r="AR282" s="94">
        <f t="shared" si="1614"/>
        <v>0</v>
      </c>
      <c r="AS282" s="94">
        <f t="shared" si="1615"/>
        <v>0</v>
      </c>
      <c r="AT282" s="94">
        <f t="shared" si="1616"/>
        <v>0</v>
      </c>
      <c r="AU282" s="94">
        <f t="shared" si="1617"/>
        <v>0</v>
      </c>
      <c r="AV282" s="94">
        <f t="shared" si="1618"/>
        <v>0</v>
      </c>
      <c r="AW282" s="94">
        <f t="shared" si="1619"/>
        <v>0</v>
      </c>
      <c r="AX282" s="94">
        <f t="shared" si="1620"/>
        <v>0</v>
      </c>
      <c r="AY282" s="94">
        <f t="shared" si="1621"/>
        <v>3664.96</v>
      </c>
      <c r="AZ282" s="94">
        <f t="shared" si="1622"/>
        <v>3664.96</v>
      </c>
      <c r="BA282" s="94">
        <f t="shared" si="1623"/>
        <v>3664.96</v>
      </c>
      <c r="BB282" s="94">
        <f t="shared" si="1624"/>
        <v>3664.96</v>
      </c>
    </row>
    <row r="283" spans="1:54" ht="30" x14ac:dyDescent="0.25">
      <c r="A283" s="80">
        <v>119</v>
      </c>
      <c r="B283" s="95" t="s">
        <v>2845</v>
      </c>
      <c r="C283" s="201" t="s">
        <v>167</v>
      </c>
      <c r="D283" s="80" t="s">
        <v>62</v>
      </c>
      <c r="E283" s="94">
        <f>IFERROR(VLOOKUP(A283,Estimate!A:Q,17,FALSE)," ")</f>
        <v>4259.666666666667</v>
      </c>
      <c r="F283" s="202">
        <v>65</v>
      </c>
      <c r="G283" s="202">
        <v>65</v>
      </c>
      <c r="H283" s="203">
        <v>65.53</v>
      </c>
      <c r="I283" s="203">
        <v>4259.45</v>
      </c>
      <c r="J283" s="203">
        <v>4259.45</v>
      </c>
      <c r="K283" s="203"/>
      <c r="L283" s="202"/>
      <c r="M283" s="204">
        <f t="shared" si="1606"/>
        <v>0</v>
      </c>
      <c r="N283" s="95"/>
      <c r="O283" s="204">
        <f t="shared" si="1606"/>
        <v>0</v>
      </c>
      <c r="P283" s="95"/>
      <c r="Q283" s="204">
        <f t="shared" ref="Q283:S283" si="1727">IFERROR(P283/$G283," ")</f>
        <v>0</v>
      </c>
      <c r="R283" s="95"/>
      <c r="S283" s="204">
        <f t="shared" si="1727"/>
        <v>0</v>
      </c>
      <c r="T283" s="95"/>
      <c r="U283" s="204">
        <f t="shared" ref="U283:W283" si="1728">IFERROR(T283/$G283," ")</f>
        <v>0</v>
      </c>
      <c r="V283" s="95"/>
      <c r="W283" s="204">
        <f t="shared" si="1728"/>
        <v>0</v>
      </c>
      <c r="X283" s="95"/>
      <c r="Y283" s="204">
        <f t="shared" ref="Y283:AA283" si="1729">IFERROR(X283/$G283," ")</f>
        <v>0</v>
      </c>
      <c r="Z283" s="95"/>
      <c r="AA283" s="204">
        <f t="shared" si="1729"/>
        <v>0</v>
      </c>
      <c r="AB283" s="95"/>
      <c r="AC283" s="204">
        <f t="shared" ref="AC283:AE283" si="1730">IFERROR(AB283/$G283," ")</f>
        <v>0</v>
      </c>
      <c r="AD283" s="95">
        <v>65</v>
      </c>
      <c r="AE283" s="204">
        <f t="shared" si="1730"/>
        <v>1</v>
      </c>
      <c r="AF283" s="95">
        <v>65</v>
      </c>
      <c r="AG283" s="204">
        <f t="shared" ref="AG283:AI283" si="1731">IFERROR(AF283/$G283," ")</f>
        <v>1</v>
      </c>
      <c r="AH283" s="95">
        <v>65</v>
      </c>
      <c r="AI283" s="204">
        <f t="shared" si="1731"/>
        <v>1</v>
      </c>
      <c r="AJ283" s="95">
        <v>65</v>
      </c>
      <c r="AK283" s="204">
        <f t="shared" ref="AK283:AM283" si="1732">IFERROR(AJ283/$G283," ")</f>
        <v>1</v>
      </c>
      <c r="AL283" s="95">
        <v>65</v>
      </c>
      <c r="AM283" s="204">
        <f t="shared" si="1732"/>
        <v>1</v>
      </c>
      <c r="AN283" s="95"/>
      <c r="AO283" s="94">
        <f t="shared" si="1613"/>
        <v>0</v>
      </c>
      <c r="AP283" s="94">
        <f t="shared" si="1603"/>
        <v>0</v>
      </c>
      <c r="AQ283" s="94">
        <f t="shared" si="1604"/>
        <v>0</v>
      </c>
      <c r="AR283" s="94">
        <f t="shared" si="1614"/>
        <v>0</v>
      </c>
      <c r="AS283" s="94">
        <f t="shared" si="1615"/>
        <v>0</v>
      </c>
      <c r="AT283" s="94">
        <f t="shared" si="1616"/>
        <v>0</v>
      </c>
      <c r="AU283" s="94">
        <f t="shared" si="1617"/>
        <v>0</v>
      </c>
      <c r="AV283" s="94">
        <f t="shared" si="1618"/>
        <v>0</v>
      </c>
      <c r="AW283" s="94">
        <f t="shared" si="1619"/>
        <v>0</v>
      </c>
      <c r="AX283" s="94">
        <f t="shared" si="1620"/>
        <v>4259.45</v>
      </c>
      <c r="AY283" s="94">
        <f t="shared" si="1621"/>
        <v>4259.45</v>
      </c>
      <c r="AZ283" s="94">
        <f t="shared" si="1622"/>
        <v>4259.45</v>
      </c>
      <c r="BA283" s="94">
        <f t="shared" si="1623"/>
        <v>4259.45</v>
      </c>
      <c r="BB283" s="94">
        <f t="shared" si="1624"/>
        <v>4259.45</v>
      </c>
    </row>
    <row r="284" spans="1:54" x14ac:dyDescent="0.25">
      <c r="A284" s="80"/>
      <c r="B284" s="95" t="s">
        <v>2417</v>
      </c>
      <c r="C284" s="201" t="s">
        <v>2837</v>
      </c>
      <c r="D284" s="80" t="s">
        <v>783</v>
      </c>
      <c r="E284" s="94" t="str">
        <f>IFERROR(VLOOKUP(A284,Estimate!A:Q,17,FALSE)," ")</f>
        <v xml:space="preserve"> </v>
      </c>
      <c r="F284" s="202" t="s">
        <v>781</v>
      </c>
      <c r="G284" s="202" t="s">
        <v>781</v>
      </c>
      <c r="H284" s="203" t="s">
        <v>781</v>
      </c>
      <c r="I284" s="203" t="s">
        <v>781</v>
      </c>
      <c r="J284" s="203" t="s">
        <v>781</v>
      </c>
      <c r="K284" s="203"/>
      <c r="L284" s="202" t="s">
        <v>781</v>
      </c>
      <c r="M284" s="204" t="str">
        <f t="shared" si="1606"/>
        <v xml:space="preserve"> </v>
      </c>
      <c r="N284" s="95" t="s">
        <v>781</v>
      </c>
      <c r="O284" s="204" t="str">
        <f t="shared" si="1606"/>
        <v xml:space="preserve"> </v>
      </c>
      <c r="P284" s="95" t="s">
        <v>781</v>
      </c>
      <c r="Q284" s="204" t="str">
        <f t="shared" ref="Q284:S284" si="1733">IFERROR(P284/$G284," ")</f>
        <v xml:space="preserve"> </v>
      </c>
      <c r="R284" s="95" t="s">
        <v>781</v>
      </c>
      <c r="S284" s="204" t="str">
        <f t="shared" si="1733"/>
        <v xml:space="preserve"> </v>
      </c>
      <c r="T284" s="95" t="s">
        <v>781</v>
      </c>
      <c r="U284" s="204" t="str">
        <f t="shared" ref="U284:W284" si="1734">IFERROR(T284/$G284," ")</f>
        <v xml:space="preserve"> </v>
      </c>
      <c r="V284" s="95" t="s">
        <v>781</v>
      </c>
      <c r="W284" s="204" t="str">
        <f t="shared" si="1734"/>
        <v xml:space="preserve"> </v>
      </c>
      <c r="X284" s="95" t="s">
        <v>781</v>
      </c>
      <c r="Y284" s="204" t="str">
        <f t="shared" ref="Y284:AA284" si="1735">IFERROR(X284/$G284," ")</f>
        <v xml:space="preserve"> </v>
      </c>
      <c r="Z284" s="95" t="s">
        <v>781</v>
      </c>
      <c r="AA284" s="204" t="str">
        <f t="shared" si="1735"/>
        <v xml:space="preserve"> </v>
      </c>
      <c r="AB284" s="95" t="s">
        <v>781</v>
      </c>
      <c r="AC284" s="204" t="str">
        <f t="shared" ref="AC284:AE284" si="1736">IFERROR(AB284/$G284," ")</f>
        <v xml:space="preserve"> </v>
      </c>
      <c r="AD284" s="95" t="s">
        <v>781</v>
      </c>
      <c r="AE284" s="204" t="str">
        <f t="shared" si="1736"/>
        <v xml:space="preserve"> </v>
      </c>
      <c r="AF284" s="95" t="s">
        <v>781</v>
      </c>
      <c r="AG284" s="204" t="str">
        <f t="shared" ref="AG284:AI284" si="1737">IFERROR(AF284/$G284," ")</f>
        <v xml:space="preserve"> </v>
      </c>
      <c r="AH284" s="95" t="s">
        <v>781</v>
      </c>
      <c r="AI284" s="204" t="str">
        <f t="shared" si="1737"/>
        <v xml:space="preserve"> </v>
      </c>
      <c r="AJ284" s="95" t="s">
        <v>781</v>
      </c>
      <c r="AK284" s="204" t="str">
        <f t="shared" ref="AK284:AM284" si="1738">IFERROR(AJ284/$G284," ")</f>
        <v xml:space="preserve"> </v>
      </c>
      <c r="AL284" s="95" t="s">
        <v>781</v>
      </c>
      <c r="AM284" s="204" t="str">
        <f t="shared" si="1738"/>
        <v xml:space="preserve"> </v>
      </c>
      <c r="AN284" s="95"/>
      <c r="AO284" s="94" t="str">
        <f t="shared" si="1613"/>
        <v xml:space="preserve"> </v>
      </c>
      <c r="AP284" s="94" t="str">
        <f t="shared" si="1603"/>
        <v xml:space="preserve"> </v>
      </c>
      <c r="AQ284" s="94" t="str">
        <f t="shared" si="1604"/>
        <v xml:space="preserve"> </v>
      </c>
      <c r="AR284" s="94" t="str">
        <f t="shared" si="1614"/>
        <v xml:space="preserve"> </v>
      </c>
      <c r="AS284" s="94" t="str">
        <f t="shared" si="1615"/>
        <v xml:space="preserve"> </v>
      </c>
      <c r="AT284" s="94" t="str">
        <f t="shared" si="1616"/>
        <v xml:space="preserve"> </v>
      </c>
      <c r="AU284" s="94" t="str">
        <f t="shared" si="1617"/>
        <v xml:space="preserve"> </v>
      </c>
      <c r="AV284" s="94" t="str">
        <f t="shared" si="1618"/>
        <v xml:space="preserve"> </v>
      </c>
      <c r="AW284" s="94" t="str">
        <f t="shared" si="1619"/>
        <v xml:space="preserve"> </v>
      </c>
      <c r="AX284" s="94" t="str">
        <f t="shared" si="1620"/>
        <v xml:space="preserve"> </v>
      </c>
      <c r="AY284" s="94" t="str">
        <f t="shared" si="1621"/>
        <v xml:space="preserve"> </v>
      </c>
      <c r="AZ284" s="94" t="str">
        <f t="shared" si="1622"/>
        <v xml:space="preserve"> </v>
      </c>
      <c r="BA284" s="94" t="str">
        <f t="shared" si="1623"/>
        <v xml:space="preserve"> </v>
      </c>
      <c r="BB284" s="94" t="str">
        <f t="shared" si="1624"/>
        <v xml:space="preserve"> </v>
      </c>
    </row>
    <row r="285" spans="1:54" x14ac:dyDescent="0.25">
      <c r="A285" s="80"/>
      <c r="B285" s="95" t="s">
        <v>2417</v>
      </c>
      <c r="C285" s="201" t="s">
        <v>71</v>
      </c>
      <c r="D285" s="80" t="s">
        <v>783</v>
      </c>
      <c r="E285" s="94" t="str">
        <f>IFERROR(VLOOKUP(A285,Estimate!A:Q,17,FALSE)," ")</f>
        <v xml:space="preserve"> </v>
      </c>
      <c r="F285" s="202" t="s">
        <v>781</v>
      </c>
      <c r="G285" s="202" t="s">
        <v>781</v>
      </c>
      <c r="H285" s="203" t="s">
        <v>781</v>
      </c>
      <c r="I285" s="203" t="s">
        <v>781</v>
      </c>
      <c r="J285" s="203" t="s">
        <v>781</v>
      </c>
      <c r="K285" s="203"/>
      <c r="L285" s="202" t="s">
        <v>781</v>
      </c>
      <c r="M285" s="204" t="str">
        <f t="shared" si="1606"/>
        <v xml:space="preserve"> </v>
      </c>
      <c r="N285" s="95" t="s">
        <v>781</v>
      </c>
      <c r="O285" s="204" t="str">
        <f t="shared" si="1606"/>
        <v xml:space="preserve"> </v>
      </c>
      <c r="P285" s="95" t="s">
        <v>781</v>
      </c>
      <c r="Q285" s="204" t="str">
        <f t="shared" ref="Q285:S285" si="1739">IFERROR(P285/$G285," ")</f>
        <v xml:space="preserve"> </v>
      </c>
      <c r="R285" s="95" t="s">
        <v>781</v>
      </c>
      <c r="S285" s="204" t="str">
        <f t="shared" si="1739"/>
        <v xml:space="preserve"> </v>
      </c>
      <c r="T285" s="95" t="s">
        <v>781</v>
      </c>
      <c r="U285" s="204" t="str">
        <f t="shared" ref="U285:W285" si="1740">IFERROR(T285/$G285," ")</f>
        <v xml:space="preserve"> </v>
      </c>
      <c r="V285" s="95" t="s">
        <v>781</v>
      </c>
      <c r="W285" s="204" t="str">
        <f t="shared" si="1740"/>
        <v xml:space="preserve"> </v>
      </c>
      <c r="X285" s="95" t="s">
        <v>781</v>
      </c>
      <c r="Y285" s="204" t="str">
        <f t="shared" ref="Y285:AA285" si="1741">IFERROR(X285/$G285," ")</f>
        <v xml:space="preserve"> </v>
      </c>
      <c r="Z285" s="95" t="s">
        <v>781</v>
      </c>
      <c r="AA285" s="204" t="str">
        <f t="shared" si="1741"/>
        <v xml:space="preserve"> </v>
      </c>
      <c r="AB285" s="95" t="s">
        <v>781</v>
      </c>
      <c r="AC285" s="204" t="str">
        <f t="shared" ref="AC285:AE285" si="1742">IFERROR(AB285/$G285," ")</f>
        <v xml:space="preserve"> </v>
      </c>
      <c r="AD285" s="95" t="s">
        <v>781</v>
      </c>
      <c r="AE285" s="204" t="str">
        <f t="shared" si="1742"/>
        <v xml:space="preserve"> </v>
      </c>
      <c r="AF285" s="95" t="s">
        <v>781</v>
      </c>
      <c r="AG285" s="204" t="str">
        <f t="shared" ref="AG285:AI285" si="1743">IFERROR(AF285/$G285," ")</f>
        <v xml:space="preserve"> </v>
      </c>
      <c r="AH285" s="95" t="s">
        <v>781</v>
      </c>
      <c r="AI285" s="204" t="str">
        <f t="shared" si="1743"/>
        <v xml:space="preserve"> </v>
      </c>
      <c r="AJ285" s="95" t="s">
        <v>781</v>
      </c>
      <c r="AK285" s="204" t="str">
        <f t="shared" ref="AK285:AM285" si="1744">IFERROR(AJ285/$G285," ")</f>
        <v xml:space="preserve"> </v>
      </c>
      <c r="AL285" s="95" t="s">
        <v>781</v>
      </c>
      <c r="AM285" s="204" t="str">
        <f t="shared" si="1744"/>
        <v xml:space="preserve"> </v>
      </c>
      <c r="AN285" s="95"/>
      <c r="AO285" s="94" t="str">
        <f t="shared" si="1613"/>
        <v xml:space="preserve"> </v>
      </c>
      <c r="AP285" s="94" t="str">
        <f t="shared" si="1603"/>
        <v xml:space="preserve"> </v>
      </c>
      <c r="AQ285" s="94" t="str">
        <f t="shared" si="1604"/>
        <v xml:space="preserve"> </v>
      </c>
      <c r="AR285" s="94" t="str">
        <f t="shared" si="1614"/>
        <v xml:space="preserve"> </v>
      </c>
      <c r="AS285" s="94" t="str">
        <f t="shared" si="1615"/>
        <v xml:space="preserve"> </v>
      </c>
      <c r="AT285" s="94" t="str">
        <f t="shared" si="1616"/>
        <v xml:space="preserve"> </v>
      </c>
      <c r="AU285" s="94" t="str">
        <f t="shared" si="1617"/>
        <v xml:space="preserve"> </v>
      </c>
      <c r="AV285" s="94" t="str">
        <f t="shared" si="1618"/>
        <v xml:space="preserve"> </v>
      </c>
      <c r="AW285" s="94" t="str">
        <f t="shared" si="1619"/>
        <v xml:space="preserve"> </v>
      </c>
      <c r="AX285" s="94" t="str">
        <f t="shared" si="1620"/>
        <v xml:space="preserve"> </v>
      </c>
      <c r="AY285" s="94" t="str">
        <f t="shared" si="1621"/>
        <v xml:space="preserve"> </v>
      </c>
      <c r="AZ285" s="94" t="str">
        <f t="shared" si="1622"/>
        <v xml:space="preserve"> </v>
      </c>
      <c r="BA285" s="94" t="str">
        <f t="shared" si="1623"/>
        <v xml:space="preserve"> </v>
      </c>
      <c r="BB285" s="94" t="str">
        <f t="shared" si="1624"/>
        <v xml:space="preserve"> </v>
      </c>
    </row>
    <row r="286" spans="1:54" x14ac:dyDescent="0.25">
      <c r="A286" s="80"/>
      <c r="B286" s="95" t="s">
        <v>2868</v>
      </c>
      <c r="C286" s="201" t="s">
        <v>170</v>
      </c>
      <c r="D286" s="80" t="s">
        <v>783</v>
      </c>
      <c r="E286" s="94" t="str">
        <f>IFERROR(VLOOKUP(A286,Estimate!A:Q,17,FALSE)," ")</f>
        <v xml:space="preserve"> </v>
      </c>
      <c r="F286" s="202" t="s">
        <v>781</v>
      </c>
      <c r="G286" s="202" t="s">
        <v>781</v>
      </c>
      <c r="H286" s="203" t="s">
        <v>781</v>
      </c>
      <c r="I286" s="203" t="s">
        <v>781</v>
      </c>
      <c r="J286" s="203" t="s">
        <v>781</v>
      </c>
      <c r="K286" s="203"/>
      <c r="L286" s="202" t="s">
        <v>781</v>
      </c>
      <c r="M286" s="204" t="str">
        <f t="shared" si="1606"/>
        <v xml:space="preserve"> </v>
      </c>
      <c r="N286" s="95" t="s">
        <v>781</v>
      </c>
      <c r="O286" s="204" t="str">
        <f t="shared" si="1606"/>
        <v xml:space="preserve"> </v>
      </c>
      <c r="P286" s="95" t="s">
        <v>781</v>
      </c>
      <c r="Q286" s="204" t="str">
        <f t="shared" ref="Q286:S286" si="1745">IFERROR(P286/$G286," ")</f>
        <v xml:space="preserve"> </v>
      </c>
      <c r="R286" s="95" t="s">
        <v>781</v>
      </c>
      <c r="S286" s="204" t="str">
        <f t="shared" si="1745"/>
        <v xml:space="preserve"> </v>
      </c>
      <c r="T286" s="95" t="s">
        <v>781</v>
      </c>
      <c r="U286" s="204" t="str">
        <f t="shared" ref="U286:W286" si="1746">IFERROR(T286/$G286," ")</f>
        <v xml:space="preserve"> </v>
      </c>
      <c r="V286" s="95" t="s">
        <v>781</v>
      </c>
      <c r="W286" s="204" t="str">
        <f t="shared" si="1746"/>
        <v xml:space="preserve"> </v>
      </c>
      <c r="X286" s="95" t="s">
        <v>781</v>
      </c>
      <c r="Y286" s="204" t="str">
        <f t="shared" ref="Y286:AA286" si="1747">IFERROR(X286/$G286," ")</f>
        <v xml:space="preserve"> </v>
      </c>
      <c r="Z286" s="95" t="s">
        <v>781</v>
      </c>
      <c r="AA286" s="204" t="str">
        <f t="shared" si="1747"/>
        <v xml:space="preserve"> </v>
      </c>
      <c r="AB286" s="95" t="s">
        <v>781</v>
      </c>
      <c r="AC286" s="204" t="str">
        <f t="shared" ref="AC286:AE286" si="1748">IFERROR(AB286/$G286," ")</f>
        <v xml:space="preserve"> </v>
      </c>
      <c r="AD286" s="95" t="s">
        <v>781</v>
      </c>
      <c r="AE286" s="204" t="str">
        <f t="shared" si="1748"/>
        <v xml:space="preserve"> </v>
      </c>
      <c r="AF286" s="95" t="s">
        <v>781</v>
      </c>
      <c r="AG286" s="204" t="str">
        <f t="shared" ref="AG286:AI286" si="1749">IFERROR(AF286/$G286," ")</f>
        <v xml:space="preserve"> </v>
      </c>
      <c r="AH286" s="95" t="s">
        <v>781</v>
      </c>
      <c r="AI286" s="204" t="str">
        <f t="shared" si="1749"/>
        <v xml:space="preserve"> </v>
      </c>
      <c r="AJ286" s="95" t="s">
        <v>781</v>
      </c>
      <c r="AK286" s="204" t="str">
        <f t="shared" ref="AK286:AM286" si="1750">IFERROR(AJ286/$G286," ")</f>
        <v xml:space="preserve"> </v>
      </c>
      <c r="AL286" s="95" t="s">
        <v>781</v>
      </c>
      <c r="AM286" s="204" t="str">
        <f t="shared" si="1750"/>
        <v xml:space="preserve"> </v>
      </c>
      <c r="AN286" s="95"/>
      <c r="AO286" s="94" t="str">
        <f t="shared" si="1613"/>
        <v xml:space="preserve"> </v>
      </c>
      <c r="AP286" s="94" t="str">
        <f t="shared" si="1603"/>
        <v xml:space="preserve"> </v>
      </c>
      <c r="AQ286" s="94" t="str">
        <f t="shared" si="1604"/>
        <v xml:space="preserve"> </v>
      </c>
      <c r="AR286" s="94" t="str">
        <f t="shared" si="1614"/>
        <v xml:space="preserve"> </v>
      </c>
      <c r="AS286" s="94" t="str">
        <f t="shared" si="1615"/>
        <v xml:space="preserve"> </v>
      </c>
      <c r="AT286" s="94" t="str">
        <f t="shared" si="1616"/>
        <v xml:space="preserve"> </v>
      </c>
      <c r="AU286" s="94" t="str">
        <f t="shared" si="1617"/>
        <v xml:space="preserve"> </v>
      </c>
      <c r="AV286" s="94" t="str">
        <f t="shared" si="1618"/>
        <v xml:space="preserve"> </v>
      </c>
      <c r="AW286" s="94" t="str">
        <f t="shared" si="1619"/>
        <v xml:space="preserve"> </v>
      </c>
      <c r="AX286" s="94" t="str">
        <f t="shared" si="1620"/>
        <v xml:space="preserve"> </v>
      </c>
      <c r="AY286" s="94" t="str">
        <f t="shared" si="1621"/>
        <v xml:space="preserve"> </v>
      </c>
      <c r="AZ286" s="94" t="str">
        <f t="shared" si="1622"/>
        <v xml:space="preserve"> </v>
      </c>
      <c r="BA286" s="94" t="str">
        <f t="shared" si="1623"/>
        <v xml:space="preserve"> </v>
      </c>
      <c r="BB286" s="94" t="str">
        <f t="shared" si="1624"/>
        <v xml:space="preserve"> </v>
      </c>
    </row>
    <row r="287" spans="1:54" ht="30" x14ac:dyDescent="0.25">
      <c r="A287" s="210">
        <v>119.5</v>
      </c>
      <c r="B287" s="95">
        <v>136</v>
      </c>
      <c r="C287" s="201" t="s">
        <v>2902</v>
      </c>
      <c r="D287" s="80" t="s">
        <v>62</v>
      </c>
      <c r="E287" s="94" t="str">
        <f>IFERROR(VLOOKUP(A287,Estimate!A:Q,17,FALSE)," ")</f>
        <v xml:space="preserve"> </v>
      </c>
      <c r="F287" s="202">
        <v>100</v>
      </c>
      <c r="G287" s="202">
        <v>100</v>
      </c>
      <c r="H287" s="203">
        <v>28.35</v>
      </c>
      <c r="I287" s="203">
        <v>2835</v>
      </c>
      <c r="J287" s="203">
        <v>2835</v>
      </c>
      <c r="K287" s="203"/>
      <c r="L287" s="202"/>
      <c r="M287" s="204">
        <f t="shared" si="1606"/>
        <v>0</v>
      </c>
      <c r="N287" s="95"/>
      <c r="O287" s="204">
        <f t="shared" si="1606"/>
        <v>0</v>
      </c>
      <c r="P287" s="95"/>
      <c r="Q287" s="204">
        <f t="shared" ref="Q287:S287" si="1751">IFERROR(P287/$G287," ")</f>
        <v>0</v>
      </c>
      <c r="R287" s="95"/>
      <c r="S287" s="204">
        <f t="shared" si="1751"/>
        <v>0</v>
      </c>
      <c r="T287" s="95"/>
      <c r="U287" s="204">
        <f t="shared" ref="U287:W287" si="1752">IFERROR(T287/$G287," ")</f>
        <v>0</v>
      </c>
      <c r="V287" s="95"/>
      <c r="W287" s="204">
        <f t="shared" si="1752"/>
        <v>0</v>
      </c>
      <c r="X287" s="95"/>
      <c r="Y287" s="204">
        <f t="shared" ref="Y287:AA287" si="1753">IFERROR(X287/$G287," ")</f>
        <v>0</v>
      </c>
      <c r="Z287" s="95"/>
      <c r="AA287" s="204">
        <f t="shared" si="1753"/>
        <v>0</v>
      </c>
      <c r="AB287" s="95"/>
      <c r="AC287" s="204">
        <f t="shared" ref="AC287:AE287" si="1754">IFERROR(AB287/$G287," ")</f>
        <v>0</v>
      </c>
      <c r="AD287" s="95">
        <v>100</v>
      </c>
      <c r="AE287" s="204">
        <f t="shared" si="1754"/>
        <v>1</v>
      </c>
      <c r="AF287" s="95">
        <v>100</v>
      </c>
      <c r="AG287" s="204">
        <f t="shared" ref="AG287:AI287" si="1755">IFERROR(AF287/$G287," ")</f>
        <v>1</v>
      </c>
      <c r="AH287" s="95">
        <v>100</v>
      </c>
      <c r="AI287" s="204">
        <f t="shared" si="1755"/>
        <v>1</v>
      </c>
      <c r="AJ287" s="95">
        <v>100</v>
      </c>
      <c r="AK287" s="204">
        <f t="shared" ref="AK287:AM287" si="1756">IFERROR(AJ287/$G287," ")</f>
        <v>1</v>
      </c>
      <c r="AL287" s="95">
        <v>100</v>
      </c>
      <c r="AM287" s="204">
        <f t="shared" si="1756"/>
        <v>1</v>
      </c>
      <c r="AN287" s="95"/>
      <c r="AO287" s="94">
        <f t="shared" si="1613"/>
        <v>0</v>
      </c>
      <c r="AP287" s="94">
        <f t="shared" si="1603"/>
        <v>0</v>
      </c>
      <c r="AQ287" s="94">
        <f t="shared" si="1604"/>
        <v>0</v>
      </c>
      <c r="AR287" s="94">
        <f t="shared" si="1614"/>
        <v>0</v>
      </c>
      <c r="AS287" s="94">
        <f t="shared" si="1615"/>
        <v>0</v>
      </c>
      <c r="AT287" s="94">
        <f t="shared" si="1616"/>
        <v>0</v>
      </c>
      <c r="AU287" s="94">
        <f t="shared" si="1617"/>
        <v>0</v>
      </c>
      <c r="AV287" s="94">
        <f t="shared" si="1618"/>
        <v>0</v>
      </c>
      <c r="AW287" s="94">
        <f t="shared" si="1619"/>
        <v>0</v>
      </c>
      <c r="AX287" s="94">
        <f t="shared" si="1620"/>
        <v>2835</v>
      </c>
      <c r="AY287" s="94">
        <f t="shared" si="1621"/>
        <v>2835</v>
      </c>
      <c r="AZ287" s="94">
        <f t="shared" si="1622"/>
        <v>2835</v>
      </c>
      <c r="BA287" s="94">
        <f t="shared" si="1623"/>
        <v>2835</v>
      </c>
      <c r="BB287" s="94">
        <f t="shared" si="1624"/>
        <v>2835</v>
      </c>
    </row>
    <row r="288" spans="1:54" ht="30" x14ac:dyDescent="0.25">
      <c r="A288" s="80">
        <v>120</v>
      </c>
      <c r="B288" s="95">
        <v>137</v>
      </c>
      <c r="C288" s="201" t="s">
        <v>172</v>
      </c>
      <c r="D288" s="80" t="s">
        <v>20</v>
      </c>
      <c r="E288" s="94">
        <f>IFERROR(VLOOKUP(A288,Estimate!A:Q,17,FALSE)," ")</f>
        <v>5490.9090909090919</v>
      </c>
      <c r="F288" s="202">
        <v>2</v>
      </c>
      <c r="G288" s="202">
        <v>2</v>
      </c>
      <c r="H288" s="203">
        <v>3414.77</v>
      </c>
      <c r="I288" s="203">
        <v>6829.54</v>
      </c>
      <c r="J288" s="203">
        <v>6829.54</v>
      </c>
      <c r="K288" s="203"/>
      <c r="L288" s="202"/>
      <c r="M288" s="204">
        <f t="shared" si="1606"/>
        <v>0</v>
      </c>
      <c r="N288" s="95"/>
      <c r="O288" s="204">
        <f t="shared" si="1606"/>
        <v>0</v>
      </c>
      <c r="P288" s="95"/>
      <c r="Q288" s="204">
        <f t="shared" ref="Q288:S288" si="1757">IFERROR(P288/$G288," ")</f>
        <v>0</v>
      </c>
      <c r="R288" s="95"/>
      <c r="S288" s="204">
        <f t="shared" si="1757"/>
        <v>0</v>
      </c>
      <c r="T288" s="95"/>
      <c r="U288" s="204">
        <f t="shared" ref="U288:W288" si="1758">IFERROR(T288/$G288," ")</f>
        <v>0</v>
      </c>
      <c r="V288" s="95"/>
      <c r="W288" s="204">
        <f t="shared" si="1758"/>
        <v>0</v>
      </c>
      <c r="X288" s="95"/>
      <c r="Y288" s="204">
        <f t="shared" ref="Y288:AA288" si="1759">IFERROR(X288/$G288," ")</f>
        <v>0</v>
      </c>
      <c r="Z288" s="95"/>
      <c r="AA288" s="204">
        <f t="shared" si="1759"/>
        <v>0</v>
      </c>
      <c r="AB288" s="95"/>
      <c r="AC288" s="204">
        <f t="shared" ref="AC288:AE288" si="1760">IFERROR(AB288/$G288," ")</f>
        <v>0</v>
      </c>
      <c r="AD288" s="95">
        <v>2</v>
      </c>
      <c r="AE288" s="204">
        <f t="shared" si="1760"/>
        <v>1</v>
      </c>
      <c r="AF288" s="95">
        <v>2</v>
      </c>
      <c r="AG288" s="204">
        <f t="shared" ref="AG288:AI288" si="1761">IFERROR(AF288/$G288," ")</f>
        <v>1</v>
      </c>
      <c r="AH288" s="95">
        <v>2</v>
      </c>
      <c r="AI288" s="204">
        <f t="shared" si="1761"/>
        <v>1</v>
      </c>
      <c r="AJ288" s="95">
        <v>2</v>
      </c>
      <c r="AK288" s="204">
        <f t="shared" ref="AK288:AM288" si="1762">IFERROR(AJ288/$G288," ")</f>
        <v>1</v>
      </c>
      <c r="AL288" s="95">
        <v>2</v>
      </c>
      <c r="AM288" s="204">
        <f t="shared" si="1762"/>
        <v>1</v>
      </c>
      <c r="AN288" s="95"/>
      <c r="AO288" s="94">
        <f t="shared" si="1613"/>
        <v>0</v>
      </c>
      <c r="AP288" s="94">
        <f t="shared" si="1603"/>
        <v>0</v>
      </c>
      <c r="AQ288" s="94">
        <f t="shared" si="1604"/>
        <v>0</v>
      </c>
      <c r="AR288" s="94">
        <f t="shared" si="1614"/>
        <v>0</v>
      </c>
      <c r="AS288" s="94">
        <f t="shared" si="1615"/>
        <v>0</v>
      </c>
      <c r="AT288" s="94">
        <f t="shared" si="1616"/>
        <v>0</v>
      </c>
      <c r="AU288" s="94">
        <f t="shared" si="1617"/>
        <v>0</v>
      </c>
      <c r="AV288" s="94">
        <f t="shared" si="1618"/>
        <v>0</v>
      </c>
      <c r="AW288" s="94">
        <f t="shared" si="1619"/>
        <v>0</v>
      </c>
      <c r="AX288" s="94">
        <f t="shared" si="1620"/>
        <v>6829.54</v>
      </c>
      <c r="AY288" s="94">
        <f t="shared" si="1621"/>
        <v>6829.54</v>
      </c>
      <c r="AZ288" s="94">
        <f t="shared" si="1622"/>
        <v>6829.54</v>
      </c>
      <c r="BA288" s="94">
        <f t="shared" si="1623"/>
        <v>6829.54</v>
      </c>
      <c r="BB288" s="94">
        <f t="shared" si="1624"/>
        <v>6829.54</v>
      </c>
    </row>
    <row r="289" spans="1:54" ht="30" x14ac:dyDescent="0.25">
      <c r="A289" s="80">
        <v>121</v>
      </c>
      <c r="B289" s="95" t="s">
        <v>2417</v>
      </c>
      <c r="C289" s="201" t="s">
        <v>445</v>
      </c>
      <c r="D289" s="80" t="s">
        <v>33</v>
      </c>
      <c r="E289" s="94">
        <f>IFERROR(VLOOKUP(A289,Estimate!A:Q,17,FALSE)," ")</f>
        <v>790</v>
      </c>
      <c r="F289" s="202">
        <v>2</v>
      </c>
      <c r="G289" s="202">
        <v>2</v>
      </c>
      <c r="H289" s="203">
        <v>496.21</v>
      </c>
      <c r="I289" s="203">
        <v>992.42</v>
      </c>
      <c r="J289" s="203">
        <v>992.42</v>
      </c>
      <c r="K289" s="203"/>
      <c r="L289" s="202"/>
      <c r="M289" s="204">
        <f t="shared" si="1606"/>
        <v>0</v>
      </c>
      <c r="N289" s="95"/>
      <c r="O289" s="204">
        <f t="shared" si="1606"/>
        <v>0</v>
      </c>
      <c r="P289" s="95"/>
      <c r="Q289" s="204">
        <f t="shared" ref="Q289:S289" si="1763">IFERROR(P289/$G289," ")</f>
        <v>0</v>
      </c>
      <c r="R289" s="95"/>
      <c r="S289" s="204">
        <f t="shared" si="1763"/>
        <v>0</v>
      </c>
      <c r="T289" s="95"/>
      <c r="U289" s="204">
        <f t="shared" ref="U289:W289" si="1764">IFERROR(T289/$G289," ")</f>
        <v>0</v>
      </c>
      <c r="V289" s="95"/>
      <c r="W289" s="204">
        <f t="shared" si="1764"/>
        <v>0</v>
      </c>
      <c r="X289" s="95"/>
      <c r="Y289" s="204">
        <f t="shared" ref="Y289:AA289" si="1765">IFERROR(X289/$G289," ")</f>
        <v>0</v>
      </c>
      <c r="Z289" s="95"/>
      <c r="AA289" s="204">
        <f t="shared" si="1765"/>
        <v>0</v>
      </c>
      <c r="AB289" s="95"/>
      <c r="AC289" s="204">
        <f t="shared" ref="AC289:AE289" si="1766">IFERROR(AB289/$G289," ")</f>
        <v>0</v>
      </c>
      <c r="AD289" s="95"/>
      <c r="AE289" s="204">
        <f t="shared" si="1766"/>
        <v>0</v>
      </c>
      <c r="AF289" s="95">
        <v>2</v>
      </c>
      <c r="AG289" s="204">
        <f t="shared" ref="AG289:AI289" si="1767">IFERROR(AF289/$G289," ")</f>
        <v>1</v>
      </c>
      <c r="AH289" s="95">
        <v>2</v>
      </c>
      <c r="AI289" s="204">
        <f t="shared" si="1767"/>
        <v>1</v>
      </c>
      <c r="AJ289" s="95">
        <v>2</v>
      </c>
      <c r="AK289" s="204">
        <f t="shared" ref="AK289:AM289" si="1768">IFERROR(AJ289/$G289," ")</f>
        <v>1</v>
      </c>
      <c r="AL289" s="95">
        <v>2</v>
      </c>
      <c r="AM289" s="204">
        <f t="shared" si="1768"/>
        <v>1</v>
      </c>
      <c r="AN289" s="95"/>
      <c r="AO289" s="94">
        <f t="shared" si="1613"/>
        <v>0</v>
      </c>
      <c r="AP289" s="94">
        <f t="shared" si="1603"/>
        <v>0</v>
      </c>
      <c r="AQ289" s="94">
        <f t="shared" si="1604"/>
        <v>0</v>
      </c>
      <c r="AR289" s="94">
        <f t="shared" si="1614"/>
        <v>0</v>
      </c>
      <c r="AS289" s="94">
        <f t="shared" si="1615"/>
        <v>0</v>
      </c>
      <c r="AT289" s="94">
        <f t="shared" si="1616"/>
        <v>0</v>
      </c>
      <c r="AU289" s="94">
        <f t="shared" si="1617"/>
        <v>0</v>
      </c>
      <c r="AV289" s="94">
        <f t="shared" si="1618"/>
        <v>0</v>
      </c>
      <c r="AW289" s="94">
        <f t="shared" si="1619"/>
        <v>0</v>
      </c>
      <c r="AX289" s="94">
        <f t="shared" si="1620"/>
        <v>0</v>
      </c>
      <c r="AY289" s="94">
        <f t="shared" si="1621"/>
        <v>992.42</v>
      </c>
      <c r="AZ289" s="94">
        <f t="shared" si="1622"/>
        <v>992.42</v>
      </c>
      <c r="BA289" s="94">
        <f t="shared" si="1623"/>
        <v>992.42</v>
      </c>
      <c r="BB289" s="94">
        <f t="shared" si="1624"/>
        <v>992.42</v>
      </c>
    </row>
    <row r="290" spans="1:54" x14ac:dyDescent="0.25">
      <c r="A290" s="80"/>
      <c r="B290" s="95" t="s">
        <v>2846</v>
      </c>
      <c r="C290" s="201" t="s">
        <v>73</v>
      </c>
      <c r="D290" s="80" t="s">
        <v>783</v>
      </c>
      <c r="E290" s="94" t="str">
        <f>IFERROR(VLOOKUP(A290,Estimate!A:Q,17,FALSE)," ")</f>
        <v xml:space="preserve"> </v>
      </c>
      <c r="F290" s="202" t="s">
        <v>781</v>
      </c>
      <c r="G290" s="202" t="s">
        <v>781</v>
      </c>
      <c r="H290" s="203" t="s">
        <v>781</v>
      </c>
      <c r="I290" s="203" t="s">
        <v>781</v>
      </c>
      <c r="J290" s="203" t="s">
        <v>781</v>
      </c>
      <c r="K290" s="203"/>
      <c r="L290" s="202" t="s">
        <v>781</v>
      </c>
      <c r="M290" s="204" t="str">
        <f t="shared" si="1606"/>
        <v xml:space="preserve"> </v>
      </c>
      <c r="N290" s="95" t="s">
        <v>781</v>
      </c>
      <c r="O290" s="204" t="str">
        <f t="shared" si="1606"/>
        <v xml:space="preserve"> </v>
      </c>
      <c r="P290" s="95" t="s">
        <v>781</v>
      </c>
      <c r="Q290" s="204" t="str">
        <f t="shared" ref="Q290:S290" si="1769">IFERROR(P290/$G290," ")</f>
        <v xml:space="preserve"> </v>
      </c>
      <c r="R290" s="95" t="s">
        <v>781</v>
      </c>
      <c r="S290" s="204" t="str">
        <f t="shared" si="1769"/>
        <v xml:space="preserve"> </v>
      </c>
      <c r="T290" s="95" t="s">
        <v>781</v>
      </c>
      <c r="U290" s="204" t="str">
        <f t="shared" ref="U290:W290" si="1770">IFERROR(T290/$G290," ")</f>
        <v xml:space="preserve"> </v>
      </c>
      <c r="V290" s="95" t="s">
        <v>781</v>
      </c>
      <c r="W290" s="204" t="str">
        <f t="shared" si="1770"/>
        <v xml:space="preserve"> </v>
      </c>
      <c r="X290" s="95" t="s">
        <v>781</v>
      </c>
      <c r="Y290" s="204" t="str">
        <f t="shared" ref="Y290:AA290" si="1771">IFERROR(X290/$G290," ")</f>
        <v xml:space="preserve"> </v>
      </c>
      <c r="Z290" s="95" t="s">
        <v>781</v>
      </c>
      <c r="AA290" s="204" t="str">
        <f t="shared" si="1771"/>
        <v xml:space="preserve"> </v>
      </c>
      <c r="AB290" s="95" t="s">
        <v>781</v>
      </c>
      <c r="AC290" s="204" t="str">
        <f t="shared" ref="AC290:AE290" si="1772">IFERROR(AB290/$G290," ")</f>
        <v xml:space="preserve"> </v>
      </c>
      <c r="AD290" s="95" t="s">
        <v>781</v>
      </c>
      <c r="AE290" s="204" t="str">
        <f t="shared" si="1772"/>
        <v xml:space="preserve"> </v>
      </c>
      <c r="AF290" s="95" t="s">
        <v>781</v>
      </c>
      <c r="AG290" s="204" t="str">
        <f t="shared" ref="AG290:AI290" si="1773">IFERROR(AF290/$G290," ")</f>
        <v xml:space="preserve"> </v>
      </c>
      <c r="AH290" s="95" t="s">
        <v>781</v>
      </c>
      <c r="AI290" s="204" t="str">
        <f t="shared" si="1773"/>
        <v xml:space="preserve"> </v>
      </c>
      <c r="AJ290" s="95" t="s">
        <v>781</v>
      </c>
      <c r="AK290" s="204" t="str">
        <f t="shared" ref="AK290:AM290" si="1774">IFERROR(AJ290/$G290," ")</f>
        <v xml:space="preserve"> </v>
      </c>
      <c r="AL290" s="95" t="s">
        <v>781</v>
      </c>
      <c r="AM290" s="204" t="str">
        <f t="shared" si="1774"/>
        <v xml:space="preserve"> </v>
      </c>
      <c r="AN290" s="95"/>
      <c r="AO290" s="94" t="str">
        <f t="shared" si="1613"/>
        <v xml:space="preserve"> </v>
      </c>
      <c r="AP290" s="94" t="str">
        <f t="shared" si="1603"/>
        <v xml:space="preserve"> </v>
      </c>
      <c r="AQ290" s="94" t="str">
        <f t="shared" si="1604"/>
        <v xml:space="preserve"> </v>
      </c>
      <c r="AR290" s="94" t="str">
        <f t="shared" si="1614"/>
        <v xml:space="preserve"> </v>
      </c>
      <c r="AS290" s="94" t="str">
        <f t="shared" si="1615"/>
        <v xml:space="preserve"> </v>
      </c>
      <c r="AT290" s="94" t="str">
        <f t="shared" si="1616"/>
        <v xml:space="preserve"> </v>
      </c>
      <c r="AU290" s="94" t="str">
        <f t="shared" si="1617"/>
        <v xml:space="preserve"> </v>
      </c>
      <c r="AV290" s="94" t="str">
        <f t="shared" si="1618"/>
        <v xml:space="preserve"> </v>
      </c>
      <c r="AW290" s="94" t="str">
        <f t="shared" si="1619"/>
        <v xml:space="preserve"> </v>
      </c>
      <c r="AX290" s="94" t="str">
        <f t="shared" si="1620"/>
        <v xml:space="preserve"> </v>
      </c>
      <c r="AY290" s="94" t="str">
        <f t="shared" si="1621"/>
        <v xml:space="preserve"> </v>
      </c>
      <c r="AZ290" s="94" t="str">
        <f t="shared" si="1622"/>
        <v xml:space="preserve"> </v>
      </c>
      <c r="BA290" s="94" t="str">
        <f t="shared" si="1623"/>
        <v xml:space="preserve"> </v>
      </c>
      <c r="BB290" s="94" t="str">
        <f t="shared" si="1624"/>
        <v xml:space="preserve"> </v>
      </c>
    </row>
    <row r="291" spans="1:54" x14ac:dyDescent="0.25">
      <c r="A291" s="210">
        <v>122</v>
      </c>
      <c r="B291" s="95" t="s">
        <v>2903</v>
      </c>
      <c r="C291" s="201" t="s">
        <v>75</v>
      </c>
      <c r="D291" s="80" t="s">
        <v>783</v>
      </c>
      <c r="E291" s="94">
        <f>IFERROR(VLOOKUP(A291,Estimate!A:Q,17,FALSE)," ")</f>
        <v>12899.451891891891</v>
      </c>
      <c r="F291" s="202" t="s">
        <v>781</v>
      </c>
      <c r="G291" s="202" t="s">
        <v>781</v>
      </c>
      <c r="H291" s="203" t="s">
        <v>781</v>
      </c>
      <c r="I291" s="203" t="s">
        <v>781</v>
      </c>
      <c r="J291" s="203" t="s">
        <v>781</v>
      </c>
      <c r="K291" s="203"/>
      <c r="L291" s="202" t="s">
        <v>781</v>
      </c>
      <c r="M291" s="204" t="str">
        <f t="shared" si="1606"/>
        <v xml:space="preserve"> </v>
      </c>
      <c r="N291" s="95" t="s">
        <v>781</v>
      </c>
      <c r="O291" s="204" t="str">
        <f t="shared" si="1606"/>
        <v xml:space="preserve"> </v>
      </c>
      <c r="P291" s="95" t="s">
        <v>781</v>
      </c>
      <c r="Q291" s="204" t="str">
        <f t="shared" ref="Q291:S291" si="1775">IFERROR(P291/$G291," ")</f>
        <v xml:space="preserve"> </v>
      </c>
      <c r="R291" s="95" t="s">
        <v>781</v>
      </c>
      <c r="S291" s="204" t="str">
        <f t="shared" si="1775"/>
        <v xml:space="preserve"> </v>
      </c>
      <c r="T291" s="95" t="s">
        <v>781</v>
      </c>
      <c r="U291" s="204" t="str">
        <f t="shared" ref="U291:W291" si="1776">IFERROR(T291/$G291," ")</f>
        <v xml:space="preserve"> </v>
      </c>
      <c r="V291" s="95" t="s">
        <v>781</v>
      </c>
      <c r="W291" s="204" t="str">
        <f t="shared" si="1776"/>
        <v xml:space="preserve"> </v>
      </c>
      <c r="X291" s="95" t="s">
        <v>781</v>
      </c>
      <c r="Y291" s="204" t="str">
        <f t="shared" ref="Y291:AA291" si="1777">IFERROR(X291/$G291," ")</f>
        <v xml:space="preserve"> </v>
      </c>
      <c r="Z291" s="95" t="s">
        <v>781</v>
      </c>
      <c r="AA291" s="204" t="str">
        <f t="shared" si="1777"/>
        <v xml:space="preserve"> </v>
      </c>
      <c r="AB291" s="95" t="s">
        <v>781</v>
      </c>
      <c r="AC291" s="204" t="str">
        <f t="shared" ref="AC291:AE291" si="1778">IFERROR(AB291/$G291," ")</f>
        <v xml:space="preserve"> </v>
      </c>
      <c r="AD291" s="95" t="s">
        <v>781</v>
      </c>
      <c r="AE291" s="204" t="str">
        <f t="shared" si="1778"/>
        <v xml:space="preserve"> </v>
      </c>
      <c r="AF291" s="95" t="s">
        <v>781</v>
      </c>
      <c r="AG291" s="204" t="str">
        <f t="shared" ref="AG291:AI291" si="1779">IFERROR(AF291/$G291," ")</f>
        <v xml:space="preserve"> </v>
      </c>
      <c r="AH291" s="95" t="s">
        <v>781</v>
      </c>
      <c r="AI291" s="204" t="str">
        <f t="shared" si="1779"/>
        <v xml:space="preserve"> </v>
      </c>
      <c r="AJ291" s="95" t="s">
        <v>781</v>
      </c>
      <c r="AK291" s="204" t="str">
        <f t="shared" ref="AK291:AM291" si="1780">IFERROR(AJ291/$G291," ")</f>
        <v xml:space="preserve"> </v>
      </c>
      <c r="AL291" s="95" t="s">
        <v>781</v>
      </c>
      <c r="AM291" s="204" t="str">
        <f t="shared" si="1780"/>
        <v xml:space="preserve"> </v>
      </c>
      <c r="AN291" s="95"/>
      <c r="AO291" s="94" t="str">
        <f t="shared" si="1613"/>
        <v xml:space="preserve"> </v>
      </c>
      <c r="AP291" s="94" t="str">
        <f t="shared" si="1603"/>
        <v xml:space="preserve"> </v>
      </c>
      <c r="AQ291" s="94" t="str">
        <f t="shared" si="1604"/>
        <v xml:space="preserve"> </v>
      </c>
      <c r="AR291" s="94" t="str">
        <f t="shared" si="1614"/>
        <v xml:space="preserve"> </v>
      </c>
      <c r="AS291" s="94" t="str">
        <f t="shared" si="1615"/>
        <v xml:space="preserve"> </v>
      </c>
      <c r="AT291" s="94" t="str">
        <f t="shared" si="1616"/>
        <v xml:space="preserve"> </v>
      </c>
      <c r="AU291" s="94" t="str">
        <f t="shared" si="1617"/>
        <v xml:space="preserve"> </v>
      </c>
      <c r="AV291" s="94" t="str">
        <f t="shared" si="1618"/>
        <v xml:space="preserve"> </v>
      </c>
      <c r="AW291" s="94" t="str">
        <f t="shared" si="1619"/>
        <v xml:space="preserve"> </v>
      </c>
      <c r="AX291" s="94" t="str">
        <f t="shared" si="1620"/>
        <v xml:space="preserve"> </v>
      </c>
      <c r="AY291" s="94" t="str">
        <f t="shared" si="1621"/>
        <v xml:space="preserve"> </v>
      </c>
      <c r="AZ291" s="94" t="str">
        <f t="shared" si="1622"/>
        <v xml:space="preserve"> </v>
      </c>
      <c r="BA291" s="94" t="str">
        <f t="shared" si="1623"/>
        <v xml:space="preserve"> </v>
      </c>
      <c r="BB291" s="94" t="str">
        <f t="shared" si="1624"/>
        <v xml:space="preserve"> </v>
      </c>
    </row>
    <row r="292" spans="1:54" x14ac:dyDescent="0.25">
      <c r="A292" s="80">
        <v>123</v>
      </c>
      <c r="B292" s="95" t="s">
        <v>2904</v>
      </c>
      <c r="C292" s="201" t="s">
        <v>2905</v>
      </c>
      <c r="D292" s="80" t="s">
        <v>89</v>
      </c>
      <c r="E292" s="94">
        <f>IFERROR(VLOOKUP(A292,Estimate!A:Q,17,FALSE)," ")</f>
        <v>2280.6627216494849</v>
      </c>
      <c r="F292" s="202">
        <v>12.2</v>
      </c>
      <c r="G292" s="202">
        <v>12.2</v>
      </c>
      <c r="H292" s="203">
        <v>294.41000000000003</v>
      </c>
      <c r="I292" s="203">
        <v>3591.8</v>
      </c>
      <c r="J292" s="203">
        <v>3591.8020000000001</v>
      </c>
      <c r="K292" s="203"/>
      <c r="L292" s="202"/>
      <c r="M292" s="204">
        <f t="shared" si="1606"/>
        <v>0</v>
      </c>
      <c r="N292" s="95"/>
      <c r="O292" s="204">
        <f t="shared" si="1606"/>
        <v>0</v>
      </c>
      <c r="P292" s="95"/>
      <c r="Q292" s="204">
        <f t="shared" ref="Q292:S292" si="1781">IFERROR(P292/$G292," ")</f>
        <v>0</v>
      </c>
      <c r="R292" s="95"/>
      <c r="S292" s="204">
        <f t="shared" si="1781"/>
        <v>0</v>
      </c>
      <c r="T292" s="95"/>
      <c r="U292" s="204">
        <f t="shared" ref="U292:W292" si="1782">IFERROR(T292/$G292," ")</f>
        <v>0</v>
      </c>
      <c r="V292" s="95"/>
      <c r="W292" s="204">
        <f t="shared" si="1782"/>
        <v>0</v>
      </c>
      <c r="X292" s="95"/>
      <c r="Y292" s="204">
        <f t="shared" ref="Y292:AA292" si="1783">IFERROR(X292/$G292," ")</f>
        <v>0</v>
      </c>
      <c r="Z292" s="95"/>
      <c r="AA292" s="204">
        <f t="shared" si="1783"/>
        <v>0</v>
      </c>
      <c r="AB292" s="95"/>
      <c r="AC292" s="204">
        <f t="shared" ref="AC292:AE292" si="1784">IFERROR(AB292/$G292," ")</f>
        <v>0</v>
      </c>
      <c r="AD292" s="95">
        <v>6.1</v>
      </c>
      <c r="AE292" s="204">
        <f t="shared" si="1784"/>
        <v>0.5</v>
      </c>
      <c r="AF292" s="95">
        <v>12.2</v>
      </c>
      <c r="AG292" s="204">
        <f t="shared" ref="AG292:AI292" si="1785">IFERROR(AF292/$G292," ")</f>
        <v>1</v>
      </c>
      <c r="AH292" s="95">
        <v>12.2</v>
      </c>
      <c r="AI292" s="204">
        <f t="shared" si="1785"/>
        <v>1</v>
      </c>
      <c r="AJ292" s="95">
        <v>12.2</v>
      </c>
      <c r="AK292" s="204">
        <f t="shared" ref="AK292:AM292" si="1786">IFERROR(AJ292/$G292," ")</f>
        <v>1</v>
      </c>
      <c r="AL292" s="95">
        <v>12.2</v>
      </c>
      <c r="AM292" s="204">
        <f t="shared" si="1786"/>
        <v>1</v>
      </c>
      <c r="AN292" s="95"/>
      <c r="AO292" s="94">
        <f t="shared" si="1613"/>
        <v>0</v>
      </c>
      <c r="AP292" s="94">
        <f t="shared" si="1603"/>
        <v>0</v>
      </c>
      <c r="AQ292" s="94">
        <f t="shared" si="1604"/>
        <v>0</v>
      </c>
      <c r="AR292" s="94">
        <f t="shared" si="1614"/>
        <v>0</v>
      </c>
      <c r="AS292" s="94">
        <f t="shared" si="1615"/>
        <v>0</v>
      </c>
      <c r="AT292" s="94">
        <f t="shared" si="1616"/>
        <v>0</v>
      </c>
      <c r="AU292" s="94">
        <f t="shared" si="1617"/>
        <v>0</v>
      </c>
      <c r="AV292" s="94">
        <f t="shared" si="1618"/>
        <v>0</v>
      </c>
      <c r="AW292" s="94">
        <f t="shared" si="1619"/>
        <v>0</v>
      </c>
      <c r="AX292" s="94">
        <f t="shared" si="1620"/>
        <v>1795.9010000000001</v>
      </c>
      <c r="AY292" s="94">
        <f t="shared" si="1621"/>
        <v>3591.8020000000001</v>
      </c>
      <c r="AZ292" s="94">
        <f t="shared" si="1622"/>
        <v>3591.8020000000001</v>
      </c>
      <c r="BA292" s="94">
        <f t="shared" si="1623"/>
        <v>3591.8020000000001</v>
      </c>
      <c r="BB292" s="94">
        <f t="shared" si="1624"/>
        <v>3591.8020000000001</v>
      </c>
    </row>
    <row r="293" spans="1:54" x14ac:dyDescent="0.25">
      <c r="A293" s="80"/>
      <c r="B293" s="95" t="s">
        <v>2903</v>
      </c>
      <c r="C293" s="201" t="s">
        <v>781</v>
      </c>
      <c r="D293" s="80" t="s">
        <v>783</v>
      </c>
      <c r="E293" s="94" t="str">
        <f>IFERROR(VLOOKUP(A293,Estimate!A:Q,17,FALSE)," ")</f>
        <v xml:space="preserve"> </v>
      </c>
      <c r="F293" s="202" t="s">
        <v>781</v>
      </c>
      <c r="G293" s="202" t="s">
        <v>781</v>
      </c>
      <c r="H293" s="203" t="s">
        <v>781</v>
      </c>
      <c r="I293" s="203" t="s">
        <v>781</v>
      </c>
      <c r="J293" s="203" t="s">
        <v>781</v>
      </c>
      <c r="K293" s="203"/>
      <c r="L293" s="202" t="s">
        <v>781</v>
      </c>
      <c r="M293" s="204" t="str">
        <f t="shared" si="1606"/>
        <v xml:space="preserve"> </v>
      </c>
      <c r="N293" s="95" t="s">
        <v>781</v>
      </c>
      <c r="O293" s="204" t="str">
        <f t="shared" si="1606"/>
        <v xml:space="preserve"> </v>
      </c>
      <c r="P293" s="95" t="s">
        <v>781</v>
      </c>
      <c r="Q293" s="204" t="str">
        <f t="shared" ref="Q293:S293" si="1787">IFERROR(P293/$G293," ")</f>
        <v xml:space="preserve"> </v>
      </c>
      <c r="R293" s="95" t="s">
        <v>781</v>
      </c>
      <c r="S293" s="204" t="str">
        <f t="shared" si="1787"/>
        <v xml:space="preserve"> </v>
      </c>
      <c r="T293" s="95" t="s">
        <v>781</v>
      </c>
      <c r="U293" s="204" t="str">
        <f t="shared" ref="U293:W293" si="1788">IFERROR(T293/$G293," ")</f>
        <v xml:space="preserve"> </v>
      </c>
      <c r="V293" s="95" t="s">
        <v>781</v>
      </c>
      <c r="W293" s="204" t="str">
        <f t="shared" si="1788"/>
        <v xml:space="preserve"> </v>
      </c>
      <c r="X293" s="95" t="s">
        <v>781</v>
      </c>
      <c r="Y293" s="204" t="str">
        <f t="shared" ref="Y293:AA293" si="1789">IFERROR(X293/$G293," ")</f>
        <v xml:space="preserve"> </v>
      </c>
      <c r="Z293" s="95" t="s">
        <v>781</v>
      </c>
      <c r="AA293" s="204" t="str">
        <f t="shared" si="1789"/>
        <v xml:space="preserve"> </v>
      </c>
      <c r="AB293" s="95" t="s">
        <v>781</v>
      </c>
      <c r="AC293" s="204" t="str">
        <f t="shared" ref="AC293:AE293" si="1790">IFERROR(AB293/$G293," ")</f>
        <v xml:space="preserve"> </v>
      </c>
      <c r="AD293" s="95" t="s">
        <v>781</v>
      </c>
      <c r="AE293" s="204" t="str">
        <f t="shared" si="1790"/>
        <v xml:space="preserve"> </v>
      </c>
      <c r="AF293" s="95" t="s">
        <v>781</v>
      </c>
      <c r="AG293" s="204" t="str">
        <f t="shared" ref="AG293:AI293" si="1791">IFERROR(AF293/$G293," ")</f>
        <v xml:space="preserve"> </v>
      </c>
      <c r="AH293" s="95" t="s">
        <v>781</v>
      </c>
      <c r="AI293" s="204" t="str">
        <f t="shared" si="1791"/>
        <v xml:space="preserve"> </v>
      </c>
      <c r="AJ293" s="95" t="s">
        <v>781</v>
      </c>
      <c r="AK293" s="204" t="str">
        <f t="shared" ref="AK293:AM293" si="1792">IFERROR(AJ293/$G293," ")</f>
        <v xml:space="preserve"> </v>
      </c>
      <c r="AL293" s="95" t="s">
        <v>781</v>
      </c>
      <c r="AM293" s="204" t="str">
        <f t="shared" si="1792"/>
        <v xml:space="preserve"> </v>
      </c>
      <c r="AN293" s="95"/>
      <c r="AO293" s="94" t="str">
        <f t="shared" si="1613"/>
        <v xml:space="preserve"> </v>
      </c>
      <c r="AP293" s="94" t="str">
        <f t="shared" si="1603"/>
        <v xml:space="preserve"> </v>
      </c>
      <c r="AQ293" s="94" t="str">
        <f t="shared" si="1604"/>
        <v xml:space="preserve"> </v>
      </c>
      <c r="AR293" s="94" t="str">
        <f t="shared" si="1614"/>
        <v xml:space="preserve"> </v>
      </c>
      <c r="AS293" s="94" t="str">
        <f t="shared" si="1615"/>
        <v xml:space="preserve"> </v>
      </c>
      <c r="AT293" s="94" t="str">
        <f t="shared" si="1616"/>
        <v xml:space="preserve"> </v>
      </c>
      <c r="AU293" s="94" t="str">
        <f t="shared" si="1617"/>
        <v xml:space="preserve"> </v>
      </c>
      <c r="AV293" s="94" t="str">
        <f t="shared" si="1618"/>
        <v xml:space="preserve"> </v>
      </c>
      <c r="AW293" s="94" t="str">
        <f t="shared" si="1619"/>
        <v xml:space="preserve"> </v>
      </c>
      <c r="AX293" s="94" t="str">
        <f t="shared" si="1620"/>
        <v xml:space="preserve"> </v>
      </c>
      <c r="AY293" s="94" t="str">
        <f t="shared" si="1621"/>
        <v xml:space="preserve"> </v>
      </c>
      <c r="AZ293" s="94" t="str">
        <f t="shared" si="1622"/>
        <v xml:space="preserve"> </v>
      </c>
      <c r="BA293" s="94" t="str">
        <f t="shared" si="1623"/>
        <v xml:space="preserve"> </v>
      </c>
      <c r="BB293" s="94" t="str">
        <f t="shared" si="1624"/>
        <v xml:space="preserve"> </v>
      </c>
    </row>
    <row r="294" spans="1:54" x14ac:dyDescent="0.25">
      <c r="A294" s="80"/>
      <c r="B294" s="95" t="s">
        <v>2903</v>
      </c>
      <c r="C294" s="201" t="s">
        <v>454</v>
      </c>
      <c r="D294" s="80" t="s">
        <v>783</v>
      </c>
      <c r="E294" s="94" t="str">
        <f>IFERROR(VLOOKUP(A294,Estimate!A:Q,17,FALSE)," ")</f>
        <v xml:space="preserve"> </v>
      </c>
      <c r="F294" s="202" t="s">
        <v>781</v>
      </c>
      <c r="G294" s="202" t="s">
        <v>781</v>
      </c>
      <c r="H294" s="203" t="s">
        <v>781</v>
      </c>
      <c r="I294" s="203" t="s">
        <v>781</v>
      </c>
      <c r="J294" s="203" t="s">
        <v>781</v>
      </c>
      <c r="K294" s="203"/>
      <c r="L294" s="202" t="s">
        <v>781</v>
      </c>
      <c r="M294" s="204" t="str">
        <f t="shared" si="1606"/>
        <v xml:space="preserve"> </v>
      </c>
      <c r="N294" s="95" t="s">
        <v>781</v>
      </c>
      <c r="O294" s="204" t="str">
        <f t="shared" si="1606"/>
        <v xml:space="preserve"> </v>
      </c>
      <c r="P294" s="95" t="s">
        <v>781</v>
      </c>
      <c r="Q294" s="204" t="str">
        <f t="shared" ref="Q294:S294" si="1793">IFERROR(P294/$G294," ")</f>
        <v xml:space="preserve"> </v>
      </c>
      <c r="R294" s="95" t="s">
        <v>781</v>
      </c>
      <c r="S294" s="204" t="str">
        <f t="shared" si="1793"/>
        <v xml:space="preserve"> </v>
      </c>
      <c r="T294" s="95" t="s">
        <v>781</v>
      </c>
      <c r="U294" s="204" t="str">
        <f t="shared" ref="U294:W294" si="1794">IFERROR(T294/$G294," ")</f>
        <v xml:space="preserve"> </v>
      </c>
      <c r="V294" s="95" t="s">
        <v>781</v>
      </c>
      <c r="W294" s="204" t="str">
        <f t="shared" si="1794"/>
        <v xml:space="preserve"> </v>
      </c>
      <c r="X294" s="95" t="s">
        <v>781</v>
      </c>
      <c r="Y294" s="204" t="str">
        <f t="shared" ref="Y294:AA294" si="1795">IFERROR(X294/$G294," ")</f>
        <v xml:space="preserve"> </v>
      </c>
      <c r="Z294" s="95" t="s">
        <v>781</v>
      </c>
      <c r="AA294" s="204" t="str">
        <f t="shared" si="1795"/>
        <v xml:space="preserve"> </v>
      </c>
      <c r="AB294" s="95" t="s">
        <v>781</v>
      </c>
      <c r="AC294" s="204" t="str">
        <f t="shared" ref="AC294:AE294" si="1796">IFERROR(AB294/$G294," ")</f>
        <v xml:space="preserve"> </v>
      </c>
      <c r="AD294" s="95" t="s">
        <v>781</v>
      </c>
      <c r="AE294" s="204" t="str">
        <f t="shared" si="1796"/>
        <v xml:space="preserve"> </v>
      </c>
      <c r="AF294" s="95" t="s">
        <v>781</v>
      </c>
      <c r="AG294" s="204" t="str">
        <f t="shared" ref="AG294:AI294" si="1797">IFERROR(AF294/$G294," ")</f>
        <v xml:space="preserve"> </v>
      </c>
      <c r="AH294" s="95" t="s">
        <v>781</v>
      </c>
      <c r="AI294" s="204" t="str">
        <f t="shared" si="1797"/>
        <v xml:space="preserve"> </v>
      </c>
      <c r="AJ294" s="95" t="s">
        <v>781</v>
      </c>
      <c r="AK294" s="204" t="str">
        <f t="shared" ref="AK294:AM294" si="1798">IFERROR(AJ294/$G294," ")</f>
        <v xml:space="preserve"> </v>
      </c>
      <c r="AL294" s="95" t="s">
        <v>781</v>
      </c>
      <c r="AM294" s="204" t="str">
        <f t="shared" si="1798"/>
        <v xml:space="preserve"> </v>
      </c>
      <c r="AN294" s="95"/>
      <c r="AO294" s="94" t="str">
        <f t="shared" si="1613"/>
        <v xml:space="preserve"> </v>
      </c>
      <c r="AP294" s="94" t="str">
        <f t="shared" si="1603"/>
        <v xml:space="preserve"> </v>
      </c>
      <c r="AQ294" s="94" t="str">
        <f t="shared" si="1604"/>
        <v xml:space="preserve"> </v>
      </c>
      <c r="AR294" s="94" t="str">
        <f t="shared" si="1614"/>
        <v xml:space="preserve"> </v>
      </c>
      <c r="AS294" s="94" t="str">
        <f t="shared" si="1615"/>
        <v xml:space="preserve"> </v>
      </c>
      <c r="AT294" s="94" t="str">
        <f t="shared" si="1616"/>
        <v xml:space="preserve"> </v>
      </c>
      <c r="AU294" s="94" t="str">
        <f t="shared" si="1617"/>
        <v xml:space="preserve"> </v>
      </c>
      <c r="AV294" s="94" t="str">
        <f t="shared" si="1618"/>
        <v xml:space="preserve"> </v>
      </c>
      <c r="AW294" s="94" t="str">
        <f t="shared" si="1619"/>
        <v xml:space="preserve"> </v>
      </c>
      <c r="AX294" s="94" t="str">
        <f t="shared" si="1620"/>
        <v xml:space="preserve"> </v>
      </c>
      <c r="AY294" s="94" t="str">
        <f t="shared" si="1621"/>
        <v xml:space="preserve"> </v>
      </c>
      <c r="AZ294" s="94" t="str">
        <f t="shared" si="1622"/>
        <v xml:space="preserve"> </v>
      </c>
      <c r="BA294" s="94" t="str">
        <f t="shared" si="1623"/>
        <v xml:space="preserve"> </v>
      </c>
      <c r="BB294" s="94" t="str">
        <f t="shared" si="1624"/>
        <v xml:space="preserve"> </v>
      </c>
    </row>
    <row r="295" spans="1:54" x14ac:dyDescent="0.25">
      <c r="A295" s="80">
        <v>124</v>
      </c>
      <c r="B295" s="95" t="s">
        <v>2906</v>
      </c>
      <c r="C295" s="201" t="s">
        <v>456</v>
      </c>
      <c r="D295" s="80" t="s">
        <v>89</v>
      </c>
      <c r="E295" s="94">
        <f>IFERROR(VLOOKUP(A295,Estimate!A:Q,17,FALSE)," ")</f>
        <v>5354.3513513513517</v>
      </c>
      <c r="F295" s="202">
        <v>30</v>
      </c>
      <c r="G295" s="202">
        <v>30</v>
      </c>
      <c r="H295" s="203">
        <v>224.11</v>
      </c>
      <c r="I295" s="203">
        <v>6723.3</v>
      </c>
      <c r="J295" s="203">
        <v>6723.3</v>
      </c>
      <c r="K295" s="203"/>
      <c r="L295" s="202"/>
      <c r="M295" s="204">
        <f t="shared" si="1606"/>
        <v>0</v>
      </c>
      <c r="N295" s="95"/>
      <c r="O295" s="204">
        <f t="shared" si="1606"/>
        <v>0</v>
      </c>
      <c r="P295" s="95"/>
      <c r="Q295" s="204">
        <f t="shared" ref="Q295:S295" si="1799">IFERROR(P295/$G295," ")</f>
        <v>0</v>
      </c>
      <c r="R295" s="95"/>
      <c r="S295" s="204">
        <f t="shared" si="1799"/>
        <v>0</v>
      </c>
      <c r="T295" s="95"/>
      <c r="U295" s="204">
        <f t="shared" ref="U295:W295" si="1800">IFERROR(T295/$G295," ")</f>
        <v>0</v>
      </c>
      <c r="V295" s="95"/>
      <c r="W295" s="204">
        <f t="shared" si="1800"/>
        <v>0</v>
      </c>
      <c r="X295" s="95"/>
      <c r="Y295" s="204">
        <f t="shared" ref="Y295:AA295" si="1801">IFERROR(X295/$G295," ")</f>
        <v>0</v>
      </c>
      <c r="Z295" s="95"/>
      <c r="AA295" s="204">
        <f t="shared" si="1801"/>
        <v>0</v>
      </c>
      <c r="AB295" s="95"/>
      <c r="AC295" s="204">
        <f t="shared" ref="AC295:AE295" si="1802">IFERROR(AB295/$G295," ")</f>
        <v>0</v>
      </c>
      <c r="AD295" s="95"/>
      <c r="AE295" s="204">
        <f t="shared" si="1802"/>
        <v>0</v>
      </c>
      <c r="AF295" s="95">
        <v>30</v>
      </c>
      <c r="AG295" s="204">
        <f t="shared" ref="AG295:AI295" si="1803">IFERROR(AF295/$G295," ")</f>
        <v>1</v>
      </c>
      <c r="AH295" s="95"/>
      <c r="AI295" s="204">
        <f t="shared" si="1803"/>
        <v>0</v>
      </c>
      <c r="AJ295" s="95"/>
      <c r="AK295" s="204">
        <f t="shared" ref="AK295:AM295" si="1804">IFERROR(AJ295/$G295," ")</f>
        <v>0</v>
      </c>
      <c r="AL295" s="95"/>
      <c r="AM295" s="204">
        <f t="shared" si="1804"/>
        <v>0</v>
      </c>
      <c r="AN295" s="95"/>
      <c r="AO295" s="94">
        <f t="shared" si="1613"/>
        <v>0</v>
      </c>
      <c r="AP295" s="94">
        <f t="shared" si="1603"/>
        <v>0</v>
      </c>
      <c r="AQ295" s="94">
        <f t="shared" si="1604"/>
        <v>0</v>
      </c>
      <c r="AR295" s="94">
        <f t="shared" si="1614"/>
        <v>0</v>
      </c>
      <c r="AS295" s="94">
        <f t="shared" si="1615"/>
        <v>0</v>
      </c>
      <c r="AT295" s="94">
        <f t="shared" si="1616"/>
        <v>0</v>
      </c>
      <c r="AU295" s="94">
        <f t="shared" si="1617"/>
        <v>0</v>
      </c>
      <c r="AV295" s="94">
        <f t="shared" si="1618"/>
        <v>0</v>
      </c>
      <c r="AW295" s="94">
        <f t="shared" si="1619"/>
        <v>0</v>
      </c>
      <c r="AX295" s="94">
        <f t="shared" si="1620"/>
        <v>0</v>
      </c>
      <c r="AY295" s="94">
        <f t="shared" si="1621"/>
        <v>6723.3</v>
      </c>
      <c r="AZ295" s="94">
        <f t="shared" si="1622"/>
        <v>0</v>
      </c>
      <c r="BA295" s="94">
        <f t="shared" si="1623"/>
        <v>0</v>
      </c>
      <c r="BB295" s="94">
        <f t="shared" si="1624"/>
        <v>0</v>
      </c>
    </row>
    <row r="296" spans="1:54" x14ac:dyDescent="0.25">
      <c r="A296" s="80"/>
      <c r="B296" s="95" t="s">
        <v>2848</v>
      </c>
      <c r="C296" s="201" t="s">
        <v>77</v>
      </c>
      <c r="D296" s="80" t="s">
        <v>783</v>
      </c>
      <c r="E296" s="94" t="str">
        <f>IFERROR(VLOOKUP(A296,Estimate!A:Q,17,FALSE)," ")</f>
        <v xml:space="preserve"> </v>
      </c>
      <c r="F296" s="202" t="s">
        <v>781</v>
      </c>
      <c r="G296" s="202" t="s">
        <v>781</v>
      </c>
      <c r="H296" s="203" t="s">
        <v>781</v>
      </c>
      <c r="I296" s="203" t="s">
        <v>781</v>
      </c>
      <c r="J296" s="203" t="s">
        <v>781</v>
      </c>
      <c r="K296" s="203"/>
      <c r="L296" s="202" t="s">
        <v>781</v>
      </c>
      <c r="M296" s="204" t="str">
        <f t="shared" si="1606"/>
        <v xml:space="preserve"> </v>
      </c>
      <c r="N296" s="95" t="s">
        <v>781</v>
      </c>
      <c r="O296" s="204" t="str">
        <f t="shared" si="1606"/>
        <v xml:space="preserve"> </v>
      </c>
      <c r="P296" s="95" t="s">
        <v>781</v>
      </c>
      <c r="Q296" s="204" t="str">
        <f t="shared" ref="Q296:S296" si="1805">IFERROR(P296/$G296," ")</f>
        <v xml:space="preserve"> </v>
      </c>
      <c r="R296" s="95" t="s">
        <v>781</v>
      </c>
      <c r="S296" s="204" t="str">
        <f t="shared" si="1805"/>
        <v xml:space="preserve"> </v>
      </c>
      <c r="T296" s="95" t="s">
        <v>781</v>
      </c>
      <c r="U296" s="204" t="str">
        <f t="shared" ref="U296:W296" si="1806">IFERROR(T296/$G296," ")</f>
        <v xml:space="preserve"> </v>
      </c>
      <c r="V296" s="95" t="s">
        <v>781</v>
      </c>
      <c r="W296" s="204" t="str">
        <f t="shared" si="1806"/>
        <v xml:space="preserve"> </v>
      </c>
      <c r="X296" s="95" t="s">
        <v>781</v>
      </c>
      <c r="Y296" s="204" t="str">
        <f t="shared" ref="Y296:AA296" si="1807">IFERROR(X296/$G296," ")</f>
        <v xml:space="preserve"> </v>
      </c>
      <c r="Z296" s="95" t="s">
        <v>781</v>
      </c>
      <c r="AA296" s="204" t="str">
        <f t="shared" si="1807"/>
        <v xml:space="preserve"> </v>
      </c>
      <c r="AB296" s="95" t="s">
        <v>781</v>
      </c>
      <c r="AC296" s="204" t="str">
        <f t="shared" ref="AC296:AE296" si="1808">IFERROR(AB296/$G296," ")</f>
        <v xml:space="preserve"> </v>
      </c>
      <c r="AD296" s="95" t="s">
        <v>781</v>
      </c>
      <c r="AE296" s="204" t="str">
        <f t="shared" si="1808"/>
        <v xml:space="preserve"> </v>
      </c>
      <c r="AF296" s="95" t="s">
        <v>781</v>
      </c>
      <c r="AG296" s="204" t="str">
        <f t="shared" ref="AG296:AI296" si="1809">IFERROR(AF296/$G296," ")</f>
        <v xml:space="preserve"> </v>
      </c>
      <c r="AH296" s="95" t="s">
        <v>781</v>
      </c>
      <c r="AI296" s="204" t="str">
        <f t="shared" si="1809"/>
        <v xml:space="preserve"> </v>
      </c>
      <c r="AJ296" s="95" t="s">
        <v>781</v>
      </c>
      <c r="AK296" s="204" t="str">
        <f t="shared" ref="AK296:AM296" si="1810">IFERROR(AJ296/$G296," ")</f>
        <v xml:space="preserve"> </v>
      </c>
      <c r="AL296" s="95" t="s">
        <v>781</v>
      </c>
      <c r="AM296" s="204" t="str">
        <f t="shared" si="1810"/>
        <v xml:space="preserve"> </v>
      </c>
      <c r="AN296" s="95"/>
      <c r="AO296" s="94" t="str">
        <f t="shared" si="1613"/>
        <v xml:space="preserve"> </v>
      </c>
      <c r="AP296" s="94" t="str">
        <f t="shared" si="1603"/>
        <v xml:space="preserve"> </v>
      </c>
      <c r="AQ296" s="94" t="str">
        <f t="shared" si="1604"/>
        <v xml:space="preserve"> </v>
      </c>
      <c r="AR296" s="94" t="str">
        <f t="shared" si="1614"/>
        <v xml:space="preserve"> </v>
      </c>
      <c r="AS296" s="94" t="str">
        <f t="shared" si="1615"/>
        <v xml:space="preserve"> </v>
      </c>
      <c r="AT296" s="94" t="str">
        <f t="shared" si="1616"/>
        <v xml:space="preserve"> </v>
      </c>
      <c r="AU296" s="94" t="str">
        <f t="shared" si="1617"/>
        <v xml:space="preserve"> </v>
      </c>
      <c r="AV296" s="94" t="str">
        <f t="shared" si="1618"/>
        <v xml:space="preserve"> </v>
      </c>
      <c r="AW296" s="94" t="str">
        <f t="shared" si="1619"/>
        <v xml:space="preserve"> </v>
      </c>
      <c r="AX296" s="94" t="str">
        <f t="shared" si="1620"/>
        <v xml:space="preserve"> </v>
      </c>
      <c r="AY296" s="94" t="str">
        <f t="shared" si="1621"/>
        <v xml:space="preserve"> </v>
      </c>
      <c r="AZ296" s="94" t="str">
        <f t="shared" si="1622"/>
        <v xml:space="preserve"> </v>
      </c>
      <c r="BA296" s="94" t="str">
        <f t="shared" si="1623"/>
        <v xml:space="preserve"> </v>
      </c>
      <c r="BB296" s="94" t="str">
        <f t="shared" si="1624"/>
        <v xml:space="preserve"> </v>
      </c>
    </row>
    <row r="297" spans="1:54" x14ac:dyDescent="0.25">
      <c r="A297" s="80">
        <v>125</v>
      </c>
      <c r="B297" s="95" t="s">
        <v>2907</v>
      </c>
      <c r="C297" s="201" t="s">
        <v>459</v>
      </c>
      <c r="D297" s="80" t="s">
        <v>89</v>
      </c>
      <c r="E297" s="94">
        <f>IFERROR(VLOOKUP(A297,Estimate!A:Q,17,FALSE)," ")</f>
        <v>7752.5</v>
      </c>
      <c r="F297" s="202">
        <v>41</v>
      </c>
      <c r="G297" s="202">
        <v>41</v>
      </c>
      <c r="H297" s="203">
        <v>811.58</v>
      </c>
      <c r="I297" s="203">
        <v>33274.78</v>
      </c>
      <c r="J297" s="203">
        <v>33274.78</v>
      </c>
      <c r="K297" s="203"/>
      <c r="L297" s="202"/>
      <c r="M297" s="204">
        <f t="shared" si="1606"/>
        <v>0</v>
      </c>
      <c r="N297" s="95"/>
      <c r="O297" s="204">
        <f t="shared" si="1606"/>
        <v>0</v>
      </c>
      <c r="P297" s="95"/>
      <c r="Q297" s="204">
        <f t="shared" ref="Q297:S297" si="1811">IFERROR(P297/$G297," ")</f>
        <v>0</v>
      </c>
      <c r="R297" s="95"/>
      <c r="S297" s="204">
        <f t="shared" si="1811"/>
        <v>0</v>
      </c>
      <c r="T297" s="95">
        <v>6</v>
      </c>
      <c r="U297" s="204">
        <f t="shared" ref="U297:W297" si="1812">IFERROR(T297/$G297," ")</f>
        <v>0.14634146341463414</v>
      </c>
      <c r="V297" s="95">
        <v>6</v>
      </c>
      <c r="W297" s="204">
        <f t="shared" si="1812"/>
        <v>0.14634146341463414</v>
      </c>
      <c r="X297" s="95">
        <v>6</v>
      </c>
      <c r="Y297" s="204">
        <f t="shared" ref="Y297:AA297" si="1813">IFERROR(X297/$G297," ")</f>
        <v>0.14634146341463414</v>
      </c>
      <c r="Z297" s="95">
        <v>6</v>
      </c>
      <c r="AA297" s="204">
        <f t="shared" si="1813"/>
        <v>0.14634146341463414</v>
      </c>
      <c r="AB297" s="95">
        <v>6</v>
      </c>
      <c r="AC297" s="204">
        <f t="shared" ref="AC297:AE297" si="1814">IFERROR(AB297/$G297," ")</f>
        <v>0.14634146341463414</v>
      </c>
      <c r="AD297" s="95">
        <v>9</v>
      </c>
      <c r="AE297" s="204">
        <f t="shared" si="1814"/>
        <v>0.21951219512195122</v>
      </c>
      <c r="AF297" s="95">
        <v>12</v>
      </c>
      <c r="AG297" s="204">
        <f t="shared" ref="AG297:AI297" si="1815">IFERROR(AF297/$G297," ")</f>
        <v>0.29268292682926828</v>
      </c>
      <c r="AH297" s="95">
        <v>41</v>
      </c>
      <c r="AI297" s="204">
        <f t="shared" si="1815"/>
        <v>1</v>
      </c>
      <c r="AJ297" s="95">
        <v>41</v>
      </c>
      <c r="AK297" s="204">
        <f t="shared" ref="AK297:AM297" si="1816">IFERROR(AJ297/$G297," ")</f>
        <v>1</v>
      </c>
      <c r="AL297" s="95">
        <v>41</v>
      </c>
      <c r="AM297" s="204">
        <f t="shared" si="1816"/>
        <v>1</v>
      </c>
      <c r="AN297" s="95"/>
      <c r="AO297" s="94">
        <f t="shared" si="1613"/>
        <v>0</v>
      </c>
      <c r="AP297" s="94">
        <f t="shared" si="1603"/>
        <v>0</v>
      </c>
      <c r="AQ297" s="94">
        <f t="shared" si="1604"/>
        <v>0</v>
      </c>
      <c r="AR297" s="94">
        <f t="shared" ref="AR297:AR327" si="1817">IFERROR(S297*$J297," ")</f>
        <v>0</v>
      </c>
      <c r="AS297" s="94">
        <f t="shared" si="1615"/>
        <v>4869.4799999999996</v>
      </c>
      <c r="AT297" s="94">
        <f t="shared" si="1616"/>
        <v>4869.4799999999996</v>
      </c>
      <c r="AU297" s="94">
        <f t="shared" si="1617"/>
        <v>4869.4799999999996</v>
      </c>
      <c r="AV297" s="94">
        <f t="shared" si="1618"/>
        <v>4869.4799999999996</v>
      </c>
      <c r="AW297" s="94">
        <f t="shared" si="1619"/>
        <v>4869.4799999999996</v>
      </c>
      <c r="AX297" s="94">
        <f t="shared" si="1620"/>
        <v>7304.2199999999993</v>
      </c>
      <c r="AY297" s="94">
        <f t="shared" si="1621"/>
        <v>9738.9599999999991</v>
      </c>
      <c r="AZ297" s="94">
        <f t="shared" si="1622"/>
        <v>33274.78</v>
      </c>
      <c r="BA297" s="94">
        <f t="shared" si="1623"/>
        <v>33274.78</v>
      </c>
      <c r="BB297" s="94">
        <f t="shared" si="1624"/>
        <v>33274.78</v>
      </c>
    </row>
    <row r="298" spans="1:54" x14ac:dyDescent="0.25">
      <c r="A298" s="80">
        <v>126</v>
      </c>
      <c r="B298" s="95" t="s">
        <v>2908</v>
      </c>
      <c r="C298" s="201" t="s">
        <v>461</v>
      </c>
      <c r="D298" s="80" t="s">
        <v>89</v>
      </c>
      <c r="E298" s="94">
        <f>IFERROR(VLOOKUP(A298,Estimate!A:Q,17,FALSE)," ")</f>
        <v>50229.5</v>
      </c>
      <c r="F298" s="202">
        <v>70</v>
      </c>
      <c r="G298" s="202">
        <v>70</v>
      </c>
      <c r="H298" s="203">
        <v>717.04</v>
      </c>
      <c r="I298" s="203">
        <v>50192.800000000003</v>
      </c>
      <c r="J298" s="203">
        <v>50192.800000000003</v>
      </c>
      <c r="K298" s="203"/>
      <c r="L298" s="202"/>
      <c r="M298" s="204">
        <f t="shared" si="1606"/>
        <v>0</v>
      </c>
      <c r="N298" s="95"/>
      <c r="O298" s="204">
        <f t="shared" si="1606"/>
        <v>0</v>
      </c>
      <c r="P298" s="95"/>
      <c r="Q298" s="204">
        <f t="shared" ref="Q298:S298" si="1818">IFERROR(P298/$G298," ")</f>
        <v>0</v>
      </c>
      <c r="R298" s="95"/>
      <c r="S298" s="204">
        <f t="shared" si="1818"/>
        <v>0</v>
      </c>
      <c r="T298" s="95">
        <v>44</v>
      </c>
      <c r="U298" s="204">
        <f t="shared" ref="U298:W298" si="1819">IFERROR(T298/$G298," ")</f>
        <v>0.62857142857142856</v>
      </c>
      <c r="V298" s="95">
        <v>44</v>
      </c>
      <c r="W298" s="204">
        <f t="shared" si="1819"/>
        <v>0.62857142857142856</v>
      </c>
      <c r="X298" s="95">
        <v>44</v>
      </c>
      <c r="Y298" s="204">
        <f t="shared" ref="Y298:AA298" si="1820">IFERROR(X298/$G298," ")</f>
        <v>0.62857142857142856</v>
      </c>
      <c r="Z298" s="95">
        <v>44</v>
      </c>
      <c r="AA298" s="204">
        <f t="shared" si="1820"/>
        <v>0.62857142857142856</v>
      </c>
      <c r="AB298" s="95">
        <v>44</v>
      </c>
      <c r="AC298" s="204">
        <f t="shared" ref="AC298:AE298" si="1821">IFERROR(AB298/$G298," ")</f>
        <v>0.62857142857142856</v>
      </c>
      <c r="AD298" s="95">
        <v>70</v>
      </c>
      <c r="AE298" s="204">
        <f t="shared" si="1821"/>
        <v>1</v>
      </c>
      <c r="AF298" s="95">
        <v>70</v>
      </c>
      <c r="AG298" s="204">
        <f t="shared" ref="AG298:AI298" si="1822">IFERROR(AF298/$G298," ")</f>
        <v>1</v>
      </c>
      <c r="AH298" s="95">
        <v>70</v>
      </c>
      <c r="AI298" s="204">
        <f t="shared" si="1822"/>
        <v>1</v>
      </c>
      <c r="AJ298" s="95">
        <v>70</v>
      </c>
      <c r="AK298" s="204">
        <f t="shared" ref="AK298:AM298" si="1823">IFERROR(AJ298/$G298," ")</f>
        <v>1</v>
      </c>
      <c r="AL298" s="95">
        <v>70</v>
      </c>
      <c r="AM298" s="204">
        <f t="shared" si="1823"/>
        <v>1</v>
      </c>
      <c r="AN298" s="95"/>
      <c r="AO298" s="94">
        <f t="shared" si="1613"/>
        <v>0</v>
      </c>
      <c r="AP298" s="94">
        <f t="shared" si="1603"/>
        <v>0</v>
      </c>
      <c r="AQ298" s="94">
        <f t="shared" si="1604"/>
        <v>0</v>
      </c>
      <c r="AR298" s="94">
        <f t="shared" si="1817"/>
        <v>0</v>
      </c>
      <c r="AS298" s="94">
        <f t="shared" si="1615"/>
        <v>31549.760000000002</v>
      </c>
      <c r="AT298" s="94">
        <f t="shared" si="1616"/>
        <v>31549.760000000002</v>
      </c>
      <c r="AU298" s="94">
        <f t="shared" si="1617"/>
        <v>31549.760000000002</v>
      </c>
      <c r="AV298" s="94">
        <f t="shared" si="1618"/>
        <v>31549.760000000002</v>
      </c>
      <c r="AW298" s="94">
        <f t="shared" si="1619"/>
        <v>31549.760000000002</v>
      </c>
      <c r="AX298" s="94">
        <f t="shared" si="1620"/>
        <v>50192.800000000003</v>
      </c>
      <c r="AY298" s="94">
        <f t="shared" si="1621"/>
        <v>50192.800000000003</v>
      </c>
      <c r="AZ298" s="94">
        <f t="shared" si="1622"/>
        <v>50192.800000000003</v>
      </c>
      <c r="BA298" s="94">
        <f t="shared" si="1623"/>
        <v>50192.800000000003</v>
      </c>
      <c r="BB298" s="94">
        <f t="shared" si="1624"/>
        <v>50192.800000000003</v>
      </c>
    </row>
    <row r="299" spans="1:54" x14ac:dyDescent="0.25">
      <c r="A299" s="80">
        <v>127</v>
      </c>
      <c r="B299" s="95" t="s">
        <v>2909</v>
      </c>
      <c r="C299" s="201" t="s">
        <v>88</v>
      </c>
      <c r="D299" s="80" t="s">
        <v>89</v>
      </c>
      <c r="E299" s="94">
        <f>IFERROR(VLOOKUP(A299,Estimate!A:Q,17,FALSE)," ")</f>
        <v>7274.5</v>
      </c>
      <c r="F299" s="202">
        <v>8</v>
      </c>
      <c r="G299" s="202">
        <v>8</v>
      </c>
      <c r="H299" s="203">
        <v>913.84</v>
      </c>
      <c r="I299" s="203">
        <v>7310.72</v>
      </c>
      <c r="J299" s="203">
        <v>7310.72</v>
      </c>
      <c r="K299" s="203"/>
      <c r="L299" s="202"/>
      <c r="M299" s="204">
        <f t="shared" si="1606"/>
        <v>0</v>
      </c>
      <c r="N299" s="95"/>
      <c r="O299" s="204">
        <f t="shared" si="1606"/>
        <v>0</v>
      </c>
      <c r="P299" s="95"/>
      <c r="Q299" s="204">
        <f t="shared" ref="Q299:S299" si="1824">IFERROR(P299/$G299," ")</f>
        <v>0</v>
      </c>
      <c r="R299" s="95"/>
      <c r="S299" s="204">
        <f t="shared" si="1824"/>
        <v>0</v>
      </c>
      <c r="T299" s="95">
        <v>5</v>
      </c>
      <c r="U299" s="204">
        <f t="shared" ref="U299:W299" si="1825">IFERROR(T299/$G299," ")</f>
        <v>0.625</v>
      </c>
      <c r="V299" s="95">
        <v>5</v>
      </c>
      <c r="W299" s="204">
        <f t="shared" si="1825"/>
        <v>0.625</v>
      </c>
      <c r="X299" s="95">
        <v>5</v>
      </c>
      <c r="Y299" s="204">
        <f t="shared" ref="Y299:AA299" si="1826">IFERROR(X299/$G299," ")</f>
        <v>0.625</v>
      </c>
      <c r="Z299" s="95">
        <v>5</v>
      </c>
      <c r="AA299" s="204">
        <f t="shared" si="1826"/>
        <v>0.625</v>
      </c>
      <c r="AB299" s="95">
        <v>5</v>
      </c>
      <c r="AC299" s="204">
        <f t="shared" ref="AC299:AE299" si="1827">IFERROR(AB299/$G299," ")</f>
        <v>0.625</v>
      </c>
      <c r="AD299" s="95">
        <v>7.5</v>
      </c>
      <c r="AE299" s="204">
        <f t="shared" si="1827"/>
        <v>0.9375</v>
      </c>
      <c r="AF299" s="95">
        <v>10</v>
      </c>
      <c r="AG299" s="204">
        <f t="shared" ref="AG299:AI299" si="1828">IFERROR(AF299/$G299," ")</f>
        <v>1.25</v>
      </c>
      <c r="AH299" s="95">
        <v>10</v>
      </c>
      <c r="AI299" s="204">
        <f t="shared" si="1828"/>
        <v>1.25</v>
      </c>
      <c r="AJ299" s="95">
        <v>10</v>
      </c>
      <c r="AK299" s="204">
        <f t="shared" ref="AK299:AM299" si="1829">IFERROR(AJ299/$G299," ")</f>
        <v>1.25</v>
      </c>
      <c r="AL299" s="95">
        <v>10</v>
      </c>
      <c r="AM299" s="204">
        <f t="shared" si="1829"/>
        <v>1.25</v>
      </c>
      <c r="AN299" s="95"/>
      <c r="AO299" s="94">
        <f t="shared" si="1613"/>
        <v>0</v>
      </c>
      <c r="AP299" s="94">
        <f t="shared" si="1603"/>
        <v>0</v>
      </c>
      <c r="AQ299" s="94">
        <f t="shared" si="1604"/>
        <v>0</v>
      </c>
      <c r="AR299" s="94">
        <f t="shared" si="1817"/>
        <v>0</v>
      </c>
      <c r="AS299" s="94">
        <f t="shared" si="1615"/>
        <v>4569.2</v>
      </c>
      <c r="AT299" s="94">
        <f t="shared" si="1616"/>
        <v>4569.2</v>
      </c>
      <c r="AU299" s="94">
        <f t="shared" si="1617"/>
        <v>4569.2</v>
      </c>
      <c r="AV299" s="94">
        <f t="shared" si="1618"/>
        <v>4569.2</v>
      </c>
      <c r="AW299" s="94">
        <f t="shared" si="1619"/>
        <v>4569.2</v>
      </c>
      <c r="AX299" s="94">
        <f t="shared" si="1620"/>
        <v>6853.8</v>
      </c>
      <c r="AY299" s="94">
        <f t="shared" si="1621"/>
        <v>9138.4</v>
      </c>
      <c r="AZ299" s="94">
        <f t="shared" si="1622"/>
        <v>9138.4</v>
      </c>
      <c r="BA299" s="94">
        <f t="shared" si="1623"/>
        <v>9138.4</v>
      </c>
      <c r="BB299" s="94">
        <f t="shared" si="1624"/>
        <v>9138.4</v>
      </c>
    </row>
    <row r="300" spans="1:54" x14ac:dyDescent="0.25">
      <c r="A300" s="210">
        <v>127.5</v>
      </c>
      <c r="B300" s="95" t="s">
        <v>2910</v>
      </c>
      <c r="C300" s="201" t="s">
        <v>2911</v>
      </c>
      <c r="D300" s="80" t="s">
        <v>89</v>
      </c>
      <c r="E300" s="94" t="str">
        <f>IFERROR(VLOOKUP(A300,Estimate!A:Q,17,FALSE)," ")</f>
        <v xml:space="preserve"> </v>
      </c>
      <c r="F300" s="202">
        <v>1.2</v>
      </c>
      <c r="G300" s="202">
        <v>1.2</v>
      </c>
      <c r="H300" s="203">
        <v>913.84</v>
      </c>
      <c r="I300" s="203">
        <v>1096.6099999999999</v>
      </c>
      <c r="J300" s="203">
        <v>1096.6079999999999</v>
      </c>
      <c r="K300" s="203"/>
      <c r="L300" s="202"/>
      <c r="M300" s="204">
        <f t="shared" si="1606"/>
        <v>0</v>
      </c>
      <c r="N300" s="95"/>
      <c r="O300" s="204">
        <f t="shared" si="1606"/>
        <v>0</v>
      </c>
      <c r="P300" s="95"/>
      <c r="Q300" s="204">
        <f t="shared" ref="Q300:S300" si="1830">IFERROR(P300/$G300," ")</f>
        <v>0</v>
      </c>
      <c r="R300" s="95"/>
      <c r="S300" s="204">
        <f t="shared" si="1830"/>
        <v>0</v>
      </c>
      <c r="T300" s="95"/>
      <c r="U300" s="204">
        <f t="shared" ref="U300:W300" si="1831">IFERROR(T300/$G300," ")</f>
        <v>0</v>
      </c>
      <c r="V300" s="95"/>
      <c r="W300" s="204">
        <f t="shared" si="1831"/>
        <v>0</v>
      </c>
      <c r="X300" s="95"/>
      <c r="Y300" s="204">
        <f t="shared" ref="Y300:AA300" si="1832">IFERROR(X300/$G300," ")</f>
        <v>0</v>
      </c>
      <c r="Z300" s="95"/>
      <c r="AA300" s="204">
        <f t="shared" si="1832"/>
        <v>0</v>
      </c>
      <c r="AB300" s="95"/>
      <c r="AC300" s="204">
        <f t="shared" ref="AC300:AE300" si="1833">IFERROR(AB300/$G300," ")</f>
        <v>0</v>
      </c>
      <c r="AD300" s="95">
        <v>0.6</v>
      </c>
      <c r="AE300" s="204">
        <f t="shared" si="1833"/>
        <v>0.5</v>
      </c>
      <c r="AF300" s="95">
        <v>1.2</v>
      </c>
      <c r="AG300" s="204">
        <f t="shared" ref="AG300:AI300" si="1834">IFERROR(AF300/$G300," ")</f>
        <v>1</v>
      </c>
      <c r="AH300" s="95">
        <v>1.2</v>
      </c>
      <c r="AI300" s="204">
        <f t="shared" si="1834"/>
        <v>1</v>
      </c>
      <c r="AJ300" s="95">
        <v>1.2</v>
      </c>
      <c r="AK300" s="204">
        <f t="shared" ref="AK300:AM300" si="1835">IFERROR(AJ300/$G300," ")</f>
        <v>1</v>
      </c>
      <c r="AL300" s="95">
        <v>1.2</v>
      </c>
      <c r="AM300" s="204">
        <f t="shared" si="1835"/>
        <v>1</v>
      </c>
      <c r="AN300" s="95"/>
      <c r="AO300" s="94">
        <f t="shared" si="1613"/>
        <v>0</v>
      </c>
      <c r="AP300" s="94">
        <f t="shared" si="1603"/>
        <v>0</v>
      </c>
      <c r="AQ300" s="94">
        <f t="shared" si="1604"/>
        <v>0</v>
      </c>
      <c r="AR300" s="94">
        <f t="shared" si="1817"/>
        <v>0</v>
      </c>
      <c r="AS300" s="94">
        <f t="shared" si="1615"/>
        <v>0</v>
      </c>
      <c r="AT300" s="94">
        <f t="shared" si="1616"/>
        <v>0</v>
      </c>
      <c r="AU300" s="94">
        <f t="shared" si="1617"/>
        <v>0</v>
      </c>
      <c r="AV300" s="94">
        <f t="shared" si="1618"/>
        <v>0</v>
      </c>
      <c r="AW300" s="94">
        <f t="shared" si="1619"/>
        <v>0</v>
      </c>
      <c r="AX300" s="94">
        <f t="shared" si="1620"/>
        <v>548.30399999999997</v>
      </c>
      <c r="AY300" s="94">
        <f t="shared" si="1621"/>
        <v>1096.6079999999999</v>
      </c>
      <c r="AZ300" s="94">
        <f t="shared" si="1622"/>
        <v>1096.6079999999999</v>
      </c>
      <c r="BA300" s="94">
        <f t="shared" si="1623"/>
        <v>1096.6079999999999</v>
      </c>
      <c r="BB300" s="94">
        <f t="shared" si="1624"/>
        <v>1096.6079999999999</v>
      </c>
    </row>
    <row r="301" spans="1:54" x14ac:dyDescent="0.25">
      <c r="A301" s="80"/>
      <c r="B301" s="95" t="s">
        <v>2851</v>
      </c>
      <c r="C301" s="201" t="s">
        <v>94</v>
      </c>
      <c r="D301" s="80" t="s">
        <v>783</v>
      </c>
      <c r="E301" s="94" t="str">
        <f>IFERROR(VLOOKUP(A301,Estimate!A:Q,17,FALSE)," ")</f>
        <v xml:space="preserve"> </v>
      </c>
      <c r="F301" s="202" t="s">
        <v>781</v>
      </c>
      <c r="G301" s="202" t="s">
        <v>781</v>
      </c>
      <c r="H301" s="203" t="s">
        <v>781</v>
      </c>
      <c r="I301" s="203" t="s">
        <v>781</v>
      </c>
      <c r="J301" s="203" t="s">
        <v>781</v>
      </c>
      <c r="K301" s="203"/>
      <c r="L301" s="202" t="s">
        <v>781</v>
      </c>
      <c r="M301" s="204" t="str">
        <f t="shared" si="1606"/>
        <v xml:space="preserve"> </v>
      </c>
      <c r="N301" s="95" t="s">
        <v>781</v>
      </c>
      <c r="O301" s="204" t="str">
        <f t="shared" si="1606"/>
        <v xml:space="preserve"> </v>
      </c>
      <c r="P301" s="95" t="s">
        <v>781</v>
      </c>
      <c r="Q301" s="204" t="str">
        <f t="shared" ref="Q301:S301" si="1836">IFERROR(P301/$G301," ")</f>
        <v xml:space="preserve"> </v>
      </c>
      <c r="R301" s="95" t="s">
        <v>781</v>
      </c>
      <c r="S301" s="204" t="str">
        <f t="shared" si="1836"/>
        <v xml:space="preserve"> </v>
      </c>
      <c r="T301" s="95" t="s">
        <v>781</v>
      </c>
      <c r="U301" s="204" t="str">
        <f t="shared" ref="U301:W301" si="1837">IFERROR(T301/$G301," ")</f>
        <v xml:space="preserve"> </v>
      </c>
      <c r="V301" s="95" t="s">
        <v>781</v>
      </c>
      <c r="W301" s="204" t="str">
        <f t="shared" si="1837"/>
        <v xml:space="preserve"> </v>
      </c>
      <c r="X301" s="95" t="s">
        <v>781</v>
      </c>
      <c r="Y301" s="204" t="str">
        <f t="shared" ref="Y301:AA301" si="1838">IFERROR(X301/$G301," ")</f>
        <v xml:space="preserve"> </v>
      </c>
      <c r="Z301" s="95" t="s">
        <v>781</v>
      </c>
      <c r="AA301" s="204" t="str">
        <f t="shared" si="1838"/>
        <v xml:space="preserve"> </v>
      </c>
      <c r="AB301" s="95" t="s">
        <v>781</v>
      </c>
      <c r="AC301" s="204" t="str">
        <f t="shared" ref="AC301:AE301" si="1839">IFERROR(AB301/$G301," ")</f>
        <v xml:space="preserve"> </v>
      </c>
      <c r="AD301" s="95" t="s">
        <v>781</v>
      </c>
      <c r="AE301" s="204" t="str">
        <f t="shared" si="1839"/>
        <v xml:space="preserve"> </v>
      </c>
      <c r="AF301" s="95" t="s">
        <v>781</v>
      </c>
      <c r="AG301" s="204" t="str">
        <f t="shared" ref="AG301:AI301" si="1840">IFERROR(AF301/$G301," ")</f>
        <v xml:space="preserve"> </v>
      </c>
      <c r="AH301" s="95" t="s">
        <v>781</v>
      </c>
      <c r="AI301" s="204" t="str">
        <f t="shared" si="1840"/>
        <v xml:space="preserve"> </v>
      </c>
      <c r="AJ301" s="95" t="s">
        <v>781</v>
      </c>
      <c r="AK301" s="204" t="str">
        <f t="shared" ref="AK301:AM301" si="1841">IFERROR(AJ301/$G301," ")</f>
        <v xml:space="preserve"> </v>
      </c>
      <c r="AL301" s="95" t="s">
        <v>781</v>
      </c>
      <c r="AM301" s="204" t="str">
        <f t="shared" si="1841"/>
        <v xml:space="preserve"> </v>
      </c>
      <c r="AN301" s="95"/>
      <c r="AO301" s="94" t="str">
        <f t="shared" si="1613"/>
        <v xml:space="preserve"> </v>
      </c>
      <c r="AP301" s="94" t="str">
        <f t="shared" si="1603"/>
        <v xml:space="preserve"> </v>
      </c>
      <c r="AQ301" s="94" t="str">
        <f t="shared" si="1604"/>
        <v xml:space="preserve"> </v>
      </c>
      <c r="AR301" s="94" t="str">
        <f t="shared" si="1817"/>
        <v xml:space="preserve"> </v>
      </c>
      <c r="AS301" s="94" t="str">
        <f t="shared" si="1615"/>
        <v xml:space="preserve"> </v>
      </c>
      <c r="AT301" s="94" t="str">
        <f t="shared" si="1616"/>
        <v xml:space="preserve"> </v>
      </c>
      <c r="AU301" s="94" t="str">
        <f t="shared" si="1617"/>
        <v xml:space="preserve"> </v>
      </c>
      <c r="AV301" s="94" t="str">
        <f t="shared" si="1618"/>
        <v xml:space="preserve"> </v>
      </c>
      <c r="AW301" s="94" t="str">
        <f t="shared" si="1619"/>
        <v xml:space="preserve"> </v>
      </c>
      <c r="AX301" s="94" t="str">
        <f t="shared" si="1620"/>
        <v xml:space="preserve"> </v>
      </c>
      <c r="AY301" s="94" t="str">
        <f t="shared" si="1621"/>
        <v xml:space="preserve"> </v>
      </c>
      <c r="AZ301" s="94" t="str">
        <f t="shared" si="1622"/>
        <v xml:space="preserve"> </v>
      </c>
      <c r="BA301" s="94" t="str">
        <f t="shared" si="1623"/>
        <v xml:space="preserve"> </v>
      </c>
      <c r="BB301" s="94" t="str">
        <f t="shared" si="1624"/>
        <v xml:space="preserve"> </v>
      </c>
    </row>
    <row r="302" spans="1:54" ht="30" x14ac:dyDescent="0.25">
      <c r="A302" s="80">
        <v>128</v>
      </c>
      <c r="B302" s="95" t="s">
        <v>2852</v>
      </c>
      <c r="C302" s="201" t="s">
        <v>96</v>
      </c>
      <c r="D302" s="80" t="s">
        <v>62</v>
      </c>
      <c r="E302" s="94">
        <f>IFERROR(VLOOKUP(A302,Estimate!A:Q,17,FALSE)," ")</f>
        <v>410.15800000000002</v>
      </c>
      <c r="F302" s="202">
        <v>0.63</v>
      </c>
      <c r="G302" s="202">
        <v>0.63</v>
      </c>
      <c r="H302" s="203">
        <v>817.86</v>
      </c>
      <c r="I302" s="203">
        <v>515.25</v>
      </c>
      <c r="J302" s="203">
        <v>515.2518</v>
      </c>
      <c r="K302" s="203"/>
      <c r="L302" s="202"/>
      <c r="M302" s="204">
        <f t="shared" si="1606"/>
        <v>0</v>
      </c>
      <c r="N302" s="95"/>
      <c r="O302" s="204">
        <f t="shared" si="1606"/>
        <v>0</v>
      </c>
      <c r="P302" s="95"/>
      <c r="Q302" s="204">
        <f t="shared" ref="Q302:S302" si="1842">IFERROR(P302/$G302," ")</f>
        <v>0</v>
      </c>
      <c r="R302" s="95"/>
      <c r="S302" s="204">
        <f t="shared" si="1842"/>
        <v>0</v>
      </c>
      <c r="T302" s="95"/>
      <c r="U302" s="204">
        <f t="shared" ref="U302:W302" si="1843">IFERROR(T302/$G302," ")</f>
        <v>0</v>
      </c>
      <c r="V302" s="95"/>
      <c r="W302" s="204">
        <f t="shared" si="1843"/>
        <v>0</v>
      </c>
      <c r="X302" s="95"/>
      <c r="Y302" s="204">
        <f t="shared" ref="Y302:AA302" si="1844">IFERROR(X302/$G302," ")</f>
        <v>0</v>
      </c>
      <c r="Z302" s="95"/>
      <c r="AA302" s="204">
        <f t="shared" si="1844"/>
        <v>0</v>
      </c>
      <c r="AB302" s="95"/>
      <c r="AC302" s="204">
        <f t="shared" ref="AC302:AE302" si="1845">IFERROR(AB302/$G302," ")</f>
        <v>0</v>
      </c>
      <c r="AD302" s="95">
        <v>0.63</v>
      </c>
      <c r="AE302" s="204">
        <f t="shared" si="1845"/>
        <v>1</v>
      </c>
      <c r="AF302" s="95">
        <v>0.63</v>
      </c>
      <c r="AG302" s="204">
        <f t="shared" ref="AG302:AI302" si="1846">IFERROR(AF302/$G302," ")</f>
        <v>1</v>
      </c>
      <c r="AH302" s="95">
        <v>0.63</v>
      </c>
      <c r="AI302" s="204">
        <f t="shared" si="1846"/>
        <v>1</v>
      </c>
      <c r="AJ302" s="95">
        <v>0.63</v>
      </c>
      <c r="AK302" s="204">
        <f t="shared" ref="AK302:AM302" si="1847">IFERROR(AJ302/$G302," ")</f>
        <v>1</v>
      </c>
      <c r="AL302" s="95">
        <v>0.63</v>
      </c>
      <c r="AM302" s="204">
        <f t="shared" si="1847"/>
        <v>1</v>
      </c>
      <c r="AN302" s="95"/>
      <c r="AO302" s="94">
        <f t="shared" si="1613"/>
        <v>0</v>
      </c>
      <c r="AP302" s="94">
        <f t="shared" si="1603"/>
        <v>0</v>
      </c>
      <c r="AQ302" s="94">
        <f t="shared" si="1604"/>
        <v>0</v>
      </c>
      <c r="AR302" s="94">
        <f t="shared" si="1817"/>
        <v>0</v>
      </c>
      <c r="AS302" s="94">
        <f t="shared" si="1615"/>
        <v>0</v>
      </c>
      <c r="AT302" s="94">
        <f t="shared" si="1616"/>
        <v>0</v>
      </c>
      <c r="AU302" s="94">
        <f t="shared" si="1617"/>
        <v>0</v>
      </c>
      <c r="AV302" s="94">
        <f t="shared" si="1618"/>
        <v>0</v>
      </c>
      <c r="AW302" s="94">
        <f t="shared" si="1619"/>
        <v>0</v>
      </c>
      <c r="AX302" s="94">
        <f t="shared" si="1620"/>
        <v>515.2518</v>
      </c>
      <c r="AY302" s="94">
        <f t="shared" si="1621"/>
        <v>515.2518</v>
      </c>
      <c r="AZ302" s="94">
        <f t="shared" si="1622"/>
        <v>515.2518</v>
      </c>
      <c r="BA302" s="94">
        <f t="shared" si="1623"/>
        <v>515.2518</v>
      </c>
      <c r="BB302" s="94">
        <f t="shared" si="1624"/>
        <v>515.2518</v>
      </c>
    </row>
    <row r="303" spans="1:54" ht="30" x14ac:dyDescent="0.25">
      <c r="A303" s="80"/>
      <c r="B303" s="95" t="s">
        <v>2912</v>
      </c>
      <c r="C303" s="201" t="s">
        <v>467</v>
      </c>
      <c r="D303" s="80" t="s">
        <v>783</v>
      </c>
      <c r="E303" s="94" t="str">
        <f>IFERROR(VLOOKUP(A303,Estimate!A:Q,17,FALSE)," ")</f>
        <v xml:space="preserve"> </v>
      </c>
      <c r="F303" s="202" t="s">
        <v>781</v>
      </c>
      <c r="G303" s="202" t="s">
        <v>781</v>
      </c>
      <c r="H303" s="203" t="s">
        <v>781</v>
      </c>
      <c r="I303" s="203" t="s">
        <v>781</v>
      </c>
      <c r="J303" s="203" t="s">
        <v>781</v>
      </c>
      <c r="K303" s="203"/>
      <c r="L303" s="202" t="s">
        <v>781</v>
      </c>
      <c r="M303" s="204" t="str">
        <f t="shared" si="1606"/>
        <v xml:space="preserve"> </v>
      </c>
      <c r="N303" s="95" t="s">
        <v>781</v>
      </c>
      <c r="O303" s="204" t="str">
        <f t="shared" si="1606"/>
        <v xml:space="preserve"> </v>
      </c>
      <c r="P303" s="95" t="s">
        <v>781</v>
      </c>
      <c r="Q303" s="204" t="str">
        <f t="shared" ref="Q303:S303" si="1848">IFERROR(P303/$G303," ")</f>
        <v xml:space="preserve"> </v>
      </c>
      <c r="R303" s="95" t="s">
        <v>781</v>
      </c>
      <c r="S303" s="204" t="str">
        <f t="shared" si="1848"/>
        <v xml:space="preserve"> </v>
      </c>
      <c r="T303" s="95" t="s">
        <v>781</v>
      </c>
      <c r="U303" s="204" t="str">
        <f t="shared" ref="U303:W303" si="1849">IFERROR(T303/$G303," ")</f>
        <v xml:space="preserve"> </v>
      </c>
      <c r="V303" s="95" t="s">
        <v>781</v>
      </c>
      <c r="W303" s="204" t="str">
        <f t="shared" si="1849"/>
        <v xml:space="preserve"> </v>
      </c>
      <c r="X303" s="95" t="s">
        <v>781</v>
      </c>
      <c r="Y303" s="204" t="str">
        <f t="shared" ref="Y303:AA303" si="1850">IFERROR(X303/$G303," ")</f>
        <v xml:space="preserve"> </v>
      </c>
      <c r="Z303" s="95" t="s">
        <v>781</v>
      </c>
      <c r="AA303" s="204" t="str">
        <f t="shared" si="1850"/>
        <v xml:space="preserve"> </v>
      </c>
      <c r="AB303" s="95" t="s">
        <v>781</v>
      </c>
      <c r="AC303" s="204" t="str">
        <f t="shared" ref="AC303:AE303" si="1851">IFERROR(AB303/$G303," ")</f>
        <v xml:space="preserve"> </v>
      </c>
      <c r="AD303" s="95" t="s">
        <v>781</v>
      </c>
      <c r="AE303" s="204" t="str">
        <f t="shared" si="1851"/>
        <v xml:space="preserve"> </v>
      </c>
      <c r="AF303" s="95" t="s">
        <v>781</v>
      </c>
      <c r="AG303" s="204" t="str">
        <f t="shared" ref="AG303:AI303" si="1852">IFERROR(AF303/$G303," ")</f>
        <v xml:space="preserve"> </v>
      </c>
      <c r="AH303" s="95" t="s">
        <v>781</v>
      </c>
      <c r="AI303" s="204" t="str">
        <f t="shared" si="1852"/>
        <v xml:space="preserve"> </v>
      </c>
      <c r="AJ303" s="95" t="s">
        <v>781</v>
      </c>
      <c r="AK303" s="204" t="str">
        <f t="shared" ref="AK303:AM303" si="1853">IFERROR(AJ303/$G303," ")</f>
        <v xml:space="preserve"> </v>
      </c>
      <c r="AL303" s="95" t="s">
        <v>781</v>
      </c>
      <c r="AM303" s="204" t="str">
        <f t="shared" si="1853"/>
        <v xml:space="preserve"> </v>
      </c>
      <c r="AN303" s="95"/>
      <c r="AO303" s="94" t="str">
        <f t="shared" si="1613"/>
        <v xml:space="preserve"> </v>
      </c>
      <c r="AP303" s="94" t="str">
        <f t="shared" si="1603"/>
        <v xml:space="preserve"> </v>
      </c>
      <c r="AQ303" s="94" t="str">
        <f t="shared" si="1604"/>
        <v xml:space="preserve"> </v>
      </c>
      <c r="AR303" s="94" t="str">
        <f t="shared" si="1817"/>
        <v xml:space="preserve"> </v>
      </c>
      <c r="AS303" s="94" t="str">
        <f t="shared" si="1615"/>
        <v xml:space="preserve"> </v>
      </c>
      <c r="AT303" s="94" t="str">
        <f t="shared" si="1616"/>
        <v xml:space="preserve"> </v>
      </c>
      <c r="AU303" s="94" t="str">
        <f t="shared" si="1617"/>
        <v xml:space="preserve"> </v>
      </c>
      <c r="AV303" s="94" t="str">
        <f t="shared" si="1618"/>
        <v xml:space="preserve"> </v>
      </c>
      <c r="AW303" s="94" t="str">
        <f t="shared" si="1619"/>
        <v xml:space="preserve"> </v>
      </c>
      <c r="AX303" s="94" t="str">
        <f t="shared" si="1620"/>
        <v xml:space="preserve"> </v>
      </c>
      <c r="AY303" s="94" t="str">
        <f t="shared" si="1621"/>
        <v xml:space="preserve"> </v>
      </c>
      <c r="AZ303" s="94" t="str">
        <f t="shared" si="1622"/>
        <v xml:space="preserve"> </v>
      </c>
      <c r="BA303" s="94" t="str">
        <f t="shared" si="1623"/>
        <v xml:space="preserve"> </v>
      </c>
      <c r="BB303" s="94" t="str">
        <f t="shared" si="1624"/>
        <v xml:space="preserve"> </v>
      </c>
    </row>
    <row r="304" spans="1:54" x14ac:dyDescent="0.25">
      <c r="A304" s="80">
        <v>129</v>
      </c>
      <c r="B304" s="95" t="s">
        <v>2913</v>
      </c>
      <c r="C304" s="201" t="s">
        <v>469</v>
      </c>
      <c r="D304" s="80" t="s">
        <v>29</v>
      </c>
      <c r="E304" s="94">
        <f>IFERROR(VLOOKUP(A304,Estimate!A:Q,17,FALSE)," ")</f>
        <v>27181.3</v>
      </c>
      <c r="F304" s="202">
        <v>5</v>
      </c>
      <c r="G304" s="202">
        <v>5</v>
      </c>
      <c r="H304" s="203">
        <v>6829.18</v>
      </c>
      <c r="I304" s="203">
        <v>34145.9</v>
      </c>
      <c r="J304" s="203">
        <v>34145.9</v>
      </c>
      <c r="K304" s="203"/>
      <c r="L304" s="202"/>
      <c r="M304" s="204">
        <f t="shared" si="1606"/>
        <v>0</v>
      </c>
      <c r="N304" s="95"/>
      <c r="O304" s="204">
        <f t="shared" si="1606"/>
        <v>0</v>
      </c>
      <c r="P304" s="95"/>
      <c r="Q304" s="204">
        <f t="shared" ref="Q304:S304" si="1854">IFERROR(P304/$G304," ")</f>
        <v>0</v>
      </c>
      <c r="R304" s="95"/>
      <c r="S304" s="204">
        <f t="shared" si="1854"/>
        <v>0</v>
      </c>
      <c r="T304" s="95">
        <v>2.5</v>
      </c>
      <c r="U304" s="204">
        <f t="shared" ref="U304:W304" si="1855">IFERROR(T304/$G304," ")</f>
        <v>0.5</v>
      </c>
      <c r="V304" s="95">
        <v>2.5</v>
      </c>
      <c r="W304" s="204">
        <f t="shared" si="1855"/>
        <v>0.5</v>
      </c>
      <c r="X304" s="95">
        <v>2.5</v>
      </c>
      <c r="Y304" s="204">
        <f t="shared" ref="Y304:AA304" si="1856">IFERROR(X304/$G304," ")</f>
        <v>0.5</v>
      </c>
      <c r="Z304" s="95">
        <v>2.5</v>
      </c>
      <c r="AA304" s="204">
        <f t="shared" si="1856"/>
        <v>0.5</v>
      </c>
      <c r="AB304" s="95">
        <v>2.5</v>
      </c>
      <c r="AC304" s="204">
        <f t="shared" ref="AC304:AE304" si="1857">IFERROR(AB304/$G304," ")</f>
        <v>0.5</v>
      </c>
      <c r="AD304" s="95">
        <v>2.5</v>
      </c>
      <c r="AE304" s="204">
        <f t="shared" si="1857"/>
        <v>0.5</v>
      </c>
      <c r="AF304" s="95">
        <v>5</v>
      </c>
      <c r="AG304" s="204">
        <f t="shared" ref="AG304:AI304" si="1858">IFERROR(AF304/$G304," ")</f>
        <v>1</v>
      </c>
      <c r="AH304" s="95">
        <v>5</v>
      </c>
      <c r="AI304" s="204">
        <f t="shared" si="1858"/>
        <v>1</v>
      </c>
      <c r="AJ304" s="95">
        <v>5</v>
      </c>
      <c r="AK304" s="204">
        <f t="shared" ref="AK304:AM304" si="1859">IFERROR(AJ304/$G304," ")</f>
        <v>1</v>
      </c>
      <c r="AL304" s="95">
        <v>5</v>
      </c>
      <c r="AM304" s="204">
        <f t="shared" si="1859"/>
        <v>1</v>
      </c>
      <c r="AN304" s="95"/>
      <c r="AO304" s="94">
        <f t="shared" si="1613"/>
        <v>0</v>
      </c>
      <c r="AP304" s="94">
        <f t="shared" si="1603"/>
        <v>0</v>
      </c>
      <c r="AQ304" s="94">
        <f t="shared" si="1604"/>
        <v>0</v>
      </c>
      <c r="AR304" s="94">
        <f t="shared" si="1817"/>
        <v>0</v>
      </c>
      <c r="AS304" s="94">
        <f t="shared" si="1615"/>
        <v>17072.95</v>
      </c>
      <c r="AT304" s="94">
        <f t="shared" si="1616"/>
        <v>17072.95</v>
      </c>
      <c r="AU304" s="94">
        <f t="shared" si="1617"/>
        <v>17072.95</v>
      </c>
      <c r="AV304" s="94">
        <f t="shared" si="1618"/>
        <v>17072.95</v>
      </c>
      <c r="AW304" s="94">
        <f t="shared" si="1619"/>
        <v>17072.95</v>
      </c>
      <c r="AX304" s="94">
        <f t="shared" si="1620"/>
        <v>17072.95</v>
      </c>
      <c r="AY304" s="94">
        <f t="shared" si="1621"/>
        <v>34145.9</v>
      </c>
      <c r="AZ304" s="94">
        <f t="shared" si="1622"/>
        <v>34145.9</v>
      </c>
      <c r="BA304" s="94">
        <f t="shared" si="1623"/>
        <v>34145.9</v>
      </c>
      <c r="BB304" s="94">
        <f t="shared" si="1624"/>
        <v>34145.9</v>
      </c>
    </row>
    <row r="305" spans="1:54" x14ac:dyDescent="0.25">
      <c r="A305" s="80">
        <v>130</v>
      </c>
      <c r="B305" s="95" t="s">
        <v>2914</v>
      </c>
      <c r="C305" s="201" t="s">
        <v>471</v>
      </c>
      <c r="D305" s="80" t="s">
        <v>29</v>
      </c>
      <c r="E305" s="94">
        <f>IFERROR(VLOOKUP(A305,Estimate!A:Q,17,FALSE)," ")</f>
        <v>7500</v>
      </c>
      <c r="F305" s="202">
        <v>2</v>
      </c>
      <c r="G305" s="202">
        <v>2</v>
      </c>
      <c r="H305" s="203">
        <v>4710.8500000000004</v>
      </c>
      <c r="I305" s="203">
        <v>9421.7000000000007</v>
      </c>
      <c r="J305" s="203">
        <v>9421.7000000000007</v>
      </c>
      <c r="K305" s="203"/>
      <c r="L305" s="202"/>
      <c r="M305" s="204">
        <f t="shared" si="1606"/>
        <v>0</v>
      </c>
      <c r="N305" s="95"/>
      <c r="O305" s="204">
        <f t="shared" si="1606"/>
        <v>0</v>
      </c>
      <c r="P305" s="95"/>
      <c r="Q305" s="204">
        <f t="shared" ref="Q305:S305" si="1860">IFERROR(P305/$G305," ")</f>
        <v>0</v>
      </c>
      <c r="R305" s="95"/>
      <c r="S305" s="204">
        <f t="shared" si="1860"/>
        <v>0</v>
      </c>
      <c r="T305" s="95"/>
      <c r="U305" s="204">
        <f t="shared" ref="U305:W305" si="1861">IFERROR(T305/$G305," ")</f>
        <v>0</v>
      </c>
      <c r="V305" s="95"/>
      <c r="W305" s="204">
        <f t="shared" si="1861"/>
        <v>0</v>
      </c>
      <c r="X305" s="95"/>
      <c r="Y305" s="204">
        <f t="shared" ref="Y305:AA305" si="1862">IFERROR(X305/$G305," ")</f>
        <v>0</v>
      </c>
      <c r="Z305" s="95"/>
      <c r="AA305" s="204">
        <f t="shared" si="1862"/>
        <v>0</v>
      </c>
      <c r="AB305" s="95"/>
      <c r="AC305" s="204">
        <f t="shared" ref="AC305:AE305" si="1863">IFERROR(AB305/$G305," ")</f>
        <v>0</v>
      </c>
      <c r="AD305" s="95">
        <v>1</v>
      </c>
      <c r="AE305" s="204">
        <f t="shared" si="1863"/>
        <v>0.5</v>
      </c>
      <c r="AF305" s="95">
        <v>2</v>
      </c>
      <c r="AG305" s="204">
        <f t="shared" ref="AG305:AI305" si="1864">IFERROR(AF305/$G305," ")</f>
        <v>1</v>
      </c>
      <c r="AH305" s="95">
        <v>2</v>
      </c>
      <c r="AI305" s="204">
        <f t="shared" si="1864"/>
        <v>1</v>
      </c>
      <c r="AJ305" s="95">
        <v>2</v>
      </c>
      <c r="AK305" s="204">
        <f t="shared" ref="AK305:AM305" si="1865">IFERROR(AJ305/$G305," ")</f>
        <v>1</v>
      </c>
      <c r="AL305" s="95">
        <v>2</v>
      </c>
      <c r="AM305" s="204">
        <f t="shared" si="1865"/>
        <v>1</v>
      </c>
      <c r="AN305" s="95"/>
      <c r="AO305" s="94">
        <f t="shared" si="1613"/>
        <v>0</v>
      </c>
      <c r="AP305" s="94">
        <f t="shared" si="1603"/>
        <v>0</v>
      </c>
      <c r="AQ305" s="94">
        <f t="shared" si="1604"/>
        <v>0</v>
      </c>
      <c r="AR305" s="94">
        <f t="shared" si="1817"/>
        <v>0</v>
      </c>
      <c r="AS305" s="94">
        <f t="shared" si="1615"/>
        <v>0</v>
      </c>
      <c r="AT305" s="94">
        <f t="shared" si="1616"/>
        <v>0</v>
      </c>
      <c r="AU305" s="94">
        <f t="shared" si="1617"/>
        <v>0</v>
      </c>
      <c r="AV305" s="94">
        <f t="shared" si="1618"/>
        <v>0</v>
      </c>
      <c r="AW305" s="94">
        <f t="shared" si="1619"/>
        <v>0</v>
      </c>
      <c r="AX305" s="94">
        <f t="shared" si="1620"/>
        <v>4710.8500000000004</v>
      </c>
      <c r="AY305" s="94">
        <f t="shared" si="1621"/>
        <v>9421.7000000000007</v>
      </c>
      <c r="AZ305" s="94">
        <f t="shared" si="1622"/>
        <v>9421.7000000000007</v>
      </c>
      <c r="BA305" s="94">
        <f t="shared" si="1623"/>
        <v>9421.7000000000007</v>
      </c>
      <c r="BB305" s="94">
        <f t="shared" si="1624"/>
        <v>9421.7000000000007</v>
      </c>
    </row>
    <row r="306" spans="1:54" x14ac:dyDescent="0.25">
      <c r="A306" s="80"/>
      <c r="B306" s="95" t="s">
        <v>2853</v>
      </c>
      <c r="C306" s="201" t="s">
        <v>98</v>
      </c>
      <c r="D306" s="80" t="s">
        <v>783</v>
      </c>
      <c r="E306" s="94" t="str">
        <f>IFERROR(VLOOKUP(A306,Estimate!A:Q,17,FALSE)," ")</f>
        <v xml:space="preserve"> </v>
      </c>
      <c r="F306" s="202" t="s">
        <v>781</v>
      </c>
      <c r="G306" s="202" t="s">
        <v>781</v>
      </c>
      <c r="H306" s="203" t="s">
        <v>781</v>
      </c>
      <c r="I306" s="203" t="s">
        <v>781</v>
      </c>
      <c r="J306" s="203" t="s">
        <v>781</v>
      </c>
      <c r="K306" s="203"/>
      <c r="L306" s="202" t="s">
        <v>781</v>
      </c>
      <c r="M306" s="204" t="str">
        <f t="shared" si="1606"/>
        <v xml:space="preserve"> </v>
      </c>
      <c r="N306" s="95" t="s">
        <v>781</v>
      </c>
      <c r="O306" s="204" t="str">
        <f t="shared" si="1606"/>
        <v xml:space="preserve"> </v>
      </c>
      <c r="P306" s="95" t="s">
        <v>781</v>
      </c>
      <c r="Q306" s="204" t="str">
        <f t="shared" ref="Q306:S306" si="1866">IFERROR(P306/$G306," ")</f>
        <v xml:space="preserve"> </v>
      </c>
      <c r="R306" s="95" t="s">
        <v>781</v>
      </c>
      <c r="S306" s="204" t="str">
        <f t="shared" si="1866"/>
        <v xml:space="preserve"> </v>
      </c>
      <c r="T306" s="95" t="s">
        <v>781</v>
      </c>
      <c r="U306" s="204" t="str">
        <f t="shared" ref="U306:W306" si="1867">IFERROR(T306/$G306," ")</f>
        <v xml:space="preserve"> </v>
      </c>
      <c r="V306" s="95" t="s">
        <v>781</v>
      </c>
      <c r="W306" s="204" t="str">
        <f t="shared" si="1867"/>
        <v xml:space="preserve"> </v>
      </c>
      <c r="X306" s="95" t="s">
        <v>781</v>
      </c>
      <c r="Y306" s="204" t="str">
        <f t="shared" ref="Y306:AA306" si="1868">IFERROR(X306/$G306," ")</f>
        <v xml:space="preserve"> </v>
      </c>
      <c r="Z306" s="95" t="s">
        <v>781</v>
      </c>
      <c r="AA306" s="204" t="str">
        <f t="shared" si="1868"/>
        <v xml:space="preserve"> </v>
      </c>
      <c r="AB306" s="95" t="s">
        <v>781</v>
      </c>
      <c r="AC306" s="204" t="str">
        <f t="shared" ref="AC306:AE306" si="1869">IFERROR(AB306/$G306," ")</f>
        <v xml:space="preserve"> </v>
      </c>
      <c r="AD306" s="95" t="s">
        <v>781</v>
      </c>
      <c r="AE306" s="204" t="str">
        <f t="shared" si="1869"/>
        <v xml:space="preserve"> </v>
      </c>
      <c r="AF306" s="95" t="s">
        <v>781</v>
      </c>
      <c r="AG306" s="204" t="str">
        <f t="shared" ref="AG306:AI306" si="1870">IFERROR(AF306/$G306," ")</f>
        <v xml:space="preserve"> </v>
      </c>
      <c r="AH306" s="95" t="s">
        <v>781</v>
      </c>
      <c r="AI306" s="204" t="str">
        <f t="shared" si="1870"/>
        <v xml:space="preserve"> </v>
      </c>
      <c r="AJ306" s="95" t="s">
        <v>781</v>
      </c>
      <c r="AK306" s="204" t="str">
        <f t="shared" ref="AK306:AM306" si="1871">IFERROR(AJ306/$G306," ")</f>
        <v xml:space="preserve"> </v>
      </c>
      <c r="AL306" s="95" t="s">
        <v>781</v>
      </c>
      <c r="AM306" s="204" t="str">
        <f t="shared" si="1871"/>
        <v xml:space="preserve"> </v>
      </c>
      <c r="AN306" s="95"/>
      <c r="AO306" s="94" t="str">
        <f t="shared" si="1613"/>
        <v xml:space="preserve"> </v>
      </c>
      <c r="AP306" s="94" t="str">
        <f t="shared" si="1603"/>
        <v xml:space="preserve"> </v>
      </c>
      <c r="AQ306" s="94" t="str">
        <f t="shared" si="1604"/>
        <v xml:space="preserve"> </v>
      </c>
      <c r="AR306" s="94" t="str">
        <f t="shared" si="1817"/>
        <v xml:space="preserve"> </v>
      </c>
      <c r="AS306" s="94" t="str">
        <f t="shared" si="1615"/>
        <v xml:space="preserve"> </v>
      </c>
      <c r="AT306" s="94" t="str">
        <f t="shared" si="1616"/>
        <v xml:space="preserve"> </v>
      </c>
      <c r="AU306" s="94" t="str">
        <f t="shared" si="1617"/>
        <v xml:space="preserve"> </v>
      </c>
      <c r="AV306" s="94" t="str">
        <f t="shared" si="1618"/>
        <v xml:space="preserve"> </v>
      </c>
      <c r="AW306" s="94" t="str">
        <f t="shared" si="1619"/>
        <v xml:space="preserve"> </v>
      </c>
      <c r="AX306" s="94" t="str">
        <f t="shared" si="1620"/>
        <v xml:space="preserve"> </v>
      </c>
      <c r="AY306" s="94" t="str">
        <f t="shared" si="1621"/>
        <v xml:space="preserve"> </v>
      </c>
      <c r="AZ306" s="94" t="str">
        <f t="shared" si="1622"/>
        <v xml:space="preserve"> </v>
      </c>
      <c r="BA306" s="94" t="str">
        <f t="shared" si="1623"/>
        <v xml:space="preserve"> </v>
      </c>
      <c r="BB306" s="94" t="str">
        <f t="shared" si="1624"/>
        <v xml:space="preserve"> </v>
      </c>
    </row>
    <row r="307" spans="1:54" x14ac:dyDescent="0.25">
      <c r="A307" s="80"/>
      <c r="B307" s="95" t="s">
        <v>2915</v>
      </c>
      <c r="C307" s="201" t="s">
        <v>474</v>
      </c>
      <c r="D307" s="80" t="s">
        <v>783</v>
      </c>
      <c r="E307" s="94" t="str">
        <f>IFERROR(VLOOKUP(A307,Estimate!A:Q,17,FALSE)," ")</f>
        <v xml:space="preserve"> </v>
      </c>
      <c r="F307" s="202" t="s">
        <v>781</v>
      </c>
      <c r="G307" s="202" t="s">
        <v>781</v>
      </c>
      <c r="H307" s="203" t="s">
        <v>781</v>
      </c>
      <c r="I307" s="203" t="s">
        <v>781</v>
      </c>
      <c r="J307" s="203" t="s">
        <v>781</v>
      </c>
      <c r="K307" s="203"/>
      <c r="L307" s="202" t="s">
        <v>781</v>
      </c>
      <c r="M307" s="204" t="str">
        <f t="shared" si="1606"/>
        <v xml:space="preserve"> </v>
      </c>
      <c r="N307" s="95" t="s">
        <v>781</v>
      </c>
      <c r="O307" s="204" t="str">
        <f t="shared" si="1606"/>
        <v xml:space="preserve"> </v>
      </c>
      <c r="P307" s="95" t="s">
        <v>781</v>
      </c>
      <c r="Q307" s="204" t="str">
        <f t="shared" ref="Q307:S307" si="1872">IFERROR(P307/$G307," ")</f>
        <v xml:space="preserve"> </v>
      </c>
      <c r="R307" s="95" t="s">
        <v>781</v>
      </c>
      <c r="S307" s="204" t="str">
        <f t="shared" si="1872"/>
        <v xml:space="preserve"> </v>
      </c>
      <c r="T307" s="95" t="s">
        <v>781</v>
      </c>
      <c r="U307" s="204" t="str">
        <f t="shared" ref="U307:W307" si="1873">IFERROR(T307/$G307," ")</f>
        <v xml:space="preserve"> </v>
      </c>
      <c r="V307" s="95" t="s">
        <v>781</v>
      </c>
      <c r="W307" s="204" t="str">
        <f t="shared" si="1873"/>
        <v xml:space="preserve"> </v>
      </c>
      <c r="X307" s="95" t="s">
        <v>781</v>
      </c>
      <c r="Y307" s="204" t="str">
        <f t="shared" ref="Y307:AA307" si="1874">IFERROR(X307/$G307," ")</f>
        <v xml:space="preserve"> </v>
      </c>
      <c r="Z307" s="95" t="s">
        <v>781</v>
      </c>
      <c r="AA307" s="204" t="str">
        <f t="shared" si="1874"/>
        <v xml:space="preserve"> </v>
      </c>
      <c r="AB307" s="95" t="s">
        <v>781</v>
      </c>
      <c r="AC307" s="204" t="str">
        <f t="shared" ref="AC307:AE307" si="1875">IFERROR(AB307/$G307," ")</f>
        <v xml:space="preserve"> </v>
      </c>
      <c r="AD307" s="95" t="s">
        <v>781</v>
      </c>
      <c r="AE307" s="204" t="str">
        <f t="shared" si="1875"/>
        <v xml:space="preserve"> </v>
      </c>
      <c r="AF307" s="95" t="s">
        <v>781</v>
      </c>
      <c r="AG307" s="204" t="str">
        <f t="shared" ref="AG307:AI307" si="1876">IFERROR(AF307/$G307," ")</f>
        <v xml:space="preserve"> </v>
      </c>
      <c r="AH307" s="95" t="s">
        <v>781</v>
      </c>
      <c r="AI307" s="204" t="str">
        <f t="shared" si="1876"/>
        <v xml:space="preserve"> </v>
      </c>
      <c r="AJ307" s="95" t="s">
        <v>781</v>
      </c>
      <c r="AK307" s="204" t="str">
        <f t="shared" ref="AK307:AM307" si="1877">IFERROR(AJ307/$G307," ")</f>
        <v xml:space="preserve"> </v>
      </c>
      <c r="AL307" s="95" t="s">
        <v>781</v>
      </c>
      <c r="AM307" s="204" t="str">
        <f t="shared" si="1877"/>
        <v xml:space="preserve"> </v>
      </c>
      <c r="AN307" s="95"/>
      <c r="AO307" s="94" t="str">
        <f t="shared" si="1613"/>
        <v xml:space="preserve"> </v>
      </c>
      <c r="AP307" s="94" t="str">
        <f t="shared" si="1603"/>
        <v xml:space="preserve"> </v>
      </c>
      <c r="AQ307" s="94" t="str">
        <f t="shared" si="1604"/>
        <v xml:space="preserve"> </v>
      </c>
      <c r="AR307" s="94" t="str">
        <f t="shared" si="1817"/>
        <v xml:space="preserve"> </v>
      </c>
      <c r="AS307" s="94" t="str">
        <f t="shared" si="1615"/>
        <v xml:space="preserve"> </v>
      </c>
      <c r="AT307" s="94" t="str">
        <f t="shared" si="1616"/>
        <v xml:space="preserve"> </v>
      </c>
      <c r="AU307" s="94" t="str">
        <f t="shared" si="1617"/>
        <v xml:space="preserve"> </v>
      </c>
      <c r="AV307" s="94" t="str">
        <f t="shared" si="1618"/>
        <v xml:space="preserve"> </v>
      </c>
      <c r="AW307" s="94" t="str">
        <f t="shared" si="1619"/>
        <v xml:space="preserve"> </v>
      </c>
      <c r="AX307" s="94" t="str">
        <f t="shared" si="1620"/>
        <v xml:space="preserve"> </v>
      </c>
      <c r="AY307" s="94" t="str">
        <f t="shared" si="1621"/>
        <v xml:space="preserve"> </v>
      </c>
      <c r="AZ307" s="94" t="str">
        <f t="shared" si="1622"/>
        <v xml:space="preserve"> </v>
      </c>
      <c r="BA307" s="94" t="str">
        <f t="shared" si="1623"/>
        <v xml:space="preserve"> </v>
      </c>
      <c r="BB307" s="94" t="str">
        <f t="shared" si="1624"/>
        <v xml:space="preserve"> </v>
      </c>
    </row>
    <row r="308" spans="1:54" x14ac:dyDescent="0.25">
      <c r="A308" s="80">
        <v>131</v>
      </c>
      <c r="B308" s="95" t="s">
        <v>2872</v>
      </c>
      <c r="C308" s="201" t="s">
        <v>195</v>
      </c>
      <c r="D308" s="80" t="s">
        <v>89</v>
      </c>
      <c r="E308" s="94">
        <f>IFERROR(VLOOKUP(A308,Estimate!A:Q,17,FALSE)," ")</f>
        <v>1701.2167441860465</v>
      </c>
      <c r="F308" s="202">
        <v>32</v>
      </c>
      <c r="G308" s="202">
        <v>32</v>
      </c>
      <c r="H308" s="203">
        <v>66.78</v>
      </c>
      <c r="I308" s="203">
        <v>2136.96</v>
      </c>
      <c r="J308" s="203">
        <v>2136.96</v>
      </c>
      <c r="K308" s="203"/>
      <c r="L308" s="202"/>
      <c r="M308" s="204">
        <f t="shared" si="1606"/>
        <v>0</v>
      </c>
      <c r="N308" s="95"/>
      <c r="O308" s="204">
        <f t="shared" si="1606"/>
        <v>0</v>
      </c>
      <c r="P308" s="95"/>
      <c r="Q308" s="204">
        <f t="shared" ref="Q308:S308" si="1878">IFERROR(P308/$G308," ")</f>
        <v>0</v>
      </c>
      <c r="R308" s="95"/>
      <c r="S308" s="204">
        <f t="shared" si="1878"/>
        <v>0</v>
      </c>
      <c r="T308" s="95"/>
      <c r="U308" s="204">
        <f t="shared" ref="U308:W308" si="1879">IFERROR(T308/$G308," ")</f>
        <v>0</v>
      </c>
      <c r="V308" s="95"/>
      <c r="W308" s="204">
        <f t="shared" si="1879"/>
        <v>0</v>
      </c>
      <c r="X308" s="95"/>
      <c r="Y308" s="204">
        <f t="shared" ref="Y308:AA308" si="1880">IFERROR(X308/$G308," ")</f>
        <v>0</v>
      </c>
      <c r="Z308" s="95"/>
      <c r="AA308" s="204">
        <f t="shared" si="1880"/>
        <v>0</v>
      </c>
      <c r="AB308" s="95"/>
      <c r="AC308" s="204">
        <f t="shared" ref="AC308:AE308" si="1881">IFERROR(AB308/$G308," ")</f>
        <v>0</v>
      </c>
      <c r="AD308" s="95"/>
      <c r="AE308" s="204">
        <f t="shared" si="1881"/>
        <v>0</v>
      </c>
      <c r="AF308" s="95">
        <v>32</v>
      </c>
      <c r="AG308" s="204">
        <f t="shared" ref="AG308:AI308" si="1882">IFERROR(AF308/$G308," ")</f>
        <v>1</v>
      </c>
      <c r="AH308" s="95">
        <v>32</v>
      </c>
      <c r="AI308" s="204">
        <f t="shared" si="1882"/>
        <v>1</v>
      </c>
      <c r="AJ308" s="95">
        <v>32</v>
      </c>
      <c r="AK308" s="204">
        <f t="shared" ref="AK308:AM308" si="1883">IFERROR(AJ308/$G308," ")</f>
        <v>1</v>
      </c>
      <c r="AL308" s="95">
        <v>32</v>
      </c>
      <c r="AM308" s="204">
        <f t="shared" si="1883"/>
        <v>1</v>
      </c>
      <c r="AN308" s="95"/>
      <c r="AO308" s="94">
        <f t="shared" si="1613"/>
        <v>0</v>
      </c>
      <c r="AP308" s="94">
        <f t="shared" si="1603"/>
        <v>0</v>
      </c>
      <c r="AQ308" s="94">
        <f t="shared" si="1604"/>
        <v>0</v>
      </c>
      <c r="AR308" s="94">
        <f t="shared" si="1817"/>
        <v>0</v>
      </c>
      <c r="AS308" s="94">
        <f t="shared" si="1615"/>
        <v>0</v>
      </c>
      <c r="AT308" s="94">
        <f t="shared" si="1616"/>
        <v>0</v>
      </c>
      <c r="AU308" s="94">
        <f t="shared" si="1617"/>
        <v>0</v>
      </c>
      <c r="AV308" s="94">
        <f t="shared" si="1618"/>
        <v>0</v>
      </c>
      <c r="AW308" s="94">
        <f t="shared" si="1619"/>
        <v>0</v>
      </c>
      <c r="AX308" s="94">
        <f t="shared" si="1620"/>
        <v>0</v>
      </c>
      <c r="AY308" s="94">
        <f t="shared" si="1621"/>
        <v>2136.96</v>
      </c>
      <c r="AZ308" s="94">
        <f t="shared" si="1622"/>
        <v>2136.96</v>
      </c>
      <c r="BA308" s="94">
        <f t="shared" si="1623"/>
        <v>2136.96</v>
      </c>
      <c r="BB308" s="94">
        <f t="shared" si="1624"/>
        <v>2136.96</v>
      </c>
    </row>
    <row r="309" spans="1:54" x14ac:dyDescent="0.25">
      <c r="A309" s="80">
        <v>132</v>
      </c>
      <c r="B309" s="95" t="s">
        <v>2895</v>
      </c>
      <c r="C309" s="201" t="s">
        <v>388</v>
      </c>
      <c r="D309" s="80" t="s">
        <v>89</v>
      </c>
      <c r="E309" s="94">
        <f>IFERROR(VLOOKUP(A309,Estimate!A:Q,17,FALSE)," ")</f>
        <v>10092.6</v>
      </c>
      <c r="F309" s="202">
        <v>176</v>
      </c>
      <c r="G309" s="202">
        <v>176</v>
      </c>
      <c r="H309" s="203">
        <v>70.44</v>
      </c>
      <c r="I309" s="203">
        <v>12397.44</v>
      </c>
      <c r="J309" s="203">
        <v>12397.44</v>
      </c>
      <c r="K309" s="203"/>
      <c r="L309" s="202"/>
      <c r="M309" s="204">
        <f t="shared" si="1606"/>
        <v>0</v>
      </c>
      <c r="N309" s="95"/>
      <c r="O309" s="204">
        <f t="shared" si="1606"/>
        <v>0</v>
      </c>
      <c r="P309" s="95"/>
      <c r="Q309" s="204">
        <f t="shared" ref="Q309:S309" si="1884">IFERROR(P309/$G309," ")</f>
        <v>0</v>
      </c>
      <c r="R309" s="95"/>
      <c r="S309" s="204">
        <f t="shared" si="1884"/>
        <v>0</v>
      </c>
      <c r="T309" s="95"/>
      <c r="U309" s="204">
        <f t="shared" ref="U309:W309" si="1885">IFERROR(T309/$G309," ")</f>
        <v>0</v>
      </c>
      <c r="V309" s="95"/>
      <c r="W309" s="204">
        <f t="shared" si="1885"/>
        <v>0</v>
      </c>
      <c r="X309" s="95"/>
      <c r="Y309" s="204">
        <f t="shared" ref="Y309:AA309" si="1886">IFERROR(X309/$G309," ")</f>
        <v>0</v>
      </c>
      <c r="Z309" s="95"/>
      <c r="AA309" s="204">
        <f t="shared" si="1886"/>
        <v>0</v>
      </c>
      <c r="AB309" s="95"/>
      <c r="AC309" s="204">
        <f t="shared" ref="AC309:AE309" si="1887">IFERROR(AB309/$G309," ")</f>
        <v>0</v>
      </c>
      <c r="AD309" s="95"/>
      <c r="AE309" s="204">
        <f t="shared" si="1887"/>
        <v>0</v>
      </c>
      <c r="AF309" s="95">
        <v>176</v>
      </c>
      <c r="AG309" s="204">
        <f t="shared" ref="AG309:AI309" si="1888">IFERROR(AF309/$G309," ")</f>
        <v>1</v>
      </c>
      <c r="AH309" s="95">
        <v>176</v>
      </c>
      <c r="AI309" s="204">
        <f t="shared" si="1888"/>
        <v>1</v>
      </c>
      <c r="AJ309" s="95">
        <v>176</v>
      </c>
      <c r="AK309" s="204">
        <f t="shared" ref="AK309:AM309" si="1889">IFERROR(AJ309/$G309," ")</f>
        <v>1</v>
      </c>
      <c r="AL309" s="95">
        <v>176</v>
      </c>
      <c r="AM309" s="204">
        <f t="shared" si="1889"/>
        <v>1</v>
      </c>
      <c r="AN309" s="95"/>
      <c r="AO309" s="94">
        <f t="shared" si="1613"/>
        <v>0</v>
      </c>
      <c r="AP309" s="94">
        <f t="shared" si="1603"/>
        <v>0</v>
      </c>
      <c r="AQ309" s="94">
        <f t="shared" si="1604"/>
        <v>0</v>
      </c>
      <c r="AR309" s="94">
        <f t="shared" si="1817"/>
        <v>0</v>
      </c>
      <c r="AS309" s="94">
        <f t="shared" si="1615"/>
        <v>0</v>
      </c>
      <c r="AT309" s="94">
        <f t="shared" si="1616"/>
        <v>0</v>
      </c>
      <c r="AU309" s="94">
        <f t="shared" si="1617"/>
        <v>0</v>
      </c>
      <c r="AV309" s="94">
        <f t="shared" si="1618"/>
        <v>0</v>
      </c>
      <c r="AW309" s="94">
        <f t="shared" si="1619"/>
        <v>0</v>
      </c>
      <c r="AX309" s="94">
        <f t="shared" si="1620"/>
        <v>0</v>
      </c>
      <c r="AY309" s="94">
        <f t="shared" si="1621"/>
        <v>12397.44</v>
      </c>
      <c r="AZ309" s="94">
        <f t="shared" si="1622"/>
        <v>12397.44</v>
      </c>
      <c r="BA309" s="94">
        <f t="shared" si="1623"/>
        <v>12397.44</v>
      </c>
      <c r="BB309" s="94">
        <f t="shared" si="1624"/>
        <v>12397.44</v>
      </c>
    </row>
    <row r="310" spans="1:54" x14ac:dyDescent="0.25">
      <c r="A310" s="80"/>
      <c r="B310" s="95" t="s">
        <v>2417</v>
      </c>
      <c r="C310" s="201" t="s">
        <v>2837</v>
      </c>
      <c r="D310" s="80" t="s">
        <v>783</v>
      </c>
      <c r="E310" s="94" t="str">
        <f>IFERROR(VLOOKUP(A310,Estimate!A:Q,17,FALSE)," ")</f>
        <v xml:space="preserve"> </v>
      </c>
      <c r="F310" s="202" t="s">
        <v>781</v>
      </c>
      <c r="G310" s="202" t="s">
        <v>781</v>
      </c>
      <c r="H310" s="203" t="s">
        <v>781</v>
      </c>
      <c r="I310" s="203" t="s">
        <v>781</v>
      </c>
      <c r="J310" s="203" t="s">
        <v>781</v>
      </c>
      <c r="K310" s="203"/>
      <c r="L310" s="202" t="s">
        <v>781</v>
      </c>
      <c r="M310" s="204" t="str">
        <f t="shared" si="1606"/>
        <v xml:space="preserve"> </v>
      </c>
      <c r="N310" s="95" t="s">
        <v>781</v>
      </c>
      <c r="O310" s="204" t="str">
        <f t="shared" si="1606"/>
        <v xml:space="preserve"> </v>
      </c>
      <c r="P310" s="95" t="s">
        <v>781</v>
      </c>
      <c r="Q310" s="204" t="str">
        <f t="shared" ref="Q310:S310" si="1890">IFERROR(P310/$G310," ")</f>
        <v xml:space="preserve"> </v>
      </c>
      <c r="R310" s="95" t="s">
        <v>781</v>
      </c>
      <c r="S310" s="204" t="str">
        <f t="shared" si="1890"/>
        <v xml:space="preserve"> </v>
      </c>
      <c r="T310" s="95" t="s">
        <v>781</v>
      </c>
      <c r="U310" s="204" t="str">
        <f t="shared" ref="U310:W310" si="1891">IFERROR(T310/$G310," ")</f>
        <v xml:space="preserve"> </v>
      </c>
      <c r="V310" s="95" t="s">
        <v>781</v>
      </c>
      <c r="W310" s="204" t="str">
        <f t="shared" si="1891"/>
        <v xml:space="preserve"> </v>
      </c>
      <c r="X310" s="95" t="s">
        <v>781</v>
      </c>
      <c r="Y310" s="204" t="str">
        <f t="shared" ref="Y310:AA310" si="1892">IFERROR(X310/$G310," ")</f>
        <v xml:space="preserve"> </v>
      </c>
      <c r="Z310" s="95" t="s">
        <v>781</v>
      </c>
      <c r="AA310" s="204" t="str">
        <f t="shared" si="1892"/>
        <v xml:space="preserve"> </v>
      </c>
      <c r="AB310" s="95" t="s">
        <v>781</v>
      </c>
      <c r="AC310" s="204" t="str">
        <f t="shared" ref="AC310:AE310" si="1893">IFERROR(AB310/$G310," ")</f>
        <v xml:space="preserve"> </v>
      </c>
      <c r="AD310" s="95" t="s">
        <v>781</v>
      </c>
      <c r="AE310" s="204" t="str">
        <f t="shared" si="1893"/>
        <v xml:space="preserve"> </v>
      </c>
      <c r="AF310" s="95" t="s">
        <v>781</v>
      </c>
      <c r="AG310" s="204" t="str">
        <f t="shared" ref="AG310:AI310" si="1894">IFERROR(AF310/$G310," ")</f>
        <v xml:space="preserve"> </v>
      </c>
      <c r="AH310" s="95" t="s">
        <v>781</v>
      </c>
      <c r="AI310" s="204" t="str">
        <f t="shared" si="1894"/>
        <v xml:space="preserve"> </v>
      </c>
      <c r="AJ310" s="95" t="s">
        <v>781</v>
      </c>
      <c r="AK310" s="204" t="str">
        <f t="shared" ref="AK310:AM310" si="1895">IFERROR(AJ310/$G310," ")</f>
        <v xml:space="preserve"> </v>
      </c>
      <c r="AL310" s="95" t="s">
        <v>781</v>
      </c>
      <c r="AM310" s="204" t="str">
        <f t="shared" si="1895"/>
        <v xml:space="preserve"> </v>
      </c>
      <c r="AN310" s="95"/>
      <c r="AO310" s="94" t="str">
        <f t="shared" si="1613"/>
        <v xml:space="preserve"> </v>
      </c>
      <c r="AP310" s="94" t="str">
        <f t="shared" si="1603"/>
        <v xml:space="preserve"> </v>
      </c>
      <c r="AQ310" s="94" t="str">
        <f t="shared" si="1604"/>
        <v xml:space="preserve"> </v>
      </c>
      <c r="AR310" s="94" t="str">
        <f t="shared" si="1817"/>
        <v xml:space="preserve"> </v>
      </c>
      <c r="AS310" s="94" t="str">
        <f t="shared" si="1615"/>
        <v xml:space="preserve"> </v>
      </c>
      <c r="AT310" s="94" t="str">
        <f t="shared" si="1616"/>
        <v xml:space="preserve"> </v>
      </c>
      <c r="AU310" s="94" t="str">
        <f t="shared" si="1617"/>
        <v xml:space="preserve"> </v>
      </c>
      <c r="AV310" s="94" t="str">
        <f t="shared" si="1618"/>
        <v xml:space="preserve"> </v>
      </c>
      <c r="AW310" s="94" t="str">
        <f t="shared" si="1619"/>
        <v xml:space="preserve"> </v>
      </c>
      <c r="AX310" s="94" t="str">
        <f t="shared" si="1620"/>
        <v xml:space="preserve"> </v>
      </c>
      <c r="AY310" s="94" t="str">
        <f t="shared" si="1621"/>
        <v xml:space="preserve"> </v>
      </c>
      <c r="AZ310" s="94" t="str">
        <f t="shared" si="1622"/>
        <v xml:space="preserve"> </v>
      </c>
      <c r="BA310" s="94" t="str">
        <f t="shared" si="1623"/>
        <v xml:space="preserve"> </v>
      </c>
      <c r="BB310" s="94" t="str">
        <f t="shared" si="1624"/>
        <v xml:space="preserve"> </v>
      </c>
    </row>
    <row r="311" spans="1:54" x14ac:dyDescent="0.25">
      <c r="A311" s="80"/>
      <c r="B311" s="95" t="s">
        <v>2417</v>
      </c>
      <c r="C311" s="201" t="s">
        <v>204</v>
      </c>
      <c r="D311" s="80" t="s">
        <v>783</v>
      </c>
      <c r="E311" s="94" t="str">
        <f>IFERROR(VLOOKUP(A311,Estimate!A:Q,17,FALSE)," ")</f>
        <v xml:space="preserve"> </v>
      </c>
      <c r="F311" s="202" t="s">
        <v>781</v>
      </c>
      <c r="G311" s="202" t="s">
        <v>781</v>
      </c>
      <c r="H311" s="203" t="s">
        <v>781</v>
      </c>
      <c r="I311" s="203" t="s">
        <v>781</v>
      </c>
      <c r="J311" s="203" t="s">
        <v>781</v>
      </c>
      <c r="K311" s="203"/>
      <c r="L311" s="202" t="s">
        <v>781</v>
      </c>
      <c r="M311" s="204" t="str">
        <f t="shared" si="1606"/>
        <v xml:space="preserve"> </v>
      </c>
      <c r="N311" s="95" t="s">
        <v>781</v>
      </c>
      <c r="O311" s="204" t="str">
        <f t="shared" si="1606"/>
        <v xml:space="preserve"> </v>
      </c>
      <c r="P311" s="95" t="s">
        <v>781</v>
      </c>
      <c r="Q311" s="204" t="str">
        <f t="shared" ref="Q311:S311" si="1896">IFERROR(P311/$G311," ")</f>
        <v xml:space="preserve"> </v>
      </c>
      <c r="R311" s="95" t="s">
        <v>781</v>
      </c>
      <c r="S311" s="204" t="str">
        <f t="shared" si="1896"/>
        <v xml:space="preserve"> </v>
      </c>
      <c r="T311" s="95" t="s">
        <v>781</v>
      </c>
      <c r="U311" s="204" t="str">
        <f t="shared" ref="U311:W311" si="1897">IFERROR(T311/$G311," ")</f>
        <v xml:space="preserve"> </v>
      </c>
      <c r="V311" s="95" t="s">
        <v>781</v>
      </c>
      <c r="W311" s="204" t="str">
        <f t="shared" si="1897"/>
        <v xml:space="preserve"> </v>
      </c>
      <c r="X311" s="95" t="s">
        <v>781</v>
      </c>
      <c r="Y311" s="204" t="str">
        <f t="shared" ref="Y311:AA311" si="1898">IFERROR(X311/$G311," ")</f>
        <v xml:space="preserve"> </v>
      </c>
      <c r="Z311" s="95" t="s">
        <v>781</v>
      </c>
      <c r="AA311" s="204" t="str">
        <f t="shared" si="1898"/>
        <v xml:space="preserve"> </v>
      </c>
      <c r="AB311" s="95" t="s">
        <v>781</v>
      </c>
      <c r="AC311" s="204" t="str">
        <f t="shared" ref="AC311:AE311" si="1899">IFERROR(AB311/$G311," ")</f>
        <v xml:space="preserve"> </v>
      </c>
      <c r="AD311" s="95" t="s">
        <v>781</v>
      </c>
      <c r="AE311" s="204" t="str">
        <f t="shared" si="1899"/>
        <v xml:space="preserve"> </v>
      </c>
      <c r="AF311" s="95" t="s">
        <v>781</v>
      </c>
      <c r="AG311" s="204" t="str">
        <f t="shared" ref="AG311:AI311" si="1900">IFERROR(AF311/$G311," ")</f>
        <v xml:space="preserve"> </v>
      </c>
      <c r="AH311" s="95" t="s">
        <v>781</v>
      </c>
      <c r="AI311" s="204" t="str">
        <f t="shared" si="1900"/>
        <v xml:space="preserve"> </v>
      </c>
      <c r="AJ311" s="95" t="s">
        <v>781</v>
      </c>
      <c r="AK311" s="204" t="str">
        <f t="shared" ref="AK311:AM311" si="1901">IFERROR(AJ311/$G311," ")</f>
        <v xml:space="preserve"> </v>
      </c>
      <c r="AL311" s="95" t="s">
        <v>781</v>
      </c>
      <c r="AM311" s="204" t="str">
        <f t="shared" si="1901"/>
        <v xml:space="preserve"> </v>
      </c>
      <c r="AN311" s="95"/>
      <c r="AO311" s="94" t="str">
        <f t="shared" si="1613"/>
        <v xml:space="preserve"> </v>
      </c>
      <c r="AP311" s="94" t="str">
        <f t="shared" si="1603"/>
        <v xml:space="preserve"> </v>
      </c>
      <c r="AQ311" s="94" t="str">
        <f t="shared" si="1604"/>
        <v xml:space="preserve"> </v>
      </c>
      <c r="AR311" s="94" t="str">
        <f t="shared" si="1817"/>
        <v xml:space="preserve"> </v>
      </c>
      <c r="AS311" s="94" t="str">
        <f t="shared" si="1615"/>
        <v xml:space="preserve"> </v>
      </c>
      <c r="AT311" s="94" t="str">
        <f t="shared" si="1616"/>
        <v xml:space="preserve"> </v>
      </c>
      <c r="AU311" s="94" t="str">
        <f t="shared" si="1617"/>
        <v xml:space="preserve"> </v>
      </c>
      <c r="AV311" s="94" t="str">
        <f t="shared" si="1618"/>
        <v xml:space="preserve"> </v>
      </c>
      <c r="AW311" s="94" t="str">
        <f t="shared" si="1619"/>
        <v xml:space="preserve"> </v>
      </c>
      <c r="AX311" s="94" t="str">
        <f t="shared" si="1620"/>
        <v xml:space="preserve"> </v>
      </c>
      <c r="AY311" s="94" t="str">
        <f t="shared" si="1621"/>
        <v xml:space="preserve"> </v>
      </c>
      <c r="AZ311" s="94" t="str">
        <f t="shared" si="1622"/>
        <v xml:space="preserve"> </v>
      </c>
      <c r="BA311" s="94" t="str">
        <f t="shared" si="1623"/>
        <v xml:space="preserve"> </v>
      </c>
      <c r="BB311" s="94" t="str">
        <f t="shared" si="1624"/>
        <v xml:space="preserve"> </v>
      </c>
    </row>
    <row r="312" spans="1:54" x14ac:dyDescent="0.25">
      <c r="A312" s="80"/>
      <c r="B312" s="95" t="s">
        <v>2875</v>
      </c>
      <c r="C312" s="201" t="s">
        <v>206</v>
      </c>
      <c r="D312" s="80" t="s">
        <v>783</v>
      </c>
      <c r="E312" s="94" t="str">
        <f>IFERROR(VLOOKUP(A312,Estimate!A:Q,17,FALSE)," ")</f>
        <v xml:space="preserve"> </v>
      </c>
      <c r="F312" s="202" t="s">
        <v>781</v>
      </c>
      <c r="G312" s="202" t="s">
        <v>781</v>
      </c>
      <c r="H312" s="203" t="s">
        <v>781</v>
      </c>
      <c r="I312" s="203" t="s">
        <v>781</v>
      </c>
      <c r="J312" s="203" t="s">
        <v>781</v>
      </c>
      <c r="K312" s="203"/>
      <c r="L312" s="202" t="s">
        <v>781</v>
      </c>
      <c r="M312" s="204" t="str">
        <f t="shared" si="1606"/>
        <v xml:space="preserve"> </v>
      </c>
      <c r="N312" s="95" t="s">
        <v>781</v>
      </c>
      <c r="O312" s="204" t="str">
        <f t="shared" si="1606"/>
        <v xml:space="preserve"> </v>
      </c>
      <c r="P312" s="95" t="s">
        <v>781</v>
      </c>
      <c r="Q312" s="204" t="str">
        <f t="shared" ref="Q312:S312" si="1902">IFERROR(P312/$G312," ")</f>
        <v xml:space="preserve"> </v>
      </c>
      <c r="R312" s="95" t="s">
        <v>781</v>
      </c>
      <c r="S312" s="204" t="str">
        <f t="shared" si="1902"/>
        <v xml:space="preserve"> </v>
      </c>
      <c r="T312" s="95" t="s">
        <v>781</v>
      </c>
      <c r="U312" s="204" t="str">
        <f t="shared" ref="U312:W312" si="1903">IFERROR(T312/$G312," ")</f>
        <v xml:space="preserve"> </v>
      </c>
      <c r="V312" s="95" t="s">
        <v>781</v>
      </c>
      <c r="W312" s="204" t="str">
        <f t="shared" si="1903"/>
        <v xml:space="preserve"> </v>
      </c>
      <c r="X312" s="95" t="s">
        <v>781</v>
      </c>
      <c r="Y312" s="204" t="str">
        <f t="shared" ref="Y312:AA312" si="1904">IFERROR(X312/$G312," ")</f>
        <v xml:space="preserve"> </v>
      </c>
      <c r="Z312" s="95" t="s">
        <v>781</v>
      </c>
      <c r="AA312" s="204" t="str">
        <f t="shared" si="1904"/>
        <v xml:space="preserve"> </v>
      </c>
      <c r="AB312" s="95" t="s">
        <v>781</v>
      </c>
      <c r="AC312" s="204" t="str">
        <f t="shared" ref="AC312:AE312" si="1905">IFERROR(AB312/$G312," ")</f>
        <v xml:space="preserve"> </v>
      </c>
      <c r="AD312" s="95" t="s">
        <v>781</v>
      </c>
      <c r="AE312" s="204" t="str">
        <f t="shared" si="1905"/>
        <v xml:space="preserve"> </v>
      </c>
      <c r="AF312" s="95" t="s">
        <v>781</v>
      </c>
      <c r="AG312" s="204" t="str">
        <f t="shared" ref="AG312:AI312" si="1906">IFERROR(AF312/$G312," ")</f>
        <v xml:space="preserve"> </v>
      </c>
      <c r="AH312" s="95" t="s">
        <v>781</v>
      </c>
      <c r="AI312" s="204" t="str">
        <f t="shared" si="1906"/>
        <v xml:space="preserve"> </v>
      </c>
      <c r="AJ312" s="95" t="s">
        <v>781</v>
      </c>
      <c r="AK312" s="204" t="str">
        <f t="shared" ref="AK312:AM312" si="1907">IFERROR(AJ312/$G312," ")</f>
        <v xml:space="preserve"> </v>
      </c>
      <c r="AL312" s="95" t="s">
        <v>781</v>
      </c>
      <c r="AM312" s="204" t="str">
        <f t="shared" si="1907"/>
        <v xml:space="preserve"> </v>
      </c>
      <c r="AN312" s="95"/>
      <c r="AO312" s="94" t="str">
        <f t="shared" si="1613"/>
        <v xml:space="preserve"> </v>
      </c>
      <c r="AP312" s="94" t="str">
        <f t="shared" si="1603"/>
        <v xml:space="preserve"> </v>
      </c>
      <c r="AQ312" s="94" t="str">
        <f t="shared" si="1604"/>
        <v xml:space="preserve"> </v>
      </c>
      <c r="AR312" s="94" t="str">
        <f t="shared" si="1817"/>
        <v xml:space="preserve"> </v>
      </c>
      <c r="AS312" s="94" t="str">
        <f t="shared" si="1615"/>
        <v xml:space="preserve"> </v>
      </c>
      <c r="AT312" s="94" t="str">
        <f t="shared" si="1616"/>
        <v xml:space="preserve"> </v>
      </c>
      <c r="AU312" s="94" t="str">
        <f t="shared" si="1617"/>
        <v xml:space="preserve"> </v>
      </c>
      <c r="AV312" s="94" t="str">
        <f t="shared" si="1618"/>
        <v xml:space="preserve"> </v>
      </c>
      <c r="AW312" s="94" t="str">
        <f t="shared" si="1619"/>
        <v xml:space="preserve"> </v>
      </c>
      <c r="AX312" s="94" t="str">
        <f t="shared" si="1620"/>
        <v xml:space="preserve"> </v>
      </c>
      <c r="AY312" s="94" t="str">
        <f t="shared" si="1621"/>
        <v xml:space="preserve"> </v>
      </c>
      <c r="AZ312" s="94" t="str">
        <f t="shared" si="1622"/>
        <v xml:space="preserve"> </v>
      </c>
      <c r="BA312" s="94" t="str">
        <f t="shared" si="1623"/>
        <v xml:space="preserve"> </v>
      </c>
      <c r="BB312" s="94" t="str">
        <f t="shared" si="1624"/>
        <v xml:space="preserve"> </v>
      </c>
    </row>
    <row r="313" spans="1:54" x14ac:dyDescent="0.25">
      <c r="A313" s="80"/>
      <c r="B313" s="95" t="s">
        <v>2888</v>
      </c>
      <c r="C313" s="201" t="s">
        <v>275</v>
      </c>
      <c r="D313" s="80" t="s">
        <v>783</v>
      </c>
      <c r="E313" s="94" t="str">
        <f>IFERROR(VLOOKUP(A313,Estimate!A:Q,17,FALSE)," ")</f>
        <v xml:space="preserve"> </v>
      </c>
      <c r="F313" s="202" t="s">
        <v>781</v>
      </c>
      <c r="G313" s="202" t="s">
        <v>781</v>
      </c>
      <c r="H313" s="203" t="s">
        <v>781</v>
      </c>
      <c r="I313" s="203" t="s">
        <v>781</v>
      </c>
      <c r="J313" s="203" t="s">
        <v>781</v>
      </c>
      <c r="K313" s="203"/>
      <c r="L313" s="202" t="s">
        <v>781</v>
      </c>
      <c r="M313" s="204" t="str">
        <f t="shared" si="1606"/>
        <v xml:space="preserve"> </v>
      </c>
      <c r="N313" s="95" t="s">
        <v>781</v>
      </c>
      <c r="O313" s="204" t="str">
        <f t="shared" si="1606"/>
        <v xml:space="preserve"> </v>
      </c>
      <c r="P313" s="95" t="s">
        <v>781</v>
      </c>
      <c r="Q313" s="204" t="str">
        <f t="shared" ref="Q313:S313" si="1908">IFERROR(P313/$G313," ")</f>
        <v xml:space="preserve"> </v>
      </c>
      <c r="R313" s="95" t="s">
        <v>781</v>
      </c>
      <c r="S313" s="204" t="str">
        <f t="shared" si="1908"/>
        <v xml:space="preserve"> </v>
      </c>
      <c r="T313" s="95" t="s">
        <v>781</v>
      </c>
      <c r="U313" s="204" t="str">
        <f t="shared" ref="U313:W313" si="1909">IFERROR(T313/$G313," ")</f>
        <v xml:space="preserve"> </v>
      </c>
      <c r="V313" s="95" t="s">
        <v>781</v>
      </c>
      <c r="W313" s="204" t="str">
        <f t="shared" si="1909"/>
        <v xml:space="preserve"> </v>
      </c>
      <c r="X313" s="95" t="s">
        <v>781</v>
      </c>
      <c r="Y313" s="204" t="str">
        <f t="shared" ref="Y313:AA313" si="1910">IFERROR(X313/$G313," ")</f>
        <v xml:space="preserve"> </v>
      </c>
      <c r="Z313" s="95" t="s">
        <v>781</v>
      </c>
      <c r="AA313" s="204" t="str">
        <f t="shared" si="1910"/>
        <v xml:space="preserve"> </v>
      </c>
      <c r="AB313" s="95" t="s">
        <v>781</v>
      </c>
      <c r="AC313" s="204" t="str">
        <f t="shared" ref="AC313:AE313" si="1911">IFERROR(AB313/$G313," ")</f>
        <v xml:space="preserve"> </v>
      </c>
      <c r="AD313" s="95" t="s">
        <v>781</v>
      </c>
      <c r="AE313" s="204" t="str">
        <f t="shared" si="1911"/>
        <v xml:space="preserve"> </v>
      </c>
      <c r="AF313" s="95" t="s">
        <v>781</v>
      </c>
      <c r="AG313" s="204" t="str">
        <f t="shared" ref="AG313:AI313" si="1912">IFERROR(AF313/$G313," ")</f>
        <v xml:space="preserve"> </v>
      </c>
      <c r="AH313" s="95" t="s">
        <v>781</v>
      </c>
      <c r="AI313" s="204" t="str">
        <f t="shared" si="1912"/>
        <v xml:space="preserve"> </v>
      </c>
      <c r="AJ313" s="95" t="s">
        <v>781</v>
      </c>
      <c r="AK313" s="204" t="str">
        <f t="shared" ref="AK313:AM313" si="1913">IFERROR(AJ313/$G313," ")</f>
        <v xml:space="preserve"> </v>
      </c>
      <c r="AL313" s="95" t="s">
        <v>781</v>
      </c>
      <c r="AM313" s="204" t="str">
        <f t="shared" si="1913"/>
        <v xml:space="preserve"> </v>
      </c>
      <c r="AN313" s="95"/>
      <c r="AO313" s="94" t="str">
        <f t="shared" si="1613"/>
        <v xml:space="preserve"> </v>
      </c>
      <c r="AP313" s="94" t="str">
        <f t="shared" si="1603"/>
        <v xml:space="preserve"> </v>
      </c>
      <c r="AQ313" s="94" t="str">
        <f t="shared" si="1604"/>
        <v xml:space="preserve"> </v>
      </c>
      <c r="AR313" s="94" t="str">
        <f t="shared" si="1817"/>
        <v xml:space="preserve"> </v>
      </c>
      <c r="AS313" s="94" t="str">
        <f t="shared" si="1615"/>
        <v xml:space="preserve"> </v>
      </c>
      <c r="AT313" s="94" t="str">
        <f t="shared" si="1616"/>
        <v xml:space="preserve"> </v>
      </c>
      <c r="AU313" s="94" t="str">
        <f t="shared" si="1617"/>
        <v xml:space="preserve"> </v>
      </c>
      <c r="AV313" s="94" t="str">
        <f t="shared" si="1618"/>
        <v xml:space="preserve"> </v>
      </c>
      <c r="AW313" s="94" t="str">
        <f t="shared" si="1619"/>
        <v xml:space="preserve"> </v>
      </c>
      <c r="AX313" s="94" t="str">
        <f t="shared" si="1620"/>
        <v xml:space="preserve"> </v>
      </c>
      <c r="AY313" s="94" t="str">
        <f t="shared" si="1621"/>
        <v xml:space="preserve"> </v>
      </c>
      <c r="AZ313" s="94" t="str">
        <f t="shared" si="1622"/>
        <v xml:space="preserve"> </v>
      </c>
      <c r="BA313" s="94" t="str">
        <f t="shared" si="1623"/>
        <v xml:space="preserve"> </v>
      </c>
      <c r="BB313" s="94" t="str">
        <f t="shared" si="1624"/>
        <v xml:space="preserve"> </v>
      </c>
    </row>
    <row r="314" spans="1:54" x14ac:dyDescent="0.25">
      <c r="A314" s="80">
        <v>133</v>
      </c>
      <c r="B314" s="95" t="s">
        <v>2876</v>
      </c>
      <c r="C314" s="201" t="s">
        <v>208</v>
      </c>
      <c r="D314" s="80" t="s">
        <v>89</v>
      </c>
      <c r="E314" s="94">
        <f>IFERROR(VLOOKUP(A314,Estimate!A:Q,17,FALSE)," ")</f>
        <v>8669.2695229522942</v>
      </c>
      <c r="F314" s="202">
        <v>210</v>
      </c>
      <c r="G314" s="202">
        <v>210</v>
      </c>
      <c r="H314" s="203">
        <v>51.86</v>
      </c>
      <c r="I314" s="203">
        <v>10890.6</v>
      </c>
      <c r="J314" s="203">
        <v>10890.6</v>
      </c>
      <c r="K314" s="203"/>
      <c r="L314" s="202"/>
      <c r="M314" s="204">
        <f t="shared" si="1606"/>
        <v>0</v>
      </c>
      <c r="N314" s="95"/>
      <c r="O314" s="204">
        <f t="shared" si="1606"/>
        <v>0</v>
      </c>
      <c r="P314" s="95"/>
      <c r="Q314" s="204">
        <f t="shared" ref="Q314:S314" si="1914">IFERROR(P314/$G314," ")</f>
        <v>0</v>
      </c>
      <c r="R314" s="95"/>
      <c r="S314" s="204">
        <f t="shared" si="1914"/>
        <v>0</v>
      </c>
      <c r="T314" s="95"/>
      <c r="U314" s="204">
        <f t="shared" ref="U314:W314" si="1915">IFERROR(T314/$G314," ")</f>
        <v>0</v>
      </c>
      <c r="V314" s="95"/>
      <c r="W314" s="204">
        <f t="shared" si="1915"/>
        <v>0</v>
      </c>
      <c r="X314" s="95"/>
      <c r="Y314" s="204">
        <f t="shared" ref="Y314:AA314" si="1916">IFERROR(X314/$G314," ")</f>
        <v>0</v>
      </c>
      <c r="Z314" s="95"/>
      <c r="AA314" s="204">
        <f t="shared" si="1916"/>
        <v>0</v>
      </c>
      <c r="AB314" s="95"/>
      <c r="AC314" s="204">
        <f t="shared" ref="AC314:AE314" si="1917">IFERROR(AB314/$G314," ")</f>
        <v>0</v>
      </c>
      <c r="AD314" s="95"/>
      <c r="AE314" s="204">
        <f t="shared" si="1917"/>
        <v>0</v>
      </c>
      <c r="AF314" s="95">
        <v>210</v>
      </c>
      <c r="AG314" s="204">
        <f t="shared" ref="AG314:AI314" si="1918">IFERROR(AF314/$G314," ")</f>
        <v>1</v>
      </c>
      <c r="AH314" s="95">
        <v>210</v>
      </c>
      <c r="AI314" s="204">
        <f t="shared" si="1918"/>
        <v>1</v>
      </c>
      <c r="AJ314" s="95">
        <v>210</v>
      </c>
      <c r="AK314" s="204">
        <f t="shared" ref="AK314:AM314" si="1919">IFERROR(AJ314/$G314," ")</f>
        <v>1</v>
      </c>
      <c r="AL314" s="95">
        <v>210</v>
      </c>
      <c r="AM314" s="204">
        <f t="shared" si="1919"/>
        <v>1</v>
      </c>
      <c r="AN314" s="95"/>
      <c r="AO314" s="94">
        <f t="shared" si="1613"/>
        <v>0</v>
      </c>
      <c r="AP314" s="94">
        <f t="shared" si="1603"/>
        <v>0</v>
      </c>
      <c r="AQ314" s="94">
        <f t="shared" si="1604"/>
        <v>0</v>
      </c>
      <c r="AR314" s="94">
        <f t="shared" si="1817"/>
        <v>0</v>
      </c>
      <c r="AS314" s="94">
        <f t="shared" si="1615"/>
        <v>0</v>
      </c>
      <c r="AT314" s="94">
        <f t="shared" si="1616"/>
        <v>0</v>
      </c>
      <c r="AU314" s="94">
        <f t="shared" si="1617"/>
        <v>0</v>
      </c>
      <c r="AV314" s="94">
        <f t="shared" si="1618"/>
        <v>0</v>
      </c>
      <c r="AW314" s="94">
        <f t="shared" si="1619"/>
        <v>0</v>
      </c>
      <c r="AX314" s="94">
        <f t="shared" si="1620"/>
        <v>0</v>
      </c>
      <c r="AY314" s="94">
        <f t="shared" si="1621"/>
        <v>10890.6</v>
      </c>
      <c r="AZ314" s="94">
        <f t="shared" si="1622"/>
        <v>10890.6</v>
      </c>
      <c r="BA314" s="94">
        <f t="shared" si="1623"/>
        <v>10890.6</v>
      </c>
      <c r="BB314" s="94">
        <f t="shared" si="1624"/>
        <v>10890.6</v>
      </c>
    </row>
    <row r="315" spans="1:54" x14ac:dyDescent="0.25">
      <c r="A315" s="80">
        <v>134</v>
      </c>
      <c r="B315" s="95" t="s">
        <v>2877</v>
      </c>
      <c r="C315" s="201" t="s">
        <v>213</v>
      </c>
      <c r="D315" s="80" t="s">
        <v>29</v>
      </c>
      <c r="E315" s="94">
        <f>IFERROR(VLOOKUP(A315,Estimate!A:Q,17,FALSE)," ")</f>
        <v>858</v>
      </c>
      <c r="F315" s="202">
        <v>6</v>
      </c>
      <c r="G315" s="202">
        <v>6</v>
      </c>
      <c r="H315" s="203">
        <v>179.64</v>
      </c>
      <c r="I315" s="203">
        <v>1077.8399999999999</v>
      </c>
      <c r="J315" s="203">
        <v>1077.8399999999999</v>
      </c>
      <c r="K315" s="203"/>
      <c r="L315" s="202"/>
      <c r="M315" s="204">
        <f t="shared" si="1606"/>
        <v>0</v>
      </c>
      <c r="N315" s="95"/>
      <c r="O315" s="204">
        <f t="shared" si="1606"/>
        <v>0</v>
      </c>
      <c r="P315" s="95"/>
      <c r="Q315" s="204">
        <f t="shared" ref="Q315:S315" si="1920">IFERROR(P315/$G315," ")</f>
        <v>0</v>
      </c>
      <c r="R315" s="95"/>
      <c r="S315" s="204">
        <f t="shared" si="1920"/>
        <v>0</v>
      </c>
      <c r="T315" s="95"/>
      <c r="U315" s="204">
        <f t="shared" ref="U315:W315" si="1921">IFERROR(T315/$G315," ")</f>
        <v>0</v>
      </c>
      <c r="V315" s="95"/>
      <c r="W315" s="204">
        <f t="shared" si="1921"/>
        <v>0</v>
      </c>
      <c r="X315" s="95"/>
      <c r="Y315" s="204">
        <f t="shared" ref="Y315:AA315" si="1922">IFERROR(X315/$G315," ")</f>
        <v>0</v>
      </c>
      <c r="Z315" s="95"/>
      <c r="AA315" s="204">
        <f t="shared" si="1922"/>
        <v>0</v>
      </c>
      <c r="AB315" s="95"/>
      <c r="AC315" s="204">
        <f t="shared" ref="AC315:AE315" si="1923">IFERROR(AB315/$G315," ")</f>
        <v>0</v>
      </c>
      <c r="AD315" s="95"/>
      <c r="AE315" s="204">
        <f t="shared" si="1923"/>
        <v>0</v>
      </c>
      <c r="AF315" s="95">
        <v>6</v>
      </c>
      <c r="AG315" s="204">
        <f t="shared" ref="AG315:AI315" si="1924">IFERROR(AF315/$G315," ")</f>
        <v>1</v>
      </c>
      <c r="AH315" s="95">
        <v>6</v>
      </c>
      <c r="AI315" s="204">
        <f t="shared" si="1924"/>
        <v>1</v>
      </c>
      <c r="AJ315" s="95">
        <v>6</v>
      </c>
      <c r="AK315" s="204">
        <f t="shared" ref="AK315:AM315" si="1925">IFERROR(AJ315/$G315," ")</f>
        <v>1</v>
      </c>
      <c r="AL315" s="95">
        <v>6</v>
      </c>
      <c r="AM315" s="204">
        <f t="shared" si="1925"/>
        <v>1</v>
      </c>
      <c r="AN315" s="95"/>
      <c r="AO315" s="94">
        <f t="shared" si="1613"/>
        <v>0</v>
      </c>
      <c r="AP315" s="94">
        <f t="shared" si="1603"/>
        <v>0</v>
      </c>
      <c r="AQ315" s="94">
        <f t="shared" si="1604"/>
        <v>0</v>
      </c>
      <c r="AR315" s="94">
        <f t="shared" si="1817"/>
        <v>0</v>
      </c>
      <c r="AS315" s="94">
        <f t="shared" si="1615"/>
        <v>0</v>
      </c>
      <c r="AT315" s="94">
        <f t="shared" si="1616"/>
        <v>0</v>
      </c>
      <c r="AU315" s="94">
        <f t="shared" si="1617"/>
        <v>0</v>
      </c>
      <c r="AV315" s="94">
        <f t="shared" si="1618"/>
        <v>0</v>
      </c>
      <c r="AW315" s="94">
        <f t="shared" si="1619"/>
        <v>0</v>
      </c>
      <c r="AX315" s="94">
        <f t="shared" si="1620"/>
        <v>0</v>
      </c>
      <c r="AY315" s="94">
        <f t="shared" si="1621"/>
        <v>1077.8399999999999</v>
      </c>
      <c r="AZ315" s="94">
        <f t="shared" si="1622"/>
        <v>1077.8399999999999</v>
      </c>
      <c r="BA315" s="94">
        <f t="shared" si="1623"/>
        <v>1077.8399999999999</v>
      </c>
      <c r="BB315" s="94">
        <f t="shared" si="1624"/>
        <v>1077.8399999999999</v>
      </c>
    </row>
    <row r="316" spans="1:54" x14ac:dyDescent="0.25">
      <c r="A316" s="80"/>
      <c r="B316" s="95" t="s">
        <v>2417</v>
      </c>
      <c r="C316" s="201" t="s">
        <v>2837</v>
      </c>
      <c r="D316" s="80" t="s">
        <v>783</v>
      </c>
      <c r="E316" s="94" t="str">
        <f>IFERROR(VLOOKUP(A316,Estimate!A:Q,17,FALSE)," ")</f>
        <v xml:space="preserve"> </v>
      </c>
      <c r="F316" s="202" t="s">
        <v>781</v>
      </c>
      <c r="G316" s="202" t="s">
        <v>781</v>
      </c>
      <c r="H316" s="203" t="s">
        <v>781</v>
      </c>
      <c r="I316" s="203" t="s">
        <v>781</v>
      </c>
      <c r="J316" s="203" t="s">
        <v>781</v>
      </c>
      <c r="K316" s="203"/>
      <c r="L316" s="202" t="s">
        <v>781</v>
      </c>
      <c r="M316" s="204" t="str">
        <f t="shared" si="1606"/>
        <v xml:space="preserve"> </v>
      </c>
      <c r="N316" s="95" t="s">
        <v>781</v>
      </c>
      <c r="O316" s="204" t="str">
        <f t="shared" si="1606"/>
        <v xml:space="preserve"> </v>
      </c>
      <c r="P316" s="95" t="s">
        <v>781</v>
      </c>
      <c r="Q316" s="204" t="str">
        <f t="shared" ref="Q316:S316" si="1926">IFERROR(P316/$G316," ")</f>
        <v xml:space="preserve"> </v>
      </c>
      <c r="R316" s="95" t="s">
        <v>781</v>
      </c>
      <c r="S316" s="204" t="str">
        <f t="shared" si="1926"/>
        <v xml:space="preserve"> </v>
      </c>
      <c r="T316" s="95" t="s">
        <v>781</v>
      </c>
      <c r="U316" s="204" t="str">
        <f t="shared" ref="U316:W316" si="1927">IFERROR(T316/$G316," ")</f>
        <v xml:space="preserve"> </v>
      </c>
      <c r="V316" s="95" t="s">
        <v>781</v>
      </c>
      <c r="W316" s="204" t="str">
        <f t="shared" si="1927"/>
        <v xml:space="preserve"> </v>
      </c>
      <c r="X316" s="95" t="s">
        <v>781</v>
      </c>
      <c r="Y316" s="204" t="str">
        <f t="shared" ref="Y316:AA316" si="1928">IFERROR(X316/$G316," ")</f>
        <v xml:space="preserve"> </v>
      </c>
      <c r="Z316" s="95" t="s">
        <v>781</v>
      </c>
      <c r="AA316" s="204" t="str">
        <f t="shared" si="1928"/>
        <v xml:space="preserve"> </v>
      </c>
      <c r="AB316" s="95" t="s">
        <v>781</v>
      </c>
      <c r="AC316" s="204" t="str">
        <f t="shared" ref="AC316:AE316" si="1929">IFERROR(AB316/$G316," ")</f>
        <v xml:space="preserve"> </v>
      </c>
      <c r="AD316" s="95" t="s">
        <v>781</v>
      </c>
      <c r="AE316" s="204" t="str">
        <f t="shared" si="1929"/>
        <v xml:space="preserve"> </v>
      </c>
      <c r="AF316" s="95" t="s">
        <v>781</v>
      </c>
      <c r="AG316" s="204" t="str">
        <f t="shared" ref="AG316:AI316" si="1930">IFERROR(AF316/$G316," ")</f>
        <v xml:space="preserve"> </v>
      </c>
      <c r="AH316" s="95" t="s">
        <v>781</v>
      </c>
      <c r="AI316" s="204" t="str">
        <f t="shared" si="1930"/>
        <v xml:space="preserve"> </v>
      </c>
      <c r="AJ316" s="95" t="s">
        <v>781</v>
      </c>
      <c r="AK316" s="204" t="str">
        <f t="shared" ref="AK316:AM316" si="1931">IFERROR(AJ316/$G316," ")</f>
        <v xml:space="preserve"> </v>
      </c>
      <c r="AL316" s="95" t="s">
        <v>781</v>
      </c>
      <c r="AM316" s="204" t="str">
        <f t="shared" si="1931"/>
        <v xml:space="preserve"> </v>
      </c>
      <c r="AN316" s="95"/>
      <c r="AO316" s="94" t="str">
        <f t="shared" si="1613"/>
        <v xml:space="preserve"> </v>
      </c>
      <c r="AP316" s="94" t="str">
        <f t="shared" si="1603"/>
        <v xml:space="preserve"> </v>
      </c>
      <c r="AQ316" s="94" t="str">
        <f t="shared" si="1604"/>
        <v xml:space="preserve"> </v>
      </c>
      <c r="AR316" s="94" t="str">
        <f t="shared" si="1817"/>
        <v xml:space="preserve"> </v>
      </c>
      <c r="AS316" s="94" t="str">
        <f t="shared" si="1615"/>
        <v xml:space="preserve"> </v>
      </c>
      <c r="AT316" s="94" t="str">
        <f t="shared" si="1616"/>
        <v xml:space="preserve"> </v>
      </c>
      <c r="AU316" s="94" t="str">
        <f t="shared" si="1617"/>
        <v xml:space="preserve"> </v>
      </c>
      <c r="AV316" s="94" t="str">
        <f t="shared" si="1618"/>
        <v xml:space="preserve"> </v>
      </c>
      <c r="AW316" s="94" t="str">
        <f t="shared" si="1619"/>
        <v xml:space="preserve"> </v>
      </c>
      <c r="AX316" s="94" t="str">
        <f t="shared" si="1620"/>
        <v xml:space="preserve"> </v>
      </c>
      <c r="AY316" s="94" t="str">
        <f t="shared" si="1621"/>
        <v xml:space="preserve"> </v>
      </c>
      <c r="AZ316" s="94" t="str">
        <f t="shared" si="1622"/>
        <v xml:space="preserve"> </v>
      </c>
      <c r="BA316" s="94" t="str">
        <f t="shared" si="1623"/>
        <v xml:space="preserve"> </v>
      </c>
      <c r="BB316" s="94" t="str">
        <f t="shared" si="1624"/>
        <v xml:space="preserve"> </v>
      </c>
    </row>
    <row r="317" spans="1:54" x14ac:dyDescent="0.25">
      <c r="A317" s="80"/>
      <c r="B317" s="95" t="s">
        <v>2417</v>
      </c>
      <c r="C317" s="201" t="s">
        <v>102</v>
      </c>
      <c r="D317" s="80" t="s">
        <v>783</v>
      </c>
      <c r="E317" s="94" t="str">
        <f>IFERROR(VLOOKUP(A317,Estimate!A:Q,17,FALSE)," ")</f>
        <v xml:space="preserve"> </v>
      </c>
      <c r="F317" s="202" t="s">
        <v>781</v>
      </c>
      <c r="G317" s="202" t="s">
        <v>781</v>
      </c>
      <c r="H317" s="203" t="s">
        <v>781</v>
      </c>
      <c r="I317" s="203" t="s">
        <v>781</v>
      </c>
      <c r="J317" s="203" t="s">
        <v>781</v>
      </c>
      <c r="K317" s="203"/>
      <c r="L317" s="202" t="s">
        <v>781</v>
      </c>
      <c r="M317" s="204" t="str">
        <f t="shared" si="1606"/>
        <v xml:space="preserve"> </v>
      </c>
      <c r="N317" s="95" t="s">
        <v>781</v>
      </c>
      <c r="O317" s="204" t="str">
        <f t="shared" si="1606"/>
        <v xml:space="preserve"> </v>
      </c>
      <c r="P317" s="95" t="s">
        <v>781</v>
      </c>
      <c r="Q317" s="204" t="str">
        <f t="shared" ref="Q317:S317" si="1932">IFERROR(P317/$G317," ")</f>
        <v xml:space="preserve"> </v>
      </c>
      <c r="R317" s="95" t="s">
        <v>781</v>
      </c>
      <c r="S317" s="204" t="str">
        <f t="shared" si="1932"/>
        <v xml:space="preserve"> </v>
      </c>
      <c r="T317" s="95" t="s">
        <v>781</v>
      </c>
      <c r="U317" s="204" t="str">
        <f t="shared" ref="U317:W317" si="1933">IFERROR(T317/$G317," ")</f>
        <v xml:space="preserve"> </v>
      </c>
      <c r="V317" s="95" t="s">
        <v>781</v>
      </c>
      <c r="W317" s="204" t="str">
        <f t="shared" si="1933"/>
        <v xml:space="preserve"> </v>
      </c>
      <c r="X317" s="95" t="s">
        <v>781</v>
      </c>
      <c r="Y317" s="204" t="str">
        <f t="shared" ref="Y317:AA317" si="1934">IFERROR(X317/$G317," ")</f>
        <v xml:space="preserve"> </v>
      </c>
      <c r="Z317" s="95" t="s">
        <v>781</v>
      </c>
      <c r="AA317" s="204" t="str">
        <f t="shared" si="1934"/>
        <v xml:space="preserve"> </v>
      </c>
      <c r="AB317" s="95" t="s">
        <v>781</v>
      </c>
      <c r="AC317" s="204" t="str">
        <f t="shared" ref="AC317:AE317" si="1935">IFERROR(AB317/$G317," ")</f>
        <v xml:space="preserve"> </v>
      </c>
      <c r="AD317" s="95" t="s">
        <v>781</v>
      </c>
      <c r="AE317" s="204" t="str">
        <f t="shared" si="1935"/>
        <v xml:space="preserve"> </v>
      </c>
      <c r="AF317" s="95" t="s">
        <v>781</v>
      </c>
      <c r="AG317" s="204" t="str">
        <f t="shared" ref="AG317:AI317" si="1936">IFERROR(AF317/$G317," ")</f>
        <v xml:space="preserve"> </v>
      </c>
      <c r="AH317" s="95" t="s">
        <v>781</v>
      </c>
      <c r="AI317" s="204" t="str">
        <f t="shared" si="1936"/>
        <v xml:space="preserve"> </v>
      </c>
      <c r="AJ317" s="95" t="s">
        <v>781</v>
      </c>
      <c r="AK317" s="204" t="str">
        <f t="shared" ref="AK317:AM317" si="1937">IFERROR(AJ317/$G317," ")</f>
        <v xml:space="preserve"> </v>
      </c>
      <c r="AL317" s="95" t="s">
        <v>781</v>
      </c>
      <c r="AM317" s="204" t="str">
        <f t="shared" si="1937"/>
        <v xml:space="preserve"> </v>
      </c>
      <c r="AN317" s="95"/>
      <c r="AO317" s="94" t="str">
        <f t="shared" si="1613"/>
        <v xml:space="preserve"> </v>
      </c>
      <c r="AP317" s="94" t="str">
        <f t="shared" si="1603"/>
        <v xml:space="preserve"> </v>
      </c>
      <c r="AQ317" s="94" t="str">
        <f t="shared" si="1604"/>
        <v xml:space="preserve"> </v>
      </c>
      <c r="AR317" s="94" t="str">
        <f t="shared" si="1817"/>
        <v xml:space="preserve"> </v>
      </c>
      <c r="AS317" s="94" t="str">
        <f t="shared" si="1615"/>
        <v xml:space="preserve"> </v>
      </c>
      <c r="AT317" s="94" t="str">
        <f t="shared" si="1616"/>
        <v xml:space="preserve"> </v>
      </c>
      <c r="AU317" s="94" t="str">
        <f t="shared" si="1617"/>
        <v xml:space="preserve"> </v>
      </c>
      <c r="AV317" s="94" t="str">
        <f t="shared" si="1618"/>
        <v xml:space="preserve"> </v>
      </c>
      <c r="AW317" s="94" t="str">
        <f t="shared" si="1619"/>
        <v xml:space="preserve"> </v>
      </c>
      <c r="AX317" s="94" t="str">
        <f t="shared" si="1620"/>
        <v xml:space="preserve"> </v>
      </c>
      <c r="AY317" s="94" t="str">
        <f t="shared" si="1621"/>
        <v xml:space="preserve"> </v>
      </c>
      <c r="AZ317" s="94" t="str">
        <f t="shared" si="1622"/>
        <v xml:space="preserve"> </v>
      </c>
      <c r="BA317" s="94" t="str">
        <f t="shared" si="1623"/>
        <v xml:space="preserve"> </v>
      </c>
      <c r="BB317" s="94" t="str">
        <f t="shared" si="1624"/>
        <v xml:space="preserve"> </v>
      </c>
    </row>
    <row r="318" spans="1:54" x14ac:dyDescent="0.25">
      <c r="A318" s="80"/>
      <c r="B318" s="95" t="s">
        <v>2856</v>
      </c>
      <c r="C318" s="201" t="s">
        <v>111</v>
      </c>
      <c r="D318" s="80" t="s">
        <v>783</v>
      </c>
      <c r="E318" s="94" t="str">
        <f>IFERROR(VLOOKUP(A318,Estimate!A:Q,17,FALSE)," ")</f>
        <v xml:space="preserve"> </v>
      </c>
      <c r="F318" s="202" t="s">
        <v>781</v>
      </c>
      <c r="G318" s="202" t="s">
        <v>781</v>
      </c>
      <c r="H318" s="203" t="s">
        <v>781</v>
      </c>
      <c r="I318" s="203" t="s">
        <v>781</v>
      </c>
      <c r="J318" s="203" t="s">
        <v>781</v>
      </c>
      <c r="K318" s="203"/>
      <c r="L318" s="202" t="s">
        <v>781</v>
      </c>
      <c r="M318" s="204" t="str">
        <f t="shared" si="1606"/>
        <v xml:space="preserve"> </v>
      </c>
      <c r="N318" s="95" t="s">
        <v>781</v>
      </c>
      <c r="O318" s="204" t="str">
        <f t="shared" si="1606"/>
        <v xml:space="preserve"> </v>
      </c>
      <c r="P318" s="95" t="s">
        <v>781</v>
      </c>
      <c r="Q318" s="204" t="str">
        <f t="shared" ref="Q318:S318" si="1938">IFERROR(P318/$G318," ")</f>
        <v xml:space="preserve"> </v>
      </c>
      <c r="R318" s="95" t="s">
        <v>781</v>
      </c>
      <c r="S318" s="204" t="str">
        <f t="shared" si="1938"/>
        <v xml:space="preserve"> </v>
      </c>
      <c r="T318" s="95" t="s">
        <v>781</v>
      </c>
      <c r="U318" s="204" t="str">
        <f t="shared" ref="U318:W318" si="1939">IFERROR(T318/$G318," ")</f>
        <v xml:space="preserve"> </v>
      </c>
      <c r="V318" s="95" t="s">
        <v>781</v>
      </c>
      <c r="W318" s="204" t="str">
        <f t="shared" si="1939"/>
        <v xml:space="preserve"> </v>
      </c>
      <c r="X318" s="95" t="s">
        <v>781</v>
      </c>
      <c r="Y318" s="204" t="str">
        <f t="shared" ref="Y318:AA318" si="1940">IFERROR(X318/$G318," ")</f>
        <v xml:space="preserve"> </v>
      </c>
      <c r="Z318" s="95" t="s">
        <v>781</v>
      </c>
      <c r="AA318" s="204" t="str">
        <f t="shared" si="1940"/>
        <v xml:space="preserve"> </v>
      </c>
      <c r="AB318" s="95" t="s">
        <v>781</v>
      </c>
      <c r="AC318" s="204" t="str">
        <f t="shared" ref="AC318:AE318" si="1941">IFERROR(AB318/$G318," ")</f>
        <v xml:space="preserve"> </v>
      </c>
      <c r="AD318" s="95" t="s">
        <v>781</v>
      </c>
      <c r="AE318" s="204" t="str">
        <f t="shared" si="1941"/>
        <v xml:space="preserve"> </v>
      </c>
      <c r="AF318" s="95" t="s">
        <v>781</v>
      </c>
      <c r="AG318" s="204" t="str">
        <f t="shared" ref="AG318:AI318" si="1942">IFERROR(AF318/$G318," ")</f>
        <v xml:space="preserve"> </v>
      </c>
      <c r="AH318" s="95" t="s">
        <v>781</v>
      </c>
      <c r="AI318" s="204" t="str">
        <f t="shared" si="1942"/>
        <v xml:space="preserve"> </v>
      </c>
      <c r="AJ318" s="95" t="s">
        <v>781</v>
      </c>
      <c r="AK318" s="204" t="str">
        <f t="shared" ref="AK318:AM318" si="1943">IFERROR(AJ318/$G318," ")</f>
        <v xml:space="preserve"> </v>
      </c>
      <c r="AL318" s="95" t="s">
        <v>781</v>
      </c>
      <c r="AM318" s="204" t="str">
        <f t="shared" si="1943"/>
        <v xml:space="preserve"> </v>
      </c>
      <c r="AN318" s="95"/>
      <c r="AO318" s="94" t="str">
        <f t="shared" si="1613"/>
        <v xml:space="preserve"> </v>
      </c>
      <c r="AP318" s="94" t="str">
        <f t="shared" si="1603"/>
        <v xml:space="preserve"> </v>
      </c>
      <c r="AQ318" s="94" t="str">
        <f t="shared" si="1604"/>
        <v xml:space="preserve"> </v>
      </c>
      <c r="AR318" s="94" t="str">
        <f t="shared" si="1817"/>
        <v xml:space="preserve"> </v>
      </c>
      <c r="AS318" s="94" t="str">
        <f t="shared" si="1615"/>
        <v xml:space="preserve"> </v>
      </c>
      <c r="AT318" s="94" t="str">
        <f t="shared" si="1616"/>
        <v xml:space="preserve"> </v>
      </c>
      <c r="AU318" s="94" t="str">
        <f t="shared" si="1617"/>
        <v xml:space="preserve"> </v>
      </c>
      <c r="AV318" s="94" t="str">
        <f t="shared" si="1618"/>
        <v xml:space="preserve"> </v>
      </c>
      <c r="AW318" s="94" t="str">
        <f t="shared" si="1619"/>
        <v xml:space="preserve"> </v>
      </c>
      <c r="AX318" s="94" t="str">
        <f t="shared" si="1620"/>
        <v xml:space="preserve"> </v>
      </c>
      <c r="AY318" s="94" t="str">
        <f t="shared" si="1621"/>
        <v xml:space="preserve"> </v>
      </c>
      <c r="AZ318" s="94" t="str">
        <f t="shared" si="1622"/>
        <v xml:space="preserve"> </v>
      </c>
      <c r="BA318" s="94" t="str">
        <f t="shared" si="1623"/>
        <v xml:space="preserve"> </v>
      </c>
      <c r="BB318" s="94" t="str">
        <f t="shared" si="1624"/>
        <v xml:space="preserve"> </v>
      </c>
    </row>
    <row r="319" spans="1:54" x14ac:dyDescent="0.25">
      <c r="A319" s="80">
        <v>135</v>
      </c>
      <c r="B319" s="95">
        <v>491</v>
      </c>
      <c r="C319" s="201" t="s">
        <v>217</v>
      </c>
      <c r="D319" s="80" t="s">
        <v>62</v>
      </c>
      <c r="E319" s="94">
        <f>IFERROR(VLOOKUP(A319,Estimate!A:Q,17,FALSE)," ")</f>
        <v>8380.212421242124</v>
      </c>
      <c r="F319" s="202">
        <v>142</v>
      </c>
      <c r="G319" s="202">
        <v>142</v>
      </c>
      <c r="H319" s="203">
        <v>71.13</v>
      </c>
      <c r="I319" s="203">
        <v>10100.459999999999</v>
      </c>
      <c r="J319" s="203">
        <v>10100.459999999999</v>
      </c>
      <c r="K319" s="203"/>
      <c r="L319" s="202"/>
      <c r="M319" s="204">
        <f t="shared" si="1606"/>
        <v>0</v>
      </c>
      <c r="N319" s="95"/>
      <c r="O319" s="204">
        <f t="shared" si="1606"/>
        <v>0</v>
      </c>
      <c r="P319" s="95"/>
      <c r="Q319" s="204">
        <f t="shared" ref="Q319:S319" si="1944">IFERROR(P319/$G319," ")</f>
        <v>0</v>
      </c>
      <c r="R319" s="95"/>
      <c r="S319" s="204">
        <f t="shared" si="1944"/>
        <v>0</v>
      </c>
      <c r="T319" s="95"/>
      <c r="U319" s="204">
        <f t="shared" ref="U319:W319" si="1945">IFERROR(T319/$G319," ")</f>
        <v>0</v>
      </c>
      <c r="V319" s="95"/>
      <c r="W319" s="204">
        <f t="shared" si="1945"/>
        <v>0</v>
      </c>
      <c r="X319" s="95"/>
      <c r="Y319" s="204">
        <f t="shared" ref="Y319:AA319" si="1946">IFERROR(X319/$G319," ")</f>
        <v>0</v>
      </c>
      <c r="Z319" s="95"/>
      <c r="AA319" s="204">
        <f t="shared" si="1946"/>
        <v>0</v>
      </c>
      <c r="AB319" s="95"/>
      <c r="AC319" s="204">
        <f t="shared" ref="AC319:AE319" si="1947">IFERROR(AB319/$G319," ")</f>
        <v>0</v>
      </c>
      <c r="AD319" s="95"/>
      <c r="AE319" s="204">
        <f t="shared" si="1947"/>
        <v>0</v>
      </c>
      <c r="AF319" s="95">
        <v>142</v>
      </c>
      <c r="AG319" s="204">
        <f t="shared" ref="AG319:AI319" si="1948">IFERROR(AF319/$G319," ")</f>
        <v>1</v>
      </c>
      <c r="AH319" s="95">
        <v>142</v>
      </c>
      <c r="AI319" s="204">
        <f t="shared" si="1948"/>
        <v>1</v>
      </c>
      <c r="AJ319" s="95">
        <v>142</v>
      </c>
      <c r="AK319" s="204">
        <f t="shared" ref="AK319:AM319" si="1949">IFERROR(AJ319/$G319," ")</f>
        <v>1</v>
      </c>
      <c r="AL319" s="95">
        <v>142</v>
      </c>
      <c r="AM319" s="204">
        <f t="shared" si="1949"/>
        <v>1</v>
      </c>
      <c r="AN319" s="95"/>
      <c r="AO319" s="94">
        <f t="shared" si="1613"/>
        <v>0</v>
      </c>
      <c r="AP319" s="94">
        <f t="shared" si="1603"/>
        <v>0</v>
      </c>
      <c r="AQ319" s="94">
        <f t="shared" si="1604"/>
        <v>0</v>
      </c>
      <c r="AR319" s="94">
        <f t="shared" si="1817"/>
        <v>0</v>
      </c>
      <c r="AS319" s="94">
        <f t="shared" si="1615"/>
        <v>0</v>
      </c>
      <c r="AT319" s="94">
        <f t="shared" si="1616"/>
        <v>0</v>
      </c>
      <c r="AU319" s="94">
        <f t="shared" si="1617"/>
        <v>0</v>
      </c>
      <c r="AV319" s="94">
        <f t="shared" si="1618"/>
        <v>0</v>
      </c>
      <c r="AW319" s="94">
        <f t="shared" si="1619"/>
        <v>0</v>
      </c>
      <c r="AX319" s="94">
        <f t="shared" si="1620"/>
        <v>0</v>
      </c>
      <c r="AY319" s="94">
        <f t="shared" si="1621"/>
        <v>10100.459999999999</v>
      </c>
      <c r="AZ319" s="94">
        <f t="shared" si="1622"/>
        <v>10100.459999999999</v>
      </c>
      <c r="BA319" s="94">
        <f t="shared" si="1623"/>
        <v>10100.459999999999</v>
      </c>
      <c r="BB319" s="94">
        <f t="shared" si="1624"/>
        <v>10100.459999999999</v>
      </c>
    </row>
    <row r="320" spans="1:54" x14ac:dyDescent="0.25">
      <c r="A320" s="80">
        <v>136</v>
      </c>
      <c r="B320" s="95">
        <v>490</v>
      </c>
      <c r="C320" s="201" t="s">
        <v>486</v>
      </c>
      <c r="D320" s="80" t="s">
        <v>62</v>
      </c>
      <c r="E320" s="94">
        <f>IFERROR(VLOOKUP(A320,Estimate!A:Q,17,FALSE)," ")</f>
        <v>8090.9334624273233</v>
      </c>
      <c r="F320" s="202">
        <v>124</v>
      </c>
      <c r="G320" s="202">
        <v>124</v>
      </c>
      <c r="H320" s="203">
        <v>105.87</v>
      </c>
      <c r="I320" s="203">
        <v>13127.88</v>
      </c>
      <c r="J320" s="203">
        <v>13127.88</v>
      </c>
      <c r="K320" s="203"/>
      <c r="L320" s="202"/>
      <c r="M320" s="204">
        <f t="shared" si="1606"/>
        <v>0</v>
      </c>
      <c r="N320" s="95"/>
      <c r="O320" s="204">
        <f t="shared" si="1606"/>
        <v>0</v>
      </c>
      <c r="P320" s="95"/>
      <c r="Q320" s="204">
        <f t="shared" ref="Q320:S320" si="1950">IFERROR(P320/$G320," ")</f>
        <v>0</v>
      </c>
      <c r="R320" s="95"/>
      <c r="S320" s="204">
        <f t="shared" si="1950"/>
        <v>0</v>
      </c>
      <c r="T320" s="95"/>
      <c r="U320" s="204">
        <f t="shared" ref="U320:W320" si="1951">IFERROR(T320/$G320," ")</f>
        <v>0</v>
      </c>
      <c r="V320" s="95"/>
      <c r="W320" s="204">
        <f t="shared" si="1951"/>
        <v>0</v>
      </c>
      <c r="X320" s="95"/>
      <c r="Y320" s="204">
        <f t="shared" ref="Y320:AA320" si="1952">IFERROR(X320/$G320," ")</f>
        <v>0</v>
      </c>
      <c r="Z320" s="95"/>
      <c r="AA320" s="204">
        <f t="shared" si="1952"/>
        <v>0</v>
      </c>
      <c r="AB320" s="95"/>
      <c r="AC320" s="204">
        <f t="shared" ref="AC320:AE320" si="1953">IFERROR(AB320/$G320," ")</f>
        <v>0</v>
      </c>
      <c r="AD320" s="95"/>
      <c r="AE320" s="204">
        <f t="shared" si="1953"/>
        <v>0</v>
      </c>
      <c r="AF320" s="95">
        <v>124</v>
      </c>
      <c r="AG320" s="204">
        <f t="shared" ref="AG320:AI320" si="1954">IFERROR(AF320/$G320," ")</f>
        <v>1</v>
      </c>
      <c r="AH320" s="95">
        <v>124</v>
      </c>
      <c r="AI320" s="204">
        <f t="shared" si="1954"/>
        <v>1</v>
      </c>
      <c r="AJ320" s="95">
        <v>124</v>
      </c>
      <c r="AK320" s="204">
        <f t="shared" ref="AK320:AM320" si="1955">IFERROR(AJ320/$G320," ")</f>
        <v>1</v>
      </c>
      <c r="AL320" s="95">
        <v>124</v>
      </c>
      <c r="AM320" s="204">
        <f t="shared" si="1955"/>
        <v>1</v>
      </c>
      <c r="AN320" s="95"/>
      <c r="AO320" s="94">
        <f t="shared" si="1613"/>
        <v>0</v>
      </c>
      <c r="AP320" s="94">
        <f t="shared" si="1603"/>
        <v>0</v>
      </c>
      <c r="AQ320" s="94">
        <f t="shared" si="1604"/>
        <v>0</v>
      </c>
      <c r="AR320" s="94">
        <f t="shared" si="1817"/>
        <v>0</v>
      </c>
      <c r="AS320" s="94">
        <f t="shared" si="1615"/>
        <v>0</v>
      </c>
      <c r="AT320" s="94">
        <f t="shared" si="1616"/>
        <v>0</v>
      </c>
      <c r="AU320" s="94">
        <f t="shared" si="1617"/>
        <v>0</v>
      </c>
      <c r="AV320" s="94">
        <f t="shared" si="1618"/>
        <v>0</v>
      </c>
      <c r="AW320" s="94">
        <f t="shared" si="1619"/>
        <v>0</v>
      </c>
      <c r="AX320" s="94">
        <f t="shared" si="1620"/>
        <v>0</v>
      </c>
      <c r="AY320" s="94">
        <f t="shared" si="1621"/>
        <v>13127.88</v>
      </c>
      <c r="AZ320" s="94">
        <f t="shared" si="1622"/>
        <v>13127.88</v>
      </c>
      <c r="BA320" s="94">
        <f t="shared" si="1623"/>
        <v>13127.88</v>
      </c>
      <c r="BB320" s="94">
        <f t="shared" si="1624"/>
        <v>13127.88</v>
      </c>
    </row>
    <row r="321" spans="1:54" x14ac:dyDescent="0.25">
      <c r="A321" s="80">
        <v>137</v>
      </c>
      <c r="B321" s="95">
        <v>538</v>
      </c>
      <c r="C321" s="201" t="s">
        <v>2916</v>
      </c>
      <c r="D321" s="80" t="s">
        <v>107</v>
      </c>
      <c r="E321" s="94">
        <f>IFERROR(VLOOKUP(A321,Estimate!A:Q,17,FALSE)," ")</f>
        <v>1467.623859649123</v>
      </c>
      <c r="F321" s="202">
        <v>948</v>
      </c>
      <c r="G321" s="202">
        <v>948</v>
      </c>
      <c r="H321" s="203">
        <v>7.49</v>
      </c>
      <c r="I321" s="203">
        <v>7100.52</v>
      </c>
      <c r="J321" s="203">
        <v>7100.52</v>
      </c>
      <c r="K321" s="203"/>
      <c r="L321" s="202"/>
      <c r="M321" s="204">
        <f t="shared" si="1606"/>
        <v>0</v>
      </c>
      <c r="N321" s="95"/>
      <c r="O321" s="204">
        <f t="shared" si="1606"/>
        <v>0</v>
      </c>
      <c r="P321" s="95"/>
      <c r="Q321" s="204">
        <f t="shared" ref="Q321:S321" si="1956">IFERROR(P321/$G321," ")</f>
        <v>0</v>
      </c>
      <c r="R321" s="95"/>
      <c r="S321" s="204">
        <f t="shared" si="1956"/>
        <v>0</v>
      </c>
      <c r="T321" s="95"/>
      <c r="U321" s="204">
        <f t="shared" ref="U321:W321" si="1957">IFERROR(T321/$G321," ")</f>
        <v>0</v>
      </c>
      <c r="V321" s="95"/>
      <c r="W321" s="204">
        <f t="shared" si="1957"/>
        <v>0</v>
      </c>
      <c r="X321" s="95"/>
      <c r="Y321" s="204">
        <f t="shared" ref="Y321:AA321" si="1958">IFERROR(X321/$G321," ")</f>
        <v>0</v>
      </c>
      <c r="Z321" s="95"/>
      <c r="AA321" s="204">
        <f t="shared" si="1958"/>
        <v>0</v>
      </c>
      <c r="AB321" s="95">
        <v>474</v>
      </c>
      <c r="AC321" s="204">
        <f t="shared" ref="AC321:AE321" si="1959">IFERROR(AB321/$G321," ")</f>
        <v>0.5</v>
      </c>
      <c r="AD321" s="95">
        <v>948</v>
      </c>
      <c r="AE321" s="204">
        <f t="shared" si="1959"/>
        <v>1</v>
      </c>
      <c r="AF321" s="95">
        <v>948</v>
      </c>
      <c r="AG321" s="204">
        <f t="shared" ref="AG321:AI321" si="1960">IFERROR(AF321/$G321," ")</f>
        <v>1</v>
      </c>
      <c r="AH321" s="95">
        <v>948</v>
      </c>
      <c r="AI321" s="204">
        <f t="shared" si="1960"/>
        <v>1</v>
      </c>
      <c r="AJ321" s="95">
        <v>948</v>
      </c>
      <c r="AK321" s="204">
        <f t="shared" ref="AK321:AM321" si="1961">IFERROR(AJ321/$G321," ")</f>
        <v>1</v>
      </c>
      <c r="AL321" s="95">
        <v>948</v>
      </c>
      <c r="AM321" s="204">
        <f t="shared" si="1961"/>
        <v>1</v>
      </c>
      <c r="AN321" s="95"/>
      <c r="AO321" s="94">
        <f t="shared" si="1613"/>
        <v>0</v>
      </c>
      <c r="AP321" s="94">
        <f t="shared" si="1603"/>
        <v>0</v>
      </c>
      <c r="AQ321" s="94">
        <f t="shared" si="1604"/>
        <v>0</v>
      </c>
      <c r="AR321" s="94">
        <f t="shared" si="1817"/>
        <v>0</v>
      </c>
      <c r="AS321" s="94">
        <f t="shared" si="1615"/>
        <v>0</v>
      </c>
      <c r="AT321" s="94">
        <f t="shared" si="1616"/>
        <v>0</v>
      </c>
      <c r="AU321" s="94">
        <f t="shared" si="1617"/>
        <v>0</v>
      </c>
      <c r="AV321" s="94">
        <f t="shared" si="1618"/>
        <v>0</v>
      </c>
      <c r="AW321" s="94">
        <f t="shared" si="1619"/>
        <v>3550.26</v>
      </c>
      <c r="AX321" s="94">
        <f t="shared" si="1620"/>
        <v>7100.52</v>
      </c>
      <c r="AY321" s="94">
        <f t="shared" si="1621"/>
        <v>7100.52</v>
      </c>
      <c r="AZ321" s="94">
        <f t="shared" si="1622"/>
        <v>7100.52</v>
      </c>
      <c r="BA321" s="94">
        <f t="shared" si="1623"/>
        <v>7100.52</v>
      </c>
      <c r="BB321" s="94">
        <f t="shared" si="1624"/>
        <v>7100.52</v>
      </c>
    </row>
    <row r="322" spans="1:54" x14ac:dyDescent="0.25">
      <c r="A322" s="210">
        <v>137.5</v>
      </c>
      <c r="B322" s="95">
        <v>539</v>
      </c>
      <c r="C322" s="201" t="s">
        <v>223</v>
      </c>
      <c r="D322" s="80" t="s">
        <v>107</v>
      </c>
      <c r="E322" s="94" t="str">
        <f>IFERROR(VLOOKUP(A322,Estimate!A:Q,17,FALSE)," ")</f>
        <v xml:space="preserve"> </v>
      </c>
      <c r="F322" s="202">
        <v>948</v>
      </c>
      <c r="G322" s="202">
        <v>948</v>
      </c>
      <c r="H322" s="203">
        <v>1.99</v>
      </c>
      <c r="I322" s="203">
        <v>1886.52</v>
      </c>
      <c r="J322" s="203">
        <v>1886.52</v>
      </c>
      <c r="K322" s="203"/>
      <c r="L322" s="202"/>
      <c r="M322" s="204">
        <f t="shared" si="1606"/>
        <v>0</v>
      </c>
      <c r="N322" s="95"/>
      <c r="O322" s="204">
        <f t="shared" si="1606"/>
        <v>0</v>
      </c>
      <c r="P322" s="95"/>
      <c r="Q322" s="204">
        <f t="shared" ref="Q322:S322" si="1962">IFERROR(P322/$G322," ")</f>
        <v>0</v>
      </c>
      <c r="R322" s="95"/>
      <c r="S322" s="204">
        <f t="shared" si="1962"/>
        <v>0</v>
      </c>
      <c r="T322" s="95"/>
      <c r="U322" s="204">
        <f t="shared" ref="U322:W322" si="1963">IFERROR(T322/$G322," ")</f>
        <v>0</v>
      </c>
      <c r="V322" s="95"/>
      <c r="W322" s="204">
        <f t="shared" si="1963"/>
        <v>0</v>
      </c>
      <c r="X322" s="95"/>
      <c r="Y322" s="204">
        <f t="shared" ref="Y322:AA322" si="1964">IFERROR(X322/$G322," ")</f>
        <v>0</v>
      </c>
      <c r="Z322" s="95"/>
      <c r="AA322" s="204">
        <f t="shared" si="1964"/>
        <v>0</v>
      </c>
      <c r="AB322" s="95">
        <v>474</v>
      </c>
      <c r="AC322" s="204">
        <f t="shared" ref="AC322:AE322" si="1965">IFERROR(AB322/$G322," ")</f>
        <v>0.5</v>
      </c>
      <c r="AD322" s="95">
        <v>948</v>
      </c>
      <c r="AE322" s="204">
        <f t="shared" si="1965"/>
        <v>1</v>
      </c>
      <c r="AF322" s="95">
        <v>948</v>
      </c>
      <c r="AG322" s="204">
        <f t="shared" ref="AG322:AI322" si="1966">IFERROR(AF322/$G322," ")</f>
        <v>1</v>
      </c>
      <c r="AH322" s="95">
        <v>948</v>
      </c>
      <c r="AI322" s="204">
        <f t="shared" si="1966"/>
        <v>1</v>
      </c>
      <c r="AJ322" s="95">
        <v>948</v>
      </c>
      <c r="AK322" s="204">
        <f t="shared" ref="AK322:AM322" si="1967">IFERROR(AJ322/$G322," ")</f>
        <v>1</v>
      </c>
      <c r="AL322" s="95">
        <v>948</v>
      </c>
      <c r="AM322" s="204">
        <f t="shared" si="1967"/>
        <v>1</v>
      </c>
      <c r="AN322" s="95"/>
      <c r="AO322" s="94">
        <f t="shared" si="1613"/>
        <v>0</v>
      </c>
      <c r="AP322" s="94">
        <f t="shared" si="1603"/>
        <v>0</v>
      </c>
      <c r="AQ322" s="94">
        <f t="shared" si="1604"/>
        <v>0</v>
      </c>
      <c r="AR322" s="94">
        <f t="shared" si="1817"/>
        <v>0</v>
      </c>
      <c r="AS322" s="94">
        <f t="shared" si="1615"/>
        <v>0</v>
      </c>
      <c r="AT322" s="94">
        <f t="shared" si="1616"/>
        <v>0</v>
      </c>
      <c r="AU322" s="94">
        <f t="shared" si="1617"/>
        <v>0</v>
      </c>
      <c r="AV322" s="94">
        <f t="shared" si="1618"/>
        <v>0</v>
      </c>
      <c r="AW322" s="94">
        <f t="shared" si="1619"/>
        <v>943.26</v>
      </c>
      <c r="AX322" s="94">
        <f t="shared" si="1620"/>
        <v>1886.52</v>
      </c>
      <c r="AY322" s="94">
        <f t="shared" si="1621"/>
        <v>1886.52</v>
      </c>
      <c r="AZ322" s="94">
        <f t="shared" si="1622"/>
        <v>1886.52</v>
      </c>
      <c r="BA322" s="94">
        <f t="shared" si="1623"/>
        <v>1886.52</v>
      </c>
      <c r="BB322" s="94">
        <f t="shared" si="1624"/>
        <v>1886.52</v>
      </c>
    </row>
    <row r="323" spans="1:54" x14ac:dyDescent="0.25">
      <c r="A323" s="80"/>
      <c r="B323" s="95" t="s">
        <v>2857</v>
      </c>
      <c r="C323" s="201" t="s">
        <v>120</v>
      </c>
      <c r="D323" s="80" t="s">
        <v>783</v>
      </c>
      <c r="E323" s="94" t="str">
        <f>IFERROR(VLOOKUP(A323,Estimate!A:Q,17,FALSE)," ")</f>
        <v xml:space="preserve"> </v>
      </c>
      <c r="F323" s="202" t="s">
        <v>781</v>
      </c>
      <c r="G323" s="202" t="s">
        <v>781</v>
      </c>
      <c r="H323" s="203" t="s">
        <v>781</v>
      </c>
      <c r="I323" s="203" t="s">
        <v>781</v>
      </c>
      <c r="J323" s="203" t="s">
        <v>781</v>
      </c>
      <c r="K323" s="203"/>
      <c r="L323" s="202" t="s">
        <v>781</v>
      </c>
      <c r="M323" s="204" t="str">
        <f t="shared" si="1606"/>
        <v xml:space="preserve"> </v>
      </c>
      <c r="N323" s="95" t="s">
        <v>781</v>
      </c>
      <c r="O323" s="204" t="str">
        <f t="shared" si="1606"/>
        <v xml:space="preserve"> </v>
      </c>
      <c r="P323" s="95" t="s">
        <v>781</v>
      </c>
      <c r="Q323" s="204" t="str">
        <f t="shared" ref="Q323:S323" si="1968">IFERROR(P323/$G323," ")</f>
        <v xml:space="preserve"> </v>
      </c>
      <c r="R323" s="95" t="s">
        <v>781</v>
      </c>
      <c r="S323" s="204" t="str">
        <f t="shared" si="1968"/>
        <v xml:space="preserve"> </v>
      </c>
      <c r="T323" s="95" t="s">
        <v>781</v>
      </c>
      <c r="U323" s="204" t="str">
        <f t="shared" ref="U323:W323" si="1969">IFERROR(T323/$G323," ")</f>
        <v xml:space="preserve"> </v>
      </c>
      <c r="V323" s="95" t="s">
        <v>781</v>
      </c>
      <c r="W323" s="204" t="str">
        <f t="shared" si="1969"/>
        <v xml:space="preserve"> </v>
      </c>
      <c r="X323" s="95" t="s">
        <v>781</v>
      </c>
      <c r="Y323" s="204" t="str">
        <f t="shared" ref="Y323:AA323" si="1970">IFERROR(X323/$G323," ")</f>
        <v xml:space="preserve"> </v>
      </c>
      <c r="Z323" s="95" t="s">
        <v>781</v>
      </c>
      <c r="AA323" s="204" t="str">
        <f t="shared" si="1970"/>
        <v xml:space="preserve"> </v>
      </c>
      <c r="AB323" s="95" t="s">
        <v>781</v>
      </c>
      <c r="AC323" s="204" t="str">
        <f t="shared" ref="AC323:AE323" si="1971">IFERROR(AB323/$G323," ")</f>
        <v xml:space="preserve"> </v>
      </c>
      <c r="AD323" s="95" t="s">
        <v>781</v>
      </c>
      <c r="AE323" s="204" t="str">
        <f t="shared" si="1971"/>
        <v xml:space="preserve"> </v>
      </c>
      <c r="AF323" s="95" t="s">
        <v>781</v>
      </c>
      <c r="AG323" s="204" t="str">
        <f t="shared" ref="AG323:AI323" si="1972">IFERROR(AF323/$G323," ")</f>
        <v xml:space="preserve"> </v>
      </c>
      <c r="AH323" s="95" t="s">
        <v>781</v>
      </c>
      <c r="AI323" s="204" t="str">
        <f t="shared" si="1972"/>
        <v xml:space="preserve"> </v>
      </c>
      <c r="AJ323" s="95" t="s">
        <v>781</v>
      </c>
      <c r="AK323" s="204" t="str">
        <f t="shared" ref="AK323:AM323" si="1973">IFERROR(AJ323/$G323," ")</f>
        <v xml:space="preserve"> </v>
      </c>
      <c r="AL323" s="95" t="s">
        <v>781</v>
      </c>
      <c r="AM323" s="204" t="str">
        <f t="shared" si="1973"/>
        <v xml:space="preserve"> </v>
      </c>
      <c r="AN323" s="95"/>
      <c r="AO323" s="94" t="str">
        <f t="shared" si="1613"/>
        <v xml:space="preserve"> </v>
      </c>
      <c r="AP323" s="94" t="str">
        <f t="shared" si="1603"/>
        <v xml:space="preserve"> </v>
      </c>
      <c r="AQ323" s="94" t="str">
        <f t="shared" si="1604"/>
        <v xml:space="preserve"> </v>
      </c>
      <c r="AR323" s="94" t="str">
        <f t="shared" si="1817"/>
        <v xml:space="preserve"> </v>
      </c>
      <c r="AS323" s="94" t="str">
        <f t="shared" si="1615"/>
        <v xml:space="preserve"> </v>
      </c>
      <c r="AT323" s="94" t="str">
        <f t="shared" si="1616"/>
        <v xml:space="preserve"> </v>
      </c>
      <c r="AU323" s="94" t="str">
        <f t="shared" si="1617"/>
        <v xml:space="preserve"> </v>
      </c>
      <c r="AV323" s="94" t="str">
        <f t="shared" si="1618"/>
        <v xml:space="preserve"> </v>
      </c>
      <c r="AW323" s="94" t="str">
        <f t="shared" si="1619"/>
        <v xml:space="preserve"> </v>
      </c>
      <c r="AX323" s="94" t="str">
        <f t="shared" si="1620"/>
        <v xml:space="preserve"> </v>
      </c>
      <c r="AY323" s="94" t="str">
        <f t="shared" si="1621"/>
        <v xml:space="preserve"> </v>
      </c>
      <c r="AZ323" s="94" t="str">
        <f t="shared" si="1622"/>
        <v xml:space="preserve"> </v>
      </c>
      <c r="BA323" s="94" t="str">
        <f t="shared" si="1623"/>
        <v xml:space="preserve"> </v>
      </c>
      <c r="BB323" s="94" t="str">
        <f t="shared" si="1624"/>
        <v xml:space="preserve"> </v>
      </c>
    </row>
    <row r="324" spans="1:54" ht="45" x14ac:dyDescent="0.25">
      <c r="A324" s="80"/>
      <c r="B324" s="95" t="s">
        <v>2858</v>
      </c>
      <c r="C324" s="201" t="s">
        <v>490</v>
      </c>
      <c r="D324" s="80" t="s">
        <v>783</v>
      </c>
      <c r="E324" s="94" t="str">
        <f>IFERROR(VLOOKUP(A324,Estimate!A:Q,17,FALSE)," ")</f>
        <v xml:space="preserve"> </v>
      </c>
      <c r="F324" s="202" t="s">
        <v>781</v>
      </c>
      <c r="G324" s="202" t="s">
        <v>781</v>
      </c>
      <c r="H324" s="203" t="s">
        <v>781</v>
      </c>
      <c r="I324" s="203" t="s">
        <v>781</v>
      </c>
      <c r="J324" s="203" t="s">
        <v>781</v>
      </c>
      <c r="K324" s="203"/>
      <c r="L324" s="202" t="s">
        <v>781</v>
      </c>
      <c r="M324" s="204" t="str">
        <f t="shared" si="1606"/>
        <v xml:space="preserve"> </v>
      </c>
      <c r="N324" s="95" t="s">
        <v>781</v>
      </c>
      <c r="O324" s="204" t="str">
        <f t="shared" si="1606"/>
        <v xml:space="preserve"> </v>
      </c>
      <c r="P324" s="95" t="s">
        <v>781</v>
      </c>
      <c r="Q324" s="204" t="str">
        <f t="shared" ref="Q324:S324" si="1974">IFERROR(P324/$G324," ")</f>
        <v xml:space="preserve"> </v>
      </c>
      <c r="R324" s="95" t="s">
        <v>781</v>
      </c>
      <c r="S324" s="204" t="str">
        <f t="shared" si="1974"/>
        <v xml:space="preserve"> </v>
      </c>
      <c r="T324" s="95" t="s">
        <v>781</v>
      </c>
      <c r="U324" s="204" t="str">
        <f t="shared" ref="U324:W324" si="1975">IFERROR(T324/$G324," ")</f>
        <v xml:space="preserve"> </v>
      </c>
      <c r="V324" s="95" t="s">
        <v>781</v>
      </c>
      <c r="W324" s="204" t="str">
        <f t="shared" si="1975"/>
        <v xml:space="preserve"> </v>
      </c>
      <c r="X324" s="95" t="s">
        <v>781</v>
      </c>
      <c r="Y324" s="204" t="str">
        <f t="shared" ref="Y324:AA324" si="1976">IFERROR(X324/$G324," ")</f>
        <v xml:space="preserve"> </v>
      </c>
      <c r="Z324" s="95" t="s">
        <v>781</v>
      </c>
      <c r="AA324" s="204" t="str">
        <f t="shared" si="1976"/>
        <v xml:space="preserve"> </v>
      </c>
      <c r="AB324" s="95" t="s">
        <v>781</v>
      </c>
      <c r="AC324" s="204" t="str">
        <f t="shared" ref="AC324:AE324" si="1977">IFERROR(AB324/$G324," ")</f>
        <v xml:space="preserve"> </v>
      </c>
      <c r="AD324" s="95" t="s">
        <v>781</v>
      </c>
      <c r="AE324" s="204" t="str">
        <f t="shared" si="1977"/>
        <v xml:space="preserve"> </v>
      </c>
      <c r="AF324" s="95" t="s">
        <v>781</v>
      </c>
      <c r="AG324" s="204" t="str">
        <f t="shared" ref="AG324:AI324" si="1978">IFERROR(AF324/$G324," ")</f>
        <v xml:space="preserve"> </v>
      </c>
      <c r="AH324" s="95" t="s">
        <v>781</v>
      </c>
      <c r="AI324" s="204" t="str">
        <f t="shared" si="1978"/>
        <v xml:space="preserve"> </v>
      </c>
      <c r="AJ324" s="95" t="s">
        <v>781</v>
      </c>
      <c r="AK324" s="204" t="str">
        <f t="shared" ref="AK324:AM324" si="1979">IFERROR(AJ324/$G324," ")</f>
        <v xml:space="preserve"> </v>
      </c>
      <c r="AL324" s="95" t="s">
        <v>781</v>
      </c>
      <c r="AM324" s="204" t="str">
        <f t="shared" si="1979"/>
        <v xml:space="preserve"> </v>
      </c>
      <c r="AN324" s="95"/>
      <c r="AO324" s="94" t="str">
        <f t="shared" si="1613"/>
        <v xml:space="preserve"> </v>
      </c>
      <c r="AP324" s="94" t="str">
        <f t="shared" si="1603"/>
        <v xml:space="preserve"> </v>
      </c>
      <c r="AQ324" s="94" t="str">
        <f t="shared" si="1604"/>
        <v xml:space="preserve"> </v>
      </c>
      <c r="AR324" s="94" t="str">
        <f t="shared" si="1817"/>
        <v xml:space="preserve"> </v>
      </c>
      <c r="AS324" s="94" t="str">
        <f t="shared" si="1615"/>
        <v xml:space="preserve"> </v>
      </c>
      <c r="AT324" s="94" t="str">
        <f t="shared" si="1616"/>
        <v xml:space="preserve"> </v>
      </c>
      <c r="AU324" s="94" t="str">
        <f t="shared" si="1617"/>
        <v xml:space="preserve"> </v>
      </c>
      <c r="AV324" s="94" t="str">
        <f t="shared" si="1618"/>
        <v xml:space="preserve"> </v>
      </c>
      <c r="AW324" s="94" t="str">
        <f t="shared" si="1619"/>
        <v xml:space="preserve"> </v>
      </c>
      <c r="AX324" s="94" t="str">
        <f t="shared" si="1620"/>
        <v xml:space="preserve"> </v>
      </c>
      <c r="AY324" s="94" t="str">
        <f t="shared" si="1621"/>
        <v xml:space="preserve"> </v>
      </c>
      <c r="AZ324" s="94" t="str">
        <f t="shared" si="1622"/>
        <v xml:space="preserve"> </v>
      </c>
      <c r="BA324" s="94" t="str">
        <f t="shared" si="1623"/>
        <v xml:space="preserve"> </v>
      </c>
      <c r="BB324" s="94" t="str">
        <f t="shared" si="1624"/>
        <v xml:space="preserve"> </v>
      </c>
    </row>
    <row r="325" spans="1:54" x14ac:dyDescent="0.25">
      <c r="A325" s="80">
        <v>138</v>
      </c>
      <c r="B325" s="95" t="s">
        <v>2859</v>
      </c>
      <c r="C325" s="201" t="s">
        <v>124</v>
      </c>
      <c r="D325" s="80" t="s">
        <v>107</v>
      </c>
      <c r="E325" s="94">
        <f>IFERROR(VLOOKUP(A325,Estimate!A:Q,17,FALSE)," ")</f>
        <v>13597.416000000001</v>
      </c>
      <c r="F325" s="202">
        <v>828</v>
      </c>
      <c r="G325" s="202">
        <v>828</v>
      </c>
      <c r="H325" s="203">
        <v>16.829999999999998</v>
      </c>
      <c r="I325" s="203">
        <v>13935.24</v>
      </c>
      <c r="J325" s="203">
        <v>13935.24</v>
      </c>
      <c r="K325" s="203"/>
      <c r="L325" s="202"/>
      <c r="M325" s="204">
        <f t="shared" si="1606"/>
        <v>0</v>
      </c>
      <c r="N325" s="95"/>
      <c r="O325" s="204">
        <f t="shared" si="1606"/>
        <v>0</v>
      </c>
      <c r="P325" s="95"/>
      <c r="Q325" s="204">
        <f t="shared" ref="Q325:S325" si="1980">IFERROR(P325/$G325," ")</f>
        <v>0</v>
      </c>
      <c r="R325" s="95"/>
      <c r="S325" s="204">
        <f t="shared" si="1980"/>
        <v>0</v>
      </c>
      <c r="T325" s="95"/>
      <c r="U325" s="204">
        <f t="shared" ref="U325:W325" si="1981">IFERROR(T325/$G325," ")</f>
        <v>0</v>
      </c>
      <c r="V325" s="95"/>
      <c r="W325" s="204">
        <f t="shared" si="1981"/>
        <v>0</v>
      </c>
      <c r="X325" s="95"/>
      <c r="Y325" s="204">
        <f t="shared" ref="Y325:AA325" si="1982">IFERROR(X325/$G325," ")</f>
        <v>0</v>
      </c>
      <c r="Z325" s="95"/>
      <c r="AA325" s="204">
        <f t="shared" si="1982"/>
        <v>0</v>
      </c>
      <c r="AB325" s="95"/>
      <c r="AC325" s="204">
        <f t="shared" ref="AC325:AE325" si="1983">IFERROR(AB325/$G325," ")</f>
        <v>0</v>
      </c>
      <c r="AD325" s="95"/>
      <c r="AE325" s="204">
        <f t="shared" si="1983"/>
        <v>0</v>
      </c>
      <c r="AF325" s="95"/>
      <c r="AG325" s="204">
        <f t="shared" ref="AG325:AI325" si="1984">IFERROR(AF325/$G325," ")</f>
        <v>0</v>
      </c>
      <c r="AH325" s="95">
        <v>828</v>
      </c>
      <c r="AI325" s="204">
        <f t="shared" si="1984"/>
        <v>1</v>
      </c>
      <c r="AJ325" s="95">
        <v>828</v>
      </c>
      <c r="AK325" s="204">
        <f t="shared" ref="AK325:AM325" si="1985">IFERROR(AJ325/$G325," ")</f>
        <v>1</v>
      </c>
      <c r="AL325" s="95">
        <v>828</v>
      </c>
      <c r="AM325" s="204">
        <f t="shared" si="1985"/>
        <v>1</v>
      </c>
      <c r="AN325" s="95"/>
      <c r="AO325" s="94">
        <f t="shared" si="1613"/>
        <v>0</v>
      </c>
      <c r="AP325" s="94">
        <f t="shared" si="1603"/>
        <v>0</v>
      </c>
      <c r="AQ325" s="94">
        <f t="shared" si="1604"/>
        <v>0</v>
      </c>
      <c r="AR325" s="94">
        <f t="shared" si="1817"/>
        <v>0</v>
      </c>
      <c r="AS325" s="94">
        <f t="shared" si="1615"/>
        <v>0</v>
      </c>
      <c r="AT325" s="94">
        <f t="shared" si="1616"/>
        <v>0</v>
      </c>
      <c r="AU325" s="94">
        <f t="shared" si="1617"/>
        <v>0</v>
      </c>
      <c r="AV325" s="94">
        <f t="shared" si="1618"/>
        <v>0</v>
      </c>
      <c r="AW325" s="94">
        <f t="shared" si="1619"/>
        <v>0</v>
      </c>
      <c r="AX325" s="94">
        <f t="shared" si="1620"/>
        <v>0</v>
      </c>
      <c r="AY325" s="94">
        <f t="shared" si="1621"/>
        <v>0</v>
      </c>
      <c r="AZ325" s="94">
        <f t="shared" si="1622"/>
        <v>13935.24</v>
      </c>
      <c r="BA325" s="94">
        <f t="shared" si="1623"/>
        <v>13935.24</v>
      </c>
      <c r="BB325" s="94">
        <f t="shared" si="1624"/>
        <v>13935.24</v>
      </c>
    </row>
    <row r="326" spans="1:54" x14ac:dyDescent="0.25">
      <c r="A326" s="80"/>
      <c r="B326" s="95" t="s">
        <v>2897</v>
      </c>
      <c r="C326" s="201" t="s">
        <v>403</v>
      </c>
      <c r="D326" s="80" t="s">
        <v>783</v>
      </c>
      <c r="E326" s="94" t="str">
        <f>IFERROR(VLOOKUP(A326,Estimate!A:Q,17,FALSE)," ")</f>
        <v xml:space="preserve"> </v>
      </c>
      <c r="F326" s="202" t="s">
        <v>781</v>
      </c>
      <c r="G326" s="202" t="s">
        <v>781</v>
      </c>
      <c r="H326" s="203" t="s">
        <v>781</v>
      </c>
      <c r="I326" s="203" t="s">
        <v>781</v>
      </c>
      <c r="J326" s="203" t="s">
        <v>781</v>
      </c>
      <c r="K326" s="203"/>
      <c r="L326" s="202" t="s">
        <v>781</v>
      </c>
      <c r="M326" s="204" t="str">
        <f t="shared" si="1606"/>
        <v xml:space="preserve"> </v>
      </c>
      <c r="N326" s="95" t="s">
        <v>781</v>
      </c>
      <c r="O326" s="204" t="str">
        <f t="shared" si="1606"/>
        <v xml:space="preserve"> </v>
      </c>
      <c r="P326" s="95" t="s">
        <v>781</v>
      </c>
      <c r="Q326" s="204" t="str">
        <f t="shared" ref="Q326:S326" si="1986">IFERROR(P326/$G326," ")</f>
        <v xml:space="preserve"> </v>
      </c>
      <c r="R326" s="95" t="s">
        <v>781</v>
      </c>
      <c r="S326" s="204" t="str">
        <f t="shared" si="1986"/>
        <v xml:space="preserve"> </v>
      </c>
      <c r="T326" s="95" t="s">
        <v>781</v>
      </c>
      <c r="U326" s="204" t="str">
        <f t="shared" ref="U326:W326" si="1987">IFERROR(T326/$G326," ")</f>
        <v xml:space="preserve"> </v>
      </c>
      <c r="V326" s="95" t="s">
        <v>781</v>
      </c>
      <c r="W326" s="204" t="str">
        <f t="shared" si="1987"/>
        <v xml:space="preserve"> </v>
      </c>
      <c r="X326" s="95" t="s">
        <v>781</v>
      </c>
      <c r="Y326" s="204" t="str">
        <f t="shared" ref="Y326:AA326" si="1988">IFERROR(X326/$G326," ")</f>
        <v xml:space="preserve"> </v>
      </c>
      <c r="Z326" s="95" t="s">
        <v>781</v>
      </c>
      <c r="AA326" s="204" t="str">
        <f t="shared" si="1988"/>
        <v xml:space="preserve"> </v>
      </c>
      <c r="AB326" s="95" t="s">
        <v>781</v>
      </c>
      <c r="AC326" s="204" t="str">
        <f t="shared" ref="AC326:AE326" si="1989">IFERROR(AB326/$G326," ")</f>
        <v xml:space="preserve"> </v>
      </c>
      <c r="AD326" s="95" t="s">
        <v>781</v>
      </c>
      <c r="AE326" s="204" t="str">
        <f t="shared" si="1989"/>
        <v xml:space="preserve"> </v>
      </c>
      <c r="AF326" s="95" t="s">
        <v>781</v>
      </c>
      <c r="AG326" s="204" t="str">
        <f t="shared" ref="AG326:AI326" si="1990">IFERROR(AF326/$G326," ")</f>
        <v xml:space="preserve"> </v>
      </c>
      <c r="AH326" s="95" t="s">
        <v>781</v>
      </c>
      <c r="AI326" s="204" t="str">
        <f t="shared" si="1990"/>
        <v xml:space="preserve"> </v>
      </c>
      <c r="AJ326" s="95" t="s">
        <v>781</v>
      </c>
      <c r="AK326" s="204" t="str">
        <f t="shared" ref="AK326:AM326" si="1991">IFERROR(AJ326/$G326," ")</f>
        <v xml:space="preserve"> </v>
      </c>
      <c r="AL326" s="95" t="s">
        <v>781</v>
      </c>
      <c r="AM326" s="204" t="str">
        <f t="shared" si="1991"/>
        <v xml:space="preserve"> </v>
      </c>
      <c r="AN326" s="95"/>
      <c r="AO326" s="94" t="str">
        <f t="shared" si="1613"/>
        <v xml:space="preserve"> </v>
      </c>
      <c r="AP326" s="94" t="str">
        <f t="shared" si="1603"/>
        <v xml:space="preserve"> </v>
      </c>
      <c r="AQ326" s="94" t="str">
        <f t="shared" si="1604"/>
        <v xml:space="preserve"> </v>
      </c>
      <c r="AR326" s="94" t="str">
        <f t="shared" si="1817"/>
        <v xml:space="preserve"> </v>
      </c>
      <c r="AS326" s="94" t="str">
        <f t="shared" si="1615"/>
        <v xml:space="preserve"> </v>
      </c>
      <c r="AT326" s="94" t="str">
        <f t="shared" si="1616"/>
        <v xml:space="preserve"> </v>
      </c>
      <c r="AU326" s="94" t="str">
        <f t="shared" si="1617"/>
        <v xml:space="preserve"> </v>
      </c>
      <c r="AV326" s="94" t="str">
        <f t="shared" si="1618"/>
        <v xml:space="preserve"> </v>
      </c>
      <c r="AW326" s="94" t="str">
        <f t="shared" si="1619"/>
        <v xml:space="preserve"> </v>
      </c>
      <c r="AX326" s="94" t="str">
        <f t="shared" si="1620"/>
        <v xml:space="preserve"> </v>
      </c>
      <c r="AY326" s="94" t="str">
        <f t="shared" si="1621"/>
        <v xml:space="preserve"> </v>
      </c>
      <c r="AZ326" s="94" t="str">
        <f t="shared" si="1622"/>
        <v xml:space="preserve"> </v>
      </c>
      <c r="BA326" s="94" t="str">
        <f t="shared" si="1623"/>
        <v xml:space="preserve"> </v>
      </c>
      <c r="BB326" s="94" t="str">
        <f t="shared" si="1624"/>
        <v xml:space="preserve"> </v>
      </c>
    </row>
    <row r="327" spans="1:54" x14ac:dyDescent="0.25">
      <c r="A327" s="80"/>
      <c r="B327" s="95" t="s">
        <v>2878</v>
      </c>
      <c r="C327" s="201" t="s">
        <v>226</v>
      </c>
      <c r="D327" s="80" t="s">
        <v>783</v>
      </c>
      <c r="E327" s="94" t="str">
        <f>IFERROR(VLOOKUP(A327,Estimate!A:Q,17,FALSE)," ")</f>
        <v xml:space="preserve"> </v>
      </c>
      <c r="F327" s="202" t="s">
        <v>781</v>
      </c>
      <c r="G327" s="202" t="s">
        <v>781</v>
      </c>
      <c r="H327" s="203" t="s">
        <v>781</v>
      </c>
      <c r="I327" s="203" t="s">
        <v>781</v>
      </c>
      <c r="J327" s="203" t="s">
        <v>781</v>
      </c>
      <c r="K327" s="203"/>
      <c r="L327" s="202" t="s">
        <v>781</v>
      </c>
      <c r="M327" s="204" t="str">
        <f t="shared" si="1606"/>
        <v xml:space="preserve"> </v>
      </c>
      <c r="N327" s="95" t="s">
        <v>781</v>
      </c>
      <c r="O327" s="204" t="str">
        <f t="shared" si="1606"/>
        <v xml:space="preserve"> </v>
      </c>
      <c r="P327" s="95" t="s">
        <v>781</v>
      </c>
      <c r="Q327" s="204" t="str">
        <f t="shared" ref="Q327:S327" si="1992">IFERROR(P327/$G327," ")</f>
        <v xml:space="preserve"> </v>
      </c>
      <c r="R327" s="95" t="s">
        <v>781</v>
      </c>
      <c r="S327" s="204" t="str">
        <f t="shared" si="1992"/>
        <v xml:space="preserve"> </v>
      </c>
      <c r="T327" s="95" t="s">
        <v>781</v>
      </c>
      <c r="U327" s="204" t="str">
        <f t="shared" ref="U327:W327" si="1993">IFERROR(T327/$G327," ")</f>
        <v xml:space="preserve"> </v>
      </c>
      <c r="V327" s="95" t="s">
        <v>781</v>
      </c>
      <c r="W327" s="204" t="str">
        <f t="shared" si="1993"/>
        <v xml:space="preserve"> </v>
      </c>
      <c r="X327" s="95" t="s">
        <v>781</v>
      </c>
      <c r="Y327" s="204" t="str">
        <f t="shared" ref="Y327:AA327" si="1994">IFERROR(X327/$G327," ")</f>
        <v xml:space="preserve"> </v>
      </c>
      <c r="Z327" s="95" t="s">
        <v>781</v>
      </c>
      <c r="AA327" s="204" t="str">
        <f t="shared" si="1994"/>
        <v xml:space="preserve"> </v>
      </c>
      <c r="AB327" s="95" t="s">
        <v>781</v>
      </c>
      <c r="AC327" s="204" t="str">
        <f t="shared" ref="AC327:AE327" si="1995">IFERROR(AB327/$G327," ")</f>
        <v xml:space="preserve"> </v>
      </c>
      <c r="AD327" s="95" t="s">
        <v>781</v>
      </c>
      <c r="AE327" s="204" t="str">
        <f t="shared" si="1995"/>
        <v xml:space="preserve"> </v>
      </c>
      <c r="AF327" s="95" t="s">
        <v>781</v>
      </c>
      <c r="AG327" s="204" t="str">
        <f t="shared" ref="AG327:AI327" si="1996">IFERROR(AF327/$G327," ")</f>
        <v xml:space="preserve"> </v>
      </c>
      <c r="AH327" s="95" t="s">
        <v>781</v>
      </c>
      <c r="AI327" s="204" t="str">
        <f t="shared" si="1996"/>
        <v xml:space="preserve"> </v>
      </c>
      <c r="AJ327" s="95" t="s">
        <v>781</v>
      </c>
      <c r="AK327" s="204" t="str">
        <f t="shared" ref="AK327:AM327" si="1997">IFERROR(AJ327/$G327," ")</f>
        <v xml:space="preserve"> </v>
      </c>
      <c r="AL327" s="95" t="s">
        <v>781</v>
      </c>
      <c r="AM327" s="204" t="str">
        <f t="shared" si="1997"/>
        <v xml:space="preserve"> </v>
      </c>
      <c r="AN327" s="95"/>
      <c r="AO327" s="94" t="str">
        <f t="shared" si="1613"/>
        <v xml:space="preserve"> </v>
      </c>
      <c r="AP327" s="94" t="str">
        <f t="shared" si="1603"/>
        <v xml:space="preserve"> </v>
      </c>
      <c r="AQ327" s="94" t="str">
        <f t="shared" si="1604"/>
        <v xml:space="preserve"> </v>
      </c>
      <c r="AR327" s="94" t="str">
        <f t="shared" si="1817"/>
        <v xml:space="preserve"> </v>
      </c>
      <c r="AS327" s="94" t="str">
        <f t="shared" si="1615"/>
        <v xml:space="preserve"> </v>
      </c>
      <c r="AT327" s="94" t="str">
        <f t="shared" si="1616"/>
        <v xml:space="preserve"> </v>
      </c>
      <c r="AU327" s="94" t="str">
        <f t="shared" si="1617"/>
        <v xml:space="preserve"> </v>
      </c>
      <c r="AV327" s="94" t="str">
        <f t="shared" si="1618"/>
        <v xml:space="preserve"> </v>
      </c>
      <c r="AW327" s="94" t="str">
        <f t="shared" si="1619"/>
        <v xml:space="preserve"> </v>
      </c>
      <c r="AX327" s="94" t="str">
        <f t="shared" si="1620"/>
        <v xml:space="preserve"> </v>
      </c>
      <c r="AY327" s="94" t="str">
        <f t="shared" si="1621"/>
        <v xml:space="preserve"> </v>
      </c>
      <c r="AZ327" s="94" t="str">
        <f t="shared" si="1622"/>
        <v xml:space="preserve"> </v>
      </c>
      <c r="BA327" s="94" t="str">
        <f t="shared" si="1623"/>
        <v xml:space="preserve"> </v>
      </c>
      <c r="BB327" s="94" t="str">
        <f t="shared" si="1624"/>
        <v xml:space="preserve"> </v>
      </c>
    </row>
    <row r="328" spans="1:54" x14ac:dyDescent="0.25">
      <c r="A328" s="80">
        <v>139</v>
      </c>
      <c r="B328" s="95" t="s">
        <v>2879</v>
      </c>
      <c r="C328" s="201" t="s">
        <v>228</v>
      </c>
      <c r="D328" s="80" t="s">
        <v>82</v>
      </c>
      <c r="E328" s="94">
        <f>IFERROR(VLOOKUP(A328,Estimate!A:Q,17,FALSE)," ")</f>
        <v>33384.959999999999</v>
      </c>
      <c r="F328" s="202">
        <v>60</v>
      </c>
      <c r="G328" s="202">
        <v>60</v>
      </c>
      <c r="H328" s="203">
        <v>344.4</v>
      </c>
      <c r="I328" s="203">
        <v>20664</v>
      </c>
      <c r="J328" s="203">
        <v>20664</v>
      </c>
      <c r="K328" s="203"/>
      <c r="L328" s="202"/>
      <c r="M328" s="204">
        <f t="shared" si="1606"/>
        <v>0</v>
      </c>
      <c r="N328" s="95"/>
      <c r="O328" s="204">
        <f t="shared" si="1606"/>
        <v>0</v>
      </c>
      <c r="P328" s="95"/>
      <c r="Q328" s="204">
        <f t="shared" ref="Q328:S328" si="1998">IFERROR(P328/$G328," ")</f>
        <v>0</v>
      </c>
      <c r="R328" s="95"/>
      <c r="S328" s="204">
        <f t="shared" si="1998"/>
        <v>0</v>
      </c>
      <c r="T328" s="95"/>
      <c r="U328" s="204">
        <f t="shared" ref="U328:W328" si="1999">IFERROR(T328/$G328," ")</f>
        <v>0</v>
      </c>
      <c r="V328" s="95"/>
      <c r="W328" s="204">
        <f t="shared" si="1999"/>
        <v>0</v>
      </c>
      <c r="X328" s="95"/>
      <c r="Y328" s="204">
        <f t="shared" ref="Y328:AA328" si="2000">IFERROR(X328/$G328," ")</f>
        <v>0</v>
      </c>
      <c r="Z328" s="95"/>
      <c r="AA328" s="204">
        <f t="shared" si="2000"/>
        <v>0</v>
      </c>
      <c r="AB328" s="95"/>
      <c r="AC328" s="204">
        <f t="shared" ref="AC328:AE328" si="2001">IFERROR(AB328/$G328," ")</f>
        <v>0</v>
      </c>
      <c r="AD328" s="95"/>
      <c r="AE328" s="204">
        <f t="shared" si="2001"/>
        <v>0</v>
      </c>
      <c r="AF328" s="95"/>
      <c r="AG328" s="204">
        <f t="shared" ref="AG328:AI328" si="2002">IFERROR(AF328/$G328," ")</f>
        <v>0</v>
      </c>
      <c r="AH328" s="95">
        <v>60</v>
      </c>
      <c r="AI328" s="204">
        <f t="shared" si="2002"/>
        <v>1</v>
      </c>
      <c r="AJ328" s="95">
        <v>60</v>
      </c>
      <c r="AK328" s="204">
        <f t="shared" ref="AK328:AM328" si="2003">IFERROR(AJ328/$G328," ")</f>
        <v>1</v>
      </c>
      <c r="AL328" s="95">
        <v>60</v>
      </c>
      <c r="AM328" s="204">
        <f t="shared" si="2003"/>
        <v>1</v>
      </c>
      <c r="AN328" s="95"/>
      <c r="AO328" s="94">
        <f t="shared" si="1613"/>
        <v>0</v>
      </c>
      <c r="AP328" s="94">
        <f t="shared" ref="AP328:AP391" si="2004">IFERROR(O328*$J328," ")</f>
        <v>0</v>
      </c>
      <c r="AQ328" s="94">
        <f t="shared" ref="AQ328:AQ391" si="2005">IFERROR(Q328*$J328," ")</f>
        <v>0</v>
      </c>
      <c r="AR328" s="94">
        <f t="shared" ref="AR328" si="2006">IFERROR(S328*$J328," ")</f>
        <v>0</v>
      </c>
      <c r="AS328" s="94">
        <f t="shared" si="1615"/>
        <v>0</v>
      </c>
      <c r="AT328" s="94">
        <f t="shared" si="1616"/>
        <v>0</v>
      </c>
      <c r="AU328" s="94">
        <f t="shared" si="1617"/>
        <v>0</v>
      </c>
      <c r="AV328" s="94">
        <f t="shared" si="1618"/>
        <v>0</v>
      </c>
      <c r="AW328" s="94">
        <f t="shared" si="1619"/>
        <v>0</v>
      </c>
      <c r="AX328" s="94">
        <f t="shared" si="1620"/>
        <v>0</v>
      </c>
      <c r="AY328" s="94">
        <f t="shared" si="1621"/>
        <v>0</v>
      </c>
      <c r="AZ328" s="94">
        <f t="shared" si="1622"/>
        <v>20664</v>
      </c>
      <c r="BA328" s="94">
        <f t="shared" si="1623"/>
        <v>20664</v>
      </c>
      <c r="BB328" s="94">
        <f t="shared" si="1624"/>
        <v>20664</v>
      </c>
    </row>
    <row r="329" spans="1:54" x14ac:dyDescent="0.25">
      <c r="A329" s="80"/>
      <c r="B329" s="95" t="s">
        <v>2417</v>
      </c>
      <c r="C329" s="201" t="s">
        <v>2837</v>
      </c>
      <c r="D329" s="80" t="s">
        <v>783</v>
      </c>
      <c r="E329" s="94" t="str">
        <f>IFERROR(VLOOKUP(A329,Estimate!A:Q,17,FALSE)," ")</f>
        <v xml:space="preserve"> </v>
      </c>
      <c r="F329" s="202" t="s">
        <v>781</v>
      </c>
      <c r="G329" s="202" t="s">
        <v>781</v>
      </c>
      <c r="H329" s="203" t="s">
        <v>781</v>
      </c>
      <c r="I329" s="203" t="s">
        <v>781</v>
      </c>
      <c r="J329" s="203" t="s">
        <v>781</v>
      </c>
      <c r="K329" s="203"/>
      <c r="L329" s="202" t="s">
        <v>781</v>
      </c>
      <c r="M329" s="204" t="str">
        <f t="shared" ref="M329:O392" si="2007">IFERROR(L329/$G329," ")</f>
        <v xml:space="preserve"> </v>
      </c>
      <c r="N329" s="95" t="s">
        <v>781</v>
      </c>
      <c r="O329" s="204" t="str">
        <f t="shared" si="2007"/>
        <v xml:space="preserve"> </v>
      </c>
      <c r="P329" s="95" t="s">
        <v>781</v>
      </c>
      <c r="Q329" s="204" t="str">
        <f t="shared" ref="Q329:S329" si="2008">IFERROR(P329/$G329," ")</f>
        <v xml:space="preserve"> </v>
      </c>
      <c r="R329" s="95" t="s">
        <v>781</v>
      </c>
      <c r="S329" s="204" t="str">
        <f t="shared" si="2008"/>
        <v xml:space="preserve"> </v>
      </c>
      <c r="T329" s="95" t="s">
        <v>781</v>
      </c>
      <c r="U329" s="204" t="str">
        <f t="shared" ref="U329:W329" si="2009">IFERROR(T329/$G329," ")</f>
        <v xml:space="preserve"> </v>
      </c>
      <c r="V329" s="95" t="s">
        <v>781</v>
      </c>
      <c r="W329" s="204" t="str">
        <f t="shared" si="2009"/>
        <v xml:space="preserve"> </v>
      </c>
      <c r="X329" s="95" t="s">
        <v>781</v>
      </c>
      <c r="Y329" s="204" t="str">
        <f t="shared" ref="Y329:AA329" si="2010">IFERROR(X329/$G329," ")</f>
        <v xml:space="preserve"> </v>
      </c>
      <c r="Z329" s="95" t="s">
        <v>781</v>
      </c>
      <c r="AA329" s="204" t="str">
        <f t="shared" si="2010"/>
        <v xml:space="preserve"> </v>
      </c>
      <c r="AB329" s="95" t="s">
        <v>781</v>
      </c>
      <c r="AC329" s="204" t="str">
        <f t="shared" ref="AC329:AE329" si="2011">IFERROR(AB329/$G329," ")</f>
        <v xml:space="preserve"> </v>
      </c>
      <c r="AD329" s="95" t="s">
        <v>781</v>
      </c>
      <c r="AE329" s="204" t="str">
        <f t="shared" si="2011"/>
        <v xml:space="preserve"> </v>
      </c>
      <c r="AF329" s="95" t="s">
        <v>781</v>
      </c>
      <c r="AG329" s="204" t="str">
        <f t="shared" ref="AG329:AI329" si="2012">IFERROR(AF329/$G329," ")</f>
        <v xml:space="preserve"> </v>
      </c>
      <c r="AH329" s="95" t="s">
        <v>781</v>
      </c>
      <c r="AI329" s="204" t="str">
        <f t="shared" si="2012"/>
        <v xml:space="preserve"> </v>
      </c>
      <c r="AJ329" s="95" t="s">
        <v>781</v>
      </c>
      <c r="AK329" s="204" t="str">
        <f t="shared" ref="AK329:AM329" si="2013">IFERROR(AJ329/$G329," ")</f>
        <v xml:space="preserve"> </v>
      </c>
      <c r="AL329" s="95" t="s">
        <v>781</v>
      </c>
      <c r="AM329" s="204" t="str">
        <f t="shared" si="2013"/>
        <v xml:space="preserve"> </v>
      </c>
      <c r="AN329" s="95"/>
      <c r="AO329" s="94" t="str">
        <f t="shared" ref="AO329:AO392" si="2014">IFERROR(M329*$J329," ")</f>
        <v xml:space="preserve"> </v>
      </c>
      <c r="AP329" s="94" t="str">
        <f t="shared" si="2004"/>
        <v xml:space="preserve"> </v>
      </c>
      <c r="AQ329" s="94" t="str">
        <f t="shared" si="2005"/>
        <v xml:space="preserve"> </v>
      </c>
      <c r="AR329" s="94" t="str">
        <f t="shared" ref="AR329:AR360" si="2015">IFERROR(S329*$J329," ")</f>
        <v xml:space="preserve"> </v>
      </c>
      <c r="AS329" s="94" t="str">
        <f t="shared" ref="AS329:AS392" si="2016">IFERROR(U329*$J329," ")</f>
        <v xml:space="preserve"> </v>
      </c>
      <c r="AT329" s="94" t="str">
        <f t="shared" ref="AT329:AT392" si="2017">IFERROR(W329*$J329," ")</f>
        <v xml:space="preserve"> </v>
      </c>
      <c r="AU329" s="94" t="str">
        <f t="shared" ref="AU329:AU392" si="2018">IFERROR(Y329*$J329," ")</f>
        <v xml:space="preserve"> </v>
      </c>
      <c r="AV329" s="94" t="str">
        <f t="shared" ref="AV329:AV392" si="2019">IFERROR(AA329*$J329," ")</f>
        <v xml:space="preserve"> </v>
      </c>
      <c r="AW329" s="94" t="str">
        <f t="shared" ref="AW329:AW392" si="2020">IFERROR(AC329*$J329," ")</f>
        <v xml:space="preserve"> </v>
      </c>
      <c r="AX329" s="94" t="str">
        <f t="shared" ref="AX329:AX392" si="2021">IFERROR(AE329*$J329," ")</f>
        <v xml:space="preserve"> </v>
      </c>
      <c r="AY329" s="94" t="str">
        <f t="shared" ref="AY329:AY392" si="2022">IFERROR(AG329*$J329," ")</f>
        <v xml:space="preserve"> </v>
      </c>
      <c r="AZ329" s="94" t="str">
        <f t="shared" ref="AZ329:AZ392" si="2023">IFERROR(AI329*$J329," ")</f>
        <v xml:space="preserve"> </v>
      </c>
      <c r="BA329" s="94" t="str">
        <f t="shared" ref="BA329:BA392" si="2024">IFERROR(AK329*$J329," ")</f>
        <v xml:space="preserve"> </v>
      </c>
      <c r="BB329" s="94" t="str">
        <f t="shared" ref="BB329:BB392" si="2025">IFERROR(AM329*$J329," ")</f>
        <v xml:space="preserve"> </v>
      </c>
    </row>
    <row r="330" spans="1:54" x14ac:dyDescent="0.25">
      <c r="A330" s="80"/>
      <c r="B330" s="95" t="s">
        <v>2417</v>
      </c>
      <c r="C330" s="201" t="s">
        <v>129</v>
      </c>
      <c r="D330" s="80" t="s">
        <v>783</v>
      </c>
      <c r="E330" s="94" t="str">
        <f>IFERROR(VLOOKUP(A330,Estimate!A:Q,17,FALSE)," ")</f>
        <v xml:space="preserve"> </v>
      </c>
      <c r="F330" s="202" t="s">
        <v>781</v>
      </c>
      <c r="G330" s="202" t="s">
        <v>781</v>
      </c>
      <c r="H330" s="203" t="s">
        <v>781</v>
      </c>
      <c r="I330" s="203" t="s">
        <v>781</v>
      </c>
      <c r="J330" s="203" t="s">
        <v>781</v>
      </c>
      <c r="K330" s="203"/>
      <c r="L330" s="202" t="s">
        <v>781</v>
      </c>
      <c r="M330" s="204" t="str">
        <f t="shared" si="2007"/>
        <v xml:space="preserve"> </v>
      </c>
      <c r="N330" s="95" t="s">
        <v>781</v>
      </c>
      <c r="O330" s="204" t="str">
        <f t="shared" si="2007"/>
        <v xml:space="preserve"> </v>
      </c>
      <c r="P330" s="95" t="s">
        <v>781</v>
      </c>
      <c r="Q330" s="204" t="str">
        <f t="shared" ref="Q330:S330" si="2026">IFERROR(P330/$G330," ")</f>
        <v xml:space="preserve"> </v>
      </c>
      <c r="R330" s="95" t="s">
        <v>781</v>
      </c>
      <c r="S330" s="204" t="str">
        <f t="shared" si="2026"/>
        <v xml:space="preserve"> </v>
      </c>
      <c r="T330" s="95" t="s">
        <v>781</v>
      </c>
      <c r="U330" s="204" t="str">
        <f t="shared" ref="U330:W330" si="2027">IFERROR(T330/$G330," ")</f>
        <v xml:space="preserve"> </v>
      </c>
      <c r="V330" s="95" t="s">
        <v>781</v>
      </c>
      <c r="W330" s="204" t="str">
        <f t="shared" si="2027"/>
        <v xml:space="preserve"> </v>
      </c>
      <c r="X330" s="95" t="s">
        <v>781</v>
      </c>
      <c r="Y330" s="204" t="str">
        <f t="shared" ref="Y330:AA330" si="2028">IFERROR(X330/$G330," ")</f>
        <v xml:space="preserve"> </v>
      </c>
      <c r="Z330" s="95" t="s">
        <v>781</v>
      </c>
      <c r="AA330" s="204" t="str">
        <f t="shared" si="2028"/>
        <v xml:space="preserve"> </v>
      </c>
      <c r="AB330" s="95" t="s">
        <v>781</v>
      </c>
      <c r="AC330" s="204" t="str">
        <f t="shared" ref="AC330:AE330" si="2029">IFERROR(AB330/$G330," ")</f>
        <v xml:space="preserve"> </v>
      </c>
      <c r="AD330" s="95" t="s">
        <v>781</v>
      </c>
      <c r="AE330" s="204" t="str">
        <f t="shared" si="2029"/>
        <v xml:space="preserve"> </v>
      </c>
      <c r="AF330" s="95" t="s">
        <v>781</v>
      </c>
      <c r="AG330" s="204" t="str">
        <f t="shared" ref="AG330:AI330" si="2030">IFERROR(AF330/$G330," ")</f>
        <v xml:space="preserve"> </v>
      </c>
      <c r="AH330" s="95" t="s">
        <v>781</v>
      </c>
      <c r="AI330" s="204" t="str">
        <f t="shared" si="2030"/>
        <v xml:space="preserve"> </v>
      </c>
      <c r="AJ330" s="95" t="s">
        <v>781</v>
      </c>
      <c r="AK330" s="204" t="str">
        <f t="shared" ref="AK330:AM330" si="2031">IFERROR(AJ330/$G330," ")</f>
        <v xml:space="preserve"> </v>
      </c>
      <c r="AL330" s="95" t="s">
        <v>781</v>
      </c>
      <c r="AM330" s="204" t="str">
        <f t="shared" si="2031"/>
        <v xml:space="preserve"> </v>
      </c>
      <c r="AN330" s="95"/>
      <c r="AO330" s="94" t="str">
        <f t="shared" si="2014"/>
        <v xml:space="preserve"> </v>
      </c>
      <c r="AP330" s="94" t="str">
        <f t="shared" si="2004"/>
        <v xml:space="preserve"> </v>
      </c>
      <c r="AQ330" s="94" t="str">
        <f t="shared" si="2005"/>
        <v xml:space="preserve"> </v>
      </c>
      <c r="AR330" s="94" t="str">
        <f t="shared" si="2015"/>
        <v xml:space="preserve"> </v>
      </c>
      <c r="AS330" s="94" t="str">
        <f t="shared" si="2016"/>
        <v xml:space="preserve"> </v>
      </c>
      <c r="AT330" s="94" t="str">
        <f t="shared" si="2017"/>
        <v xml:space="preserve"> </v>
      </c>
      <c r="AU330" s="94" t="str">
        <f t="shared" si="2018"/>
        <v xml:space="preserve"> </v>
      </c>
      <c r="AV330" s="94" t="str">
        <f t="shared" si="2019"/>
        <v xml:space="preserve"> </v>
      </c>
      <c r="AW330" s="94" t="str">
        <f t="shared" si="2020"/>
        <v xml:space="preserve"> </v>
      </c>
      <c r="AX330" s="94" t="str">
        <f t="shared" si="2021"/>
        <v xml:space="preserve"> </v>
      </c>
      <c r="AY330" s="94" t="str">
        <f t="shared" si="2022"/>
        <v xml:space="preserve"> </v>
      </c>
      <c r="AZ330" s="94" t="str">
        <f t="shared" si="2023"/>
        <v xml:space="preserve"> </v>
      </c>
      <c r="BA330" s="94" t="str">
        <f t="shared" si="2024"/>
        <v xml:space="preserve"> </v>
      </c>
      <c r="BB330" s="94" t="str">
        <f t="shared" si="2025"/>
        <v xml:space="preserve"> </v>
      </c>
    </row>
    <row r="331" spans="1:54" x14ac:dyDescent="0.25">
      <c r="A331" s="80"/>
      <c r="B331" s="95" t="s">
        <v>2917</v>
      </c>
      <c r="C331" s="201" t="s">
        <v>497</v>
      </c>
      <c r="D331" s="80" t="s">
        <v>783</v>
      </c>
      <c r="E331" s="94" t="str">
        <f>IFERROR(VLOOKUP(A331,Estimate!A:Q,17,FALSE)," ")</f>
        <v xml:space="preserve"> </v>
      </c>
      <c r="F331" s="202" t="s">
        <v>781</v>
      </c>
      <c r="G331" s="202" t="s">
        <v>781</v>
      </c>
      <c r="H331" s="203" t="s">
        <v>781</v>
      </c>
      <c r="I331" s="203" t="s">
        <v>781</v>
      </c>
      <c r="J331" s="203" t="s">
        <v>781</v>
      </c>
      <c r="K331" s="203"/>
      <c r="L331" s="202" t="s">
        <v>781</v>
      </c>
      <c r="M331" s="204" t="str">
        <f t="shared" si="2007"/>
        <v xml:space="preserve"> </v>
      </c>
      <c r="N331" s="95" t="s">
        <v>781</v>
      </c>
      <c r="O331" s="204" t="str">
        <f t="shared" si="2007"/>
        <v xml:space="preserve"> </v>
      </c>
      <c r="P331" s="95" t="s">
        <v>781</v>
      </c>
      <c r="Q331" s="204" t="str">
        <f t="shared" ref="Q331:S331" si="2032">IFERROR(P331/$G331," ")</f>
        <v xml:space="preserve"> </v>
      </c>
      <c r="R331" s="95" t="s">
        <v>781</v>
      </c>
      <c r="S331" s="204" t="str">
        <f t="shared" si="2032"/>
        <v xml:space="preserve"> </v>
      </c>
      <c r="T331" s="95" t="s">
        <v>781</v>
      </c>
      <c r="U331" s="204" t="str">
        <f t="shared" ref="U331:W331" si="2033">IFERROR(T331/$G331," ")</f>
        <v xml:space="preserve"> </v>
      </c>
      <c r="V331" s="95" t="s">
        <v>781</v>
      </c>
      <c r="W331" s="204" t="str">
        <f t="shared" si="2033"/>
        <v xml:space="preserve"> </v>
      </c>
      <c r="X331" s="95" t="s">
        <v>781</v>
      </c>
      <c r="Y331" s="204" t="str">
        <f t="shared" ref="Y331:AA331" si="2034">IFERROR(X331/$G331," ")</f>
        <v xml:space="preserve"> </v>
      </c>
      <c r="Z331" s="95" t="s">
        <v>781</v>
      </c>
      <c r="AA331" s="204" t="str">
        <f t="shared" si="2034"/>
        <v xml:space="preserve"> </v>
      </c>
      <c r="AB331" s="95" t="s">
        <v>781</v>
      </c>
      <c r="AC331" s="204" t="str">
        <f t="shared" ref="AC331:AE331" si="2035">IFERROR(AB331/$G331," ")</f>
        <v xml:space="preserve"> </v>
      </c>
      <c r="AD331" s="95" t="s">
        <v>781</v>
      </c>
      <c r="AE331" s="204" t="str">
        <f t="shared" si="2035"/>
        <v xml:space="preserve"> </v>
      </c>
      <c r="AF331" s="95" t="s">
        <v>781</v>
      </c>
      <c r="AG331" s="204" t="str">
        <f t="shared" ref="AG331:AI331" si="2036">IFERROR(AF331/$G331," ")</f>
        <v xml:space="preserve"> </v>
      </c>
      <c r="AH331" s="95" t="s">
        <v>781</v>
      </c>
      <c r="AI331" s="204" t="str">
        <f t="shared" si="2036"/>
        <v xml:space="preserve"> </v>
      </c>
      <c r="AJ331" s="95" t="s">
        <v>781</v>
      </c>
      <c r="AK331" s="204" t="str">
        <f t="shared" ref="AK331:AM331" si="2037">IFERROR(AJ331/$G331," ")</f>
        <v xml:space="preserve"> </v>
      </c>
      <c r="AL331" s="95" t="s">
        <v>781</v>
      </c>
      <c r="AM331" s="204" t="str">
        <f t="shared" si="2037"/>
        <v xml:space="preserve"> </v>
      </c>
      <c r="AN331" s="95"/>
      <c r="AO331" s="94" t="str">
        <f t="shared" si="2014"/>
        <v xml:space="preserve"> </v>
      </c>
      <c r="AP331" s="94" t="str">
        <f t="shared" si="2004"/>
        <v xml:space="preserve"> </v>
      </c>
      <c r="AQ331" s="94" t="str">
        <f t="shared" si="2005"/>
        <v xml:space="preserve"> </v>
      </c>
      <c r="AR331" s="94" t="str">
        <f t="shared" si="2015"/>
        <v xml:space="preserve"> </v>
      </c>
      <c r="AS331" s="94" t="str">
        <f t="shared" si="2016"/>
        <v xml:space="preserve"> </v>
      </c>
      <c r="AT331" s="94" t="str">
        <f t="shared" si="2017"/>
        <v xml:space="preserve"> </v>
      </c>
      <c r="AU331" s="94" t="str">
        <f t="shared" si="2018"/>
        <v xml:space="preserve"> </v>
      </c>
      <c r="AV331" s="94" t="str">
        <f t="shared" si="2019"/>
        <v xml:space="preserve"> </v>
      </c>
      <c r="AW331" s="94" t="str">
        <f t="shared" si="2020"/>
        <v xml:space="preserve"> </v>
      </c>
      <c r="AX331" s="94" t="str">
        <f t="shared" si="2021"/>
        <v xml:space="preserve"> </v>
      </c>
      <c r="AY331" s="94" t="str">
        <f t="shared" si="2022"/>
        <v xml:space="preserve"> </v>
      </c>
      <c r="AZ331" s="94" t="str">
        <f t="shared" si="2023"/>
        <v xml:space="preserve"> </v>
      </c>
      <c r="BA331" s="94" t="str">
        <f t="shared" si="2024"/>
        <v xml:space="preserve"> </v>
      </c>
      <c r="BB331" s="94" t="str">
        <f t="shared" si="2025"/>
        <v xml:space="preserve"> </v>
      </c>
    </row>
    <row r="332" spans="1:54" ht="30" x14ac:dyDescent="0.25">
      <c r="A332" s="80">
        <v>140</v>
      </c>
      <c r="B332" s="95" t="s">
        <v>2898</v>
      </c>
      <c r="C332" s="201" t="s">
        <v>410</v>
      </c>
      <c r="D332" s="80" t="s">
        <v>33</v>
      </c>
      <c r="E332" s="94">
        <f>IFERROR(VLOOKUP(A332,Estimate!A:Q,17,FALSE)," ")</f>
        <v>1048</v>
      </c>
      <c r="F332" s="202">
        <v>2</v>
      </c>
      <c r="G332" s="202">
        <v>2</v>
      </c>
      <c r="H332" s="203">
        <v>658.26</v>
      </c>
      <c r="I332" s="203">
        <v>1316.52</v>
      </c>
      <c r="J332" s="203">
        <v>1316.52</v>
      </c>
      <c r="K332" s="203"/>
      <c r="L332" s="202"/>
      <c r="M332" s="204">
        <f t="shared" si="2007"/>
        <v>0</v>
      </c>
      <c r="N332" s="95"/>
      <c r="O332" s="204">
        <f t="shared" si="2007"/>
        <v>0</v>
      </c>
      <c r="P332" s="95"/>
      <c r="Q332" s="204">
        <f t="shared" ref="Q332:S332" si="2038">IFERROR(P332/$G332," ")</f>
        <v>0</v>
      </c>
      <c r="R332" s="95"/>
      <c r="S332" s="204">
        <f t="shared" si="2038"/>
        <v>0</v>
      </c>
      <c r="T332" s="95"/>
      <c r="U332" s="204">
        <f t="shared" ref="U332:W332" si="2039">IFERROR(T332/$G332," ")</f>
        <v>0</v>
      </c>
      <c r="V332" s="95"/>
      <c r="W332" s="204">
        <f t="shared" si="2039"/>
        <v>0</v>
      </c>
      <c r="X332" s="95"/>
      <c r="Y332" s="204">
        <f t="shared" ref="Y332:AA332" si="2040">IFERROR(X332/$G332," ")</f>
        <v>0</v>
      </c>
      <c r="Z332" s="95"/>
      <c r="AA332" s="204">
        <f t="shared" si="2040"/>
        <v>0</v>
      </c>
      <c r="AB332" s="95"/>
      <c r="AC332" s="204">
        <f t="shared" ref="AC332:AE332" si="2041">IFERROR(AB332/$G332," ")</f>
        <v>0</v>
      </c>
      <c r="AD332" s="95"/>
      <c r="AE332" s="204">
        <f t="shared" si="2041"/>
        <v>0</v>
      </c>
      <c r="AF332" s="95"/>
      <c r="AG332" s="204">
        <f t="shared" ref="AG332:AI332" si="2042">IFERROR(AF332/$G332," ")</f>
        <v>0</v>
      </c>
      <c r="AH332" s="95">
        <v>2</v>
      </c>
      <c r="AI332" s="204">
        <f t="shared" si="2042"/>
        <v>1</v>
      </c>
      <c r="AJ332" s="95">
        <v>2</v>
      </c>
      <c r="AK332" s="204">
        <f t="shared" ref="AK332:AM332" si="2043">IFERROR(AJ332/$G332," ")</f>
        <v>1</v>
      </c>
      <c r="AL332" s="95">
        <v>2</v>
      </c>
      <c r="AM332" s="204">
        <f t="shared" si="2043"/>
        <v>1</v>
      </c>
      <c r="AN332" s="95"/>
      <c r="AO332" s="94">
        <f t="shared" si="2014"/>
        <v>0</v>
      </c>
      <c r="AP332" s="94">
        <f t="shared" si="2004"/>
        <v>0</v>
      </c>
      <c r="AQ332" s="94">
        <f t="shared" si="2005"/>
        <v>0</v>
      </c>
      <c r="AR332" s="94">
        <f t="shared" si="2015"/>
        <v>0</v>
      </c>
      <c r="AS332" s="94">
        <f t="shared" si="2016"/>
        <v>0</v>
      </c>
      <c r="AT332" s="94">
        <f t="shared" si="2017"/>
        <v>0</v>
      </c>
      <c r="AU332" s="94">
        <f t="shared" si="2018"/>
        <v>0</v>
      </c>
      <c r="AV332" s="94">
        <f t="shared" si="2019"/>
        <v>0</v>
      </c>
      <c r="AW332" s="94">
        <f t="shared" si="2020"/>
        <v>0</v>
      </c>
      <c r="AX332" s="94">
        <f t="shared" si="2021"/>
        <v>0</v>
      </c>
      <c r="AY332" s="94">
        <f t="shared" si="2022"/>
        <v>0</v>
      </c>
      <c r="AZ332" s="94">
        <f t="shared" si="2023"/>
        <v>1316.52</v>
      </c>
      <c r="BA332" s="94">
        <f t="shared" si="2024"/>
        <v>1316.52</v>
      </c>
      <c r="BB332" s="94">
        <f t="shared" si="2025"/>
        <v>1316.52</v>
      </c>
    </row>
    <row r="333" spans="1:54" x14ac:dyDescent="0.25">
      <c r="A333" s="80"/>
      <c r="B333" s="95" t="s">
        <v>2918</v>
      </c>
      <c r="C333" s="201" t="s">
        <v>500</v>
      </c>
      <c r="D333" s="80" t="s">
        <v>783</v>
      </c>
      <c r="E333" s="94" t="str">
        <f>IFERROR(VLOOKUP(A333,Estimate!A:Q,17,FALSE)," ")</f>
        <v xml:space="preserve"> </v>
      </c>
      <c r="F333" s="202" t="s">
        <v>781</v>
      </c>
      <c r="G333" s="202" t="s">
        <v>781</v>
      </c>
      <c r="H333" s="203" t="s">
        <v>781</v>
      </c>
      <c r="I333" s="203" t="s">
        <v>781</v>
      </c>
      <c r="J333" s="203" t="s">
        <v>781</v>
      </c>
      <c r="K333" s="203"/>
      <c r="L333" s="202" t="s">
        <v>781</v>
      </c>
      <c r="M333" s="204" t="str">
        <f t="shared" si="2007"/>
        <v xml:space="preserve"> </v>
      </c>
      <c r="N333" s="95" t="s">
        <v>781</v>
      </c>
      <c r="O333" s="204" t="str">
        <f t="shared" si="2007"/>
        <v xml:space="preserve"> </v>
      </c>
      <c r="P333" s="95" t="s">
        <v>781</v>
      </c>
      <c r="Q333" s="204" t="str">
        <f t="shared" ref="Q333:S333" si="2044">IFERROR(P333/$G333," ")</f>
        <v xml:space="preserve"> </v>
      </c>
      <c r="R333" s="95" t="s">
        <v>781</v>
      </c>
      <c r="S333" s="204" t="str">
        <f t="shared" si="2044"/>
        <v xml:space="preserve"> </v>
      </c>
      <c r="T333" s="95" t="s">
        <v>781</v>
      </c>
      <c r="U333" s="204" t="str">
        <f t="shared" ref="U333:W333" si="2045">IFERROR(T333/$G333," ")</f>
        <v xml:space="preserve"> </v>
      </c>
      <c r="V333" s="95" t="s">
        <v>781</v>
      </c>
      <c r="W333" s="204" t="str">
        <f t="shared" si="2045"/>
        <v xml:space="preserve"> </v>
      </c>
      <c r="X333" s="95" t="s">
        <v>781</v>
      </c>
      <c r="Y333" s="204" t="str">
        <f t="shared" ref="Y333:AA333" si="2046">IFERROR(X333/$G333," ")</f>
        <v xml:space="preserve"> </v>
      </c>
      <c r="Z333" s="95" t="s">
        <v>781</v>
      </c>
      <c r="AA333" s="204" t="str">
        <f t="shared" si="2046"/>
        <v xml:space="preserve"> </v>
      </c>
      <c r="AB333" s="95" t="s">
        <v>781</v>
      </c>
      <c r="AC333" s="204" t="str">
        <f t="shared" ref="AC333:AE333" si="2047">IFERROR(AB333/$G333," ")</f>
        <v xml:space="preserve"> </v>
      </c>
      <c r="AD333" s="95" t="s">
        <v>781</v>
      </c>
      <c r="AE333" s="204" t="str">
        <f t="shared" si="2047"/>
        <v xml:space="preserve"> </v>
      </c>
      <c r="AF333" s="95" t="s">
        <v>781</v>
      </c>
      <c r="AG333" s="204" t="str">
        <f t="shared" ref="AG333:AI333" si="2048">IFERROR(AF333/$G333," ")</f>
        <v xml:space="preserve"> </v>
      </c>
      <c r="AH333" s="95" t="s">
        <v>781</v>
      </c>
      <c r="AI333" s="204" t="str">
        <f t="shared" si="2048"/>
        <v xml:space="preserve"> </v>
      </c>
      <c r="AJ333" s="95" t="s">
        <v>781</v>
      </c>
      <c r="AK333" s="204" t="str">
        <f t="shared" ref="AK333:AM333" si="2049">IFERROR(AJ333/$G333," ")</f>
        <v xml:space="preserve"> </v>
      </c>
      <c r="AL333" s="95" t="s">
        <v>781</v>
      </c>
      <c r="AM333" s="204" t="str">
        <f t="shared" si="2049"/>
        <v xml:space="preserve"> </v>
      </c>
      <c r="AN333" s="95"/>
      <c r="AO333" s="94" t="str">
        <f t="shared" si="2014"/>
        <v xml:space="preserve"> </v>
      </c>
      <c r="AP333" s="94" t="str">
        <f t="shared" si="2004"/>
        <v xml:space="preserve"> </v>
      </c>
      <c r="AQ333" s="94" t="str">
        <f t="shared" si="2005"/>
        <v xml:space="preserve"> </v>
      </c>
      <c r="AR333" s="94" t="str">
        <f t="shared" si="2015"/>
        <v xml:space="preserve"> </v>
      </c>
      <c r="AS333" s="94" t="str">
        <f t="shared" si="2016"/>
        <v xml:space="preserve"> </v>
      </c>
      <c r="AT333" s="94" t="str">
        <f t="shared" si="2017"/>
        <v xml:space="preserve"> </v>
      </c>
      <c r="AU333" s="94" t="str">
        <f t="shared" si="2018"/>
        <v xml:space="preserve"> </v>
      </c>
      <c r="AV333" s="94" t="str">
        <f t="shared" si="2019"/>
        <v xml:space="preserve"> </v>
      </c>
      <c r="AW333" s="94" t="str">
        <f t="shared" si="2020"/>
        <v xml:space="preserve"> </v>
      </c>
      <c r="AX333" s="94" t="str">
        <f t="shared" si="2021"/>
        <v xml:space="preserve"> </v>
      </c>
      <c r="AY333" s="94" t="str">
        <f t="shared" si="2022"/>
        <v xml:space="preserve"> </v>
      </c>
      <c r="AZ333" s="94" t="str">
        <f t="shared" si="2023"/>
        <v xml:space="preserve"> </v>
      </c>
      <c r="BA333" s="94" t="str">
        <f t="shared" si="2024"/>
        <v xml:space="preserve"> </v>
      </c>
      <c r="BB333" s="94" t="str">
        <f t="shared" si="2025"/>
        <v xml:space="preserve"> </v>
      </c>
    </row>
    <row r="334" spans="1:54" x14ac:dyDescent="0.25">
      <c r="A334" s="80"/>
      <c r="B334" s="95" t="s">
        <v>2919</v>
      </c>
      <c r="C334" s="201" t="s">
        <v>502</v>
      </c>
      <c r="D334" s="80" t="s">
        <v>783</v>
      </c>
      <c r="E334" s="94" t="str">
        <f>IFERROR(VLOOKUP(A334,Estimate!A:Q,17,FALSE)," ")</f>
        <v xml:space="preserve"> </v>
      </c>
      <c r="F334" s="202" t="s">
        <v>781</v>
      </c>
      <c r="G334" s="202" t="s">
        <v>781</v>
      </c>
      <c r="H334" s="203" t="s">
        <v>781</v>
      </c>
      <c r="I334" s="203" t="s">
        <v>781</v>
      </c>
      <c r="J334" s="203" t="s">
        <v>781</v>
      </c>
      <c r="K334" s="203"/>
      <c r="L334" s="202" t="s">
        <v>781</v>
      </c>
      <c r="M334" s="204" t="str">
        <f t="shared" si="2007"/>
        <v xml:space="preserve"> </v>
      </c>
      <c r="N334" s="95" t="s">
        <v>781</v>
      </c>
      <c r="O334" s="204" t="str">
        <f t="shared" si="2007"/>
        <v xml:space="preserve"> </v>
      </c>
      <c r="P334" s="95" t="s">
        <v>781</v>
      </c>
      <c r="Q334" s="204" t="str">
        <f t="shared" ref="Q334:S334" si="2050">IFERROR(P334/$G334," ")</f>
        <v xml:space="preserve"> </v>
      </c>
      <c r="R334" s="95" t="s">
        <v>781</v>
      </c>
      <c r="S334" s="204" t="str">
        <f t="shared" si="2050"/>
        <v xml:space="preserve"> </v>
      </c>
      <c r="T334" s="95" t="s">
        <v>781</v>
      </c>
      <c r="U334" s="204" t="str">
        <f t="shared" ref="U334:W334" si="2051">IFERROR(T334/$G334," ")</f>
        <v xml:space="preserve"> </v>
      </c>
      <c r="V334" s="95" t="s">
        <v>781</v>
      </c>
      <c r="W334" s="204" t="str">
        <f t="shared" si="2051"/>
        <v xml:space="preserve"> </v>
      </c>
      <c r="X334" s="95" t="s">
        <v>781</v>
      </c>
      <c r="Y334" s="204" t="str">
        <f t="shared" ref="Y334:AA334" si="2052">IFERROR(X334/$G334," ")</f>
        <v xml:space="preserve"> </v>
      </c>
      <c r="Z334" s="95" t="s">
        <v>781</v>
      </c>
      <c r="AA334" s="204" t="str">
        <f t="shared" si="2052"/>
        <v xml:space="preserve"> </v>
      </c>
      <c r="AB334" s="95" t="s">
        <v>781</v>
      </c>
      <c r="AC334" s="204" t="str">
        <f t="shared" ref="AC334:AE334" si="2053">IFERROR(AB334/$G334," ")</f>
        <v xml:space="preserve"> </v>
      </c>
      <c r="AD334" s="95" t="s">
        <v>781</v>
      </c>
      <c r="AE334" s="204" t="str">
        <f t="shared" si="2053"/>
        <v xml:space="preserve"> </v>
      </c>
      <c r="AF334" s="95" t="s">
        <v>781</v>
      </c>
      <c r="AG334" s="204" t="str">
        <f t="shared" ref="AG334:AI334" si="2054">IFERROR(AF334/$G334," ")</f>
        <v xml:space="preserve"> </v>
      </c>
      <c r="AH334" s="95" t="s">
        <v>781</v>
      </c>
      <c r="AI334" s="204" t="str">
        <f t="shared" si="2054"/>
        <v xml:space="preserve"> </v>
      </c>
      <c r="AJ334" s="95" t="s">
        <v>781</v>
      </c>
      <c r="AK334" s="204" t="str">
        <f t="shared" ref="AK334:AM334" si="2055">IFERROR(AJ334/$G334," ")</f>
        <v xml:space="preserve"> </v>
      </c>
      <c r="AL334" s="95" t="s">
        <v>781</v>
      </c>
      <c r="AM334" s="204" t="str">
        <f t="shared" si="2055"/>
        <v xml:space="preserve"> </v>
      </c>
      <c r="AN334" s="95"/>
      <c r="AO334" s="94" t="str">
        <f t="shared" si="2014"/>
        <v xml:space="preserve"> </v>
      </c>
      <c r="AP334" s="94" t="str">
        <f t="shared" si="2004"/>
        <v xml:space="preserve"> </v>
      </c>
      <c r="AQ334" s="94" t="str">
        <f t="shared" si="2005"/>
        <v xml:space="preserve"> </v>
      </c>
      <c r="AR334" s="94" t="str">
        <f t="shared" si="2015"/>
        <v xml:space="preserve"> </v>
      </c>
      <c r="AS334" s="94" t="str">
        <f t="shared" si="2016"/>
        <v xml:space="preserve"> </v>
      </c>
      <c r="AT334" s="94" t="str">
        <f t="shared" si="2017"/>
        <v xml:space="preserve"> </v>
      </c>
      <c r="AU334" s="94" t="str">
        <f t="shared" si="2018"/>
        <v xml:space="preserve"> </v>
      </c>
      <c r="AV334" s="94" t="str">
        <f t="shared" si="2019"/>
        <v xml:space="preserve"> </v>
      </c>
      <c r="AW334" s="94" t="str">
        <f t="shared" si="2020"/>
        <v xml:space="preserve"> </v>
      </c>
      <c r="AX334" s="94" t="str">
        <f t="shared" si="2021"/>
        <v xml:space="preserve"> </v>
      </c>
      <c r="AY334" s="94" t="str">
        <f t="shared" si="2022"/>
        <v xml:space="preserve"> </v>
      </c>
      <c r="AZ334" s="94" t="str">
        <f t="shared" si="2023"/>
        <v xml:space="preserve"> </v>
      </c>
      <c r="BA334" s="94" t="str">
        <f t="shared" si="2024"/>
        <v xml:space="preserve"> </v>
      </c>
      <c r="BB334" s="94" t="str">
        <f t="shared" si="2025"/>
        <v xml:space="preserve"> </v>
      </c>
    </row>
    <row r="335" spans="1:54" ht="30" x14ac:dyDescent="0.25">
      <c r="A335" s="80">
        <v>141</v>
      </c>
      <c r="B335" s="95" t="s">
        <v>2920</v>
      </c>
      <c r="C335" s="201" t="s">
        <v>504</v>
      </c>
      <c r="D335" s="80" t="s">
        <v>89</v>
      </c>
      <c r="E335" s="94">
        <f>IFERROR(VLOOKUP(A335,Estimate!A:Q,17,FALSE)," ")</f>
        <v>1375</v>
      </c>
      <c r="F335" s="202">
        <v>11</v>
      </c>
      <c r="G335" s="202">
        <v>11</v>
      </c>
      <c r="H335" s="203">
        <v>157.03</v>
      </c>
      <c r="I335" s="203">
        <v>1727.33</v>
      </c>
      <c r="J335" s="203">
        <v>1727.33</v>
      </c>
      <c r="K335" s="203"/>
      <c r="L335" s="202"/>
      <c r="M335" s="204">
        <f t="shared" si="2007"/>
        <v>0</v>
      </c>
      <c r="N335" s="95"/>
      <c r="O335" s="204">
        <f t="shared" si="2007"/>
        <v>0</v>
      </c>
      <c r="P335" s="95"/>
      <c r="Q335" s="204">
        <f t="shared" ref="Q335:S335" si="2056">IFERROR(P335/$G335," ")</f>
        <v>0</v>
      </c>
      <c r="R335" s="95"/>
      <c r="S335" s="204">
        <f t="shared" si="2056"/>
        <v>0</v>
      </c>
      <c r="T335" s="95"/>
      <c r="U335" s="204">
        <f t="shared" ref="U335:W335" si="2057">IFERROR(T335/$G335," ")</f>
        <v>0</v>
      </c>
      <c r="V335" s="95"/>
      <c r="W335" s="204">
        <f t="shared" si="2057"/>
        <v>0</v>
      </c>
      <c r="X335" s="95"/>
      <c r="Y335" s="204">
        <f t="shared" ref="Y335:AA335" si="2058">IFERROR(X335/$G335," ")</f>
        <v>0</v>
      </c>
      <c r="Z335" s="95"/>
      <c r="AA335" s="204">
        <f t="shared" si="2058"/>
        <v>0</v>
      </c>
      <c r="AB335" s="95"/>
      <c r="AC335" s="204">
        <f t="shared" ref="AC335:AE335" si="2059">IFERROR(AB335/$G335," ")</f>
        <v>0</v>
      </c>
      <c r="AD335" s="95"/>
      <c r="AE335" s="204">
        <f t="shared" si="2059"/>
        <v>0</v>
      </c>
      <c r="AF335" s="95"/>
      <c r="AG335" s="204">
        <f t="shared" ref="AG335:AI335" si="2060">IFERROR(AF335/$G335," ")</f>
        <v>0</v>
      </c>
      <c r="AH335" s="95">
        <v>11</v>
      </c>
      <c r="AI335" s="204">
        <f t="shared" si="2060"/>
        <v>1</v>
      </c>
      <c r="AJ335" s="95">
        <v>11</v>
      </c>
      <c r="AK335" s="204">
        <f t="shared" ref="AK335:AM335" si="2061">IFERROR(AJ335/$G335," ")</f>
        <v>1</v>
      </c>
      <c r="AL335" s="95">
        <v>11</v>
      </c>
      <c r="AM335" s="204">
        <f t="shared" si="2061"/>
        <v>1</v>
      </c>
      <c r="AN335" s="95"/>
      <c r="AO335" s="94">
        <f t="shared" si="2014"/>
        <v>0</v>
      </c>
      <c r="AP335" s="94">
        <f t="shared" si="2004"/>
        <v>0</v>
      </c>
      <c r="AQ335" s="94">
        <f t="shared" si="2005"/>
        <v>0</v>
      </c>
      <c r="AR335" s="94">
        <f t="shared" si="2015"/>
        <v>0</v>
      </c>
      <c r="AS335" s="94">
        <f t="shared" si="2016"/>
        <v>0</v>
      </c>
      <c r="AT335" s="94">
        <f t="shared" si="2017"/>
        <v>0</v>
      </c>
      <c r="AU335" s="94">
        <f t="shared" si="2018"/>
        <v>0</v>
      </c>
      <c r="AV335" s="94">
        <f t="shared" si="2019"/>
        <v>0</v>
      </c>
      <c r="AW335" s="94">
        <f t="shared" si="2020"/>
        <v>0</v>
      </c>
      <c r="AX335" s="94">
        <f t="shared" si="2021"/>
        <v>0</v>
      </c>
      <c r="AY335" s="94">
        <f t="shared" si="2022"/>
        <v>0</v>
      </c>
      <c r="AZ335" s="94">
        <f t="shared" si="2023"/>
        <v>1727.33</v>
      </c>
      <c r="BA335" s="94">
        <f t="shared" si="2024"/>
        <v>1727.33</v>
      </c>
      <c r="BB335" s="94">
        <f t="shared" si="2025"/>
        <v>1727.33</v>
      </c>
    </row>
    <row r="336" spans="1:54" x14ac:dyDescent="0.25">
      <c r="A336" s="80"/>
      <c r="B336" s="95" t="s">
        <v>2417</v>
      </c>
      <c r="C336" s="201" t="s">
        <v>2837</v>
      </c>
      <c r="D336" s="80" t="s">
        <v>783</v>
      </c>
      <c r="E336" s="94" t="str">
        <f>IFERROR(VLOOKUP(A336,Estimate!A:Q,17,FALSE)," ")</f>
        <v xml:space="preserve"> </v>
      </c>
      <c r="F336" s="202" t="s">
        <v>781</v>
      </c>
      <c r="G336" s="202" t="s">
        <v>781</v>
      </c>
      <c r="H336" s="203" t="s">
        <v>781</v>
      </c>
      <c r="I336" s="203" t="s">
        <v>781</v>
      </c>
      <c r="J336" s="203" t="s">
        <v>781</v>
      </c>
      <c r="K336" s="203"/>
      <c r="L336" s="202" t="s">
        <v>781</v>
      </c>
      <c r="M336" s="204" t="str">
        <f t="shared" si="2007"/>
        <v xml:space="preserve"> </v>
      </c>
      <c r="N336" s="95" t="s">
        <v>781</v>
      </c>
      <c r="O336" s="204" t="str">
        <f t="shared" si="2007"/>
        <v xml:space="preserve"> </v>
      </c>
      <c r="P336" s="95" t="s">
        <v>781</v>
      </c>
      <c r="Q336" s="204" t="str">
        <f t="shared" ref="Q336:S336" si="2062">IFERROR(P336/$G336," ")</f>
        <v xml:space="preserve"> </v>
      </c>
      <c r="R336" s="95" t="s">
        <v>781</v>
      </c>
      <c r="S336" s="204" t="str">
        <f t="shared" si="2062"/>
        <v xml:space="preserve"> </v>
      </c>
      <c r="T336" s="95" t="s">
        <v>781</v>
      </c>
      <c r="U336" s="204" t="str">
        <f t="shared" ref="U336:W336" si="2063">IFERROR(T336/$G336," ")</f>
        <v xml:space="preserve"> </v>
      </c>
      <c r="V336" s="95" t="s">
        <v>781</v>
      </c>
      <c r="W336" s="204" t="str">
        <f t="shared" si="2063"/>
        <v xml:space="preserve"> </v>
      </c>
      <c r="X336" s="95" t="s">
        <v>781</v>
      </c>
      <c r="Y336" s="204" t="str">
        <f t="shared" ref="Y336:AA336" si="2064">IFERROR(X336/$G336," ")</f>
        <v xml:space="preserve"> </v>
      </c>
      <c r="Z336" s="95" t="s">
        <v>781</v>
      </c>
      <c r="AA336" s="204" t="str">
        <f t="shared" si="2064"/>
        <v xml:space="preserve"> </v>
      </c>
      <c r="AB336" s="95" t="s">
        <v>781</v>
      </c>
      <c r="AC336" s="204" t="str">
        <f t="shared" ref="AC336:AE336" si="2065">IFERROR(AB336/$G336," ")</f>
        <v xml:space="preserve"> </v>
      </c>
      <c r="AD336" s="95" t="s">
        <v>781</v>
      </c>
      <c r="AE336" s="204" t="str">
        <f t="shared" si="2065"/>
        <v xml:space="preserve"> </v>
      </c>
      <c r="AF336" s="95" t="s">
        <v>781</v>
      </c>
      <c r="AG336" s="204" t="str">
        <f t="shared" ref="AG336:AI336" si="2066">IFERROR(AF336/$G336," ")</f>
        <v xml:space="preserve"> </v>
      </c>
      <c r="AH336" s="95" t="s">
        <v>781</v>
      </c>
      <c r="AI336" s="204" t="str">
        <f t="shared" si="2066"/>
        <v xml:space="preserve"> </v>
      </c>
      <c r="AJ336" s="95" t="s">
        <v>781</v>
      </c>
      <c r="AK336" s="204" t="str">
        <f t="shared" ref="AK336:AM336" si="2067">IFERROR(AJ336/$G336," ")</f>
        <v xml:space="preserve"> </v>
      </c>
      <c r="AL336" s="95" t="s">
        <v>781</v>
      </c>
      <c r="AM336" s="204" t="str">
        <f t="shared" si="2067"/>
        <v xml:space="preserve"> </v>
      </c>
      <c r="AN336" s="95"/>
      <c r="AO336" s="94" t="str">
        <f t="shared" si="2014"/>
        <v xml:space="preserve"> </v>
      </c>
      <c r="AP336" s="94" t="str">
        <f t="shared" si="2004"/>
        <v xml:space="preserve"> </v>
      </c>
      <c r="AQ336" s="94" t="str">
        <f t="shared" si="2005"/>
        <v xml:space="preserve"> </v>
      </c>
      <c r="AR336" s="94" t="str">
        <f t="shared" si="2015"/>
        <v xml:space="preserve"> </v>
      </c>
      <c r="AS336" s="94" t="str">
        <f t="shared" si="2016"/>
        <v xml:space="preserve"> </v>
      </c>
      <c r="AT336" s="94" t="str">
        <f t="shared" si="2017"/>
        <v xml:space="preserve"> </v>
      </c>
      <c r="AU336" s="94" t="str">
        <f t="shared" si="2018"/>
        <v xml:space="preserve"> </v>
      </c>
      <c r="AV336" s="94" t="str">
        <f t="shared" si="2019"/>
        <v xml:space="preserve"> </v>
      </c>
      <c r="AW336" s="94" t="str">
        <f t="shared" si="2020"/>
        <v xml:space="preserve"> </v>
      </c>
      <c r="AX336" s="94" t="str">
        <f t="shared" si="2021"/>
        <v xml:space="preserve"> </v>
      </c>
      <c r="AY336" s="94" t="str">
        <f t="shared" si="2022"/>
        <v xml:space="preserve"> </v>
      </c>
      <c r="AZ336" s="94" t="str">
        <f t="shared" si="2023"/>
        <v xml:space="preserve"> </v>
      </c>
      <c r="BA336" s="94" t="str">
        <f t="shared" si="2024"/>
        <v xml:space="preserve"> </v>
      </c>
      <c r="BB336" s="94" t="str">
        <f t="shared" si="2025"/>
        <v xml:space="preserve"> </v>
      </c>
    </row>
    <row r="337" spans="1:54" x14ac:dyDescent="0.25">
      <c r="A337" s="80"/>
      <c r="B337" s="95" t="s">
        <v>2417</v>
      </c>
      <c r="C337" s="201" t="s">
        <v>136</v>
      </c>
      <c r="D337" s="80" t="s">
        <v>783</v>
      </c>
      <c r="E337" s="94" t="str">
        <f>IFERROR(VLOOKUP(A337,Estimate!A:Q,17,FALSE)," ")</f>
        <v xml:space="preserve"> </v>
      </c>
      <c r="F337" s="202" t="s">
        <v>781</v>
      </c>
      <c r="G337" s="202" t="s">
        <v>781</v>
      </c>
      <c r="H337" s="203" t="s">
        <v>781</v>
      </c>
      <c r="I337" s="203" t="s">
        <v>781</v>
      </c>
      <c r="J337" s="203" t="s">
        <v>781</v>
      </c>
      <c r="K337" s="203"/>
      <c r="L337" s="202" t="s">
        <v>781</v>
      </c>
      <c r="M337" s="204" t="str">
        <f t="shared" si="2007"/>
        <v xml:space="preserve"> </v>
      </c>
      <c r="N337" s="95" t="s">
        <v>781</v>
      </c>
      <c r="O337" s="204" t="str">
        <f t="shared" si="2007"/>
        <v xml:space="preserve"> </v>
      </c>
      <c r="P337" s="95" t="s">
        <v>781</v>
      </c>
      <c r="Q337" s="204" t="str">
        <f t="shared" ref="Q337:S337" si="2068">IFERROR(P337/$G337," ")</f>
        <v xml:space="preserve"> </v>
      </c>
      <c r="R337" s="95" t="s">
        <v>781</v>
      </c>
      <c r="S337" s="204" t="str">
        <f t="shared" si="2068"/>
        <v xml:space="preserve"> </v>
      </c>
      <c r="T337" s="95" t="s">
        <v>781</v>
      </c>
      <c r="U337" s="204" t="str">
        <f t="shared" ref="U337:W337" si="2069">IFERROR(T337/$G337," ")</f>
        <v xml:space="preserve"> </v>
      </c>
      <c r="V337" s="95" t="s">
        <v>781</v>
      </c>
      <c r="W337" s="204" t="str">
        <f t="shared" si="2069"/>
        <v xml:space="preserve"> </v>
      </c>
      <c r="X337" s="95" t="s">
        <v>781</v>
      </c>
      <c r="Y337" s="204" t="str">
        <f t="shared" ref="Y337:AA337" si="2070">IFERROR(X337/$G337," ")</f>
        <v xml:space="preserve"> </v>
      </c>
      <c r="Z337" s="95" t="s">
        <v>781</v>
      </c>
      <c r="AA337" s="204" t="str">
        <f t="shared" si="2070"/>
        <v xml:space="preserve"> </v>
      </c>
      <c r="AB337" s="95" t="s">
        <v>781</v>
      </c>
      <c r="AC337" s="204" t="str">
        <f t="shared" ref="AC337:AE337" si="2071">IFERROR(AB337/$G337," ")</f>
        <v xml:space="preserve"> </v>
      </c>
      <c r="AD337" s="95" t="s">
        <v>781</v>
      </c>
      <c r="AE337" s="204" t="str">
        <f t="shared" si="2071"/>
        <v xml:space="preserve"> </v>
      </c>
      <c r="AF337" s="95" t="s">
        <v>781</v>
      </c>
      <c r="AG337" s="204" t="str">
        <f t="shared" ref="AG337:AI337" si="2072">IFERROR(AF337/$G337," ")</f>
        <v xml:space="preserve"> </v>
      </c>
      <c r="AH337" s="95" t="s">
        <v>781</v>
      </c>
      <c r="AI337" s="204" t="str">
        <f t="shared" si="2072"/>
        <v xml:space="preserve"> </v>
      </c>
      <c r="AJ337" s="95" t="s">
        <v>781</v>
      </c>
      <c r="AK337" s="204" t="str">
        <f t="shared" ref="AK337:AM337" si="2073">IFERROR(AJ337/$G337," ")</f>
        <v xml:space="preserve"> </v>
      </c>
      <c r="AL337" s="95" t="s">
        <v>781</v>
      </c>
      <c r="AM337" s="204" t="str">
        <f t="shared" si="2073"/>
        <v xml:space="preserve"> </v>
      </c>
      <c r="AN337" s="95"/>
      <c r="AO337" s="94" t="str">
        <f t="shared" si="2014"/>
        <v xml:space="preserve"> </v>
      </c>
      <c r="AP337" s="94" t="str">
        <f t="shared" si="2004"/>
        <v xml:space="preserve"> </v>
      </c>
      <c r="AQ337" s="94" t="str">
        <f t="shared" si="2005"/>
        <v xml:space="preserve"> </v>
      </c>
      <c r="AR337" s="94" t="str">
        <f t="shared" si="2015"/>
        <v xml:space="preserve"> </v>
      </c>
      <c r="AS337" s="94" t="str">
        <f t="shared" si="2016"/>
        <v xml:space="preserve"> </v>
      </c>
      <c r="AT337" s="94" t="str">
        <f t="shared" si="2017"/>
        <v xml:space="preserve"> </v>
      </c>
      <c r="AU337" s="94" t="str">
        <f t="shared" si="2018"/>
        <v xml:space="preserve"> </v>
      </c>
      <c r="AV337" s="94" t="str">
        <f t="shared" si="2019"/>
        <v xml:space="preserve"> </v>
      </c>
      <c r="AW337" s="94" t="str">
        <f t="shared" si="2020"/>
        <v xml:space="preserve"> </v>
      </c>
      <c r="AX337" s="94" t="str">
        <f t="shared" si="2021"/>
        <v xml:space="preserve"> </v>
      </c>
      <c r="AY337" s="94" t="str">
        <f t="shared" si="2022"/>
        <v xml:space="preserve"> </v>
      </c>
      <c r="AZ337" s="94" t="str">
        <f t="shared" si="2023"/>
        <v xml:space="preserve"> </v>
      </c>
      <c r="BA337" s="94" t="str">
        <f t="shared" si="2024"/>
        <v xml:space="preserve"> </v>
      </c>
      <c r="BB337" s="94" t="str">
        <f t="shared" si="2025"/>
        <v xml:space="preserve"> </v>
      </c>
    </row>
    <row r="338" spans="1:54" x14ac:dyDescent="0.25">
      <c r="A338" s="80"/>
      <c r="B338" s="95" t="s">
        <v>2880</v>
      </c>
      <c r="C338" s="201" t="s">
        <v>231</v>
      </c>
      <c r="D338" s="80" t="s">
        <v>783</v>
      </c>
      <c r="E338" s="94" t="str">
        <f>IFERROR(VLOOKUP(A338,Estimate!A:Q,17,FALSE)," ")</f>
        <v xml:space="preserve"> </v>
      </c>
      <c r="F338" s="202" t="s">
        <v>781</v>
      </c>
      <c r="G338" s="202" t="s">
        <v>781</v>
      </c>
      <c r="H338" s="203" t="s">
        <v>781</v>
      </c>
      <c r="I338" s="203" t="s">
        <v>781</v>
      </c>
      <c r="J338" s="203" t="s">
        <v>781</v>
      </c>
      <c r="K338" s="203"/>
      <c r="L338" s="202" t="s">
        <v>781</v>
      </c>
      <c r="M338" s="204" t="str">
        <f t="shared" si="2007"/>
        <v xml:space="preserve"> </v>
      </c>
      <c r="N338" s="95" t="s">
        <v>781</v>
      </c>
      <c r="O338" s="204" t="str">
        <f t="shared" si="2007"/>
        <v xml:space="preserve"> </v>
      </c>
      <c r="P338" s="95" t="s">
        <v>781</v>
      </c>
      <c r="Q338" s="204" t="str">
        <f t="shared" ref="Q338:S338" si="2074">IFERROR(P338/$G338," ")</f>
        <v xml:space="preserve"> </v>
      </c>
      <c r="R338" s="95" t="s">
        <v>781</v>
      </c>
      <c r="S338" s="204" t="str">
        <f t="shared" si="2074"/>
        <v xml:space="preserve"> </v>
      </c>
      <c r="T338" s="95" t="s">
        <v>781</v>
      </c>
      <c r="U338" s="204" t="str">
        <f t="shared" ref="U338:W338" si="2075">IFERROR(T338/$G338," ")</f>
        <v xml:space="preserve"> </v>
      </c>
      <c r="V338" s="95" t="s">
        <v>781</v>
      </c>
      <c r="W338" s="204" t="str">
        <f t="shared" si="2075"/>
        <v xml:space="preserve"> </v>
      </c>
      <c r="X338" s="95" t="s">
        <v>781</v>
      </c>
      <c r="Y338" s="204" t="str">
        <f t="shared" ref="Y338:AA338" si="2076">IFERROR(X338/$G338," ")</f>
        <v xml:space="preserve"> </v>
      </c>
      <c r="Z338" s="95" t="s">
        <v>781</v>
      </c>
      <c r="AA338" s="204" t="str">
        <f t="shared" si="2076"/>
        <v xml:space="preserve"> </v>
      </c>
      <c r="AB338" s="95" t="s">
        <v>781</v>
      </c>
      <c r="AC338" s="204" t="str">
        <f t="shared" ref="AC338:AE338" si="2077">IFERROR(AB338/$G338," ")</f>
        <v xml:space="preserve"> </v>
      </c>
      <c r="AD338" s="95" t="s">
        <v>781</v>
      </c>
      <c r="AE338" s="204" t="str">
        <f t="shared" si="2077"/>
        <v xml:space="preserve"> </v>
      </c>
      <c r="AF338" s="95" t="s">
        <v>781</v>
      </c>
      <c r="AG338" s="204" t="str">
        <f t="shared" ref="AG338:AI338" si="2078">IFERROR(AF338/$G338," ")</f>
        <v xml:space="preserve"> </v>
      </c>
      <c r="AH338" s="95" t="s">
        <v>781</v>
      </c>
      <c r="AI338" s="204" t="str">
        <f t="shared" si="2078"/>
        <v xml:space="preserve"> </v>
      </c>
      <c r="AJ338" s="95" t="s">
        <v>781</v>
      </c>
      <c r="AK338" s="204" t="str">
        <f t="shared" ref="AK338:AM338" si="2079">IFERROR(AJ338/$G338," ")</f>
        <v xml:space="preserve"> </v>
      </c>
      <c r="AL338" s="95" t="s">
        <v>781</v>
      </c>
      <c r="AM338" s="204" t="str">
        <f t="shared" si="2079"/>
        <v xml:space="preserve"> </v>
      </c>
      <c r="AN338" s="95"/>
      <c r="AO338" s="94" t="str">
        <f t="shared" si="2014"/>
        <v xml:space="preserve"> </v>
      </c>
      <c r="AP338" s="94" t="str">
        <f t="shared" si="2004"/>
        <v xml:space="preserve"> </v>
      </c>
      <c r="AQ338" s="94" t="str">
        <f t="shared" si="2005"/>
        <v xml:space="preserve"> </v>
      </c>
      <c r="AR338" s="94" t="str">
        <f t="shared" si="2015"/>
        <v xml:space="preserve"> </v>
      </c>
      <c r="AS338" s="94" t="str">
        <f t="shared" si="2016"/>
        <v xml:space="preserve"> </v>
      </c>
      <c r="AT338" s="94" t="str">
        <f t="shared" si="2017"/>
        <v xml:space="preserve"> </v>
      </c>
      <c r="AU338" s="94" t="str">
        <f t="shared" si="2018"/>
        <v xml:space="preserve"> </v>
      </c>
      <c r="AV338" s="94" t="str">
        <f t="shared" si="2019"/>
        <v xml:space="preserve"> </v>
      </c>
      <c r="AW338" s="94" t="str">
        <f t="shared" si="2020"/>
        <v xml:space="preserve"> </v>
      </c>
      <c r="AX338" s="94" t="str">
        <f t="shared" si="2021"/>
        <v xml:space="preserve"> </v>
      </c>
      <c r="AY338" s="94" t="str">
        <f t="shared" si="2022"/>
        <v xml:space="preserve"> </v>
      </c>
      <c r="AZ338" s="94" t="str">
        <f t="shared" si="2023"/>
        <v xml:space="preserve"> </v>
      </c>
      <c r="BA338" s="94" t="str">
        <f t="shared" si="2024"/>
        <v xml:space="preserve"> </v>
      </c>
      <c r="BB338" s="94" t="str">
        <f t="shared" si="2025"/>
        <v xml:space="preserve"> </v>
      </c>
    </row>
    <row r="339" spans="1:54" ht="30" x14ac:dyDescent="0.25">
      <c r="A339" s="80"/>
      <c r="B339" s="95" t="s">
        <v>2899</v>
      </c>
      <c r="C339" s="201" t="s">
        <v>415</v>
      </c>
      <c r="D339" s="80" t="s">
        <v>783</v>
      </c>
      <c r="E339" s="94" t="str">
        <f>IFERROR(VLOOKUP(A339,Estimate!A:Q,17,FALSE)," ")</f>
        <v xml:space="preserve"> </v>
      </c>
      <c r="F339" s="202" t="s">
        <v>781</v>
      </c>
      <c r="G339" s="202" t="s">
        <v>781</v>
      </c>
      <c r="H339" s="203" t="s">
        <v>781</v>
      </c>
      <c r="I339" s="203" t="s">
        <v>781</v>
      </c>
      <c r="J339" s="203" t="s">
        <v>781</v>
      </c>
      <c r="K339" s="203"/>
      <c r="L339" s="202" t="s">
        <v>781</v>
      </c>
      <c r="M339" s="204" t="str">
        <f t="shared" si="2007"/>
        <v xml:space="preserve"> </v>
      </c>
      <c r="N339" s="95" t="s">
        <v>781</v>
      </c>
      <c r="O339" s="204" t="str">
        <f t="shared" si="2007"/>
        <v xml:space="preserve"> </v>
      </c>
      <c r="P339" s="95" t="s">
        <v>781</v>
      </c>
      <c r="Q339" s="204" t="str">
        <f t="shared" ref="Q339:S339" si="2080">IFERROR(P339/$G339," ")</f>
        <v xml:space="preserve"> </v>
      </c>
      <c r="R339" s="95" t="s">
        <v>781</v>
      </c>
      <c r="S339" s="204" t="str">
        <f t="shared" si="2080"/>
        <v xml:space="preserve"> </v>
      </c>
      <c r="T339" s="95" t="s">
        <v>781</v>
      </c>
      <c r="U339" s="204" t="str">
        <f t="shared" ref="U339:W339" si="2081">IFERROR(T339/$G339," ")</f>
        <v xml:space="preserve"> </v>
      </c>
      <c r="V339" s="95" t="s">
        <v>781</v>
      </c>
      <c r="W339" s="204" t="str">
        <f t="shared" si="2081"/>
        <v xml:space="preserve"> </v>
      </c>
      <c r="X339" s="95" t="s">
        <v>781</v>
      </c>
      <c r="Y339" s="204" t="str">
        <f t="shared" ref="Y339:AA339" si="2082">IFERROR(X339/$G339," ")</f>
        <v xml:space="preserve"> </v>
      </c>
      <c r="Z339" s="95" t="s">
        <v>781</v>
      </c>
      <c r="AA339" s="204" t="str">
        <f t="shared" si="2082"/>
        <v xml:space="preserve"> </v>
      </c>
      <c r="AB339" s="95" t="s">
        <v>781</v>
      </c>
      <c r="AC339" s="204" t="str">
        <f t="shared" ref="AC339:AE339" si="2083">IFERROR(AB339/$G339," ")</f>
        <v xml:space="preserve"> </v>
      </c>
      <c r="AD339" s="95" t="s">
        <v>781</v>
      </c>
      <c r="AE339" s="204" t="str">
        <f t="shared" si="2083"/>
        <v xml:space="preserve"> </v>
      </c>
      <c r="AF339" s="95" t="s">
        <v>781</v>
      </c>
      <c r="AG339" s="204" t="str">
        <f t="shared" ref="AG339:AI339" si="2084">IFERROR(AF339/$G339," ")</f>
        <v xml:space="preserve"> </v>
      </c>
      <c r="AH339" s="95" t="s">
        <v>781</v>
      </c>
      <c r="AI339" s="204" t="str">
        <f t="shared" si="2084"/>
        <v xml:space="preserve"> </v>
      </c>
      <c r="AJ339" s="95" t="s">
        <v>781</v>
      </c>
      <c r="AK339" s="204" t="str">
        <f t="shared" ref="AK339:AM339" si="2085">IFERROR(AJ339/$G339," ")</f>
        <v xml:space="preserve"> </v>
      </c>
      <c r="AL339" s="95" t="s">
        <v>781</v>
      </c>
      <c r="AM339" s="204" t="str">
        <f t="shared" si="2085"/>
        <v xml:space="preserve"> </v>
      </c>
      <c r="AN339" s="95"/>
      <c r="AO339" s="94" t="str">
        <f t="shared" si="2014"/>
        <v xml:space="preserve"> </v>
      </c>
      <c r="AP339" s="94" t="str">
        <f t="shared" si="2004"/>
        <v xml:space="preserve"> </v>
      </c>
      <c r="AQ339" s="94" t="str">
        <f t="shared" si="2005"/>
        <v xml:space="preserve"> </v>
      </c>
      <c r="AR339" s="94" t="str">
        <f t="shared" si="2015"/>
        <v xml:space="preserve"> </v>
      </c>
      <c r="AS339" s="94" t="str">
        <f t="shared" si="2016"/>
        <v xml:space="preserve"> </v>
      </c>
      <c r="AT339" s="94" t="str">
        <f t="shared" si="2017"/>
        <v xml:space="preserve"> </v>
      </c>
      <c r="AU339" s="94" t="str">
        <f t="shared" si="2018"/>
        <v xml:space="preserve"> </v>
      </c>
      <c r="AV339" s="94" t="str">
        <f t="shared" si="2019"/>
        <v xml:space="preserve"> </v>
      </c>
      <c r="AW339" s="94" t="str">
        <f t="shared" si="2020"/>
        <v xml:space="preserve"> </v>
      </c>
      <c r="AX339" s="94" t="str">
        <f t="shared" si="2021"/>
        <v xml:space="preserve"> </v>
      </c>
      <c r="AY339" s="94" t="str">
        <f t="shared" si="2022"/>
        <v xml:space="preserve"> </v>
      </c>
      <c r="AZ339" s="94" t="str">
        <f t="shared" si="2023"/>
        <v xml:space="preserve"> </v>
      </c>
      <c r="BA339" s="94" t="str">
        <f t="shared" si="2024"/>
        <v xml:space="preserve"> </v>
      </c>
      <c r="BB339" s="94" t="str">
        <f t="shared" si="2025"/>
        <v xml:space="preserve"> </v>
      </c>
    </row>
    <row r="340" spans="1:54" x14ac:dyDescent="0.25">
      <c r="A340" s="80">
        <v>142</v>
      </c>
      <c r="B340" s="95" t="s">
        <v>2892</v>
      </c>
      <c r="C340" s="201" t="s">
        <v>510</v>
      </c>
      <c r="D340" s="80" t="s">
        <v>29</v>
      </c>
      <c r="E340" s="94">
        <f>IFERROR(VLOOKUP(A340,Estimate!A:Q,17,FALSE)," ")</f>
        <v>2449.4666666666667</v>
      </c>
      <c r="F340" s="202">
        <v>5</v>
      </c>
      <c r="G340" s="202">
        <v>5</v>
      </c>
      <c r="H340" s="203">
        <v>615.41999999999996</v>
      </c>
      <c r="I340" s="203">
        <v>3077.1</v>
      </c>
      <c r="J340" s="203">
        <v>3077.1</v>
      </c>
      <c r="K340" s="203"/>
      <c r="L340" s="202"/>
      <c r="M340" s="204">
        <f t="shared" si="2007"/>
        <v>0</v>
      </c>
      <c r="N340" s="95"/>
      <c r="O340" s="204">
        <f t="shared" si="2007"/>
        <v>0</v>
      </c>
      <c r="P340" s="95"/>
      <c r="Q340" s="204">
        <f t="shared" ref="Q340:S340" si="2086">IFERROR(P340/$G340," ")</f>
        <v>0</v>
      </c>
      <c r="R340" s="95"/>
      <c r="S340" s="204">
        <f t="shared" si="2086"/>
        <v>0</v>
      </c>
      <c r="T340" s="95"/>
      <c r="U340" s="204">
        <f t="shared" ref="U340:W340" si="2087">IFERROR(T340/$G340," ")</f>
        <v>0</v>
      </c>
      <c r="V340" s="95"/>
      <c r="W340" s="204">
        <f t="shared" si="2087"/>
        <v>0</v>
      </c>
      <c r="X340" s="95"/>
      <c r="Y340" s="204">
        <f t="shared" ref="Y340:AA340" si="2088">IFERROR(X340/$G340," ")</f>
        <v>0</v>
      </c>
      <c r="Z340" s="95"/>
      <c r="AA340" s="204">
        <f t="shared" si="2088"/>
        <v>0</v>
      </c>
      <c r="AB340" s="95"/>
      <c r="AC340" s="204">
        <f t="shared" ref="AC340:AE340" si="2089">IFERROR(AB340/$G340," ")</f>
        <v>0</v>
      </c>
      <c r="AD340" s="95"/>
      <c r="AE340" s="204">
        <f t="shared" si="2089"/>
        <v>0</v>
      </c>
      <c r="AF340" s="95">
        <v>5</v>
      </c>
      <c r="AG340" s="204">
        <f t="shared" ref="AG340:AI340" si="2090">IFERROR(AF340/$G340," ")</f>
        <v>1</v>
      </c>
      <c r="AH340" s="95">
        <v>5</v>
      </c>
      <c r="AI340" s="204">
        <f t="shared" si="2090"/>
        <v>1</v>
      </c>
      <c r="AJ340" s="95">
        <v>5</v>
      </c>
      <c r="AK340" s="204">
        <f t="shared" ref="AK340:AM340" si="2091">IFERROR(AJ340/$G340," ")</f>
        <v>1</v>
      </c>
      <c r="AL340" s="95">
        <v>5</v>
      </c>
      <c r="AM340" s="204">
        <f t="shared" si="2091"/>
        <v>1</v>
      </c>
      <c r="AN340" s="95"/>
      <c r="AO340" s="94">
        <f t="shared" si="2014"/>
        <v>0</v>
      </c>
      <c r="AP340" s="94">
        <f t="shared" si="2004"/>
        <v>0</v>
      </c>
      <c r="AQ340" s="94">
        <f t="shared" si="2005"/>
        <v>0</v>
      </c>
      <c r="AR340" s="94">
        <f t="shared" si="2015"/>
        <v>0</v>
      </c>
      <c r="AS340" s="94">
        <f t="shared" si="2016"/>
        <v>0</v>
      </c>
      <c r="AT340" s="94">
        <f t="shared" si="2017"/>
        <v>0</v>
      </c>
      <c r="AU340" s="94">
        <f t="shared" si="2018"/>
        <v>0</v>
      </c>
      <c r="AV340" s="94">
        <f t="shared" si="2019"/>
        <v>0</v>
      </c>
      <c r="AW340" s="94">
        <f t="shared" si="2020"/>
        <v>0</v>
      </c>
      <c r="AX340" s="94">
        <f t="shared" si="2021"/>
        <v>0</v>
      </c>
      <c r="AY340" s="94">
        <f t="shared" si="2022"/>
        <v>3077.1</v>
      </c>
      <c r="AZ340" s="94">
        <f t="shared" si="2023"/>
        <v>3077.1</v>
      </c>
      <c r="BA340" s="94">
        <f t="shared" si="2024"/>
        <v>3077.1</v>
      </c>
      <c r="BB340" s="94">
        <f t="shared" si="2025"/>
        <v>3077.1</v>
      </c>
    </row>
    <row r="341" spans="1:54" x14ac:dyDescent="0.25">
      <c r="A341" s="80"/>
      <c r="B341" s="95" t="s">
        <v>2417</v>
      </c>
      <c r="C341" s="201" t="s">
        <v>2837</v>
      </c>
      <c r="D341" s="80" t="s">
        <v>783</v>
      </c>
      <c r="E341" s="94" t="str">
        <f>IFERROR(VLOOKUP(A341,Estimate!A:Q,17,FALSE)," ")</f>
        <v xml:space="preserve"> </v>
      </c>
      <c r="F341" s="202" t="s">
        <v>781</v>
      </c>
      <c r="G341" s="202" t="s">
        <v>781</v>
      </c>
      <c r="H341" s="203" t="s">
        <v>781</v>
      </c>
      <c r="I341" s="203" t="s">
        <v>781</v>
      </c>
      <c r="J341" s="203" t="s">
        <v>781</v>
      </c>
      <c r="K341" s="203"/>
      <c r="L341" s="202" t="s">
        <v>781</v>
      </c>
      <c r="M341" s="204" t="str">
        <f t="shared" si="2007"/>
        <v xml:space="preserve"> </v>
      </c>
      <c r="N341" s="95" t="s">
        <v>781</v>
      </c>
      <c r="O341" s="204" t="str">
        <f t="shared" si="2007"/>
        <v xml:space="preserve"> </v>
      </c>
      <c r="P341" s="95" t="s">
        <v>781</v>
      </c>
      <c r="Q341" s="204" t="str">
        <f t="shared" ref="Q341:S341" si="2092">IFERROR(P341/$G341," ")</f>
        <v xml:space="preserve"> </v>
      </c>
      <c r="R341" s="95" t="s">
        <v>781</v>
      </c>
      <c r="S341" s="204" t="str">
        <f t="shared" si="2092"/>
        <v xml:space="preserve"> </v>
      </c>
      <c r="T341" s="95" t="s">
        <v>781</v>
      </c>
      <c r="U341" s="204" t="str">
        <f t="shared" ref="U341:W341" si="2093">IFERROR(T341/$G341," ")</f>
        <v xml:space="preserve"> </v>
      </c>
      <c r="V341" s="95" t="s">
        <v>781</v>
      </c>
      <c r="W341" s="204" t="str">
        <f t="shared" si="2093"/>
        <v xml:space="preserve"> </v>
      </c>
      <c r="X341" s="95" t="s">
        <v>781</v>
      </c>
      <c r="Y341" s="204" t="str">
        <f t="shared" ref="Y341:AA341" si="2094">IFERROR(X341/$G341," ")</f>
        <v xml:space="preserve"> </v>
      </c>
      <c r="Z341" s="95" t="s">
        <v>781</v>
      </c>
      <c r="AA341" s="204" t="str">
        <f t="shared" si="2094"/>
        <v xml:space="preserve"> </v>
      </c>
      <c r="AB341" s="95" t="s">
        <v>781</v>
      </c>
      <c r="AC341" s="204" t="str">
        <f t="shared" ref="AC341:AE341" si="2095">IFERROR(AB341/$G341," ")</f>
        <v xml:space="preserve"> </v>
      </c>
      <c r="AD341" s="95" t="s">
        <v>781</v>
      </c>
      <c r="AE341" s="204" t="str">
        <f t="shared" si="2095"/>
        <v xml:space="preserve"> </v>
      </c>
      <c r="AF341" s="95" t="s">
        <v>781</v>
      </c>
      <c r="AG341" s="204" t="str">
        <f t="shared" ref="AG341:AI341" si="2096">IFERROR(AF341/$G341," ")</f>
        <v xml:space="preserve"> </v>
      </c>
      <c r="AH341" s="95" t="s">
        <v>781</v>
      </c>
      <c r="AI341" s="204" t="str">
        <f t="shared" si="2096"/>
        <v xml:space="preserve"> </v>
      </c>
      <c r="AJ341" s="95" t="s">
        <v>781</v>
      </c>
      <c r="AK341" s="204" t="str">
        <f t="shared" ref="AK341:AM341" si="2097">IFERROR(AJ341/$G341," ")</f>
        <v xml:space="preserve"> </v>
      </c>
      <c r="AL341" s="95" t="s">
        <v>781</v>
      </c>
      <c r="AM341" s="204" t="str">
        <f t="shared" si="2097"/>
        <v xml:space="preserve"> </v>
      </c>
      <c r="AN341" s="95"/>
      <c r="AO341" s="94" t="str">
        <f t="shared" si="2014"/>
        <v xml:space="preserve"> </v>
      </c>
      <c r="AP341" s="94" t="str">
        <f t="shared" si="2004"/>
        <v xml:space="preserve"> </v>
      </c>
      <c r="AQ341" s="94" t="str">
        <f t="shared" si="2005"/>
        <v xml:space="preserve"> </v>
      </c>
      <c r="AR341" s="94" t="str">
        <f t="shared" si="2015"/>
        <v xml:space="preserve"> </v>
      </c>
      <c r="AS341" s="94" t="str">
        <f t="shared" si="2016"/>
        <v xml:space="preserve"> </v>
      </c>
      <c r="AT341" s="94" t="str">
        <f t="shared" si="2017"/>
        <v xml:space="preserve"> </v>
      </c>
      <c r="AU341" s="94" t="str">
        <f t="shared" si="2018"/>
        <v xml:space="preserve"> </v>
      </c>
      <c r="AV341" s="94" t="str">
        <f t="shared" si="2019"/>
        <v xml:space="preserve"> </v>
      </c>
      <c r="AW341" s="94" t="str">
        <f t="shared" si="2020"/>
        <v xml:space="preserve"> </v>
      </c>
      <c r="AX341" s="94" t="str">
        <f t="shared" si="2021"/>
        <v xml:space="preserve"> </v>
      </c>
      <c r="AY341" s="94" t="str">
        <f t="shared" si="2022"/>
        <v xml:space="preserve"> </v>
      </c>
      <c r="AZ341" s="94" t="str">
        <f t="shared" si="2023"/>
        <v xml:space="preserve"> </v>
      </c>
      <c r="BA341" s="94" t="str">
        <f t="shared" si="2024"/>
        <v xml:space="preserve"> </v>
      </c>
      <c r="BB341" s="94" t="str">
        <f t="shared" si="2025"/>
        <v xml:space="preserve"> </v>
      </c>
    </row>
    <row r="342" spans="1:54" x14ac:dyDescent="0.25">
      <c r="A342" s="80"/>
      <c r="B342" s="95" t="s">
        <v>2417</v>
      </c>
      <c r="C342" s="201" t="s">
        <v>418</v>
      </c>
      <c r="D342" s="80" t="s">
        <v>783</v>
      </c>
      <c r="E342" s="94" t="str">
        <f>IFERROR(VLOOKUP(A342,Estimate!A:Q,17,FALSE)," ")</f>
        <v xml:space="preserve"> </v>
      </c>
      <c r="F342" s="202" t="s">
        <v>781</v>
      </c>
      <c r="G342" s="202" t="s">
        <v>781</v>
      </c>
      <c r="H342" s="203" t="s">
        <v>781</v>
      </c>
      <c r="I342" s="203" t="s">
        <v>781</v>
      </c>
      <c r="J342" s="203" t="s">
        <v>781</v>
      </c>
      <c r="K342" s="203"/>
      <c r="L342" s="202" t="s">
        <v>781</v>
      </c>
      <c r="M342" s="204" t="str">
        <f t="shared" si="2007"/>
        <v xml:space="preserve"> </v>
      </c>
      <c r="N342" s="95" t="s">
        <v>781</v>
      </c>
      <c r="O342" s="204" t="str">
        <f t="shared" si="2007"/>
        <v xml:space="preserve"> </v>
      </c>
      <c r="P342" s="95" t="s">
        <v>781</v>
      </c>
      <c r="Q342" s="204" t="str">
        <f t="shared" ref="Q342:S342" si="2098">IFERROR(P342/$G342," ")</f>
        <v xml:space="preserve"> </v>
      </c>
      <c r="R342" s="95" t="s">
        <v>781</v>
      </c>
      <c r="S342" s="204" t="str">
        <f t="shared" si="2098"/>
        <v xml:space="preserve"> </v>
      </c>
      <c r="T342" s="95" t="s">
        <v>781</v>
      </c>
      <c r="U342" s="204" t="str">
        <f t="shared" ref="U342:W342" si="2099">IFERROR(T342/$G342," ")</f>
        <v xml:space="preserve"> </v>
      </c>
      <c r="V342" s="95" t="s">
        <v>781</v>
      </c>
      <c r="W342" s="204" t="str">
        <f t="shared" si="2099"/>
        <v xml:space="preserve"> </v>
      </c>
      <c r="X342" s="95" t="s">
        <v>781</v>
      </c>
      <c r="Y342" s="204" t="str">
        <f t="shared" ref="Y342:AA342" si="2100">IFERROR(X342/$G342," ")</f>
        <v xml:space="preserve"> </v>
      </c>
      <c r="Z342" s="95" t="s">
        <v>781</v>
      </c>
      <c r="AA342" s="204" t="str">
        <f t="shared" si="2100"/>
        <v xml:space="preserve"> </v>
      </c>
      <c r="AB342" s="95" t="s">
        <v>781</v>
      </c>
      <c r="AC342" s="204" t="str">
        <f t="shared" ref="AC342:AE342" si="2101">IFERROR(AB342/$G342," ")</f>
        <v xml:space="preserve"> </v>
      </c>
      <c r="AD342" s="95" t="s">
        <v>781</v>
      </c>
      <c r="AE342" s="204" t="str">
        <f t="shared" si="2101"/>
        <v xml:space="preserve"> </v>
      </c>
      <c r="AF342" s="95" t="s">
        <v>781</v>
      </c>
      <c r="AG342" s="204" t="str">
        <f t="shared" ref="AG342:AI342" si="2102">IFERROR(AF342/$G342," ")</f>
        <v xml:space="preserve"> </v>
      </c>
      <c r="AH342" s="95" t="s">
        <v>781</v>
      </c>
      <c r="AI342" s="204" t="str">
        <f t="shared" si="2102"/>
        <v xml:space="preserve"> </v>
      </c>
      <c r="AJ342" s="95" t="s">
        <v>781</v>
      </c>
      <c r="AK342" s="204" t="str">
        <f t="shared" ref="AK342:AM342" si="2103">IFERROR(AJ342/$G342," ")</f>
        <v xml:space="preserve"> </v>
      </c>
      <c r="AL342" s="95" t="s">
        <v>781</v>
      </c>
      <c r="AM342" s="204" t="str">
        <f t="shared" si="2103"/>
        <v xml:space="preserve"> </v>
      </c>
      <c r="AN342" s="95"/>
      <c r="AO342" s="94" t="str">
        <f t="shared" si="2014"/>
        <v xml:space="preserve"> </v>
      </c>
      <c r="AP342" s="94" t="str">
        <f t="shared" si="2004"/>
        <v xml:space="preserve"> </v>
      </c>
      <c r="AQ342" s="94" t="str">
        <f t="shared" si="2005"/>
        <v xml:space="preserve"> </v>
      </c>
      <c r="AR342" s="94" t="str">
        <f t="shared" si="2015"/>
        <v xml:space="preserve"> </v>
      </c>
      <c r="AS342" s="94" t="str">
        <f t="shared" si="2016"/>
        <v xml:space="preserve"> </v>
      </c>
      <c r="AT342" s="94" t="str">
        <f t="shared" si="2017"/>
        <v xml:space="preserve"> </v>
      </c>
      <c r="AU342" s="94" t="str">
        <f t="shared" si="2018"/>
        <v xml:space="preserve"> </v>
      </c>
      <c r="AV342" s="94" t="str">
        <f t="shared" si="2019"/>
        <v xml:space="preserve"> </v>
      </c>
      <c r="AW342" s="94" t="str">
        <f t="shared" si="2020"/>
        <v xml:space="preserve"> </v>
      </c>
      <c r="AX342" s="94" t="str">
        <f t="shared" si="2021"/>
        <v xml:space="preserve"> </v>
      </c>
      <c r="AY342" s="94" t="str">
        <f t="shared" si="2022"/>
        <v xml:space="preserve"> </v>
      </c>
      <c r="AZ342" s="94" t="str">
        <f t="shared" si="2023"/>
        <v xml:space="preserve"> </v>
      </c>
      <c r="BA342" s="94" t="str">
        <f t="shared" si="2024"/>
        <v xml:space="preserve"> </v>
      </c>
      <c r="BB342" s="94" t="str">
        <f t="shared" si="2025"/>
        <v xml:space="preserve"> </v>
      </c>
    </row>
    <row r="343" spans="1:54" x14ac:dyDescent="0.25">
      <c r="A343" s="80"/>
      <c r="B343" s="95" t="s">
        <v>2901</v>
      </c>
      <c r="C343" s="201" t="s">
        <v>420</v>
      </c>
      <c r="D343" s="80" t="s">
        <v>783</v>
      </c>
      <c r="E343" s="94" t="str">
        <f>IFERROR(VLOOKUP(A343,Estimate!A:Q,17,FALSE)," ")</f>
        <v xml:space="preserve"> </v>
      </c>
      <c r="F343" s="202" t="s">
        <v>781</v>
      </c>
      <c r="G343" s="202" t="s">
        <v>781</v>
      </c>
      <c r="H343" s="203" t="s">
        <v>781</v>
      </c>
      <c r="I343" s="203" t="s">
        <v>781</v>
      </c>
      <c r="J343" s="203" t="s">
        <v>781</v>
      </c>
      <c r="K343" s="203"/>
      <c r="L343" s="202" t="s">
        <v>781</v>
      </c>
      <c r="M343" s="204" t="str">
        <f t="shared" si="2007"/>
        <v xml:space="preserve"> </v>
      </c>
      <c r="N343" s="95" t="s">
        <v>781</v>
      </c>
      <c r="O343" s="204" t="str">
        <f t="shared" si="2007"/>
        <v xml:space="preserve"> </v>
      </c>
      <c r="P343" s="95" t="s">
        <v>781</v>
      </c>
      <c r="Q343" s="204" t="str">
        <f t="shared" ref="Q343:S343" si="2104">IFERROR(P343/$G343," ")</f>
        <v xml:space="preserve"> </v>
      </c>
      <c r="R343" s="95" t="s">
        <v>781</v>
      </c>
      <c r="S343" s="204" t="str">
        <f t="shared" si="2104"/>
        <v xml:space="preserve"> </v>
      </c>
      <c r="T343" s="95" t="s">
        <v>781</v>
      </c>
      <c r="U343" s="204" t="str">
        <f t="shared" ref="U343:W343" si="2105">IFERROR(T343/$G343," ")</f>
        <v xml:space="preserve"> </v>
      </c>
      <c r="V343" s="95" t="s">
        <v>781</v>
      </c>
      <c r="W343" s="204" t="str">
        <f t="shared" si="2105"/>
        <v xml:space="preserve"> </v>
      </c>
      <c r="X343" s="95" t="s">
        <v>781</v>
      </c>
      <c r="Y343" s="204" t="str">
        <f t="shared" ref="Y343:AA343" si="2106">IFERROR(X343/$G343," ")</f>
        <v xml:space="preserve"> </v>
      </c>
      <c r="Z343" s="95" t="s">
        <v>781</v>
      </c>
      <c r="AA343" s="204" t="str">
        <f t="shared" si="2106"/>
        <v xml:space="preserve"> </v>
      </c>
      <c r="AB343" s="95" t="s">
        <v>781</v>
      </c>
      <c r="AC343" s="204" t="str">
        <f t="shared" ref="AC343:AE343" si="2107">IFERROR(AB343/$G343," ")</f>
        <v xml:space="preserve"> </v>
      </c>
      <c r="AD343" s="95" t="s">
        <v>781</v>
      </c>
      <c r="AE343" s="204" t="str">
        <f t="shared" si="2107"/>
        <v xml:space="preserve"> </v>
      </c>
      <c r="AF343" s="95" t="s">
        <v>781</v>
      </c>
      <c r="AG343" s="204" t="str">
        <f t="shared" ref="AG343:AI343" si="2108">IFERROR(AF343/$G343," ")</f>
        <v xml:space="preserve"> </v>
      </c>
      <c r="AH343" s="95" t="s">
        <v>781</v>
      </c>
      <c r="AI343" s="204" t="str">
        <f t="shared" si="2108"/>
        <v xml:space="preserve"> </v>
      </c>
      <c r="AJ343" s="95" t="s">
        <v>781</v>
      </c>
      <c r="AK343" s="204" t="str">
        <f t="shared" ref="AK343:AM343" si="2109">IFERROR(AJ343/$G343," ")</f>
        <v xml:space="preserve"> </v>
      </c>
      <c r="AL343" s="95" t="s">
        <v>781</v>
      </c>
      <c r="AM343" s="204" t="str">
        <f t="shared" si="2109"/>
        <v xml:space="preserve"> </v>
      </c>
      <c r="AN343" s="95"/>
      <c r="AO343" s="94" t="str">
        <f t="shared" si="2014"/>
        <v xml:space="preserve"> </v>
      </c>
      <c r="AP343" s="94" t="str">
        <f t="shared" si="2004"/>
        <v xml:space="preserve"> </v>
      </c>
      <c r="AQ343" s="94" t="str">
        <f t="shared" si="2005"/>
        <v xml:space="preserve"> </v>
      </c>
      <c r="AR343" s="94" t="str">
        <f t="shared" si="2015"/>
        <v xml:space="preserve"> </v>
      </c>
      <c r="AS343" s="94" t="str">
        <f t="shared" si="2016"/>
        <v xml:space="preserve"> </v>
      </c>
      <c r="AT343" s="94" t="str">
        <f t="shared" si="2017"/>
        <v xml:space="preserve"> </v>
      </c>
      <c r="AU343" s="94" t="str">
        <f t="shared" si="2018"/>
        <v xml:space="preserve"> </v>
      </c>
      <c r="AV343" s="94" t="str">
        <f t="shared" si="2019"/>
        <v xml:space="preserve"> </v>
      </c>
      <c r="AW343" s="94" t="str">
        <f t="shared" si="2020"/>
        <v xml:space="preserve"> </v>
      </c>
      <c r="AX343" s="94" t="str">
        <f t="shared" si="2021"/>
        <v xml:space="preserve"> </v>
      </c>
      <c r="AY343" s="94" t="str">
        <f t="shared" si="2022"/>
        <v xml:space="preserve"> </v>
      </c>
      <c r="AZ343" s="94" t="str">
        <f t="shared" si="2023"/>
        <v xml:space="preserve"> </v>
      </c>
      <c r="BA343" s="94" t="str">
        <f t="shared" si="2024"/>
        <v xml:space="preserve"> </v>
      </c>
      <c r="BB343" s="94" t="str">
        <f t="shared" si="2025"/>
        <v xml:space="preserve"> </v>
      </c>
    </row>
    <row r="344" spans="1:54" x14ac:dyDescent="0.25">
      <c r="A344" s="80">
        <v>143</v>
      </c>
      <c r="B344" s="95">
        <v>1301</v>
      </c>
      <c r="C344" s="201" t="s">
        <v>514</v>
      </c>
      <c r="D344" s="80" t="s">
        <v>20</v>
      </c>
      <c r="E344" s="94">
        <f>IFERROR(VLOOKUP(A344,Estimate!A:Q,17,FALSE)," ")</f>
        <v>7920</v>
      </c>
      <c r="F344" s="202">
        <v>1</v>
      </c>
      <c r="G344" s="202">
        <v>1</v>
      </c>
      <c r="H344" s="203">
        <v>9949.32</v>
      </c>
      <c r="I344" s="203">
        <v>9949.32</v>
      </c>
      <c r="J344" s="203">
        <v>9949.32</v>
      </c>
      <c r="K344" s="203"/>
      <c r="L344" s="202"/>
      <c r="M344" s="204">
        <f t="shared" si="2007"/>
        <v>0</v>
      </c>
      <c r="N344" s="95"/>
      <c r="O344" s="204">
        <f t="shared" si="2007"/>
        <v>0</v>
      </c>
      <c r="P344" s="95"/>
      <c r="Q344" s="204">
        <f t="shared" ref="Q344:S344" si="2110">IFERROR(P344/$G344," ")</f>
        <v>0</v>
      </c>
      <c r="R344" s="95"/>
      <c r="S344" s="204">
        <f t="shared" si="2110"/>
        <v>0</v>
      </c>
      <c r="T344" s="95"/>
      <c r="U344" s="204">
        <f t="shared" ref="U344:W344" si="2111">IFERROR(T344/$G344," ")</f>
        <v>0</v>
      </c>
      <c r="V344" s="95"/>
      <c r="W344" s="204">
        <f t="shared" si="2111"/>
        <v>0</v>
      </c>
      <c r="X344" s="95"/>
      <c r="Y344" s="204">
        <f t="shared" ref="Y344:AA344" si="2112">IFERROR(X344/$G344," ")</f>
        <v>0</v>
      </c>
      <c r="Z344" s="95"/>
      <c r="AA344" s="204">
        <f t="shared" si="2112"/>
        <v>0</v>
      </c>
      <c r="AB344" s="95">
        <v>0.8</v>
      </c>
      <c r="AC344" s="204">
        <f t="shared" ref="AC344:AE344" si="2113">IFERROR(AB344/$G344," ")</f>
        <v>0.8</v>
      </c>
      <c r="AD344" s="95">
        <v>1</v>
      </c>
      <c r="AE344" s="204">
        <f t="shared" si="2113"/>
        <v>1</v>
      </c>
      <c r="AF344" s="95">
        <v>1</v>
      </c>
      <c r="AG344" s="204">
        <f t="shared" ref="AG344:AI344" si="2114">IFERROR(AF344/$G344," ")</f>
        <v>1</v>
      </c>
      <c r="AH344" s="95">
        <v>1</v>
      </c>
      <c r="AI344" s="204">
        <f t="shared" si="2114"/>
        <v>1</v>
      </c>
      <c r="AJ344" s="95">
        <v>1</v>
      </c>
      <c r="AK344" s="204">
        <f t="shared" ref="AK344:AM344" si="2115">IFERROR(AJ344/$G344," ")</f>
        <v>1</v>
      </c>
      <c r="AL344" s="95">
        <v>1</v>
      </c>
      <c r="AM344" s="204">
        <f t="shared" si="2115"/>
        <v>1</v>
      </c>
      <c r="AN344" s="95"/>
      <c r="AO344" s="94">
        <f t="shared" si="2014"/>
        <v>0</v>
      </c>
      <c r="AP344" s="94">
        <f t="shared" si="2004"/>
        <v>0</v>
      </c>
      <c r="AQ344" s="94">
        <f t="shared" si="2005"/>
        <v>0</v>
      </c>
      <c r="AR344" s="94">
        <f t="shared" si="2015"/>
        <v>0</v>
      </c>
      <c r="AS344" s="94">
        <f t="shared" si="2016"/>
        <v>0</v>
      </c>
      <c r="AT344" s="94">
        <f t="shared" si="2017"/>
        <v>0</v>
      </c>
      <c r="AU344" s="94">
        <f t="shared" si="2018"/>
        <v>0</v>
      </c>
      <c r="AV344" s="94">
        <f t="shared" si="2019"/>
        <v>0</v>
      </c>
      <c r="AW344" s="94">
        <f t="shared" si="2020"/>
        <v>7959.4560000000001</v>
      </c>
      <c r="AX344" s="94">
        <f t="shared" si="2021"/>
        <v>9949.32</v>
      </c>
      <c r="AY344" s="94">
        <f t="shared" si="2022"/>
        <v>9949.32</v>
      </c>
      <c r="AZ344" s="94">
        <f t="shared" si="2023"/>
        <v>9949.32</v>
      </c>
      <c r="BA344" s="94">
        <f t="shared" si="2024"/>
        <v>9949.32</v>
      </c>
      <c r="BB344" s="94">
        <f t="shared" si="2025"/>
        <v>9949.32</v>
      </c>
    </row>
    <row r="345" spans="1:54" x14ac:dyDescent="0.25">
      <c r="A345" s="80">
        <v>144</v>
      </c>
      <c r="B345" s="95">
        <v>1302</v>
      </c>
      <c r="C345" s="201" t="s">
        <v>516</v>
      </c>
      <c r="D345" s="80" t="s">
        <v>20</v>
      </c>
      <c r="E345" s="94">
        <f>IFERROR(VLOOKUP(A345,Estimate!A:Q,17,FALSE)," ")</f>
        <v>7000</v>
      </c>
      <c r="F345" s="202">
        <v>1</v>
      </c>
      <c r="G345" s="202">
        <v>1</v>
      </c>
      <c r="H345" s="203">
        <v>8793.59</v>
      </c>
      <c r="I345" s="203">
        <v>8793.59</v>
      </c>
      <c r="J345" s="203">
        <v>8793.59</v>
      </c>
      <c r="K345" s="203"/>
      <c r="L345" s="202"/>
      <c r="M345" s="204">
        <f t="shared" si="2007"/>
        <v>0</v>
      </c>
      <c r="N345" s="95"/>
      <c r="O345" s="204">
        <f t="shared" si="2007"/>
        <v>0</v>
      </c>
      <c r="P345" s="95"/>
      <c r="Q345" s="204">
        <f t="shared" ref="Q345:S345" si="2116">IFERROR(P345/$G345," ")</f>
        <v>0</v>
      </c>
      <c r="R345" s="95"/>
      <c r="S345" s="204">
        <f t="shared" si="2116"/>
        <v>0</v>
      </c>
      <c r="T345" s="95"/>
      <c r="U345" s="204">
        <f t="shared" ref="U345:W345" si="2117">IFERROR(T345/$G345," ")</f>
        <v>0</v>
      </c>
      <c r="V345" s="95"/>
      <c r="W345" s="204">
        <f t="shared" si="2117"/>
        <v>0</v>
      </c>
      <c r="X345" s="95"/>
      <c r="Y345" s="204">
        <f t="shared" ref="Y345:AA345" si="2118">IFERROR(X345/$G345," ")</f>
        <v>0</v>
      </c>
      <c r="Z345" s="95"/>
      <c r="AA345" s="204">
        <f t="shared" si="2118"/>
        <v>0</v>
      </c>
      <c r="AB345" s="95">
        <v>0.8</v>
      </c>
      <c r="AC345" s="204">
        <f t="shared" ref="AC345:AE345" si="2119">IFERROR(AB345/$G345," ")</f>
        <v>0.8</v>
      </c>
      <c r="AD345" s="95">
        <v>1</v>
      </c>
      <c r="AE345" s="204">
        <f t="shared" si="2119"/>
        <v>1</v>
      </c>
      <c r="AF345" s="95">
        <v>1</v>
      </c>
      <c r="AG345" s="204">
        <f t="shared" ref="AG345:AI345" si="2120">IFERROR(AF345/$G345," ")</f>
        <v>1</v>
      </c>
      <c r="AH345" s="95">
        <v>1</v>
      </c>
      <c r="AI345" s="204">
        <f t="shared" si="2120"/>
        <v>1</v>
      </c>
      <c r="AJ345" s="95">
        <v>1</v>
      </c>
      <c r="AK345" s="204">
        <f t="shared" ref="AK345:AM345" si="2121">IFERROR(AJ345/$G345," ")</f>
        <v>1</v>
      </c>
      <c r="AL345" s="95">
        <v>1</v>
      </c>
      <c r="AM345" s="204">
        <f t="shared" si="2121"/>
        <v>1</v>
      </c>
      <c r="AN345" s="95"/>
      <c r="AO345" s="94">
        <f t="shared" si="2014"/>
        <v>0</v>
      </c>
      <c r="AP345" s="94">
        <f t="shared" si="2004"/>
        <v>0</v>
      </c>
      <c r="AQ345" s="94">
        <f t="shared" si="2005"/>
        <v>0</v>
      </c>
      <c r="AR345" s="94">
        <f t="shared" si="2015"/>
        <v>0</v>
      </c>
      <c r="AS345" s="94">
        <f t="shared" si="2016"/>
        <v>0</v>
      </c>
      <c r="AT345" s="94">
        <f t="shared" si="2017"/>
        <v>0</v>
      </c>
      <c r="AU345" s="94">
        <f t="shared" si="2018"/>
        <v>0</v>
      </c>
      <c r="AV345" s="94">
        <f t="shared" si="2019"/>
        <v>0</v>
      </c>
      <c r="AW345" s="94">
        <f t="shared" si="2020"/>
        <v>7034.8720000000003</v>
      </c>
      <c r="AX345" s="94">
        <f t="shared" si="2021"/>
        <v>8793.59</v>
      </c>
      <c r="AY345" s="94">
        <f t="shared" si="2022"/>
        <v>8793.59</v>
      </c>
      <c r="AZ345" s="94">
        <f t="shared" si="2023"/>
        <v>8793.59</v>
      </c>
      <c r="BA345" s="94">
        <f t="shared" si="2024"/>
        <v>8793.59</v>
      </c>
      <c r="BB345" s="94">
        <f t="shared" si="2025"/>
        <v>8793.59</v>
      </c>
    </row>
    <row r="346" spans="1:54" x14ac:dyDescent="0.25">
      <c r="A346" s="80">
        <v>145</v>
      </c>
      <c r="B346" s="95">
        <v>1303</v>
      </c>
      <c r="C346" s="201" t="s">
        <v>518</v>
      </c>
      <c r="D346" s="80" t="s">
        <v>20</v>
      </c>
      <c r="E346" s="94">
        <f>IFERROR(VLOOKUP(A346,Estimate!A:Q,17,FALSE)," ")</f>
        <v>1000</v>
      </c>
      <c r="F346" s="202">
        <v>1</v>
      </c>
      <c r="G346" s="202">
        <v>1</v>
      </c>
      <c r="H346" s="203">
        <v>1256.23</v>
      </c>
      <c r="I346" s="203">
        <v>1256.23</v>
      </c>
      <c r="J346" s="203">
        <v>1256.23</v>
      </c>
      <c r="K346" s="203"/>
      <c r="L346" s="202"/>
      <c r="M346" s="204">
        <f t="shared" si="2007"/>
        <v>0</v>
      </c>
      <c r="N346" s="95"/>
      <c r="O346" s="204">
        <f t="shared" si="2007"/>
        <v>0</v>
      </c>
      <c r="P346" s="95"/>
      <c r="Q346" s="204">
        <f t="shared" ref="Q346:S346" si="2122">IFERROR(P346/$G346," ")</f>
        <v>0</v>
      </c>
      <c r="R346" s="95"/>
      <c r="S346" s="204">
        <f t="shared" si="2122"/>
        <v>0</v>
      </c>
      <c r="T346" s="95"/>
      <c r="U346" s="204">
        <f t="shared" ref="U346:W346" si="2123">IFERROR(T346/$G346," ")</f>
        <v>0</v>
      </c>
      <c r="V346" s="95"/>
      <c r="W346" s="204">
        <f t="shared" si="2123"/>
        <v>0</v>
      </c>
      <c r="X346" s="95"/>
      <c r="Y346" s="204">
        <f t="shared" ref="Y346:AA346" si="2124">IFERROR(X346/$G346," ")</f>
        <v>0</v>
      </c>
      <c r="Z346" s="95"/>
      <c r="AA346" s="204">
        <f t="shared" si="2124"/>
        <v>0</v>
      </c>
      <c r="AB346" s="95">
        <v>0.8</v>
      </c>
      <c r="AC346" s="204">
        <f t="shared" ref="AC346:AE346" si="2125">IFERROR(AB346/$G346," ")</f>
        <v>0.8</v>
      </c>
      <c r="AD346" s="95">
        <v>1</v>
      </c>
      <c r="AE346" s="204">
        <f t="shared" si="2125"/>
        <v>1</v>
      </c>
      <c r="AF346" s="95">
        <v>1</v>
      </c>
      <c r="AG346" s="204">
        <f t="shared" ref="AG346:AI346" si="2126">IFERROR(AF346/$G346," ")</f>
        <v>1</v>
      </c>
      <c r="AH346" s="95">
        <v>1</v>
      </c>
      <c r="AI346" s="204">
        <f t="shared" si="2126"/>
        <v>1</v>
      </c>
      <c r="AJ346" s="95">
        <v>1</v>
      </c>
      <c r="AK346" s="204">
        <f t="shared" ref="AK346:AM346" si="2127">IFERROR(AJ346/$G346," ")</f>
        <v>1</v>
      </c>
      <c r="AL346" s="95">
        <v>1</v>
      </c>
      <c r="AM346" s="204">
        <f t="shared" si="2127"/>
        <v>1</v>
      </c>
      <c r="AN346" s="95"/>
      <c r="AO346" s="94">
        <f t="shared" si="2014"/>
        <v>0</v>
      </c>
      <c r="AP346" s="94">
        <f t="shared" si="2004"/>
        <v>0</v>
      </c>
      <c r="AQ346" s="94">
        <f t="shared" si="2005"/>
        <v>0</v>
      </c>
      <c r="AR346" s="94">
        <f t="shared" si="2015"/>
        <v>0</v>
      </c>
      <c r="AS346" s="94">
        <f t="shared" si="2016"/>
        <v>0</v>
      </c>
      <c r="AT346" s="94">
        <f t="shared" si="2017"/>
        <v>0</v>
      </c>
      <c r="AU346" s="94">
        <f t="shared" si="2018"/>
        <v>0</v>
      </c>
      <c r="AV346" s="94">
        <f t="shared" si="2019"/>
        <v>0</v>
      </c>
      <c r="AW346" s="94">
        <f t="shared" si="2020"/>
        <v>1004.984</v>
      </c>
      <c r="AX346" s="94">
        <f t="shared" si="2021"/>
        <v>1256.23</v>
      </c>
      <c r="AY346" s="94">
        <f t="shared" si="2022"/>
        <v>1256.23</v>
      </c>
      <c r="AZ346" s="94">
        <f t="shared" si="2023"/>
        <v>1256.23</v>
      </c>
      <c r="BA346" s="94">
        <f t="shared" si="2024"/>
        <v>1256.23</v>
      </c>
      <c r="BB346" s="94">
        <f t="shared" si="2025"/>
        <v>1256.23</v>
      </c>
    </row>
    <row r="347" spans="1:54" x14ac:dyDescent="0.25">
      <c r="A347" s="80"/>
      <c r="B347" s="95" t="s">
        <v>2417</v>
      </c>
      <c r="C347" s="201" t="s">
        <v>2837</v>
      </c>
      <c r="D347" s="80" t="s">
        <v>783</v>
      </c>
      <c r="E347" s="94" t="str">
        <f>IFERROR(VLOOKUP(A347,Estimate!A:Q,17,FALSE)," ")</f>
        <v xml:space="preserve"> </v>
      </c>
      <c r="F347" s="202" t="s">
        <v>781</v>
      </c>
      <c r="G347" s="202" t="s">
        <v>781</v>
      </c>
      <c r="H347" s="203" t="s">
        <v>781</v>
      </c>
      <c r="I347" s="203" t="s">
        <v>781</v>
      </c>
      <c r="J347" s="203" t="s">
        <v>781</v>
      </c>
      <c r="K347" s="203"/>
      <c r="L347" s="202" t="s">
        <v>781</v>
      </c>
      <c r="M347" s="204" t="str">
        <f t="shared" si="2007"/>
        <v xml:space="preserve"> </v>
      </c>
      <c r="N347" s="95" t="s">
        <v>781</v>
      </c>
      <c r="O347" s="204" t="str">
        <f t="shared" si="2007"/>
        <v xml:space="preserve"> </v>
      </c>
      <c r="P347" s="95" t="s">
        <v>781</v>
      </c>
      <c r="Q347" s="204" t="str">
        <f t="shared" ref="Q347:S347" si="2128">IFERROR(P347/$G347," ")</f>
        <v xml:space="preserve"> </v>
      </c>
      <c r="R347" s="95" t="s">
        <v>781</v>
      </c>
      <c r="S347" s="204" t="str">
        <f t="shared" si="2128"/>
        <v xml:space="preserve"> </v>
      </c>
      <c r="T347" s="95" t="s">
        <v>781</v>
      </c>
      <c r="U347" s="204" t="str">
        <f t="shared" ref="U347:W347" si="2129">IFERROR(T347/$G347," ")</f>
        <v xml:space="preserve"> </v>
      </c>
      <c r="V347" s="95" t="s">
        <v>781</v>
      </c>
      <c r="W347" s="204" t="str">
        <f t="shared" si="2129"/>
        <v xml:space="preserve"> </v>
      </c>
      <c r="X347" s="95" t="s">
        <v>781</v>
      </c>
      <c r="Y347" s="204" t="str">
        <f t="shared" ref="Y347:AA347" si="2130">IFERROR(X347/$G347," ")</f>
        <v xml:space="preserve"> </v>
      </c>
      <c r="Z347" s="95" t="s">
        <v>781</v>
      </c>
      <c r="AA347" s="204" t="str">
        <f t="shared" si="2130"/>
        <v xml:space="preserve"> </v>
      </c>
      <c r="AB347" s="95" t="s">
        <v>781</v>
      </c>
      <c r="AC347" s="204" t="str">
        <f t="shared" ref="AC347:AE347" si="2131">IFERROR(AB347/$G347," ")</f>
        <v xml:space="preserve"> </v>
      </c>
      <c r="AD347" s="95" t="s">
        <v>781</v>
      </c>
      <c r="AE347" s="204" t="str">
        <f t="shared" si="2131"/>
        <v xml:space="preserve"> </v>
      </c>
      <c r="AF347" s="95" t="s">
        <v>781</v>
      </c>
      <c r="AG347" s="204" t="str">
        <f t="shared" ref="AG347:AI347" si="2132">IFERROR(AF347/$G347," ")</f>
        <v xml:space="preserve"> </v>
      </c>
      <c r="AH347" s="95" t="s">
        <v>781</v>
      </c>
      <c r="AI347" s="204" t="str">
        <f t="shared" si="2132"/>
        <v xml:space="preserve"> </v>
      </c>
      <c r="AJ347" s="95" t="s">
        <v>781</v>
      </c>
      <c r="AK347" s="204" t="str">
        <f t="shared" ref="AK347:AM347" si="2133">IFERROR(AJ347/$G347," ")</f>
        <v xml:space="preserve"> </v>
      </c>
      <c r="AL347" s="95" t="s">
        <v>781</v>
      </c>
      <c r="AM347" s="204" t="str">
        <f t="shared" si="2133"/>
        <v xml:space="preserve"> </v>
      </c>
      <c r="AN347" s="95"/>
      <c r="AO347" s="94" t="str">
        <f t="shared" si="2014"/>
        <v xml:space="preserve"> </v>
      </c>
      <c r="AP347" s="94" t="str">
        <f t="shared" si="2004"/>
        <v xml:space="preserve"> </v>
      </c>
      <c r="AQ347" s="94" t="str">
        <f t="shared" si="2005"/>
        <v xml:space="preserve"> </v>
      </c>
      <c r="AR347" s="94" t="str">
        <f t="shared" si="2015"/>
        <v xml:space="preserve"> </v>
      </c>
      <c r="AS347" s="94" t="str">
        <f t="shared" si="2016"/>
        <v xml:space="preserve"> </v>
      </c>
      <c r="AT347" s="94" t="str">
        <f t="shared" si="2017"/>
        <v xml:space="preserve"> </v>
      </c>
      <c r="AU347" s="94" t="str">
        <f t="shared" si="2018"/>
        <v xml:space="preserve"> </v>
      </c>
      <c r="AV347" s="94" t="str">
        <f t="shared" si="2019"/>
        <v xml:space="preserve"> </v>
      </c>
      <c r="AW347" s="94" t="str">
        <f t="shared" si="2020"/>
        <v xml:space="preserve"> </v>
      </c>
      <c r="AX347" s="94" t="str">
        <f t="shared" si="2021"/>
        <v xml:space="preserve"> </v>
      </c>
      <c r="AY347" s="94" t="str">
        <f t="shared" si="2022"/>
        <v xml:space="preserve"> </v>
      </c>
      <c r="AZ347" s="94" t="str">
        <f t="shared" si="2023"/>
        <v xml:space="preserve"> </v>
      </c>
      <c r="BA347" s="94" t="str">
        <f t="shared" si="2024"/>
        <v xml:space="preserve"> </v>
      </c>
      <c r="BB347" s="94" t="str">
        <f t="shared" si="2025"/>
        <v xml:space="preserve"> </v>
      </c>
    </row>
    <row r="348" spans="1:54" x14ac:dyDescent="0.25">
      <c r="A348" s="80"/>
      <c r="B348" s="95" t="s">
        <v>2417</v>
      </c>
      <c r="C348" s="201" t="s">
        <v>145</v>
      </c>
      <c r="D348" s="80" t="s">
        <v>783</v>
      </c>
      <c r="E348" s="94" t="str">
        <f>IFERROR(VLOOKUP(A348,Estimate!A:Q,17,FALSE)," ")</f>
        <v xml:space="preserve"> </v>
      </c>
      <c r="F348" s="202" t="s">
        <v>781</v>
      </c>
      <c r="G348" s="202" t="s">
        <v>781</v>
      </c>
      <c r="H348" s="203" t="s">
        <v>781</v>
      </c>
      <c r="I348" s="203" t="s">
        <v>781</v>
      </c>
      <c r="J348" s="203" t="s">
        <v>781</v>
      </c>
      <c r="K348" s="203"/>
      <c r="L348" s="202" t="s">
        <v>781</v>
      </c>
      <c r="M348" s="204" t="str">
        <f t="shared" si="2007"/>
        <v xml:space="preserve"> </v>
      </c>
      <c r="N348" s="95" t="s">
        <v>781</v>
      </c>
      <c r="O348" s="204" t="str">
        <f t="shared" si="2007"/>
        <v xml:space="preserve"> </v>
      </c>
      <c r="P348" s="95" t="s">
        <v>781</v>
      </c>
      <c r="Q348" s="204" t="str">
        <f t="shared" ref="Q348:S348" si="2134">IFERROR(P348/$G348," ")</f>
        <v xml:space="preserve"> </v>
      </c>
      <c r="R348" s="95" t="s">
        <v>781</v>
      </c>
      <c r="S348" s="204" t="str">
        <f t="shared" si="2134"/>
        <v xml:space="preserve"> </v>
      </c>
      <c r="T348" s="95" t="s">
        <v>781</v>
      </c>
      <c r="U348" s="204" t="str">
        <f t="shared" ref="U348:W348" si="2135">IFERROR(T348/$G348," ")</f>
        <v xml:space="preserve"> </v>
      </c>
      <c r="V348" s="95" t="s">
        <v>781</v>
      </c>
      <c r="W348" s="204" t="str">
        <f t="shared" si="2135"/>
        <v xml:space="preserve"> </v>
      </c>
      <c r="X348" s="95" t="s">
        <v>781</v>
      </c>
      <c r="Y348" s="204" t="str">
        <f t="shared" ref="Y348:AA348" si="2136">IFERROR(X348/$G348," ")</f>
        <v xml:space="preserve"> </v>
      </c>
      <c r="Z348" s="95" t="s">
        <v>781</v>
      </c>
      <c r="AA348" s="204" t="str">
        <f t="shared" si="2136"/>
        <v xml:space="preserve"> </v>
      </c>
      <c r="AB348" s="95" t="s">
        <v>781</v>
      </c>
      <c r="AC348" s="204" t="str">
        <f t="shared" ref="AC348:AE348" si="2137">IFERROR(AB348/$G348," ")</f>
        <v xml:space="preserve"> </v>
      </c>
      <c r="AD348" s="95" t="s">
        <v>781</v>
      </c>
      <c r="AE348" s="204" t="str">
        <f t="shared" si="2137"/>
        <v xml:space="preserve"> </v>
      </c>
      <c r="AF348" s="95" t="s">
        <v>781</v>
      </c>
      <c r="AG348" s="204" t="str">
        <f t="shared" ref="AG348:AI348" si="2138">IFERROR(AF348/$G348," ")</f>
        <v xml:space="preserve"> </v>
      </c>
      <c r="AH348" s="95" t="s">
        <v>781</v>
      </c>
      <c r="AI348" s="204" t="str">
        <f t="shared" si="2138"/>
        <v xml:space="preserve"> </v>
      </c>
      <c r="AJ348" s="95" t="s">
        <v>781</v>
      </c>
      <c r="AK348" s="204" t="str">
        <f t="shared" ref="AK348:AM348" si="2139">IFERROR(AJ348/$G348," ")</f>
        <v xml:space="preserve"> </v>
      </c>
      <c r="AL348" s="95" t="s">
        <v>781</v>
      </c>
      <c r="AM348" s="204" t="str">
        <f t="shared" si="2139"/>
        <v xml:space="preserve"> </v>
      </c>
      <c r="AN348" s="95"/>
      <c r="AO348" s="94" t="str">
        <f t="shared" si="2014"/>
        <v xml:space="preserve"> </v>
      </c>
      <c r="AP348" s="94" t="str">
        <f t="shared" si="2004"/>
        <v xml:space="preserve"> </v>
      </c>
      <c r="AQ348" s="94" t="str">
        <f t="shared" si="2005"/>
        <v xml:space="preserve"> </v>
      </c>
      <c r="AR348" s="94" t="str">
        <f t="shared" si="2015"/>
        <v xml:space="preserve"> </v>
      </c>
      <c r="AS348" s="94" t="str">
        <f t="shared" si="2016"/>
        <v xml:space="preserve"> </v>
      </c>
      <c r="AT348" s="94" t="str">
        <f t="shared" si="2017"/>
        <v xml:space="preserve"> </v>
      </c>
      <c r="AU348" s="94" t="str">
        <f t="shared" si="2018"/>
        <v xml:space="preserve"> </v>
      </c>
      <c r="AV348" s="94" t="str">
        <f t="shared" si="2019"/>
        <v xml:space="preserve"> </v>
      </c>
      <c r="AW348" s="94" t="str">
        <f t="shared" si="2020"/>
        <v xml:space="preserve"> </v>
      </c>
      <c r="AX348" s="94" t="str">
        <f t="shared" si="2021"/>
        <v xml:space="preserve"> </v>
      </c>
      <c r="AY348" s="94" t="str">
        <f t="shared" si="2022"/>
        <v xml:space="preserve"> </v>
      </c>
      <c r="AZ348" s="94" t="str">
        <f t="shared" si="2023"/>
        <v xml:space="preserve"> </v>
      </c>
      <c r="BA348" s="94" t="str">
        <f t="shared" si="2024"/>
        <v xml:space="preserve"> </v>
      </c>
      <c r="BB348" s="94" t="str">
        <f t="shared" si="2025"/>
        <v xml:space="preserve"> </v>
      </c>
    </row>
    <row r="349" spans="1:54" x14ac:dyDescent="0.25">
      <c r="A349" s="80">
        <v>146</v>
      </c>
      <c r="B349" s="95" t="s">
        <v>2417</v>
      </c>
      <c r="C349" s="201" t="s">
        <v>147</v>
      </c>
      <c r="D349" s="80" t="s">
        <v>20</v>
      </c>
      <c r="E349" s="94">
        <f>IFERROR(VLOOKUP(A349,Estimate!A:Q,17,FALSE)," ")</f>
        <v>2400</v>
      </c>
      <c r="F349" s="202">
        <v>1</v>
      </c>
      <c r="G349" s="202">
        <v>1</v>
      </c>
      <c r="H349" s="203">
        <v>3014.95</v>
      </c>
      <c r="I349" s="203">
        <v>3014.95</v>
      </c>
      <c r="J349" s="203">
        <v>3014.95</v>
      </c>
      <c r="K349" s="203"/>
      <c r="L349" s="202"/>
      <c r="M349" s="204">
        <f t="shared" si="2007"/>
        <v>0</v>
      </c>
      <c r="N349" s="95"/>
      <c r="O349" s="204">
        <f t="shared" si="2007"/>
        <v>0</v>
      </c>
      <c r="P349" s="95"/>
      <c r="Q349" s="204">
        <f t="shared" ref="Q349:S349" si="2140">IFERROR(P349/$G349," ")</f>
        <v>0</v>
      </c>
      <c r="R349" s="95"/>
      <c r="S349" s="204">
        <f t="shared" si="2140"/>
        <v>0</v>
      </c>
      <c r="T349" s="95"/>
      <c r="U349" s="204">
        <f t="shared" ref="U349:W349" si="2141">IFERROR(T349/$G349," ")</f>
        <v>0</v>
      </c>
      <c r="V349" s="95"/>
      <c r="W349" s="204">
        <f t="shared" si="2141"/>
        <v>0</v>
      </c>
      <c r="X349" s="95"/>
      <c r="Y349" s="204">
        <f t="shared" ref="Y349:AA349" si="2142">IFERROR(X349/$G349," ")</f>
        <v>0</v>
      </c>
      <c r="Z349" s="95"/>
      <c r="AA349" s="204">
        <f t="shared" si="2142"/>
        <v>0</v>
      </c>
      <c r="AB349" s="95"/>
      <c r="AC349" s="204">
        <f t="shared" ref="AC349:AE349" si="2143">IFERROR(AB349/$G349," ")</f>
        <v>0</v>
      </c>
      <c r="AD349" s="95">
        <v>0.5</v>
      </c>
      <c r="AE349" s="204">
        <f t="shared" si="2143"/>
        <v>0.5</v>
      </c>
      <c r="AF349" s="95">
        <v>0.75</v>
      </c>
      <c r="AG349" s="204">
        <f t="shared" ref="AG349:AI349" si="2144">IFERROR(AF349/$G349," ")</f>
        <v>0.75</v>
      </c>
      <c r="AH349" s="95">
        <v>1</v>
      </c>
      <c r="AI349" s="204">
        <f t="shared" si="2144"/>
        <v>1</v>
      </c>
      <c r="AJ349" s="95">
        <v>1</v>
      </c>
      <c r="AK349" s="204">
        <f t="shared" ref="AK349:AM349" si="2145">IFERROR(AJ349/$G349," ")</f>
        <v>1</v>
      </c>
      <c r="AL349" s="95">
        <v>1</v>
      </c>
      <c r="AM349" s="204">
        <f t="shared" si="2145"/>
        <v>1</v>
      </c>
      <c r="AN349" s="95"/>
      <c r="AO349" s="94">
        <f t="shared" si="2014"/>
        <v>0</v>
      </c>
      <c r="AP349" s="94">
        <f t="shared" si="2004"/>
        <v>0</v>
      </c>
      <c r="AQ349" s="94">
        <f t="shared" si="2005"/>
        <v>0</v>
      </c>
      <c r="AR349" s="94">
        <f t="shared" si="2015"/>
        <v>0</v>
      </c>
      <c r="AS349" s="94">
        <f t="shared" si="2016"/>
        <v>0</v>
      </c>
      <c r="AT349" s="94">
        <f t="shared" si="2017"/>
        <v>0</v>
      </c>
      <c r="AU349" s="94">
        <f t="shared" si="2018"/>
        <v>0</v>
      </c>
      <c r="AV349" s="94">
        <f t="shared" si="2019"/>
        <v>0</v>
      </c>
      <c r="AW349" s="94">
        <f t="shared" si="2020"/>
        <v>0</v>
      </c>
      <c r="AX349" s="94">
        <f t="shared" si="2021"/>
        <v>1507.4749999999999</v>
      </c>
      <c r="AY349" s="94">
        <f t="shared" si="2022"/>
        <v>2261.2124999999996</v>
      </c>
      <c r="AZ349" s="94">
        <f t="shared" si="2023"/>
        <v>3014.95</v>
      </c>
      <c r="BA349" s="94">
        <f t="shared" si="2024"/>
        <v>3014.95</v>
      </c>
      <c r="BB349" s="94">
        <f t="shared" si="2025"/>
        <v>3014.95</v>
      </c>
    </row>
    <row r="350" spans="1:54" x14ac:dyDescent="0.25">
      <c r="A350" s="80"/>
      <c r="B350" s="95" t="s">
        <v>2417</v>
      </c>
      <c r="C350" s="201" t="s">
        <v>2837</v>
      </c>
      <c r="D350" s="80" t="s">
        <v>783</v>
      </c>
      <c r="E350" s="94" t="str">
        <f>IFERROR(VLOOKUP(A350,Estimate!A:Q,17,FALSE)," ")</f>
        <v xml:space="preserve"> </v>
      </c>
      <c r="F350" s="202" t="s">
        <v>781</v>
      </c>
      <c r="G350" s="202" t="s">
        <v>781</v>
      </c>
      <c r="H350" s="203" t="s">
        <v>781</v>
      </c>
      <c r="I350" s="203" t="s">
        <v>781</v>
      </c>
      <c r="J350" s="203" t="s">
        <v>781</v>
      </c>
      <c r="K350" s="203"/>
      <c r="L350" s="202" t="s">
        <v>781</v>
      </c>
      <c r="M350" s="204" t="str">
        <f t="shared" si="2007"/>
        <v xml:space="preserve"> </v>
      </c>
      <c r="N350" s="95" t="s">
        <v>781</v>
      </c>
      <c r="O350" s="204" t="str">
        <f t="shared" si="2007"/>
        <v xml:space="preserve"> </v>
      </c>
      <c r="P350" s="95" t="s">
        <v>781</v>
      </c>
      <c r="Q350" s="204" t="str">
        <f t="shared" ref="Q350:S350" si="2146">IFERROR(P350/$G350," ")</f>
        <v xml:space="preserve"> </v>
      </c>
      <c r="R350" s="95" t="s">
        <v>781</v>
      </c>
      <c r="S350" s="204" t="str">
        <f t="shared" si="2146"/>
        <v xml:space="preserve"> </v>
      </c>
      <c r="T350" s="95" t="s">
        <v>781</v>
      </c>
      <c r="U350" s="204" t="str">
        <f t="shared" ref="U350:W350" si="2147">IFERROR(T350/$G350," ")</f>
        <v xml:space="preserve"> </v>
      </c>
      <c r="V350" s="95" t="s">
        <v>781</v>
      </c>
      <c r="W350" s="204" t="str">
        <f t="shared" si="2147"/>
        <v xml:space="preserve"> </v>
      </c>
      <c r="X350" s="95" t="s">
        <v>781</v>
      </c>
      <c r="Y350" s="204" t="str">
        <f t="shared" ref="Y350:AA350" si="2148">IFERROR(X350/$G350," ")</f>
        <v xml:space="preserve"> </v>
      </c>
      <c r="Z350" s="95" t="s">
        <v>781</v>
      </c>
      <c r="AA350" s="204" t="str">
        <f t="shared" si="2148"/>
        <v xml:space="preserve"> </v>
      </c>
      <c r="AB350" s="95" t="s">
        <v>781</v>
      </c>
      <c r="AC350" s="204" t="str">
        <f t="shared" ref="AC350:AE350" si="2149">IFERROR(AB350/$G350," ")</f>
        <v xml:space="preserve"> </v>
      </c>
      <c r="AD350" s="95" t="s">
        <v>781</v>
      </c>
      <c r="AE350" s="204" t="str">
        <f t="shared" si="2149"/>
        <v xml:space="preserve"> </v>
      </c>
      <c r="AF350" s="95" t="s">
        <v>781</v>
      </c>
      <c r="AG350" s="204" t="str">
        <f t="shared" ref="AG350:AI350" si="2150">IFERROR(AF350/$G350," ")</f>
        <v xml:space="preserve"> </v>
      </c>
      <c r="AH350" s="95" t="s">
        <v>781</v>
      </c>
      <c r="AI350" s="204" t="str">
        <f t="shared" si="2150"/>
        <v xml:space="preserve"> </v>
      </c>
      <c r="AJ350" s="95" t="s">
        <v>781</v>
      </c>
      <c r="AK350" s="204" t="str">
        <f t="shared" ref="AK350:AM350" si="2151">IFERROR(AJ350/$G350," ")</f>
        <v xml:space="preserve"> </v>
      </c>
      <c r="AL350" s="95" t="s">
        <v>781</v>
      </c>
      <c r="AM350" s="204" t="str">
        <f t="shared" si="2151"/>
        <v xml:space="preserve"> </v>
      </c>
      <c r="AN350" s="95"/>
      <c r="AO350" s="94" t="str">
        <f t="shared" si="2014"/>
        <v xml:space="preserve"> </v>
      </c>
      <c r="AP350" s="94" t="str">
        <f t="shared" si="2004"/>
        <v xml:space="preserve"> </v>
      </c>
      <c r="AQ350" s="94" t="str">
        <f t="shared" si="2005"/>
        <v xml:space="preserve"> </v>
      </c>
      <c r="AR350" s="94" t="str">
        <f t="shared" si="2015"/>
        <v xml:space="preserve"> </v>
      </c>
      <c r="AS350" s="94" t="str">
        <f t="shared" si="2016"/>
        <v xml:space="preserve"> </v>
      </c>
      <c r="AT350" s="94" t="str">
        <f t="shared" si="2017"/>
        <v xml:space="preserve"> </v>
      </c>
      <c r="AU350" s="94" t="str">
        <f t="shared" si="2018"/>
        <v xml:space="preserve"> </v>
      </c>
      <c r="AV350" s="94" t="str">
        <f t="shared" si="2019"/>
        <v xml:space="preserve"> </v>
      </c>
      <c r="AW350" s="94" t="str">
        <f t="shared" si="2020"/>
        <v xml:space="preserve"> </v>
      </c>
      <c r="AX350" s="94" t="str">
        <f t="shared" si="2021"/>
        <v xml:space="preserve"> </v>
      </c>
      <c r="AY350" s="94" t="str">
        <f t="shared" si="2022"/>
        <v xml:space="preserve"> </v>
      </c>
      <c r="AZ350" s="94" t="str">
        <f t="shared" si="2023"/>
        <v xml:space="preserve"> </v>
      </c>
      <c r="BA350" s="94" t="str">
        <f t="shared" si="2024"/>
        <v xml:space="preserve"> </v>
      </c>
      <c r="BB350" s="94" t="str">
        <f t="shared" si="2025"/>
        <v xml:space="preserve"> </v>
      </c>
    </row>
    <row r="351" spans="1:54" x14ac:dyDescent="0.25">
      <c r="A351" s="80"/>
      <c r="B351" s="205" t="s">
        <v>2417</v>
      </c>
      <c r="C351" s="206" t="s">
        <v>1916</v>
      </c>
      <c r="D351" s="207" t="s">
        <v>783</v>
      </c>
      <c r="E351" s="94" t="str">
        <f>IFERROR(VLOOKUP(A351,Estimate!A:Q,17,FALSE)," ")</f>
        <v xml:space="preserve"> </v>
      </c>
      <c r="F351" s="208" t="s">
        <v>781</v>
      </c>
      <c r="G351" s="208" t="s">
        <v>781</v>
      </c>
      <c r="H351" s="209" t="s">
        <v>781</v>
      </c>
      <c r="I351" s="209">
        <v>345180.32</v>
      </c>
      <c r="J351" s="209" t="s">
        <v>781</v>
      </c>
      <c r="K351" s="209"/>
      <c r="L351" s="208" t="s">
        <v>781</v>
      </c>
      <c r="M351" s="204" t="str">
        <f t="shared" si="2007"/>
        <v xml:space="preserve"> </v>
      </c>
      <c r="N351" s="95" t="s">
        <v>781</v>
      </c>
      <c r="O351" s="204" t="str">
        <f t="shared" si="2007"/>
        <v xml:space="preserve"> </v>
      </c>
      <c r="P351" s="95" t="s">
        <v>781</v>
      </c>
      <c r="Q351" s="204" t="str">
        <f t="shared" ref="Q351:S351" si="2152">IFERROR(P351/$G351," ")</f>
        <v xml:space="preserve"> </v>
      </c>
      <c r="R351" s="95" t="s">
        <v>781</v>
      </c>
      <c r="S351" s="204" t="str">
        <f t="shared" si="2152"/>
        <v xml:space="preserve"> </v>
      </c>
      <c r="T351" s="95" t="s">
        <v>781</v>
      </c>
      <c r="U351" s="204" t="str">
        <f t="shared" ref="U351:W351" si="2153">IFERROR(T351/$G351," ")</f>
        <v xml:space="preserve"> </v>
      </c>
      <c r="V351" s="95" t="s">
        <v>781</v>
      </c>
      <c r="W351" s="204" t="str">
        <f t="shared" si="2153"/>
        <v xml:space="preserve"> </v>
      </c>
      <c r="X351" s="95" t="s">
        <v>781</v>
      </c>
      <c r="Y351" s="204" t="str">
        <f t="shared" ref="Y351:AA351" si="2154">IFERROR(X351/$G351," ")</f>
        <v xml:space="preserve"> </v>
      </c>
      <c r="Z351" s="95" t="s">
        <v>781</v>
      </c>
      <c r="AA351" s="204" t="str">
        <f t="shared" si="2154"/>
        <v xml:space="preserve"> </v>
      </c>
      <c r="AB351" s="95" t="s">
        <v>781</v>
      </c>
      <c r="AC351" s="204" t="str">
        <f t="shared" ref="AC351:AE351" si="2155">IFERROR(AB351/$G351," ")</f>
        <v xml:space="preserve"> </v>
      </c>
      <c r="AD351" s="95" t="s">
        <v>781</v>
      </c>
      <c r="AE351" s="204" t="str">
        <f t="shared" si="2155"/>
        <v xml:space="preserve"> </v>
      </c>
      <c r="AF351" s="95" t="s">
        <v>781</v>
      </c>
      <c r="AG351" s="204" t="str">
        <f t="shared" ref="AG351:AI351" si="2156">IFERROR(AF351/$G351," ")</f>
        <v xml:space="preserve"> </v>
      </c>
      <c r="AH351" s="95" t="s">
        <v>781</v>
      </c>
      <c r="AI351" s="204" t="str">
        <f t="shared" si="2156"/>
        <v xml:space="preserve"> </v>
      </c>
      <c r="AJ351" s="95" t="s">
        <v>781</v>
      </c>
      <c r="AK351" s="204" t="str">
        <f t="shared" ref="AK351:AM351" si="2157">IFERROR(AJ351/$G351," ")</f>
        <v xml:space="preserve"> </v>
      </c>
      <c r="AL351" s="95" t="s">
        <v>781</v>
      </c>
      <c r="AM351" s="204" t="str">
        <f t="shared" si="2157"/>
        <v xml:space="preserve"> </v>
      </c>
      <c r="AN351" s="95"/>
      <c r="AO351" s="94" t="str">
        <f t="shared" si="2014"/>
        <v xml:space="preserve"> </v>
      </c>
      <c r="AP351" s="94" t="str">
        <f t="shared" si="2004"/>
        <v xml:space="preserve"> </v>
      </c>
      <c r="AQ351" s="94" t="str">
        <f t="shared" si="2005"/>
        <v xml:space="preserve"> </v>
      </c>
      <c r="AR351" s="94" t="str">
        <f t="shared" si="2015"/>
        <v xml:space="preserve"> </v>
      </c>
      <c r="AS351" s="94" t="str">
        <f t="shared" si="2016"/>
        <v xml:space="preserve"> </v>
      </c>
      <c r="AT351" s="94" t="str">
        <f t="shared" si="2017"/>
        <v xml:space="preserve"> </v>
      </c>
      <c r="AU351" s="94" t="str">
        <f t="shared" si="2018"/>
        <v xml:space="preserve"> </v>
      </c>
      <c r="AV351" s="94" t="str">
        <f t="shared" si="2019"/>
        <v xml:space="preserve"> </v>
      </c>
      <c r="AW351" s="94" t="str">
        <f t="shared" si="2020"/>
        <v xml:space="preserve"> </v>
      </c>
      <c r="AX351" s="94" t="str">
        <f t="shared" si="2021"/>
        <v xml:space="preserve"> </v>
      </c>
      <c r="AY351" s="94" t="str">
        <f t="shared" si="2022"/>
        <v xml:space="preserve"> </v>
      </c>
      <c r="AZ351" s="94" t="str">
        <f t="shared" si="2023"/>
        <v xml:space="preserve"> </v>
      </c>
      <c r="BA351" s="94" t="str">
        <f t="shared" si="2024"/>
        <v xml:space="preserve"> </v>
      </c>
      <c r="BB351" s="94" t="str">
        <f t="shared" si="2025"/>
        <v xml:space="preserve"> </v>
      </c>
    </row>
    <row r="352" spans="1:54" x14ac:dyDescent="0.25">
      <c r="A352" s="80"/>
      <c r="B352" s="95" t="s">
        <v>2417</v>
      </c>
      <c r="C352" s="201" t="s">
        <v>781</v>
      </c>
      <c r="D352" s="80" t="s">
        <v>783</v>
      </c>
      <c r="E352" s="94" t="str">
        <f>IFERROR(VLOOKUP(A352,Estimate!A:Q,17,FALSE)," ")</f>
        <v xml:space="preserve"> </v>
      </c>
      <c r="F352" s="202" t="s">
        <v>781</v>
      </c>
      <c r="G352" s="202" t="s">
        <v>781</v>
      </c>
      <c r="H352" s="203" t="s">
        <v>781</v>
      </c>
      <c r="I352" s="203" t="s">
        <v>781</v>
      </c>
      <c r="J352" s="203" t="s">
        <v>781</v>
      </c>
      <c r="K352" s="203"/>
      <c r="L352" s="202" t="s">
        <v>781</v>
      </c>
      <c r="M352" s="204" t="str">
        <f t="shared" si="2007"/>
        <v xml:space="preserve"> </v>
      </c>
      <c r="N352" s="95" t="s">
        <v>781</v>
      </c>
      <c r="O352" s="204" t="str">
        <f t="shared" si="2007"/>
        <v xml:space="preserve"> </v>
      </c>
      <c r="P352" s="95" t="s">
        <v>781</v>
      </c>
      <c r="Q352" s="204" t="str">
        <f t="shared" ref="Q352:S352" si="2158">IFERROR(P352/$G352," ")</f>
        <v xml:space="preserve"> </v>
      </c>
      <c r="R352" s="95" t="s">
        <v>781</v>
      </c>
      <c r="S352" s="204" t="str">
        <f t="shared" si="2158"/>
        <v xml:space="preserve"> </v>
      </c>
      <c r="T352" s="95" t="s">
        <v>781</v>
      </c>
      <c r="U352" s="204" t="str">
        <f t="shared" ref="U352:W352" si="2159">IFERROR(T352/$G352," ")</f>
        <v xml:space="preserve"> </v>
      </c>
      <c r="V352" s="95" t="s">
        <v>781</v>
      </c>
      <c r="W352" s="204" t="str">
        <f t="shared" si="2159"/>
        <v xml:space="preserve"> </v>
      </c>
      <c r="X352" s="95" t="s">
        <v>781</v>
      </c>
      <c r="Y352" s="204" t="str">
        <f t="shared" ref="Y352:AA352" si="2160">IFERROR(X352/$G352," ")</f>
        <v xml:space="preserve"> </v>
      </c>
      <c r="Z352" s="95" t="s">
        <v>781</v>
      </c>
      <c r="AA352" s="204" t="str">
        <f t="shared" si="2160"/>
        <v xml:space="preserve"> </v>
      </c>
      <c r="AB352" s="95" t="s">
        <v>781</v>
      </c>
      <c r="AC352" s="204" t="str">
        <f t="shared" ref="AC352:AE352" si="2161">IFERROR(AB352/$G352," ")</f>
        <v xml:space="preserve"> </v>
      </c>
      <c r="AD352" s="95" t="s">
        <v>781</v>
      </c>
      <c r="AE352" s="204" t="str">
        <f t="shared" si="2161"/>
        <v xml:space="preserve"> </v>
      </c>
      <c r="AF352" s="95" t="s">
        <v>781</v>
      </c>
      <c r="AG352" s="204" t="str">
        <f t="shared" ref="AG352:AI352" si="2162">IFERROR(AF352/$G352," ")</f>
        <v xml:space="preserve"> </v>
      </c>
      <c r="AH352" s="95" t="s">
        <v>781</v>
      </c>
      <c r="AI352" s="204" t="str">
        <f t="shared" si="2162"/>
        <v xml:space="preserve"> </v>
      </c>
      <c r="AJ352" s="95" t="s">
        <v>781</v>
      </c>
      <c r="AK352" s="204" t="str">
        <f t="shared" ref="AK352:AM352" si="2163">IFERROR(AJ352/$G352," ")</f>
        <v xml:space="preserve"> </v>
      </c>
      <c r="AL352" s="95" t="s">
        <v>781</v>
      </c>
      <c r="AM352" s="204" t="str">
        <f t="shared" si="2163"/>
        <v xml:space="preserve"> </v>
      </c>
      <c r="AN352" s="95"/>
      <c r="AO352" s="94" t="str">
        <f t="shared" si="2014"/>
        <v xml:space="preserve"> </v>
      </c>
      <c r="AP352" s="94" t="str">
        <f t="shared" si="2004"/>
        <v xml:space="preserve"> </v>
      </c>
      <c r="AQ352" s="94" t="str">
        <f t="shared" si="2005"/>
        <v xml:space="preserve"> </v>
      </c>
      <c r="AR352" s="94" t="str">
        <f t="shared" si="2015"/>
        <v xml:space="preserve"> </v>
      </c>
      <c r="AS352" s="94" t="str">
        <f t="shared" si="2016"/>
        <v xml:space="preserve"> </v>
      </c>
      <c r="AT352" s="94" t="str">
        <f t="shared" si="2017"/>
        <v xml:space="preserve"> </v>
      </c>
      <c r="AU352" s="94" t="str">
        <f t="shared" si="2018"/>
        <v xml:space="preserve"> </v>
      </c>
      <c r="AV352" s="94" t="str">
        <f t="shared" si="2019"/>
        <v xml:space="preserve"> </v>
      </c>
      <c r="AW352" s="94" t="str">
        <f t="shared" si="2020"/>
        <v xml:space="preserve"> </v>
      </c>
      <c r="AX352" s="94" t="str">
        <f t="shared" si="2021"/>
        <v xml:space="preserve"> </v>
      </c>
      <c r="AY352" s="94" t="str">
        <f t="shared" si="2022"/>
        <v xml:space="preserve"> </v>
      </c>
      <c r="AZ352" s="94" t="str">
        <f t="shared" si="2023"/>
        <v xml:space="preserve"> </v>
      </c>
      <c r="BA352" s="94" t="str">
        <f t="shared" si="2024"/>
        <v xml:space="preserve"> </v>
      </c>
      <c r="BB352" s="94" t="str">
        <f t="shared" si="2025"/>
        <v xml:space="preserve"> </v>
      </c>
    </row>
    <row r="353" spans="1:54" x14ac:dyDescent="0.25">
      <c r="A353" s="80"/>
      <c r="B353" s="95" t="s">
        <v>2417</v>
      </c>
      <c r="C353" s="201" t="s">
        <v>522</v>
      </c>
      <c r="D353" s="80" t="s">
        <v>783</v>
      </c>
      <c r="E353" s="94" t="str">
        <f>IFERROR(VLOOKUP(A353,Estimate!A:Q,17,FALSE)," ")</f>
        <v xml:space="preserve"> </v>
      </c>
      <c r="F353" s="202" t="s">
        <v>781</v>
      </c>
      <c r="G353" s="202" t="s">
        <v>781</v>
      </c>
      <c r="H353" s="203" t="s">
        <v>781</v>
      </c>
      <c r="I353" s="203" t="s">
        <v>781</v>
      </c>
      <c r="J353" s="203" t="s">
        <v>781</v>
      </c>
      <c r="K353" s="203"/>
      <c r="L353" s="202" t="s">
        <v>781</v>
      </c>
      <c r="M353" s="204" t="str">
        <f t="shared" si="2007"/>
        <v xml:space="preserve"> </v>
      </c>
      <c r="N353" s="95" t="s">
        <v>781</v>
      </c>
      <c r="O353" s="204" t="str">
        <f t="shared" si="2007"/>
        <v xml:space="preserve"> </v>
      </c>
      <c r="P353" s="95" t="s">
        <v>781</v>
      </c>
      <c r="Q353" s="204" t="str">
        <f t="shared" ref="Q353:S353" si="2164">IFERROR(P353/$G353," ")</f>
        <v xml:space="preserve"> </v>
      </c>
      <c r="R353" s="95" t="s">
        <v>781</v>
      </c>
      <c r="S353" s="204" t="str">
        <f t="shared" si="2164"/>
        <v xml:space="preserve"> </v>
      </c>
      <c r="T353" s="95" t="s">
        <v>781</v>
      </c>
      <c r="U353" s="204" t="str">
        <f t="shared" ref="U353:W353" si="2165">IFERROR(T353/$G353," ")</f>
        <v xml:space="preserve"> </v>
      </c>
      <c r="V353" s="95" t="s">
        <v>781</v>
      </c>
      <c r="W353" s="204" t="str">
        <f t="shared" si="2165"/>
        <v xml:space="preserve"> </v>
      </c>
      <c r="X353" s="95" t="s">
        <v>781</v>
      </c>
      <c r="Y353" s="204" t="str">
        <f t="shared" ref="Y353:AA353" si="2166">IFERROR(X353/$G353," ")</f>
        <v xml:space="preserve"> </v>
      </c>
      <c r="Z353" s="95" t="s">
        <v>781</v>
      </c>
      <c r="AA353" s="204" t="str">
        <f t="shared" si="2166"/>
        <v xml:space="preserve"> </v>
      </c>
      <c r="AB353" s="95" t="s">
        <v>781</v>
      </c>
      <c r="AC353" s="204" t="str">
        <f t="shared" ref="AC353:AE353" si="2167">IFERROR(AB353/$G353," ")</f>
        <v xml:space="preserve"> </v>
      </c>
      <c r="AD353" s="95" t="s">
        <v>781</v>
      </c>
      <c r="AE353" s="204" t="str">
        <f t="shared" si="2167"/>
        <v xml:space="preserve"> </v>
      </c>
      <c r="AF353" s="95" t="s">
        <v>781</v>
      </c>
      <c r="AG353" s="204" t="str">
        <f t="shared" ref="AG353:AI353" si="2168">IFERROR(AF353/$G353," ")</f>
        <v xml:space="preserve"> </v>
      </c>
      <c r="AH353" s="95" t="s">
        <v>781</v>
      </c>
      <c r="AI353" s="204" t="str">
        <f t="shared" si="2168"/>
        <v xml:space="preserve"> </v>
      </c>
      <c r="AJ353" s="95" t="s">
        <v>781</v>
      </c>
      <c r="AK353" s="204" t="str">
        <f t="shared" ref="AK353:AM353" si="2169">IFERROR(AJ353/$G353," ")</f>
        <v xml:space="preserve"> </v>
      </c>
      <c r="AL353" s="95" t="s">
        <v>781</v>
      </c>
      <c r="AM353" s="204" t="str">
        <f t="shared" si="2169"/>
        <v xml:space="preserve"> </v>
      </c>
      <c r="AN353" s="95"/>
      <c r="AO353" s="94" t="str">
        <f t="shared" si="2014"/>
        <v xml:space="preserve"> </v>
      </c>
      <c r="AP353" s="94" t="str">
        <f t="shared" si="2004"/>
        <v xml:space="preserve"> </v>
      </c>
      <c r="AQ353" s="94" t="str">
        <f t="shared" si="2005"/>
        <v xml:space="preserve"> </v>
      </c>
      <c r="AR353" s="94" t="str">
        <f t="shared" si="2015"/>
        <v xml:space="preserve"> </v>
      </c>
      <c r="AS353" s="94" t="str">
        <f t="shared" si="2016"/>
        <v xml:space="preserve"> </v>
      </c>
      <c r="AT353" s="94" t="str">
        <f t="shared" si="2017"/>
        <v xml:space="preserve"> </v>
      </c>
      <c r="AU353" s="94" t="str">
        <f t="shared" si="2018"/>
        <v xml:space="preserve"> </v>
      </c>
      <c r="AV353" s="94" t="str">
        <f t="shared" si="2019"/>
        <v xml:space="preserve"> </v>
      </c>
      <c r="AW353" s="94" t="str">
        <f t="shared" si="2020"/>
        <v xml:space="preserve"> </v>
      </c>
      <c r="AX353" s="94" t="str">
        <f t="shared" si="2021"/>
        <v xml:space="preserve"> </v>
      </c>
      <c r="AY353" s="94" t="str">
        <f t="shared" si="2022"/>
        <v xml:space="preserve"> </v>
      </c>
      <c r="AZ353" s="94" t="str">
        <f t="shared" si="2023"/>
        <v xml:space="preserve"> </v>
      </c>
      <c r="BA353" s="94" t="str">
        <f t="shared" si="2024"/>
        <v xml:space="preserve"> </v>
      </c>
      <c r="BB353" s="94" t="str">
        <f t="shared" si="2025"/>
        <v xml:space="preserve"> </v>
      </c>
    </row>
    <row r="354" spans="1:54" x14ac:dyDescent="0.25">
      <c r="A354" s="80"/>
      <c r="B354" s="95" t="s">
        <v>2417</v>
      </c>
      <c r="C354" s="201" t="s">
        <v>781</v>
      </c>
      <c r="D354" s="80" t="s">
        <v>783</v>
      </c>
      <c r="E354" s="94" t="str">
        <f>IFERROR(VLOOKUP(A354,Estimate!A:Q,17,FALSE)," ")</f>
        <v xml:space="preserve"> </v>
      </c>
      <c r="F354" s="202" t="s">
        <v>781</v>
      </c>
      <c r="G354" s="202" t="s">
        <v>781</v>
      </c>
      <c r="H354" s="203" t="s">
        <v>781</v>
      </c>
      <c r="I354" s="203" t="s">
        <v>781</v>
      </c>
      <c r="J354" s="203" t="s">
        <v>781</v>
      </c>
      <c r="K354" s="203"/>
      <c r="L354" s="202" t="s">
        <v>781</v>
      </c>
      <c r="M354" s="204" t="str">
        <f t="shared" si="2007"/>
        <v xml:space="preserve"> </v>
      </c>
      <c r="N354" s="95" t="s">
        <v>781</v>
      </c>
      <c r="O354" s="204" t="str">
        <f t="shared" si="2007"/>
        <v xml:space="preserve"> </v>
      </c>
      <c r="P354" s="95" t="s">
        <v>781</v>
      </c>
      <c r="Q354" s="204" t="str">
        <f t="shared" ref="Q354:S354" si="2170">IFERROR(P354/$G354," ")</f>
        <v xml:space="preserve"> </v>
      </c>
      <c r="R354" s="95" t="s">
        <v>781</v>
      </c>
      <c r="S354" s="204" t="str">
        <f t="shared" si="2170"/>
        <v xml:space="preserve"> </v>
      </c>
      <c r="T354" s="95" t="s">
        <v>781</v>
      </c>
      <c r="U354" s="204" t="str">
        <f t="shared" ref="U354:W354" si="2171">IFERROR(T354/$G354," ")</f>
        <v xml:space="preserve"> </v>
      </c>
      <c r="V354" s="95" t="s">
        <v>781</v>
      </c>
      <c r="W354" s="204" t="str">
        <f t="shared" si="2171"/>
        <v xml:space="preserve"> </v>
      </c>
      <c r="X354" s="95" t="s">
        <v>781</v>
      </c>
      <c r="Y354" s="204" t="str">
        <f t="shared" ref="Y354:AA354" si="2172">IFERROR(X354/$G354," ")</f>
        <v xml:space="preserve"> </v>
      </c>
      <c r="Z354" s="95" t="s">
        <v>781</v>
      </c>
      <c r="AA354" s="204" t="str">
        <f t="shared" si="2172"/>
        <v xml:space="preserve"> </v>
      </c>
      <c r="AB354" s="95" t="s">
        <v>781</v>
      </c>
      <c r="AC354" s="204" t="str">
        <f t="shared" ref="AC354:AE354" si="2173">IFERROR(AB354/$G354," ")</f>
        <v xml:space="preserve"> </v>
      </c>
      <c r="AD354" s="95" t="s">
        <v>781</v>
      </c>
      <c r="AE354" s="204" t="str">
        <f t="shared" si="2173"/>
        <v xml:space="preserve"> </v>
      </c>
      <c r="AF354" s="95" t="s">
        <v>781</v>
      </c>
      <c r="AG354" s="204" t="str">
        <f t="shared" ref="AG354:AI354" si="2174">IFERROR(AF354/$G354," ")</f>
        <v xml:space="preserve"> </v>
      </c>
      <c r="AH354" s="95" t="s">
        <v>781</v>
      </c>
      <c r="AI354" s="204" t="str">
        <f t="shared" si="2174"/>
        <v xml:space="preserve"> </v>
      </c>
      <c r="AJ354" s="95" t="s">
        <v>781</v>
      </c>
      <c r="AK354" s="204" t="str">
        <f t="shared" ref="AK354:AM354" si="2175">IFERROR(AJ354/$G354," ")</f>
        <v xml:space="preserve"> </v>
      </c>
      <c r="AL354" s="95" t="s">
        <v>781</v>
      </c>
      <c r="AM354" s="204" t="str">
        <f t="shared" si="2175"/>
        <v xml:space="preserve"> </v>
      </c>
      <c r="AN354" s="95"/>
      <c r="AO354" s="94" t="str">
        <f t="shared" si="2014"/>
        <v xml:space="preserve"> </v>
      </c>
      <c r="AP354" s="94" t="str">
        <f t="shared" si="2004"/>
        <v xml:space="preserve"> </v>
      </c>
      <c r="AQ354" s="94" t="str">
        <f t="shared" si="2005"/>
        <v xml:space="preserve"> </v>
      </c>
      <c r="AR354" s="94" t="str">
        <f t="shared" si="2015"/>
        <v xml:space="preserve"> </v>
      </c>
      <c r="AS354" s="94" t="str">
        <f t="shared" si="2016"/>
        <v xml:space="preserve"> </v>
      </c>
      <c r="AT354" s="94" t="str">
        <f t="shared" si="2017"/>
        <v xml:space="preserve"> </v>
      </c>
      <c r="AU354" s="94" t="str">
        <f t="shared" si="2018"/>
        <v xml:space="preserve"> </v>
      </c>
      <c r="AV354" s="94" t="str">
        <f t="shared" si="2019"/>
        <v xml:space="preserve"> </v>
      </c>
      <c r="AW354" s="94" t="str">
        <f t="shared" si="2020"/>
        <v xml:space="preserve"> </v>
      </c>
      <c r="AX354" s="94" t="str">
        <f t="shared" si="2021"/>
        <v xml:space="preserve"> </v>
      </c>
      <c r="AY354" s="94" t="str">
        <f t="shared" si="2022"/>
        <v xml:space="preserve"> </v>
      </c>
      <c r="AZ354" s="94" t="str">
        <f t="shared" si="2023"/>
        <v xml:space="preserve"> </v>
      </c>
      <c r="BA354" s="94" t="str">
        <f t="shared" si="2024"/>
        <v xml:space="preserve"> </v>
      </c>
      <c r="BB354" s="94" t="str">
        <f t="shared" si="2025"/>
        <v xml:space="preserve"> </v>
      </c>
    </row>
    <row r="355" spans="1:54" x14ac:dyDescent="0.25">
      <c r="A355" s="80"/>
      <c r="B355" s="95" t="s">
        <v>2417</v>
      </c>
      <c r="C355" s="201" t="s">
        <v>17</v>
      </c>
      <c r="D355" s="80" t="s">
        <v>783</v>
      </c>
      <c r="E355" s="94" t="str">
        <f>IFERROR(VLOOKUP(A355,Estimate!A:Q,17,FALSE)," ")</f>
        <v xml:space="preserve"> </v>
      </c>
      <c r="F355" s="202" t="s">
        <v>781</v>
      </c>
      <c r="G355" s="202" t="s">
        <v>781</v>
      </c>
      <c r="H355" s="203" t="s">
        <v>781</v>
      </c>
      <c r="I355" s="203" t="s">
        <v>781</v>
      </c>
      <c r="J355" s="203" t="s">
        <v>781</v>
      </c>
      <c r="K355" s="203"/>
      <c r="L355" s="202" t="s">
        <v>781</v>
      </c>
      <c r="M355" s="204" t="str">
        <f t="shared" si="2007"/>
        <v xml:space="preserve"> </v>
      </c>
      <c r="N355" s="95" t="s">
        <v>781</v>
      </c>
      <c r="O355" s="204" t="str">
        <f t="shared" si="2007"/>
        <v xml:space="preserve"> </v>
      </c>
      <c r="P355" s="95" t="s">
        <v>781</v>
      </c>
      <c r="Q355" s="204" t="str">
        <f t="shared" ref="Q355:S355" si="2176">IFERROR(P355/$G355," ")</f>
        <v xml:space="preserve"> </v>
      </c>
      <c r="R355" s="95" t="s">
        <v>781</v>
      </c>
      <c r="S355" s="204" t="str">
        <f t="shared" si="2176"/>
        <v xml:space="preserve"> </v>
      </c>
      <c r="T355" s="95" t="s">
        <v>781</v>
      </c>
      <c r="U355" s="204" t="str">
        <f t="shared" ref="U355:W355" si="2177">IFERROR(T355/$G355," ")</f>
        <v xml:space="preserve"> </v>
      </c>
      <c r="V355" s="95" t="s">
        <v>781</v>
      </c>
      <c r="W355" s="204" t="str">
        <f t="shared" si="2177"/>
        <v xml:space="preserve"> </v>
      </c>
      <c r="X355" s="95" t="s">
        <v>781</v>
      </c>
      <c r="Y355" s="204" t="str">
        <f t="shared" ref="Y355:AA355" si="2178">IFERROR(X355/$G355," ")</f>
        <v xml:space="preserve"> </v>
      </c>
      <c r="Z355" s="95" t="s">
        <v>781</v>
      </c>
      <c r="AA355" s="204" t="str">
        <f t="shared" si="2178"/>
        <v xml:space="preserve"> </v>
      </c>
      <c r="AB355" s="95" t="s">
        <v>781</v>
      </c>
      <c r="AC355" s="204" t="str">
        <f t="shared" ref="AC355:AE355" si="2179">IFERROR(AB355/$G355," ")</f>
        <v xml:space="preserve"> </v>
      </c>
      <c r="AD355" s="95" t="s">
        <v>781</v>
      </c>
      <c r="AE355" s="204" t="str">
        <f t="shared" si="2179"/>
        <v xml:space="preserve"> </v>
      </c>
      <c r="AF355" s="95" t="s">
        <v>781</v>
      </c>
      <c r="AG355" s="204" t="str">
        <f t="shared" ref="AG355:AI355" si="2180">IFERROR(AF355/$G355," ")</f>
        <v xml:space="preserve"> </v>
      </c>
      <c r="AH355" s="95" t="s">
        <v>781</v>
      </c>
      <c r="AI355" s="204" t="str">
        <f t="shared" si="2180"/>
        <v xml:space="preserve"> </v>
      </c>
      <c r="AJ355" s="95" t="s">
        <v>781</v>
      </c>
      <c r="AK355" s="204" t="str">
        <f t="shared" ref="AK355:AM355" si="2181">IFERROR(AJ355/$G355," ")</f>
        <v xml:space="preserve"> </v>
      </c>
      <c r="AL355" s="95" t="s">
        <v>781</v>
      </c>
      <c r="AM355" s="204" t="str">
        <f t="shared" si="2181"/>
        <v xml:space="preserve"> </v>
      </c>
      <c r="AN355" s="95"/>
      <c r="AO355" s="94" t="str">
        <f t="shared" si="2014"/>
        <v xml:space="preserve"> </v>
      </c>
      <c r="AP355" s="94" t="str">
        <f t="shared" si="2004"/>
        <v xml:space="preserve"> </v>
      </c>
      <c r="AQ355" s="94" t="str">
        <f t="shared" si="2005"/>
        <v xml:space="preserve"> </v>
      </c>
      <c r="AR355" s="94" t="str">
        <f t="shared" si="2015"/>
        <v xml:space="preserve"> </v>
      </c>
      <c r="AS355" s="94" t="str">
        <f t="shared" si="2016"/>
        <v xml:space="preserve"> </v>
      </c>
      <c r="AT355" s="94" t="str">
        <f t="shared" si="2017"/>
        <v xml:space="preserve"> </v>
      </c>
      <c r="AU355" s="94" t="str">
        <f t="shared" si="2018"/>
        <v xml:space="preserve"> </v>
      </c>
      <c r="AV355" s="94" t="str">
        <f t="shared" si="2019"/>
        <v xml:space="preserve"> </v>
      </c>
      <c r="AW355" s="94" t="str">
        <f t="shared" si="2020"/>
        <v xml:space="preserve"> </v>
      </c>
      <c r="AX355" s="94" t="str">
        <f t="shared" si="2021"/>
        <v xml:space="preserve"> </v>
      </c>
      <c r="AY355" s="94" t="str">
        <f t="shared" si="2022"/>
        <v xml:space="preserve"> </v>
      </c>
      <c r="AZ355" s="94" t="str">
        <f t="shared" si="2023"/>
        <v xml:space="preserve"> </v>
      </c>
      <c r="BA355" s="94" t="str">
        <f t="shared" si="2024"/>
        <v xml:space="preserve"> </v>
      </c>
      <c r="BB355" s="94" t="str">
        <f t="shared" si="2025"/>
        <v xml:space="preserve"> </v>
      </c>
    </row>
    <row r="356" spans="1:54" x14ac:dyDescent="0.25">
      <c r="A356" s="80"/>
      <c r="B356" s="95" t="s">
        <v>2835</v>
      </c>
      <c r="C356" s="201" t="s">
        <v>25</v>
      </c>
      <c r="D356" s="80" t="s">
        <v>783</v>
      </c>
      <c r="E356" s="94" t="str">
        <f>IFERROR(VLOOKUP(A356,Estimate!A:Q,17,FALSE)," ")</f>
        <v xml:space="preserve"> </v>
      </c>
      <c r="F356" s="202" t="s">
        <v>781</v>
      </c>
      <c r="G356" s="202" t="s">
        <v>781</v>
      </c>
      <c r="H356" s="203" t="s">
        <v>781</v>
      </c>
      <c r="I356" s="203" t="s">
        <v>781</v>
      </c>
      <c r="J356" s="203" t="s">
        <v>781</v>
      </c>
      <c r="K356" s="203"/>
      <c r="L356" s="202" t="s">
        <v>781</v>
      </c>
      <c r="M356" s="204" t="str">
        <f t="shared" si="2007"/>
        <v xml:space="preserve"> </v>
      </c>
      <c r="N356" s="95" t="s">
        <v>781</v>
      </c>
      <c r="O356" s="204" t="str">
        <f t="shared" si="2007"/>
        <v xml:space="preserve"> </v>
      </c>
      <c r="P356" s="95" t="s">
        <v>781</v>
      </c>
      <c r="Q356" s="204" t="str">
        <f t="shared" ref="Q356:S356" si="2182">IFERROR(P356/$G356," ")</f>
        <v xml:space="preserve"> </v>
      </c>
      <c r="R356" s="95" t="s">
        <v>781</v>
      </c>
      <c r="S356" s="204" t="str">
        <f t="shared" si="2182"/>
        <v xml:space="preserve"> </v>
      </c>
      <c r="T356" s="95" t="s">
        <v>781</v>
      </c>
      <c r="U356" s="204" t="str">
        <f t="shared" ref="U356:W356" si="2183">IFERROR(T356/$G356," ")</f>
        <v xml:space="preserve"> </v>
      </c>
      <c r="V356" s="95" t="s">
        <v>781</v>
      </c>
      <c r="W356" s="204" t="str">
        <f t="shared" si="2183"/>
        <v xml:space="preserve"> </v>
      </c>
      <c r="X356" s="95" t="s">
        <v>781</v>
      </c>
      <c r="Y356" s="204" t="str">
        <f t="shared" ref="Y356:AA356" si="2184">IFERROR(X356/$G356," ")</f>
        <v xml:space="preserve"> </v>
      </c>
      <c r="Z356" s="95" t="s">
        <v>781</v>
      </c>
      <c r="AA356" s="204" t="str">
        <f t="shared" si="2184"/>
        <v xml:space="preserve"> </v>
      </c>
      <c r="AB356" s="95" t="s">
        <v>781</v>
      </c>
      <c r="AC356" s="204" t="str">
        <f t="shared" ref="AC356:AE356" si="2185">IFERROR(AB356/$G356," ")</f>
        <v xml:space="preserve"> </v>
      </c>
      <c r="AD356" s="95" t="s">
        <v>781</v>
      </c>
      <c r="AE356" s="204" t="str">
        <f t="shared" si="2185"/>
        <v xml:space="preserve"> </v>
      </c>
      <c r="AF356" s="95" t="s">
        <v>781</v>
      </c>
      <c r="AG356" s="204" t="str">
        <f t="shared" ref="AG356:AI356" si="2186">IFERROR(AF356/$G356," ")</f>
        <v xml:space="preserve"> </v>
      </c>
      <c r="AH356" s="95" t="s">
        <v>781</v>
      </c>
      <c r="AI356" s="204" t="str">
        <f t="shared" si="2186"/>
        <v xml:space="preserve"> </v>
      </c>
      <c r="AJ356" s="95" t="s">
        <v>781</v>
      </c>
      <c r="AK356" s="204" t="str">
        <f t="shared" ref="AK356:AM356" si="2187">IFERROR(AJ356/$G356," ")</f>
        <v xml:space="preserve"> </v>
      </c>
      <c r="AL356" s="95" t="s">
        <v>781</v>
      </c>
      <c r="AM356" s="204" t="str">
        <f t="shared" si="2187"/>
        <v xml:space="preserve"> </v>
      </c>
      <c r="AN356" s="95"/>
      <c r="AO356" s="94" t="str">
        <f t="shared" si="2014"/>
        <v xml:space="preserve"> </v>
      </c>
      <c r="AP356" s="94" t="str">
        <f t="shared" si="2004"/>
        <v xml:space="preserve"> </v>
      </c>
      <c r="AQ356" s="94" t="str">
        <f t="shared" si="2005"/>
        <v xml:space="preserve"> </v>
      </c>
      <c r="AR356" s="94" t="str">
        <f t="shared" si="2015"/>
        <v xml:space="preserve"> </v>
      </c>
      <c r="AS356" s="94" t="str">
        <f t="shared" si="2016"/>
        <v xml:space="preserve"> </v>
      </c>
      <c r="AT356" s="94" t="str">
        <f t="shared" si="2017"/>
        <v xml:space="preserve"> </v>
      </c>
      <c r="AU356" s="94" t="str">
        <f t="shared" si="2018"/>
        <v xml:space="preserve"> </v>
      </c>
      <c r="AV356" s="94" t="str">
        <f t="shared" si="2019"/>
        <v xml:space="preserve"> </v>
      </c>
      <c r="AW356" s="94" t="str">
        <f t="shared" si="2020"/>
        <v xml:space="preserve"> </v>
      </c>
      <c r="AX356" s="94" t="str">
        <f t="shared" si="2021"/>
        <v xml:space="preserve"> </v>
      </c>
      <c r="AY356" s="94" t="str">
        <f t="shared" si="2022"/>
        <v xml:space="preserve"> </v>
      </c>
      <c r="AZ356" s="94" t="str">
        <f t="shared" si="2023"/>
        <v xml:space="preserve"> </v>
      </c>
      <c r="BA356" s="94" t="str">
        <f t="shared" si="2024"/>
        <v xml:space="preserve"> </v>
      </c>
      <c r="BB356" s="94" t="str">
        <f t="shared" si="2025"/>
        <v xml:space="preserve"> </v>
      </c>
    </row>
    <row r="357" spans="1:54" x14ac:dyDescent="0.25">
      <c r="A357" s="80">
        <v>147</v>
      </c>
      <c r="B357" s="95" t="s">
        <v>2836</v>
      </c>
      <c r="C357" s="201" t="s">
        <v>27</v>
      </c>
      <c r="D357" s="80" t="s">
        <v>20</v>
      </c>
      <c r="E357" s="94">
        <f>IFERROR(VLOOKUP(A357,Estimate!A:Q,17,FALSE)," ")</f>
        <v>10470</v>
      </c>
      <c r="F357" s="202">
        <v>1</v>
      </c>
      <c r="G357" s="202">
        <v>1</v>
      </c>
      <c r="H357" s="203">
        <v>13152.71</v>
      </c>
      <c r="I357" s="203">
        <v>13152.71</v>
      </c>
      <c r="J357" s="203">
        <v>13152.71</v>
      </c>
      <c r="K357" s="203"/>
      <c r="L357" s="202"/>
      <c r="M357" s="204">
        <f t="shared" si="2007"/>
        <v>0</v>
      </c>
      <c r="N357" s="95"/>
      <c r="O357" s="204">
        <f t="shared" si="2007"/>
        <v>0</v>
      </c>
      <c r="P357" s="95"/>
      <c r="Q357" s="204">
        <f t="shared" ref="Q357:S357" si="2188">IFERROR(P357/$G357," ")</f>
        <v>0</v>
      </c>
      <c r="R357" s="95"/>
      <c r="S357" s="204">
        <f t="shared" si="2188"/>
        <v>0</v>
      </c>
      <c r="T357" s="95"/>
      <c r="U357" s="204">
        <f t="shared" ref="U357:W357" si="2189">IFERROR(T357/$G357," ")</f>
        <v>0</v>
      </c>
      <c r="V357" s="95"/>
      <c r="W357" s="204">
        <f t="shared" si="2189"/>
        <v>0</v>
      </c>
      <c r="X357" s="95"/>
      <c r="Y357" s="204">
        <f t="shared" ref="Y357:AA357" si="2190">IFERROR(X357/$G357," ")</f>
        <v>0</v>
      </c>
      <c r="Z357" s="95"/>
      <c r="AA357" s="204">
        <f t="shared" si="2190"/>
        <v>0</v>
      </c>
      <c r="AB357" s="95"/>
      <c r="AC357" s="204">
        <f t="shared" ref="AC357:AE357" si="2191">IFERROR(AB357/$G357," ")</f>
        <v>0</v>
      </c>
      <c r="AD357" s="95"/>
      <c r="AE357" s="204">
        <f t="shared" si="2191"/>
        <v>0</v>
      </c>
      <c r="AF357" s="95">
        <v>0.5</v>
      </c>
      <c r="AG357" s="204">
        <f t="shared" ref="AG357:AI357" si="2192">IFERROR(AF357/$G357," ")</f>
        <v>0.5</v>
      </c>
      <c r="AH357" s="95">
        <v>1</v>
      </c>
      <c r="AI357" s="204">
        <f t="shared" si="2192"/>
        <v>1</v>
      </c>
      <c r="AJ357" s="95">
        <v>1</v>
      </c>
      <c r="AK357" s="204">
        <f t="shared" ref="AK357:AM357" si="2193">IFERROR(AJ357/$G357," ")</f>
        <v>1</v>
      </c>
      <c r="AL357" s="95">
        <v>1</v>
      </c>
      <c r="AM357" s="204">
        <f t="shared" si="2193"/>
        <v>1</v>
      </c>
      <c r="AN357" s="95"/>
      <c r="AO357" s="94">
        <f t="shared" si="2014"/>
        <v>0</v>
      </c>
      <c r="AP357" s="94">
        <f t="shared" si="2004"/>
        <v>0</v>
      </c>
      <c r="AQ357" s="94">
        <f t="shared" si="2005"/>
        <v>0</v>
      </c>
      <c r="AR357" s="94">
        <f t="shared" si="2015"/>
        <v>0</v>
      </c>
      <c r="AS357" s="94">
        <f t="shared" si="2016"/>
        <v>0</v>
      </c>
      <c r="AT357" s="94">
        <f t="shared" si="2017"/>
        <v>0</v>
      </c>
      <c r="AU357" s="94">
        <f t="shared" si="2018"/>
        <v>0</v>
      </c>
      <c r="AV357" s="94">
        <f t="shared" si="2019"/>
        <v>0</v>
      </c>
      <c r="AW357" s="94">
        <f t="shared" si="2020"/>
        <v>0</v>
      </c>
      <c r="AX357" s="94">
        <f t="shared" si="2021"/>
        <v>0</v>
      </c>
      <c r="AY357" s="94">
        <f t="shared" si="2022"/>
        <v>6576.3549999999996</v>
      </c>
      <c r="AZ357" s="94">
        <f t="shared" si="2023"/>
        <v>13152.71</v>
      </c>
      <c r="BA357" s="94">
        <f t="shared" si="2024"/>
        <v>13152.71</v>
      </c>
      <c r="BB357" s="94">
        <f t="shared" si="2025"/>
        <v>13152.71</v>
      </c>
    </row>
    <row r="358" spans="1:54" x14ac:dyDescent="0.25">
      <c r="A358" s="80"/>
      <c r="B358" s="95" t="s">
        <v>2417</v>
      </c>
      <c r="C358" s="201" t="s">
        <v>2837</v>
      </c>
      <c r="D358" s="80" t="s">
        <v>783</v>
      </c>
      <c r="E358" s="94" t="str">
        <f>IFERROR(VLOOKUP(A358,Estimate!A:Q,17,FALSE)," ")</f>
        <v xml:space="preserve"> </v>
      </c>
      <c r="F358" s="202" t="s">
        <v>781</v>
      </c>
      <c r="G358" s="202" t="s">
        <v>781</v>
      </c>
      <c r="H358" s="203" t="s">
        <v>781</v>
      </c>
      <c r="I358" s="203" t="s">
        <v>781</v>
      </c>
      <c r="J358" s="203" t="s">
        <v>781</v>
      </c>
      <c r="K358" s="203"/>
      <c r="L358" s="202" t="s">
        <v>781</v>
      </c>
      <c r="M358" s="204" t="str">
        <f t="shared" si="2007"/>
        <v xml:space="preserve"> </v>
      </c>
      <c r="N358" s="95" t="s">
        <v>781</v>
      </c>
      <c r="O358" s="204" t="str">
        <f t="shared" si="2007"/>
        <v xml:space="preserve"> </v>
      </c>
      <c r="P358" s="95" t="s">
        <v>781</v>
      </c>
      <c r="Q358" s="204" t="str">
        <f t="shared" ref="Q358:S358" si="2194">IFERROR(P358/$G358," ")</f>
        <v xml:space="preserve"> </v>
      </c>
      <c r="R358" s="95" t="s">
        <v>781</v>
      </c>
      <c r="S358" s="204" t="str">
        <f t="shared" si="2194"/>
        <v xml:space="preserve"> </v>
      </c>
      <c r="T358" s="95" t="s">
        <v>781</v>
      </c>
      <c r="U358" s="204" t="str">
        <f t="shared" ref="U358:W358" si="2195">IFERROR(T358/$G358," ")</f>
        <v xml:space="preserve"> </v>
      </c>
      <c r="V358" s="95" t="s">
        <v>781</v>
      </c>
      <c r="W358" s="204" t="str">
        <f t="shared" si="2195"/>
        <v xml:space="preserve"> </v>
      </c>
      <c r="X358" s="95" t="s">
        <v>781</v>
      </c>
      <c r="Y358" s="204" t="str">
        <f t="shared" ref="Y358:AA358" si="2196">IFERROR(X358/$G358," ")</f>
        <v xml:space="preserve"> </v>
      </c>
      <c r="Z358" s="95" t="s">
        <v>781</v>
      </c>
      <c r="AA358" s="204" t="str">
        <f t="shared" si="2196"/>
        <v xml:space="preserve"> </v>
      </c>
      <c r="AB358" s="95" t="s">
        <v>781</v>
      </c>
      <c r="AC358" s="204" t="str">
        <f t="shared" ref="AC358:AE358" si="2197">IFERROR(AB358/$G358," ")</f>
        <v xml:space="preserve"> </v>
      </c>
      <c r="AD358" s="95" t="s">
        <v>781</v>
      </c>
      <c r="AE358" s="204" t="str">
        <f t="shared" si="2197"/>
        <v xml:space="preserve"> </v>
      </c>
      <c r="AF358" s="95" t="s">
        <v>781</v>
      </c>
      <c r="AG358" s="204" t="str">
        <f t="shared" ref="AG358:AI358" si="2198">IFERROR(AF358/$G358," ")</f>
        <v xml:space="preserve"> </v>
      </c>
      <c r="AH358" s="95" t="s">
        <v>781</v>
      </c>
      <c r="AI358" s="204" t="str">
        <f t="shared" si="2198"/>
        <v xml:space="preserve"> </v>
      </c>
      <c r="AJ358" s="95" t="s">
        <v>781</v>
      </c>
      <c r="AK358" s="204" t="str">
        <f t="shared" ref="AK358:AM358" si="2199">IFERROR(AJ358/$G358," ")</f>
        <v xml:space="preserve"> </v>
      </c>
      <c r="AL358" s="95" t="s">
        <v>781</v>
      </c>
      <c r="AM358" s="204" t="str">
        <f t="shared" si="2199"/>
        <v xml:space="preserve"> </v>
      </c>
      <c r="AN358" s="95"/>
      <c r="AO358" s="94" t="str">
        <f t="shared" si="2014"/>
        <v xml:space="preserve"> </v>
      </c>
      <c r="AP358" s="94" t="str">
        <f t="shared" si="2004"/>
        <v xml:space="preserve"> </v>
      </c>
      <c r="AQ358" s="94" t="str">
        <f t="shared" si="2005"/>
        <v xml:space="preserve"> </v>
      </c>
      <c r="AR358" s="94" t="str">
        <f t="shared" si="2015"/>
        <v xml:space="preserve"> </v>
      </c>
      <c r="AS358" s="94" t="str">
        <f t="shared" si="2016"/>
        <v xml:space="preserve"> </v>
      </c>
      <c r="AT358" s="94" t="str">
        <f t="shared" si="2017"/>
        <v xml:space="preserve"> </v>
      </c>
      <c r="AU358" s="94" t="str">
        <f t="shared" si="2018"/>
        <v xml:space="preserve"> </v>
      </c>
      <c r="AV358" s="94" t="str">
        <f t="shared" si="2019"/>
        <v xml:space="preserve"> </v>
      </c>
      <c r="AW358" s="94" t="str">
        <f t="shared" si="2020"/>
        <v xml:space="preserve"> </v>
      </c>
      <c r="AX358" s="94" t="str">
        <f t="shared" si="2021"/>
        <v xml:space="preserve"> </v>
      </c>
      <c r="AY358" s="94" t="str">
        <f t="shared" si="2022"/>
        <v xml:space="preserve"> </v>
      </c>
      <c r="AZ358" s="94" t="str">
        <f t="shared" si="2023"/>
        <v xml:space="preserve"> </v>
      </c>
      <c r="BA358" s="94" t="str">
        <f t="shared" si="2024"/>
        <v xml:space="preserve"> </v>
      </c>
      <c r="BB358" s="94" t="str">
        <f t="shared" si="2025"/>
        <v xml:space="preserve"> </v>
      </c>
    </row>
    <row r="359" spans="1:54" x14ac:dyDescent="0.25">
      <c r="A359" s="80"/>
      <c r="B359" s="95" t="s">
        <v>2417</v>
      </c>
      <c r="C359" s="201" t="s">
        <v>35</v>
      </c>
      <c r="D359" s="80" t="s">
        <v>783</v>
      </c>
      <c r="E359" s="94" t="str">
        <f>IFERROR(VLOOKUP(A359,Estimate!A:Q,17,FALSE)," ")</f>
        <v xml:space="preserve"> </v>
      </c>
      <c r="F359" s="202" t="s">
        <v>781</v>
      </c>
      <c r="G359" s="202" t="s">
        <v>781</v>
      </c>
      <c r="H359" s="203" t="s">
        <v>781</v>
      </c>
      <c r="I359" s="203" t="s">
        <v>781</v>
      </c>
      <c r="J359" s="203" t="s">
        <v>781</v>
      </c>
      <c r="K359" s="203"/>
      <c r="L359" s="202" t="s">
        <v>781</v>
      </c>
      <c r="M359" s="204" t="str">
        <f t="shared" si="2007"/>
        <v xml:space="preserve"> </v>
      </c>
      <c r="N359" s="95" t="s">
        <v>781</v>
      </c>
      <c r="O359" s="204" t="str">
        <f t="shared" si="2007"/>
        <v xml:space="preserve"> </v>
      </c>
      <c r="P359" s="95" t="s">
        <v>781</v>
      </c>
      <c r="Q359" s="204" t="str">
        <f t="shared" ref="Q359:S359" si="2200">IFERROR(P359/$G359," ")</f>
        <v xml:space="preserve"> </v>
      </c>
      <c r="R359" s="95" t="s">
        <v>781</v>
      </c>
      <c r="S359" s="204" t="str">
        <f t="shared" si="2200"/>
        <v xml:space="preserve"> </v>
      </c>
      <c r="T359" s="95" t="s">
        <v>781</v>
      </c>
      <c r="U359" s="204" t="str">
        <f t="shared" ref="U359:W359" si="2201">IFERROR(T359/$G359," ")</f>
        <v xml:space="preserve"> </v>
      </c>
      <c r="V359" s="95" t="s">
        <v>781</v>
      </c>
      <c r="W359" s="204" t="str">
        <f t="shared" si="2201"/>
        <v xml:space="preserve"> </v>
      </c>
      <c r="X359" s="95" t="s">
        <v>781</v>
      </c>
      <c r="Y359" s="204" t="str">
        <f t="shared" ref="Y359:AA359" si="2202">IFERROR(X359/$G359," ")</f>
        <v xml:space="preserve"> </v>
      </c>
      <c r="Z359" s="95" t="s">
        <v>781</v>
      </c>
      <c r="AA359" s="204" t="str">
        <f t="shared" si="2202"/>
        <v xml:space="preserve"> </v>
      </c>
      <c r="AB359" s="95" t="s">
        <v>781</v>
      </c>
      <c r="AC359" s="204" t="str">
        <f t="shared" ref="AC359:AE359" si="2203">IFERROR(AB359/$G359," ")</f>
        <v xml:space="preserve"> </v>
      </c>
      <c r="AD359" s="95" t="s">
        <v>781</v>
      </c>
      <c r="AE359" s="204" t="str">
        <f t="shared" si="2203"/>
        <v xml:space="preserve"> </v>
      </c>
      <c r="AF359" s="95" t="s">
        <v>781</v>
      </c>
      <c r="AG359" s="204" t="str">
        <f t="shared" ref="AG359:AI359" si="2204">IFERROR(AF359/$G359," ")</f>
        <v xml:space="preserve"> </v>
      </c>
      <c r="AH359" s="95" t="s">
        <v>781</v>
      </c>
      <c r="AI359" s="204" t="str">
        <f t="shared" si="2204"/>
        <v xml:space="preserve"> </v>
      </c>
      <c r="AJ359" s="95" t="s">
        <v>781</v>
      </c>
      <c r="AK359" s="204" t="str">
        <f t="shared" ref="AK359:AM359" si="2205">IFERROR(AJ359/$G359," ")</f>
        <v xml:space="preserve"> </v>
      </c>
      <c r="AL359" s="95" t="s">
        <v>781</v>
      </c>
      <c r="AM359" s="204" t="str">
        <f t="shared" si="2205"/>
        <v xml:space="preserve"> </v>
      </c>
      <c r="AN359" s="95"/>
      <c r="AO359" s="94" t="str">
        <f t="shared" si="2014"/>
        <v xml:space="preserve"> </v>
      </c>
      <c r="AP359" s="94" t="str">
        <f t="shared" si="2004"/>
        <v xml:space="preserve"> </v>
      </c>
      <c r="AQ359" s="94" t="str">
        <f t="shared" si="2005"/>
        <v xml:space="preserve"> </v>
      </c>
      <c r="AR359" s="94" t="str">
        <f t="shared" si="2015"/>
        <v xml:space="preserve"> </v>
      </c>
      <c r="AS359" s="94" t="str">
        <f t="shared" si="2016"/>
        <v xml:space="preserve"> </v>
      </c>
      <c r="AT359" s="94" t="str">
        <f t="shared" si="2017"/>
        <v xml:space="preserve"> </v>
      </c>
      <c r="AU359" s="94" t="str">
        <f t="shared" si="2018"/>
        <v xml:space="preserve"> </v>
      </c>
      <c r="AV359" s="94" t="str">
        <f t="shared" si="2019"/>
        <v xml:space="preserve"> </v>
      </c>
      <c r="AW359" s="94" t="str">
        <f t="shared" si="2020"/>
        <v xml:space="preserve"> </v>
      </c>
      <c r="AX359" s="94" t="str">
        <f t="shared" si="2021"/>
        <v xml:space="preserve"> </v>
      </c>
      <c r="AY359" s="94" t="str">
        <f t="shared" si="2022"/>
        <v xml:space="preserve"> </v>
      </c>
      <c r="AZ359" s="94" t="str">
        <f t="shared" si="2023"/>
        <v xml:space="preserve"> </v>
      </c>
      <c r="BA359" s="94" t="str">
        <f t="shared" si="2024"/>
        <v xml:space="preserve"> </v>
      </c>
      <c r="BB359" s="94" t="str">
        <f t="shared" si="2025"/>
        <v xml:space="preserve"> </v>
      </c>
    </row>
    <row r="360" spans="1:54" x14ac:dyDescent="0.25">
      <c r="A360" s="80"/>
      <c r="B360" s="95" t="s">
        <v>2838</v>
      </c>
      <c r="C360" s="201" t="s">
        <v>36</v>
      </c>
      <c r="D360" s="80" t="s">
        <v>783</v>
      </c>
      <c r="E360" s="94" t="str">
        <f>IFERROR(VLOOKUP(A360,Estimate!A:Q,17,FALSE)," ")</f>
        <v xml:space="preserve"> </v>
      </c>
      <c r="F360" s="202" t="s">
        <v>781</v>
      </c>
      <c r="G360" s="202" t="s">
        <v>781</v>
      </c>
      <c r="H360" s="203" t="s">
        <v>781</v>
      </c>
      <c r="I360" s="203" t="s">
        <v>781</v>
      </c>
      <c r="J360" s="203" t="s">
        <v>781</v>
      </c>
      <c r="K360" s="203"/>
      <c r="L360" s="202" t="s">
        <v>781</v>
      </c>
      <c r="M360" s="204" t="str">
        <f t="shared" si="2007"/>
        <v xml:space="preserve"> </v>
      </c>
      <c r="N360" s="95" t="s">
        <v>781</v>
      </c>
      <c r="O360" s="204" t="str">
        <f t="shared" si="2007"/>
        <v xml:space="preserve"> </v>
      </c>
      <c r="P360" s="95" t="s">
        <v>781</v>
      </c>
      <c r="Q360" s="204" t="str">
        <f t="shared" ref="Q360:S360" si="2206">IFERROR(P360/$G360," ")</f>
        <v xml:space="preserve"> </v>
      </c>
      <c r="R360" s="95" t="s">
        <v>781</v>
      </c>
      <c r="S360" s="204" t="str">
        <f t="shared" si="2206"/>
        <v xml:space="preserve"> </v>
      </c>
      <c r="T360" s="95" t="s">
        <v>781</v>
      </c>
      <c r="U360" s="204" t="str">
        <f t="shared" ref="U360:W360" si="2207">IFERROR(T360/$G360," ")</f>
        <v xml:space="preserve"> </v>
      </c>
      <c r="V360" s="95" t="s">
        <v>781</v>
      </c>
      <c r="W360" s="204" t="str">
        <f t="shared" si="2207"/>
        <v xml:space="preserve"> </v>
      </c>
      <c r="X360" s="95" t="s">
        <v>781</v>
      </c>
      <c r="Y360" s="204" t="str">
        <f t="shared" ref="Y360:AA360" si="2208">IFERROR(X360/$G360," ")</f>
        <v xml:space="preserve"> </v>
      </c>
      <c r="Z360" s="95" t="s">
        <v>781</v>
      </c>
      <c r="AA360" s="204" t="str">
        <f t="shared" si="2208"/>
        <v xml:space="preserve"> </v>
      </c>
      <c r="AB360" s="95" t="s">
        <v>781</v>
      </c>
      <c r="AC360" s="204" t="str">
        <f t="shared" ref="AC360:AE360" si="2209">IFERROR(AB360/$G360," ")</f>
        <v xml:space="preserve"> </v>
      </c>
      <c r="AD360" s="95" t="s">
        <v>781</v>
      </c>
      <c r="AE360" s="204" t="str">
        <f t="shared" si="2209"/>
        <v xml:space="preserve"> </v>
      </c>
      <c r="AF360" s="95" t="s">
        <v>781</v>
      </c>
      <c r="AG360" s="204" t="str">
        <f t="shared" ref="AG360:AI360" si="2210">IFERROR(AF360/$G360," ")</f>
        <v xml:space="preserve"> </v>
      </c>
      <c r="AH360" s="95" t="s">
        <v>781</v>
      </c>
      <c r="AI360" s="204" t="str">
        <f t="shared" si="2210"/>
        <v xml:space="preserve"> </v>
      </c>
      <c r="AJ360" s="95" t="s">
        <v>781</v>
      </c>
      <c r="AK360" s="204" t="str">
        <f t="shared" ref="AK360:AM360" si="2211">IFERROR(AJ360/$G360," ")</f>
        <v xml:space="preserve"> </v>
      </c>
      <c r="AL360" s="95" t="s">
        <v>781</v>
      </c>
      <c r="AM360" s="204" t="str">
        <f t="shared" si="2211"/>
        <v xml:space="preserve"> </v>
      </c>
      <c r="AN360" s="95"/>
      <c r="AO360" s="94" t="str">
        <f t="shared" si="2014"/>
        <v xml:space="preserve"> </v>
      </c>
      <c r="AP360" s="94" t="str">
        <f t="shared" si="2004"/>
        <v xml:space="preserve"> </v>
      </c>
      <c r="AQ360" s="94" t="str">
        <f t="shared" si="2005"/>
        <v xml:space="preserve"> </v>
      </c>
      <c r="AR360" s="94" t="str">
        <f t="shared" si="2015"/>
        <v xml:space="preserve"> </v>
      </c>
      <c r="AS360" s="94" t="str">
        <f t="shared" si="2016"/>
        <v xml:space="preserve"> </v>
      </c>
      <c r="AT360" s="94" t="str">
        <f t="shared" si="2017"/>
        <v xml:space="preserve"> </v>
      </c>
      <c r="AU360" s="94" t="str">
        <f t="shared" si="2018"/>
        <v xml:space="preserve"> </v>
      </c>
      <c r="AV360" s="94" t="str">
        <f t="shared" si="2019"/>
        <v xml:space="preserve"> </v>
      </c>
      <c r="AW360" s="94" t="str">
        <f t="shared" si="2020"/>
        <v xml:space="preserve"> </v>
      </c>
      <c r="AX360" s="94" t="str">
        <f t="shared" si="2021"/>
        <v xml:space="preserve"> </v>
      </c>
      <c r="AY360" s="94" t="str">
        <f t="shared" si="2022"/>
        <v xml:space="preserve"> </v>
      </c>
      <c r="AZ360" s="94" t="str">
        <f t="shared" si="2023"/>
        <v xml:space="preserve"> </v>
      </c>
      <c r="BA360" s="94" t="str">
        <f t="shared" si="2024"/>
        <v xml:space="preserve"> </v>
      </c>
      <c r="BB360" s="94" t="str">
        <f t="shared" si="2025"/>
        <v xml:space="preserve"> </v>
      </c>
    </row>
    <row r="361" spans="1:54" x14ac:dyDescent="0.25">
      <c r="A361" s="80"/>
      <c r="B361" s="95" t="s">
        <v>2839</v>
      </c>
      <c r="C361" s="201" t="s">
        <v>38</v>
      </c>
      <c r="D361" s="80" t="s">
        <v>20</v>
      </c>
      <c r="E361" s="94" t="str">
        <f>IFERROR(VLOOKUP(A361,Estimate!A:Q,17,FALSE)," ")</f>
        <v xml:space="preserve"> </v>
      </c>
      <c r="F361" s="202">
        <v>1</v>
      </c>
      <c r="G361" s="202">
        <v>1</v>
      </c>
      <c r="H361" s="203"/>
      <c r="I361" s="203"/>
      <c r="J361" s="203"/>
      <c r="K361" s="203"/>
      <c r="L361" s="202"/>
      <c r="M361" s="204">
        <f t="shared" si="2007"/>
        <v>0</v>
      </c>
      <c r="N361" s="95"/>
      <c r="O361" s="204">
        <f t="shared" si="2007"/>
        <v>0</v>
      </c>
      <c r="P361" s="95"/>
      <c r="Q361" s="204">
        <f t="shared" ref="Q361:S361" si="2212">IFERROR(P361/$G361," ")</f>
        <v>0</v>
      </c>
      <c r="R361" s="95"/>
      <c r="S361" s="204">
        <f t="shared" si="2212"/>
        <v>0</v>
      </c>
      <c r="T361" s="95"/>
      <c r="U361" s="204">
        <f t="shared" ref="U361:W361" si="2213">IFERROR(T361/$G361," ")</f>
        <v>0</v>
      </c>
      <c r="V361" s="95"/>
      <c r="W361" s="204">
        <f t="shared" si="2213"/>
        <v>0</v>
      </c>
      <c r="X361" s="95"/>
      <c r="Y361" s="204">
        <f t="shared" ref="Y361:AA361" si="2214">IFERROR(X361/$G361," ")</f>
        <v>0</v>
      </c>
      <c r="Z361" s="95"/>
      <c r="AA361" s="204">
        <f t="shared" si="2214"/>
        <v>0</v>
      </c>
      <c r="AB361" s="95"/>
      <c r="AC361" s="204">
        <f t="shared" ref="AC361:AE361" si="2215">IFERROR(AB361/$G361," ")</f>
        <v>0</v>
      </c>
      <c r="AD361" s="95"/>
      <c r="AE361" s="204">
        <f t="shared" si="2215"/>
        <v>0</v>
      </c>
      <c r="AF361" s="95"/>
      <c r="AG361" s="204">
        <f t="shared" ref="AG361:AI361" si="2216">IFERROR(AF361/$G361," ")</f>
        <v>0</v>
      </c>
      <c r="AH361" s="95"/>
      <c r="AI361" s="204">
        <f t="shared" si="2216"/>
        <v>0</v>
      </c>
      <c r="AJ361" s="95"/>
      <c r="AK361" s="204">
        <f t="shared" ref="AK361:AM361" si="2217">IFERROR(AJ361/$G361," ")</f>
        <v>0</v>
      </c>
      <c r="AL361" s="95"/>
      <c r="AM361" s="204">
        <f t="shared" si="2217"/>
        <v>0</v>
      </c>
      <c r="AN361" s="95"/>
      <c r="AO361" s="94">
        <f t="shared" si="2014"/>
        <v>0</v>
      </c>
      <c r="AP361" s="94">
        <f t="shared" si="2004"/>
        <v>0</v>
      </c>
      <c r="AQ361" s="94">
        <f t="shared" si="2005"/>
        <v>0</v>
      </c>
      <c r="AR361" s="94">
        <f t="shared" ref="AR361:AR391" si="2218">IFERROR(S361*$J361," ")</f>
        <v>0</v>
      </c>
      <c r="AS361" s="94">
        <f t="shared" si="2016"/>
        <v>0</v>
      </c>
      <c r="AT361" s="94">
        <f t="shared" si="2017"/>
        <v>0</v>
      </c>
      <c r="AU361" s="94">
        <f t="shared" si="2018"/>
        <v>0</v>
      </c>
      <c r="AV361" s="94">
        <f t="shared" si="2019"/>
        <v>0</v>
      </c>
      <c r="AW361" s="94">
        <f t="shared" si="2020"/>
        <v>0</v>
      </c>
      <c r="AX361" s="94">
        <f t="shared" si="2021"/>
        <v>0</v>
      </c>
      <c r="AY361" s="94">
        <f t="shared" si="2022"/>
        <v>0</v>
      </c>
      <c r="AZ361" s="94">
        <f t="shared" si="2023"/>
        <v>0</v>
      </c>
      <c r="BA361" s="94">
        <f t="shared" si="2024"/>
        <v>0</v>
      </c>
      <c r="BB361" s="94">
        <f t="shared" si="2025"/>
        <v>0</v>
      </c>
    </row>
    <row r="362" spans="1:54" x14ac:dyDescent="0.25">
      <c r="A362" s="80"/>
      <c r="B362" s="95" t="s">
        <v>2417</v>
      </c>
      <c r="C362" s="201" t="s">
        <v>2837</v>
      </c>
      <c r="D362" s="80" t="s">
        <v>783</v>
      </c>
      <c r="E362" s="94" t="str">
        <f>IFERROR(VLOOKUP(A362,Estimate!A:Q,17,FALSE)," ")</f>
        <v xml:space="preserve"> </v>
      </c>
      <c r="F362" s="202" t="s">
        <v>781</v>
      </c>
      <c r="G362" s="202" t="s">
        <v>781</v>
      </c>
      <c r="H362" s="203" t="s">
        <v>781</v>
      </c>
      <c r="I362" s="203" t="s">
        <v>781</v>
      </c>
      <c r="J362" s="203" t="s">
        <v>781</v>
      </c>
      <c r="K362" s="203"/>
      <c r="L362" s="202" t="s">
        <v>781</v>
      </c>
      <c r="M362" s="204" t="str">
        <f t="shared" si="2007"/>
        <v xml:space="preserve"> </v>
      </c>
      <c r="N362" s="95" t="s">
        <v>781</v>
      </c>
      <c r="O362" s="204" t="str">
        <f t="shared" si="2007"/>
        <v xml:space="preserve"> </v>
      </c>
      <c r="P362" s="95" t="s">
        <v>781</v>
      </c>
      <c r="Q362" s="204" t="str">
        <f t="shared" ref="Q362:S362" si="2219">IFERROR(P362/$G362," ")</f>
        <v xml:space="preserve"> </v>
      </c>
      <c r="R362" s="95" t="s">
        <v>781</v>
      </c>
      <c r="S362" s="204" t="str">
        <f t="shared" si="2219"/>
        <v xml:space="preserve"> </v>
      </c>
      <c r="T362" s="95" t="s">
        <v>781</v>
      </c>
      <c r="U362" s="204" t="str">
        <f t="shared" ref="U362:W362" si="2220">IFERROR(T362/$G362," ")</f>
        <v xml:space="preserve"> </v>
      </c>
      <c r="V362" s="95" t="s">
        <v>781</v>
      </c>
      <c r="W362" s="204" t="str">
        <f t="shared" si="2220"/>
        <v xml:space="preserve"> </v>
      </c>
      <c r="X362" s="95" t="s">
        <v>781</v>
      </c>
      <c r="Y362" s="204" t="str">
        <f t="shared" ref="Y362:AA362" si="2221">IFERROR(X362/$G362," ")</f>
        <v xml:space="preserve"> </v>
      </c>
      <c r="Z362" s="95" t="s">
        <v>781</v>
      </c>
      <c r="AA362" s="204" t="str">
        <f t="shared" si="2221"/>
        <v xml:space="preserve"> </v>
      </c>
      <c r="AB362" s="95" t="s">
        <v>781</v>
      </c>
      <c r="AC362" s="204" t="str">
        <f t="shared" ref="AC362:AE362" si="2222">IFERROR(AB362/$G362," ")</f>
        <v xml:space="preserve"> </v>
      </c>
      <c r="AD362" s="95" t="s">
        <v>781</v>
      </c>
      <c r="AE362" s="204" t="str">
        <f t="shared" si="2222"/>
        <v xml:space="preserve"> </v>
      </c>
      <c r="AF362" s="95" t="s">
        <v>781</v>
      </c>
      <c r="AG362" s="204" t="str">
        <f t="shared" ref="AG362:AI362" si="2223">IFERROR(AF362/$G362," ")</f>
        <v xml:space="preserve"> </v>
      </c>
      <c r="AH362" s="95" t="s">
        <v>781</v>
      </c>
      <c r="AI362" s="204" t="str">
        <f t="shared" si="2223"/>
        <v xml:space="preserve"> </v>
      </c>
      <c r="AJ362" s="95" t="s">
        <v>781</v>
      </c>
      <c r="AK362" s="204" t="str">
        <f t="shared" ref="AK362:AM362" si="2224">IFERROR(AJ362/$G362," ")</f>
        <v xml:space="preserve"> </v>
      </c>
      <c r="AL362" s="95" t="s">
        <v>781</v>
      </c>
      <c r="AM362" s="204" t="str">
        <f t="shared" si="2224"/>
        <v xml:space="preserve"> </v>
      </c>
      <c r="AN362" s="95"/>
      <c r="AO362" s="94" t="str">
        <f t="shared" si="2014"/>
        <v xml:space="preserve"> </v>
      </c>
      <c r="AP362" s="94" t="str">
        <f t="shared" si="2004"/>
        <v xml:space="preserve"> </v>
      </c>
      <c r="AQ362" s="94" t="str">
        <f t="shared" si="2005"/>
        <v xml:space="preserve"> </v>
      </c>
      <c r="AR362" s="94" t="str">
        <f t="shared" si="2218"/>
        <v xml:space="preserve"> </v>
      </c>
      <c r="AS362" s="94" t="str">
        <f t="shared" si="2016"/>
        <v xml:space="preserve"> </v>
      </c>
      <c r="AT362" s="94" t="str">
        <f t="shared" si="2017"/>
        <v xml:space="preserve"> </v>
      </c>
      <c r="AU362" s="94" t="str">
        <f t="shared" si="2018"/>
        <v xml:space="preserve"> </v>
      </c>
      <c r="AV362" s="94" t="str">
        <f t="shared" si="2019"/>
        <v xml:space="preserve"> </v>
      </c>
      <c r="AW362" s="94" t="str">
        <f t="shared" si="2020"/>
        <v xml:space="preserve"> </v>
      </c>
      <c r="AX362" s="94" t="str">
        <f t="shared" si="2021"/>
        <v xml:space="preserve"> </v>
      </c>
      <c r="AY362" s="94" t="str">
        <f t="shared" si="2022"/>
        <v xml:space="preserve"> </v>
      </c>
      <c r="AZ362" s="94" t="str">
        <f t="shared" si="2023"/>
        <v xml:space="preserve"> </v>
      </c>
      <c r="BA362" s="94" t="str">
        <f t="shared" si="2024"/>
        <v xml:space="preserve"> </v>
      </c>
      <c r="BB362" s="94" t="str">
        <f t="shared" si="2025"/>
        <v xml:space="preserve"> </v>
      </c>
    </row>
    <row r="363" spans="1:54" x14ac:dyDescent="0.25">
      <c r="A363" s="80"/>
      <c r="B363" s="95" t="s">
        <v>2417</v>
      </c>
      <c r="C363" s="201" t="s">
        <v>50</v>
      </c>
      <c r="D363" s="80" t="s">
        <v>783</v>
      </c>
      <c r="E363" s="94" t="str">
        <f>IFERROR(VLOOKUP(A363,Estimate!A:Q,17,FALSE)," ")</f>
        <v xml:space="preserve"> </v>
      </c>
      <c r="F363" s="202" t="s">
        <v>781</v>
      </c>
      <c r="G363" s="202" t="s">
        <v>781</v>
      </c>
      <c r="H363" s="203" t="s">
        <v>781</v>
      </c>
      <c r="I363" s="203" t="s">
        <v>781</v>
      </c>
      <c r="J363" s="203" t="s">
        <v>781</v>
      </c>
      <c r="K363" s="203"/>
      <c r="L363" s="202" t="s">
        <v>781</v>
      </c>
      <c r="M363" s="204" t="str">
        <f t="shared" si="2007"/>
        <v xml:space="preserve"> </v>
      </c>
      <c r="N363" s="95" t="s">
        <v>781</v>
      </c>
      <c r="O363" s="204" t="str">
        <f t="shared" si="2007"/>
        <v xml:space="preserve"> </v>
      </c>
      <c r="P363" s="95" t="s">
        <v>781</v>
      </c>
      <c r="Q363" s="204" t="str">
        <f t="shared" ref="Q363:S363" si="2225">IFERROR(P363/$G363," ")</f>
        <v xml:space="preserve"> </v>
      </c>
      <c r="R363" s="95" t="s">
        <v>781</v>
      </c>
      <c r="S363" s="204" t="str">
        <f t="shared" si="2225"/>
        <v xml:space="preserve"> </v>
      </c>
      <c r="T363" s="95" t="s">
        <v>781</v>
      </c>
      <c r="U363" s="204" t="str">
        <f t="shared" ref="U363:W363" si="2226">IFERROR(T363/$G363," ")</f>
        <v xml:space="preserve"> </v>
      </c>
      <c r="V363" s="95" t="s">
        <v>781</v>
      </c>
      <c r="W363" s="204" t="str">
        <f t="shared" si="2226"/>
        <v xml:space="preserve"> </v>
      </c>
      <c r="X363" s="95" t="s">
        <v>781</v>
      </c>
      <c r="Y363" s="204" t="str">
        <f t="shared" ref="Y363:AA363" si="2227">IFERROR(X363/$G363," ")</f>
        <v xml:space="preserve"> </v>
      </c>
      <c r="Z363" s="95" t="s">
        <v>781</v>
      </c>
      <c r="AA363" s="204" t="str">
        <f t="shared" si="2227"/>
        <v xml:space="preserve"> </v>
      </c>
      <c r="AB363" s="95" t="s">
        <v>781</v>
      </c>
      <c r="AC363" s="204" t="str">
        <f t="shared" ref="AC363:AE363" si="2228">IFERROR(AB363/$G363," ")</f>
        <v xml:space="preserve"> </v>
      </c>
      <c r="AD363" s="95" t="s">
        <v>781</v>
      </c>
      <c r="AE363" s="204" t="str">
        <f t="shared" si="2228"/>
        <v xml:space="preserve"> </v>
      </c>
      <c r="AF363" s="95" t="s">
        <v>781</v>
      </c>
      <c r="AG363" s="204" t="str">
        <f t="shared" ref="AG363:AI363" si="2229">IFERROR(AF363/$G363," ")</f>
        <v xml:space="preserve"> </v>
      </c>
      <c r="AH363" s="95" t="s">
        <v>781</v>
      </c>
      <c r="AI363" s="204" t="str">
        <f t="shared" si="2229"/>
        <v xml:space="preserve"> </v>
      </c>
      <c r="AJ363" s="95" t="s">
        <v>781</v>
      </c>
      <c r="AK363" s="204" t="str">
        <f t="shared" ref="AK363:AM363" si="2230">IFERROR(AJ363/$G363," ")</f>
        <v xml:space="preserve"> </v>
      </c>
      <c r="AL363" s="95" t="s">
        <v>781</v>
      </c>
      <c r="AM363" s="204" t="str">
        <f t="shared" si="2230"/>
        <v xml:space="preserve"> </v>
      </c>
      <c r="AN363" s="95"/>
      <c r="AO363" s="94" t="str">
        <f t="shared" si="2014"/>
        <v xml:space="preserve"> </v>
      </c>
      <c r="AP363" s="94" t="str">
        <f t="shared" si="2004"/>
        <v xml:space="preserve"> </v>
      </c>
      <c r="AQ363" s="94" t="str">
        <f t="shared" si="2005"/>
        <v xml:space="preserve"> </v>
      </c>
      <c r="AR363" s="94" t="str">
        <f t="shared" si="2218"/>
        <v xml:space="preserve"> </v>
      </c>
      <c r="AS363" s="94" t="str">
        <f t="shared" si="2016"/>
        <v xml:space="preserve"> </v>
      </c>
      <c r="AT363" s="94" t="str">
        <f t="shared" si="2017"/>
        <v xml:space="preserve"> </v>
      </c>
      <c r="AU363" s="94" t="str">
        <f t="shared" si="2018"/>
        <v xml:space="preserve"> </v>
      </c>
      <c r="AV363" s="94" t="str">
        <f t="shared" si="2019"/>
        <v xml:space="preserve"> </v>
      </c>
      <c r="AW363" s="94" t="str">
        <f t="shared" si="2020"/>
        <v xml:space="preserve"> </v>
      </c>
      <c r="AX363" s="94" t="str">
        <f t="shared" si="2021"/>
        <v xml:space="preserve"> </v>
      </c>
      <c r="AY363" s="94" t="str">
        <f t="shared" si="2022"/>
        <v xml:space="preserve"> </v>
      </c>
      <c r="AZ363" s="94" t="str">
        <f t="shared" si="2023"/>
        <v xml:space="preserve"> </v>
      </c>
      <c r="BA363" s="94" t="str">
        <f t="shared" si="2024"/>
        <v xml:space="preserve"> </v>
      </c>
      <c r="BB363" s="94" t="str">
        <f t="shared" si="2025"/>
        <v xml:space="preserve"> </v>
      </c>
    </row>
    <row r="364" spans="1:54" x14ac:dyDescent="0.25">
      <c r="A364" s="80"/>
      <c r="B364" s="95" t="s">
        <v>2840</v>
      </c>
      <c r="C364" s="201" t="s">
        <v>52</v>
      </c>
      <c r="D364" s="80" t="s">
        <v>783</v>
      </c>
      <c r="E364" s="94" t="str">
        <f>IFERROR(VLOOKUP(A364,Estimate!A:Q,17,FALSE)," ")</f>
        <v xml:space="preserve"> </v>
      </c>
      <c r="F364" s="202" t="s">
        <v>781</v>
      </c>
      <c r="G364" s="202" t="s">
        <v>781</v>
      </c>
      <c r="H364" s="203" t="s">
        <v>781</v>
      </c>
      <c r="I364" s="203" t="s">
        <v>781</v>
      </c>
      <c r="J364" s="203" t="s">
        <v>781</v>
      </c>
      <c r="K364" s="203"/>
      <c r="L364" s="202" t="s">
        <v>781</v>
      </c>
      <c r="M364" s="204" t="str">
        <f t="shared" si="2007"/>
        <v xml:space="preserve"> </v>
      </c>
      <c r="N364" s="95" t="s">
        <v>781</v>
      </c>
      <c r="O364" s="204" t="str">
        <f t="shared" si="2007"/>
        <v xml:space="preserve"> </v>
      </c>
      <c r="P364" s="95" t="s">
        <v>781</v>
      </c>
      <c r="Q364" s="204" t="str">
        <f t="shared" ref="Q364:S364" si="2231">IFERROR(P364/$G364," ")</f>
        <v xml:space="preserve"> </v>
      </c>
      <c r="R364" s="95" t="s">
        <v>781</v>
      </c>
      <c r="S364" s="204" t="str">
        <f t="shared" si="2231"/>
        <v xml:space="preserve"> </v>
      </c>
      <c r="T364" s="95" t="s">
        <v>781</v>
      </c>
      <c r="U364" s="204" t="str">
        <f t="shared" ref="U364:W364" si="2232">IFERROR(T364/$G364," ")</f>
        <v xml:space="preserve"> </v>
      </c>
      <c r="V364" s="95" t="s">
        <v>781</v>
      </c>
      <c r="W364" s="204" t="str">
        <f t="shared" si="2232"/>
        <v xml:space="preserve"> </v>
      </c>
      <c r="X364" s="95" t="s">
        <v>781</v>
      </c>
      <c r="Y364" s="204" t="str">
        <f t="shared" ref="Y364:AA364" si="2233">IFERROR(X364/$G364," ")</f>
        <v xml:space="preserve"> </v>
      </c>
      <c r="Z364" s="95" t="s">
        <v>781</v>
      </c>
      <c r="AA364" s="204" t="str">
        <f t="shared" si="2233"/>
        <v xml:space="preserve"> </v>
      </c>
      <c r="AB364" s="95" t="s">
        <v>781</v>
      </c>
      <c r="AC364" s="204" t="str">
        <f t="shared" ref="AC364:AE364" si="2234">IFERROR(AB364/$G364," ")</f>
        <v xml:space="preserve"> </v>
      </c>
      <c r="AD364" s="95" t="s">
        <v>781</v>
      </c>
      <c r="AE364" s="204" t="str">
        <f t="shared" si="2234"/>
        <v xml:space="preserve"> </v>
      </c>
      <c r="AF364" s="95" t="s">
        <v>781</v>
      </c>
      <c r="AG364" s="204" t="str">
        <f t="shared" ref="AG364:AI364" si="2235">IFERROR(AF364/$G364," ")</f>
        <v xml:space="preserve"> </v>
      </c>
      <c r="AH364" s="95" t="s">
        <v>781</v>
      </c>
      <c r="AI364" s="204" t="str">
        <f t="shared" si="2235"/>
        <v xml:space="preserve"> </v>
      </c>
      <c r="AJ364" s="95" t="s">
        <v>781</v>
      </c>
      <c r="AK364" s="204" t="str">
        <f t="shared" ref="AK364:AM364" si="2236">IFERROR(AJ364/$G364," ")</f>
        <v xml:space="preserve"> </v>
      </c>
      <c r="AL364" s="95" t="s">
        <v>781</v>
      </c>
      <c r="AM364" s="204" t="str">
        <f t="shared" si="2236"/>
        <v xml:space="preserve"> </v>
      </c>
      <c r="AN364" s="95"/>
      <c r="AO364" s="94" t="str">
        <f t="shared" si="2014"/>
        <v xml:space="preserve"> </v>
      </c>
      <c r="AP364" s="94" t="str">
        <f t="shared" si="2004"/>
        <v xml:space="preserve"> </v>
      </c>
      <c r="AQ364" s="94" t="str">
        <f t="shared" si="2005"/>
        <v xml:space="preserve"> </v>
      </c>
      <c r="AR364" s="94" t="str">
        <f t="shared" si="2218"/>
        <v xml:space="preserve"> </v>
      </c>
      <c r="AS364" s="94" t="str">
        <f t="shared" si="2016"/>
        <v xml:space="preserve"> </v>
      </c>
      <c r="AT364" s="94" t="str">
        <f t="shared" si="2017"/>
        <v xml:space="preserve"> </v>
      </c>
      <c r="AU364" s="94" t="str">
        <f t="shared" si="2018"/>
        <v xml:space="preserve"> </v>
      </c>
      <c r="AV364" s="94" t="str">
        <f t="shared" si="2019"/>
        <v xml:space="preserve"> </v>
      </c>
      <c r="AW364" s="94" t="str">
        <f t="shared" si="2020"/>
        <v xml:space="preserve"> </v>
      </c>
      <c r="AX364" s="94" t="str">
        <f t="shared" si="2021"/>
        <v xml:space="preserve"> </v>
      </c>
      <c r="AY364" s="94" t="str">
        <f t="shared" si="2022"/>
        <v xml:space="preserve"> </v>
      </c>
      <c r="AZ364" s="94" t="str">
        <f t="shared" si="2023"/>
        <v xml:space="preserve"> </v>
      </c>
      <c r="BA364" s="94" t="str">
        <f t="shared" si="2024"/>
        <v xml:space="preserve"> </v>
      </c>
      <c r="BB364" s="94" t="str">
        <f t="shared" si="2025"/>
        <v xml:space="preserve"> </v>
      </c>
    </row>
    <row r="365" spans="1:54" x14ac:dyDescent="0.25">
      <c r="A365" s="80">
        <v>148</v>
      </c>
      <c r="B365" s="95" t="s">
        <v>2841</v>
      </c>
      <c r="C365" s="201" t="s">
        <v>54</v>
      </c>
      <c r="D365" s="80" t="s">
        <v>20</v>
      </c>
      <c r="E365" s="94">
        <f>IFERROR(VLOOKUP(A365,Estimate!A:Q,17,FALSE)," ")</f>
        <v>34938.720000000001</v>
      </c>
      <c r="F365" s="202">
        <v>1</v>
      </c>
      <c r="G365" s="202">
        <v>1</v>
      </c>
      <c r="H365" s="203">
        <v>43890.99</v>
      </c>
      <c r="I365" s="203">
        <v>43890.99</v>
      </c>
      <c r="J365" s="203">
        <v>43890.99</v>
      </c>
      <c r="K365" s="203"/>
      <c r="L365" s="202"/>
      <c r="M365" s="204">
        <f t="shared" si="2007"/>
        <v>0</v>
      </c>
      <c r="N365" s="95"/>
      <c r="O365" s="204">
        <f t="shared" si="2007"/>
        <v>0</v>
      </c>
      <c r="P365" s="95"/>
      <c r="Q365" s="204">
        <f t="shared" ref="Q365:S365" si="2237">IFERROR(P365/$G365," ")</f>
        <v>0</v>
      </c>
      <c r="R365" s="95"/>
      <c r="S365" s="204">
        <f t="shared" si="2237"/>
        <v>0</v>
      </c>
      <c r="T365" s="95"/>
      <c r="U365" s="204">
        <f t="shared" ref="U365:W365" si="2238">IFERROR(T365/$G365," ")</f>
        <v>0</v>
      </c>
      <c r="V365" s="95"/>
      <c r="W365" s="204">
        <f t="shared" si="2238"/>
        <v>0</v>
      </c>
      <c r="X365" s="95"/>
      <c r="Y365" s="204">
        <f t="shared" ref="Y365:AA365" si="2239">IFERROR(X365/$G365," ")</f>
        <v>0</v>
      </c>
      <c r="Z365" s="95"/>
      <c r="AA365" s="204">
        <f t="shared" si="2239"/>
        <v>0</v>
      </c>
      <c r="AB365" s="95"/>
      <c r="AC365" s="204">
        <f t="shared" ref="AC365:AE365" si="2240">IFERROR(AB365/$G365," ")</f>
        <v>0</v>
      </c>
      <c r="AD365" s="95"/>
      <c r="AE365" s="204">
        <f t="shared" si="2240"/>
        <v>0</v>
      </c>
      <c r="AF365" s="95">
        <v>0.5</v>
      </c>
      <c r="AG365" s="204">
        <f t="shared" ref="AG365:AI365" si="2241">IFERROR(AF365/$G365," ")</f>
        <v>0.5</v>
      </c>
      <c r="AH365" s="95">
        <v>1</v>
      </c>
      <c r="AI365" s="204">
        <f t="shared" si="2241"/>
        <v>1</v>
      </c>
      <c r="AJ365" s="95">
        <v>1</v>
      </c>
      <c r="AK365" s="204">
        <f t="shared" ref="AK365:AM365" si="2242">IFERROR(AJ365/$G365," ")</f>
        <v>1</v>
      </c>
      <c r="AL365" s="95">
        <v>1</v>
      </c>
      <c r="AM365" s="204">
        <f t="shared" si="2242"/>
        <v>1</v>
      </c>
      <c r="AN365" s="95"/>
      <c r="AO365" s="94">
        <f t="shared" si="2014"/>
        <v>0</v>
      </c>
      <c r="AP365" s="94">
        <f t="shared" si="2004"/>
        <v>0</v>
      </c>
      <c r="AQ365" s="94">
        <f t="shared" si="2005"/>
        <v>0</v>
      </c>
      <c r="AR365" s="94">
        <f t="shared" si="2218"/>
        <v>0</v>
      </c>
      <c r="AS365" s="94">
        <f t="shared" si="2016"/>
        <v>0</v>
      </c>
      <c r="AT365" s="94">
        <f t="shared" si="2017"/>
        <v>0</v>
      </c>
      <c r="AU365" s="94">
        <f t="shared" si="2018"/>
        <v>0</v>
      </c>
      <c r="AV365" s="94">
        <f t="shared" si="2019"/>
        <v>0</v>
      </c>
      <c r="AW365" s="94">
        <f t="shared" si="2020"/>
        <v>0</v>
      </c>
      <c r="AX365" s="94">
        <f t="shared" si="2021"/>
        <v>0</v>
      </c>
      <c r="AY365" s="94">
        <f t="shared" si="2022"/>
        <v>21945.494999999999</v>
      </c>
      <c r="AZ365" s="94">
        <f t="shared" si="2023"/>
        <v>43890.99</v>
      </c>
      <c r="BA365" s="94">
        <f t="shared" si="2024"/>
        <v>43890.99</v>
      </c>
      <c r="BB365" s="94">
        <f t="shared" si="2025"/>
        <v>43890.99</v>
      </c>
    </row>
    <row r="366" spans="1:54" x14ac:dyDescent="0.25">
      <c r="A366" s="80"/>
      <c r="B366" s="95" t="s">
        <v>2866</v>
      </c>
      <c r="C366" s="201" t="s">
        <v>161</v>
      </c>
      <c r="D366" s="80" t="s">
        <v>783</v>
      </c>
      <c r="E366" s="94" t="str">
        <f>IFERROR(VLOOKUP(A366,Estimate!A:Q,17,FALSE)," ")</f>
        <v xml:space="preserve"> </v>
      </c>
      <c r="F366" s="202" t="s">
        <v>781</v>
      </c>
      <c r="G366" s="202" t="s">
        <v>781</v>
      </c>
      <c r="H366" s="203" t="s">
        <v>781</v>
      </c>
      <c r="I366" s="203" t="s">
        <v>781</v>
      </c>
      <c r="J366" s="203" t="s">
        <v>781</v>
      </c>
      <c r="K366" s="203"/>
      <c r="L366" s="202" t="s">
        <v>781</v>
      </c>
      <c r="M366" s="204" t="str">
        <f t="shared" si="2007"/>
        <v xml:space="preserve"> </v>
      </c>
      <c r="N366" s="95" t="s">
        <v>781</v>
      </c>
      <c r="O366" s="204" t="str">
        <f t="shared" si="2007"/>
        <v xml:space="preserve"> </v>
      </c>
      <c r="P366" s="95" t="s">
        <v>781</v>
      </c>
      <c r="Q366" s="204" t="str">
        <f t="shared" ref="Q366:S366" si="2243">IFERROR(P366/$G366," ")</f>
        <v xml:space="preserve"> </v>
      </c>
      <c r="R366" s="95" t="s">
        <v>781</v>
      </c>
      <c r="S366" s="204" t="str">
        <f t="shared" si="2243"/>
        <v xml:space="preserve"> </v>
      </c>
      <c r="T366" s="95" t="s">
        <v>781</v>
      </c>
      <c r="U366" s="204" t="str">
        <f t="shared" ref="U366:W366" si="2244">IFERROR(T366/$G366," ")</f>
        <v xml:space="preserve"> </v>
      </c>
      <c r="V366" s="95" t="s">
        <v>781</v>
      </c>
      <c r="W366" s="204" t="str">
        <f t="shared" si="2244"/>
        <v xml:space="preserve"> </v>
      </c>
      <c r="X366" s="95" t="s">
        <v>781</v>
      </c>
      <c r="Y366" s="204" t="str">
        <f t="shared" ref="Y366:AA366" si="2245">IFERROR(X366/$G366," ")</f>
        <v xml:space="preserve"> </v>
      </c>
      <c r="Z366" s="95" t="s">
        <v>781</v>
      </c>
      <c r="AA366" s="204" t="str">
        <f t="shared" si="2245"/>
        <v xml:space="preserve"> </v>
      </c>
      <c r="AB366" s="95" t="s">
        <v>781</v>
      </c>
      <c r="AC366" s="204" t="str">
        <f t="shared" ref="AC366:AE366" si="2246">IFERROR(AB366/$G366," ")</f>
        <v xml:space="preserve"> </v>
      </c>
      <c r="AD366" s="95" t="s">
        <v>781</v>
      </c>
      <c r="AE366" s="204" t="str">
        <f t="shared" si="2246"/>
        <v xml:space="preserve"> </v>
      </c>
      <c r="AF366" s="95" t="s">
        <v>781</v>
      </c>
      <c r="AG366" s="204" t="str">
        <f t="shared" ref="AG366:AI366" si="2247">IFERROR(AF366/$G366," ")</f>
        <v xml:space="preserve"> </v>
      </c>
      <c r="AH366" s="95" t="s">
        <v>781</v>
      </c>
      <c r="AI366" s="204" t="str">
        <f t="shared" si="2247"/>
        <v xml:space="preserve"> </v>
      </c>
      <c r="AJ366" s="95" t="s">
        <v>781</v>
      </c>
      <c r="AK366" s="204" t="str">
        <f t="shared" ref="AK366:AM366" si="2248">IFERROR(AJ366/$G366," ")</f>
        <v xml:space="preserve"> </v>
      </c>
      <c r="AL366" s="95" t="s">
        <v>781</v>
      </c>
      <c r="AM366" s="204" t="str">
        <f t="shared" si="2248"/>
        <v xml:space="preserve"> </v>
      </c>
      <c r="AN366" s="95"/>
      <c r="AO366" s="94" t="str">
        <f t="shared" si="2014"/>
        <v xml:space="preserve"> </v>
      </c>
      <c r="AP366" s="94" t="str">
        <f t="shared" si="2004"/>
        <v xml:space="preserve"> </v>
      </c>
      <c r="AQ366" s="94" t="str">
        <f t="shared" si="2005"/>
        <v xml:space="preserve"> </v>
      </c>
      <c r="AR366" s="94" t="str">
        <f t="shared" si="2218"/>
        <v xml:space="preserve"> </v>
      </c>
      <c r="AS366" s="94" t="str">
        <f t="shared" si="2016"/>
        <v xml:space="preserve"> </v>
      </c>
      <c r="AT366" s="94" t="str">
        <f t="shared" si="2017"/>
        <v xml:space="preserve"> </v>
      </c>
      <c r="AU366" s="94" t="str">
        <f t="shared" si="2018"/>
        <v xml:space="preserve"> </v>
      </c>
      <c r="AV366" s="94" t="str">
        <f t="shared" si="2019"/>
        <v xml:space="preserve"> </v>
      </c>
      <c r="AW366" s="94" t="str">
        <f t="shared" si="2020"/>
        <v xml:space="preserve"> </v>
      </c>
      <c r="AX366" s="94" t="str">
        <f t="shared" si="2021"/>
        <v xml:space="preserve"> </v>
      </c>
      <c r="AY366" s="94" t="str">
        <f t="shared" si="2022"/>
        <v xml:space="preserve"> </v>
      </c>
      <c r="AZ366" s="94" t="str">
        <f t="shared" si="2023"/>
        <v xml:space="preserve"> </v>
      </c>
      <c r="BA366" s="94" t="str">
        <f t="shared" si="2024"/>
        <v xml:space="preserve"> </v>
      </c>
      <c r="BB366" s="94" t="str">
        <f t="shared" si="2025"/>
        <v xml:space="preserve"> </v>
      </c>
    </row>
    <row r="367" spans="1:54" ht="30" x14ac:dyDescent="0.25">
      <c r="A367" s="80">
        <v>149</v>
      </c>
      <c r="B367" s="95" t="s">
        <v>2867</v>
      </c>
      <c r="C367" s="201" t="s">
        <v>163</v>
      </c>
      <c r="D367" s="80" t="s">
        <v>20</v>
      </c>
      <c r="E367" s="94">
        <f>IFERROR(VLOOKUP(A367,Estimate!A:Q,17,FALSE)," ")</f>
        <v>11050</v>
      </c>
      <c r="F367" s="202">
        <v>1</v>
      </c>
      <c r="G367" s="202">
        <v>1</v>
      </c>
      <c r="H367" s="203">
        <v>13881.32</v>
      </c>
      <c r="I367" s="203">
        <v>13881.32</v>
      </c>
      <c r="J367" s="203">
        <v>13881.32</v>
      </c>
      <c r="K367" s="203"/>
      <c r="L367" s="202"/>
      <c r="M367" s="204">
        <f t="shared" si="2007"/>
        <v>0</v>
      </c>
      <c r="N367" s="95"/>
      <c r="O367" s="204">
        <f t="shared" si="2007"/>
        <v>0</v>
      </c>
      <c r="P367" s="95"/>
      <c r="Q367" s="204">
        <f t="shared" ref="Q367:S367" si="2249">IFERROR(P367/$G367," ")</f>
        <v>0</v>
      </c>
      <c r="R367" s="95"/>
      <c r="S367" s="204">
        <f t="shared" si="2249"/>
        <v>0</v>
      </c>
      <c r="T367" s="95"/>
      <c r="U367" s="204">
        <f t="shared" ref="U367:W367" si="2250">IFERROR(T367/$G367," ")</f>
        <v>0</v>
      </c>
      <c r="V367" s="95"/>
      <c r="W367" s="204">
        <f t="shared" si="2250"/>
        <v>0</v>
      </c>
      <c r="X367" s="95"/>
      <c r="Y367" s="204">
        <f t="shared" ref="Y367:AA367" si="2251">IFERROR(X367/$G367," ")</f>
        <v>0</v>
      </c>
      <c r="Z367" s="95"/>
      <c r="AA367" s="204">
        <f t="shared" si="2251"/>
        <v>0</v>
      </c>
      <c r="AB367" s="95"/>
      <c r="AC367" s="204">
        <f t="shared" ref="AC367:AE367" si="2252">IFERROR(AB367/$G367," ")</f>
        <v>0</v>
      </c>
      <c r="AD367" s="95"/>
      <c r="AE367" s="204">
        <f t="shared" si="2252"/>
        <v>0</v>
      </c>
      <c r="AF367" s="95">
        <v>0.5</v>
      </c>
      <c r="AG367" s="204">
        <f t="shared" ref="AG367:AI367" si="2253">IFERROR(AF367/$G367," ")</f>
        <v>0.5</v>
      </c>
      <c r="AH367" s="95">
        <v>1</v>
      </c>
      <c r="AI367" s="204">
        <f t="shared" si="2253"/>
        <v>1</v>
      </c>
      <c r="AJ367" s="95">
        <v>1</v>
      </c>
      <c r="AK367" s="204">
        <f t="shared" ref="AK367:AM367" si="2254">IFERROR(AJ367/$G367," ")</f>
        <v>1</v>
      </c>
      <c r="AL367" s="95">
        <v>1</v>
      </c>
      <c r="AM367" s="204">
        <f t="shared" si="2254"/>
        <v>1</v>
      </c>
      <c r="AN367" s="95"/>
      <c r="AO367" s="94">
        <f t="shared" si="2014"/>
        <v>0</v>
      </c>
      <c r="AP367" s="94">
        <f t="shared" si="2004"/>
        <v>0</v>
      </c>
      <c r="AQ367" s="94">
        <f t="shared" si="2005"/>
        <v>0</v>
      </c>
      <c r="AR367" s="94">
        <f t="shared" si="2218"/>
        <v>0</v>
      </c>
      <c r="AS367" s="94">
        <f t="shared" si="2016"/>
        <v>0</v>
      </c>
      <c r="AT367" s="94">
        <f t="shared" si="2017"/>
        <v>0</v>
      </c>
      <c r="AU367" s="94">
        <f t="shared" si="2018"/>
        <v>0</v>
      </c>
      <c r="AV367" s="94">
        <f t="shared" si="2019"/>
        <v>0</v>
      </c>
      <c r="AW367" s="94">
        <f t="shared" si="2020"/>
        <v>0</v>
      </c>
      <c r="AX367" s="94">
        <f t="shared" si="2021"/>
        <v>0</v>
      </c>
      <c r="AY367" s="94">
        <f t="shared" si="2022"/>
        <v>6940.66</v>
      </c>
      <c r="AZ367" s="94">
        <f t="shared" si="2023"/>
        <v>13881.32</v>
      </c>
      <c r="BA367" s="94">
        <f t="shared" si="2024"/>
        <v>13881.32</v>
      </c>
      <c r="BB367" s="94">
        <f t="shared" si="2025"/>
        <v>13881.32</v>
      </c>
    </row>
    <row r="368" spans="1:54" x14ac:dyDescent="0.25">
      <c r="A368" s="80"/>
      <c r="B368" s="95" t="s">
        <v>2893</v>
      </c>
      <c r="C368" s="201" t="s">
        <v>362</v>
      </c>
      <c r="D368" s="80" t="s">
        <v>783</v>
      </c>
      <c r="E368" s="94" t="str">
        <f>IFERROR(VLOOKUP(A368,Estimate!A:Q,17,FALSE)," ")</f>
        <v xml:space="preserve"> </v>
      </c>
      <c r="F368" s="202" t="s">
        <v>781</v>
      </c>
      <c r="G368" s="202" t="s">
        <v>781</v>
      </c>
      <c r="H368" s="203" t="s">
        <v>781</v>
      </c>
      <c r="I368" s="203" t="s">
        <v>781</v>
      </c>
      <c r="J368" s="203" t="s">
        <v>781</v>
      </c>
      <c r="K368" s="203"/>
      <c r="L368" s="202" t="s">
        <v>781</v>
      </c>
      <c r="M368" s="204" t="str">
        <f t="shared" si="2007"/>
        <v xml:space="preserve"> </v>
      </c>
      <c r="N368" s="95" t="s">
        <v>781</v>
      </c>
      <c r="O368" s="204" t="str">
        <f t="shared" si="2007"/>
        <v xml:space="preserve"> </v>
      </c>
      <c r="P368" s="95" t="s">
        <v>781</v>
      </c>
      <c r="Q368" s="204" t="str">
        <f t="shared" ref="Q368:S368" si="2255">IFERROR(P368/$G368," ")</f>
        <v xml:space="preserve"> </v>
      </c>
      <c r="R368" s="95" t="s">
        <v>781</v>
      </c>
      <c r="S368" s="204" t="str">
        <f t="shared" si="2255"/>
        <v xml:space="preserve"> </v>
      </c>
      <c r="T368" s="95" t="s">
        <v>781</v>
      </c>
      <c r="U368" s="204" t="str">
        <f t="shared" ref="U368:W368" si="2256">IFERROR(T368/$G368," ")</f>
        <v xml:space="preserve"> </v>
      </c>
      <c r="V368" s="95" t="s">
        <v>781</v>
      </c>
      <c r="W368" s="204" t="str">
        <f t="shared" si="2256"/>
        <v xml:space="preserve"> </v>
      </c>
      <c r="X368" s="95" t="s">
        <v>781</v>
      </c>
      <c r="Y368" s="204" t="str">
        <f t="shared" ref="Y368:AA368" si="2257">IFERROR(X368/$G368," ")</f>
        <v xml:space="preserve"> </v>
      </c>
      <c r="Z368" s="95" t="s">
        <v>781</v>
      </c>
      <c r="AA368" s="204" t="str">
        <f t="shared" si="2257"/>
        <v xml:space="preserve"> </v>
      </c>
      <c r="AB368" s="95" t="s">
        <v>781</v>
      </c>
      <c r="AC368" s="204" t="str">
        <f t="shared" ref="AC368:AE368" si="2258">IFERROR(AB368/$G368," ")</f>
        <v xml:space="preserve"> </v>
      </c>
      <c r="AD368" s="95" t="s">
        <v>781</v>
      </c>
      <c r="AE368" s="204" t="str">
        <f t="shared" si="2258"/>
        <v xml:space="preserve"> </v>
      </c>
      <c r="AF368" s="95" t="s">
        <v>781</v>
      </c>
      <c r="AG368" s="204" t="str">
        <f t="shared" ref="AG368:AI368" si="2259">IFERROR(AF368/$G368," ")</f>
        <v xml:space="preserve"> </v>
      </c>
      <c r="AH368" s="95" t="s">
        <v>781</v>
      </c>
      <c r="AI368" s="204" t="str">
        <f t="shared" si="2259"/>
        <v xml:space="preserve"> </v>
      </c>
      <c r="AJ368" s="95" t="s">
        <v>781</v>
      </c>
      <c r="AK368" s="204" t="str">
        <f t="shared" ref="AK368:AM368" si="2260">IFERROR(AJ368/$G368," ")</f>
        <v xml:space="preserve"> </v>
      </c>
      <c r="AL368" s="95" t="s">
        <v>781</v>
      </c>
      <c r="AM368" s="204" t="str">
        <f t="shared" si="2260"/>
        <v xml:space="preserve"> </v>
      </c>
      <c r="AN368" s="95"/>
      <c r="AO368" s="94" t="str">
        <f t="shared" si="2014"/>
        <v xml:space="preserve"> </v>
      </c>
      <c r="AP368" s="94" t="str">
        <f t="shared" si="2004"/>
        <v xml:space="preserve"> </v>
      </c>
      <c r="AQ368" s="94" t="str">
        <f t="shared" si="2005"/>
        <v xml:space="preserve"> </v>
      </c>
      <c r="AR368" s="94" t="str">
        <f t="shared" si="2218"/>
        <v xml:space="preserve"> </v>
      </c>
      <c r="AS368" s="94" t="str">
        <f t="shared" si="2016"/>
        <v xml:space="preserve"> </v>
      </c>
      <c r="AT368" s="94" t="str">
        <f t="shared" si="2017"/>
        <v xml:space="preserve"> </v>
      </c>
      <c r="AU368" s="94" t="str">
        <f t="shared" si="2018"/>
        <v xml:space="preserve"> </v>
      </c>
      <c r="AV368" s="94" t="str">
        <f t="shared" si="2019"/>
        <v xml:space="preserve"> </v>
      </c>
      <c r="AW368" s="94" t="str">
        <f t="shared" si="2020"/>
        <v xml:space="preserve"> </v>
      </c>
      <c r="AX368" s="94" t="str">
        <f t="shared" si="2021"/>
        <v xml:space="preserve"> </v>
      </c>
      <c r="AY368" s="94" t="str">
        <f t="shared" si="2022"/>
        <v xml:space="preserve"> </v>
      </c>
      <c r="AZ368" s="94" t="str">
        <f t="shared" si="2023"/>
        <v xml:space="preserve"> </v>
      </c>
      <c r="BA368" s="94" t="str">
        <f t="shared" si="2024"/>
        <v xml:space="preserve"> </v>
      </c>
      <c r="BB368" s="94" t="str">
        <f t="shared" si="2025"/>
        <v xml:space="preserve"> </v>
      </c>
    </row>
    <row r="369" spans="1:54" x14ac:dyDescent="0.25">
      <c r="A369" s="80">
        <v>150</v>
      </c>
      <c r="B369" s="95" t="s">
        <v>2921</v>
      </c>
      <c r="C369" s="201" t="s">
        <v>536</v>
      </c>
      <c r="D369" s="80" t="s">
        <v>20</v>
      </c>
      <c r="E369" s="94">
        <f>IFERROR(VLOOKUP(A369,Estimate!A:Q,17,FALSE)," ")</f>
        <v>10066.666666666666</v>
      </c>
      <c r="F369" s="202">
        <v>1</v>
      </c>
      <c r="G369" s="202">
        <v>1</v>
      </c>
      <c r="H369" s="203">
        <v>13646.79</v>
      </c>
      <c r="I369" s="203">
        <v>13646.79</v>
      </c>
      <c r="J369" s="203">
        <v>13646.79</v>
      </c>
      <c r="K369" s="203"/>
      <c r="L369" s="202"/>
      <c r="M369" s="204">
        <f t="shared" si="2007"/>
        <v>0</v>
      </c>
      <c r="N369" s="95"/>
      <c r="O369" s="204">
        <f t="shared" si="2007"/>
        <v>0</v>
      </c>
      <c r="P369" s="95"/>
      <c r="Q369" s="204">
        <f t="shared" ref="Q369:S369" si="2261">IFERROR(P369/$G369," ")</f>
        <v>0</v>
      </c>
      <c r="R369" s="95"/>
      <c r="S369" s="204">
        <f t="shared" si="2261"/>
        <v>0</v>
      </c>
      <c r="T369" s="95"/>
      <c r="U369" s="204">
        <f t="shared" ref="U369:W369" si="2262">IFERROR(T369/$G369," ")</f>
        <v>0</v>
      </c>
      <c r="V369" s="95"/>
      <c r="W369" s="204">
        <f t="shared" si="2262"/>
        <v>0</v>
      </c>
      <c r="X369" s="95"/>
      <c r="Y369" s="204">
        <f t="shared" ref="Y369:AA369" si="2263">IFERROR(X369/$G369," ")</f>
        <v>0</v>
      </c>
      <c r="Z369" s="95"/>
      <c r="AA369" s="204">
        <f t="shared" si="2263"/>
        <v>0</v>
      </c>
      <c r="AB369" s="95"/>
      <c r="AC369" s="204">
        <f t="shared" ref="AC369:AE369" si="2264">IFERROR(AB369/$G369," ")</f>
        <v>0</v>
      </c>
      <c r="AD369" s="95"/>
      <c r="AE369" s="204">
        <f t="shared" si="2264"/>
        <v>0</v>
      </c>
      <c r="AF369" s="95">
        <v>0.5</v>
      </c>
      <c r="AG369" s="204">
        <f t="shared" ref="AG369:AI369" si="2265">IFERROR(AF369/$G369," ")</f>
        <v>0.5</v>
      </c>
      <c r="AH369" s="95">
        <v>1</v>
      </c>
      <c r="AI369" s="204">
        <f t="shared" si="2265"/>
        <v>1</v>
      </c>
      <c r="AJ369" s="95">
        <v>1</v>
      </c>
      <c r="AK369" s="204">
        <f t="shared" ref="AK369:AM369" si="2266">IFERROR(AJ369/$G369," ")</f>
        <v>1</v>
      </c>
      <c r="AL369" s="95">
        <v>1</v>
      </c>
      <c r="AM369" s="204">
        <f t="shared" si="2266"/>
        <v>1</v>
      </c>
      <c r="AN369" s="95"/>
      <c r="AO369" s="94">
        <f t="shared" si="2014"/>
        <v>0</v>
      </c>
      <c r="AP369" s="94">
        <f t="shared" si="2004"/>
        <v>0</v>
      </c>
      <c r="AQ369" s="94">
        <f t="shared" si="2005"/>
        <v>0</v>
      </c>
      <c r="AR369" s="94">
        <f t="shared" si="2218"/>
        <v>0</v>
      </c>
      <c r="AS369" s="94">
        <f t="shared" si="2016"/>
        <v>0</v>
      </c>
      <c r="AT369" s="94">
        <f t="shared" si="2017"/>
        <v>0</v>
      </c>
      <c r="AU369" s="94">
        <f t="shared" si="2018"/>
        <v>0</v>
      </c>
      <c r="AV369" s="94">
        <f t="shared" si="2019"/>
        <v>0</v>
      </c>
      <c r="AW369" s="94">
        <f t="shared" si="2020"/>
        <v>0</v>
      </c>
      <c r="AX369" s="94">
        <f t="shared" si="2021"/>
        <v>0</v>
      </c>
      <c r="AY369" s="94">
        <f t="shared" si="2022"/>
        <v>6823.3950000000004</v>
      </c>
      <c r="AZ369" s="94">
        <f t="shared" si="2023"/>
        <v>13646.79</v>
      </c>
      <c r="BA369" s="94">
        <f t="shared" si="2024"/>
        <v>13646.79</v>
      </c>
      <c r="BB369" s="94">
        <f t="shared" si="2025"/>
        <v>13646.79</v>
      </c>
    </row>
    <row r="370" spans="1:54" x14ac:dyDescent="0.25">
      <c r="A370" s="80"/>
      <c r="B370" s="95" t="s">
        <v>2843</v>
      </c>
      <c r="C370" s="201" t="s">
        <v>59</v>
      </c>
      <c r="D370" s="80" t="s">
        <v>783</v>
      </c>
      <c r="E370" s="94" t="str">
        <f>IFERROR(VLOOKUP(A370,Estimate!A:Q,17,FALSE)," ")</f>
        <v xml:space="preserve"> </v>
      </c>
      <c r="F370" s="202" t="s">
        <v>781</v>
      </c>
      <c r="G370" s="202" t="s">
        <v>781</v>
      </c>
      <c r="H370" s="203" t="s">
        <v>781</v>
      </c>
      <c r="I370" s="203" t="s">
        <v>781</v>
      </c>
      <c r="J370" s="203" t="s">
        <v>781</v>
      </c>
      <c r="K370" s="203"/>
      <c r="L370" s="202" t="s">
        <v>781</v>
      </c>
      <c r="M370" s="204" t="str">
        <f t="shared" si="2007"/>
        <v xml:space="preserve"> </v>
      </c>
      <c r="N370" s="95" t="s">
        <v>781</v>
      </c>
      <c r="O370" s="204" t="str">
        <f t="shared" si="2007"/>
        <v xml:space="preserve"> </v>
      </c>
      <c r="P370" s="95" t="s">
        <v>781</v>
      </c>
      <c r="Q370" s="204" t="str">
        <f t="shared" ref="Q370:S370" si="2267">IFERROR(P370/$G370," ")</f>
        <v xml:space="preserve"> </v>
      </c>
      <c r="R370" s="95" t="s">
        <v>781</v>
      </c>
      <c r="S370" s="204" t="str">
        <f t="shared" si="2267"/>
        <v xml:space="preserve"> </v>
      </c>
      <c r="T370" s="95" t="s">
        <v>781</v>
      </c>
      <c r="U370" s="204" t="str">
        <f t="shared" ref="U370:W370" si="2268">IFERROR(T370/$G370," ")</f>
        <v xml:space="preserve"> </v>
      </c>
      <c r="V370" s="95" t="s">
        <v>781</v>
      </c>
      <c r="W370" s="204" t="str">
        <f t="shared" si="2268"/>
        <v xml:space="preserve"> </v>
      </c>
      <c r="X370" s="95" t="s">
        <v>781</v>
      </c>
      <c r="Y370" s="204" t="str">
        <f t="shared" ref="Y370:AA370" si="2269">IFERROR(X370/$G370," ")</f>
        <v xml:space="preserve"> </v>
      </c>
      <c r="Z370" s="95" t="s">
        <v>781</v>
      </c>
      <c r="AA370" s="204" t="str">
        <f t="shared" si="2269"/>
        <v xml:space="preserve"> </v>
      </c>
      <c r="AB370" s="95" t="s">
        <v>781</v>
      </c>
      <c r="AC370" s="204" t="str">
        <f t="shared" ref="AC370:AE370" si="2270">IFERROR(AB370/$G370," ")</f>
        <v xml:space="preserve"> </v>
      </c>
      <c r="AD370" s="95" t="s">
        <v>781</v>
      </c>
      <c r="AE370" s="204" t="str">
        <f t="shared" si="2270"/>
        <v xml:space="preserve"> </v>
      </c>
      <c r="AF370" s="95" t="s">
        <v>781</v>
      </c>
      <c r="AG370" s="204" t="str">
        <f t="shared" ref="AG370:AI370" si="2271">IFERROR(AF370/$G370," ")</f>
        <v xml:space="preserve"> </v>
      </c>
      <c r="AH370" s="95" t="s">
        <v>781</v>
      </c>
      <c r="AI370" s="204" t="str">
        <f t="shared" si="2271"/>
        <v xml:space="preserve"> </v>
      </c>
      <c r="AJ370" s="95" t="s">
        <v>781</v>
      </c>
      <c r="AK370" s="204" t="str">
        <f t="shared" ref="AK370:AM370" si="2272">IFERROR(AJ370/$G370," ")</f>
        <v xml:space="preserve"> </v>
      </c>
      <c r="AL370" s="95" t="s">
        <v>781</v>
      </c>
      <c r="AM370" s="204" t="str">
        <f t="shared" si="2272"/>
        <v xml:space="preserve"> </v>
      </c>
      <c r="AN370" s="95"/>
      <c r="AO370" s="94" t="str">
        <f t="shared" si="2014"/>
        <v xml:space="preserve"> </v>
      </c>
      <c r="AP370" s="94" t="str">
        <f t="shared" si="2004"/>
        <v xml:space="preserve"> </v>
      </c>
      <c r="AQ370" s="94" t="str">
        <f t="shared" si="2005"/>
        <v xml:space="preserve"> </v>
      </c>
      <c r="AR370" s="94" t="str">
        <f t="shared" si="2218"/>
        <v xml:space="preserve"> </v>
      </c>
      <c r="AS370" s="94" t="str">
        <f t="shared" si="2016"/>
        <v xml:space="preserve"> </v>
      </c>
      <c r="AT370" s="94" t="str">
        <f t="shared" si="2017"/>
        <v xml:space="preserve"> </v>
      </c>
      <c r="AU370" s="94" t="str">
        <f t="shared" si="2018"/>
        <v xml:space="preserve"> </v>
      </c>
      <c r="AV370" s="94" t="str">
        <f t="shared" si="2019"/>
        <v xml:space="preserve"> </v>
      </c>
      <c r="AW370" s="94" t="str">
        <f t="shared" si="2020"/>
        <v xml:space="preserve"> </v>
      </c>
      <c r="AX370" s="94" t="str">
        <f t="shared" si="2021"/>
        <v xml:space="preserve"> </v>
      </c>
      <c r="AY370" s="94" t="str">
        <f t="shared" si="2022"/>
        <v xml:space="preserve"> </v>
      </c>
      <c r="AZ370" s="94" t="str">
        <f t="shared" si="2023"/>
        <v xml:space="preserve"> </v>
      </c>
      <c r="BA370" s="94" t="str">
        <f t="shared" si="2024"/>
        <v xml:space="preserve"> </v>
      </c>
      <c r="BB370" s="94" t="str">
        <f t="shared" si="2025"/>
        <v xml:space="preserve"> </v>
      </c>
    </row>
    <row r="371" spans="1:54" x14ac:dyDescent="0.25">
      <c r="A371" s="80">
        <v>151</v>
      </c>
      <c r="B371" s="95" t="s">
        <v>2844</v>
      </c>
      <c r="C371" s="201" t="s">
        <v>61</v>
      </c>
      <c r="D371" s="80" t="s">
        <v>62</v>
      </c>
      <c r="E371" s="94">
        <f>IFERROR(VLOOKUP(A371,Estimate!A:Q,17,FALSE)," ")</f>
        <v>13092.333333333334</v>
      </c>
      <c r="F371" s="202">
        <v>543</v>
      </c>
      <c r="G371" s="202">
        <v>543</v>
      </c>
      <c r="H371" s="203">
        <v>30.28</v>
      </c>
      <c r="I371" s="203">
        <v>16442.04</v>
      </c>
      <c r="J371" s="203">
        <v>16442.04</v>
      </c>
      <c r="K371" s="203"/>
      <c r="L371" s="202"/>
      <c r="M371" s="204">
        <f t="shared" si="2007"/>
        <v>0</v>
      </c>
      <c r="N371" s="95"/>
      <c r="O371" s="204">
        <f t="shared" si="2007"/>
        <v>0</v>
      </c>
      <c r="P371" s="95"/>
      <c r="Q371" s="204">
        <f t="shared" ref="Q371:S371" si="2273">IFERROR(P371/$G371," ")</f>
        <v>0</v>
      </c>
      <c r="R371" s="95"/>
      <c r="S371" s="204">
        <f t="shared" si="2273"/>
        <v>0</v>
      </c>
      <c r="T371" s="95"/>
      <c r="U371" s="204">
        <f t="shared" ref="U371:W371" si="2274">IFERROR(T371/$G371," ")</f>
        <v>0</v>
      </c>
      <c r="V371" s="95"/>
      <c r="W371" s="204">
        <f t="shared" si="2274"/>
        <v>0</v>
      </c>
      <c r="X371" s="95"/>
      <c r="Y371" s="204">
        <f t="shared" ref="Y371:AA371" si="2275">IFERROR(X371/$G371," ")</f>
        <v>0</v>
      </c>
      <c r="Z371" s="95"/>
      <c r="AA371" s="204">
        <f t="shared" si="2275"/>
        <v>0</v>
      </c>
      <c r="AB371" s="95"/>
      <c r="AC371" s="204">
        <f t="shared" ref="AC371:AE371" si="2276">IFERROR(AB371/$G371," ")</f>
        <v>0</v>
      </c>
      <c r="AD371" s="95"/>
      <c r="AE371" s="204">
        <f t="shared" si="2276"/>
        <v>0</v>
      </c>
      <c r="AF371" s="95">
        <v>271.5</v>
      </c>
      <c r="AG371" s="204">
        <f t="shared" ref="AG371:AI371" si="2277">IFERROR(AF371/$G371," ")</f>
        <v>0.5</v>
      </c>
      <c r="AH371" s="95">
        <v>543</v>
      </c>
      <c r="AI371" s="204">
        <f t="shared" si="2277"/>
        <v>1</v>
      </c>
      <c r="AJ371" s="95">
        <v>543</v>
      </c>
      <c r="AK371" s="204">
        <f t="shared" ref="AK371:AM371" si="2278">IFERROR(AJ371/$G371," ")</f>
        <v>1</v>
      </c>
      <c r="AL371" s="95">
        <v>543</v>
      </c>
      <c r="AM371" s="204">
        <f t="shared" si="2278"/>
        <v>1</v>
      </c>
      <c r="AN371" s="95"/>
      <c r="AO371" s="94">
        <f t="shared" si="2014"/>
        <v>0</v>
      </c>
      <c r="AP371" s="94">
        <f t="shared" si="2004"/>
        <v>0</v>
      </c>
      <c r="AQ371" s="94">
        <f t="shared" si="2005"/>
        <v>0</v>
      </c>
      <c r="AR371" s="94">
        <f t="shared" si="2218"/>
        <v>0</v>
      </c>
      <c r="AS371" s="94">
        <f t="shared" si="2016"/>
        <v>0</v>
      </c>
      <c r="AT371" s="94">
        <f t="shared" si="2017"/>
        <v>0</v>
      </c>
      <c r="AU371" s="94">
        <f t="shared" si="2018"/>
        <v>0</v>
      </c>
      <c r="AV371" s="94">
        <f t="shared" si="2019"/>
        <v>0</v>
      </c>
      <c r="AW371" s="94">
        <f t="shared" si="2020"/>
        <v>0</v>
      </c>
      <c r="AX371" s="94">
        <f t="shared" si="2021"/>
        <v>0</v>
      </c>
      <c r="AY371" s="94">
        <f t="shared" si="2022"/>
        <v>8221.02</v>
      </c>
      <c r="AZ371" s="94">
        <f t="shared" si="2023"/>
        <v>16442.04</v>
      </c>
      <c r="BA371" s="94">
        <f t="shared" si="2024"/>
        <v>16442.04</v>
      </c>
      <c r="BB371" s="94">
        <f t="shared" si="2025"/>
        <v>16442.04</v>
      </c>
    </row>
    <row r="372" spans="1:54" ht="30" x14ac:dyDescent="0.25">
      <c r="A372" s="80">
        <v>152</v>
      </c>
      <c r="B372" s="95" t="s">
        <v>2845</v>
      </c>
      <c r="C372" s="201" t="s">
        <v>540</v>
      </c>
      <c r="D372" s="80" t="s">
        <v>62</v>
      </c>
      <c r="E372" s="94">
        <f>IFERROR(VLOOKUP(A372,Estimate!A:Q,17,FALSE)," ")</f>
        <v>1310.6666666666667</v>
      </c>
      <c r="F372" s="202">
        <v>20</v>
      </c>
      <c r="G372" s="202">
        <v>20</v>
      </c>
      <c r="H372" s="203">
        <v>65.53</v>
      </c>
      <c r="I372" s="203">
        <v>1310.5999999999999</v>
      </c>
      <c r="J372" s="203">
        <v>1310.5999999999999</v>
      </c>
      <c r="K372" s="203"/>
      <c r="L372" s="202"/>
      <c r="M372" s="204">
        <f t="shared" si="2007"/>
        <v>0</v>
      </c>
      <c r="N372" s="95"/>
      <c r="O372" s="204">
        <f t="shared" si="2007"/>
        <v>0</v>
      </c>
      <c r="P372" s="95"/>
      <c r="Q372" s="204">
        <f t="shared" ref="Q372:S372" si="2279">IFERROR(P372/$G372," ")</f>
        <v>0</v>
      </c>
      <c r="R372" s="95"/>
      <c r="S372" s="204">
        <f t="shared" si="2279"/>
        <v>0</v>
      </c>
      <c r="T372" s="95"/>
      <c r="U372" s="204">
        <f t="shared" ref="U372:W372" si="2280">IFERROR(T372/$G372," ")</f>
        <v>0</v>
      </c>
      <c r="V372" s="95"/>
      <c r="W372" s="204">
        <f t="shared" si="2280"/>
        <v>0</v>
      </c>
      <c r="X372" s="95"/>
      <c r="Y372" s="204">
        <f t="shared" ref="Y372:AA372" si="2281">IFERROR(X372/$G372," ")</f>
        <v>0</v>
      </c>
      <c r="Z372" s="95"/>
      <c r="AA372" s="204">
        <f t="shared" si="2281"/>
        <v>0</v>
      </c>
      <c r="AB372" s="95"/>
      <c r="AC372" s="204">
        <f t="shared" ref="AC372:AE372" si="2282">IFERROR(AB372/$G372," ")</f>
        <v>0</v>
      </c>
      <c r="AD372" s="95"/>
      <c r="AE372" s="204">
        <f t="shared" si="2282"/>
        <v>0</v>
      </c>
      <c r="AF372" s="95">
        <v>20</v>
      </c>
      <c r="AG372" s="204">
        <f t="shared" ref="AG372:AI372" si="2283">IFERROR(AF372/$G372," ")</f>
        <v>1</v>
      </c>
      <c r="AH372" s="95">
        <v>20</v>
      </c>
      <c r="AI372" s="204">
        <f t="shared" si="2283"/>
        <v>1</v>
      </c>
      <c r="AJ372" s="95"/>
      <c r="AK372" s="204">
        <f t="shared" ref="AK372:AM372" si="2284">IFERROR(AJ372/$G372," ")</f>
        <v>0</v>
      </c>
      <c r="AL372" s="95"/>
      <c r="AM372" s="204">
        <f t="shared" si="2284"/>
        <v>0</v>
      </c>
      <c r="AN372" s="95"/>
      <c r="AO372" s="94">
        <f t="shared" si="2014"/>
        <v>0</v>
      </c>
      <c r="AP372" s="94">
        <f t="shared" si="2004"/>
        <v>0</v>
      </c>
      <c r="AQ372" s="94">
        <f t="shared" si="2005"/>
        <v>0</v>
      </c>
      <c r="AR372" s="94">
        <f t="shared" si="2218"/>
        <v>0</v>
      </c>
      <c r="AS372" s="94">
        <f t="shared" si="2016"/>
        <v>0</v>
      </c>
      <c r="AT372" s="94">
        <f t="shared" si="2017"/>
        <v>0</v>
      </c>
      <c r="AU372" s="94">
        <f t="shared" si="2018"/>
        <v>0</v>
      </c>
      <c r="AV372" s="94">
        <f t="shared" si="2019"/>
        <v>0</v>
      </c>
      <c r="AW372" s="94">
        <f t="shared" si="2020"/>
        <v>0</v>
      </c>
      <c r="AX372" s="94">
        <f t="shared" si="2021"/>
        <v>0</v>
      </c>
      <c r="AY372" s="94">
        <f t="shared" si="2022"/>
        <v>1310.5999999999999</v>
      </c>
      <c r="AZ372" s="94">
        <f t="shared" si="2023"/>
        <v>1310.5999999999999</v>
      </c>
      <c r="BA372" s="94">
        <f t="shared" si="2024"/>
        <v>0</v>
      </c>
      <c r="BB372" s="94">
        <f t="shared" si="2025"/>
        <v>0</v>
      </c>
    </row>
    <row r="373" spans="1:54" x14ac:dyDescent="0.25">
      <c r="A373" s="80"/>
      <c r="B373" s="95" t="s">
        <v>2417</v>
      </c>
      <c r="C373" s="201" t="s">
        <v>2837</v>
      </c>
      <c r="D373" s="80" t="s">
        <v>783</v>
      </c>
      <c r="E373" s="94" t="str">
        <f>IFERROR(VLOOKUP(A373,Estimate!A:Q,17,FALSE)," ")</f>
        <v xml:space="preserve"> </v>
      </c>
      <c r="F373" s="202" t="s">
        <v>781</v>
      </c>
      <c r="G373" s="202" t="s">
        <v>781</v>
      </c>
      <c r="H373" s="203" t="s">
        <v>781</v>
      </c>
      <c r="I373" s="203" t="s">
        <v>781</v>
      </c>
      <c r="J373" s="203" t="s">
        <v>781</v>
      </c>
      <c r="K373" s="203"/>
      <c r="L373" s="202" t="s">
        <v>781</v>
      </c>
      <c r="M373" s="204" t="str">
        <f t="shared" si="2007"/>
        <v xml:space="preserve"> </v>
      </c>
      <c r="N373" s="95" t="s">
        <v>781</v>
      </c>
      <c r="O373" s="204" t="str">
        <f t="shared" si="2007"/>
        <v xml:space="preserve"> </v>
      </c>
      <c r="P373" s="95" t="s">
        <v>781</v>
      </c>
      <c r="Q373" s="204" t="str">
        <f t="shared" ref="Q373:S373" si="2285">IFERROR(P373/$G373," ")</f>
        <v xml:space="preserve"> </v>
      </c>
      <c r="R373" s="95" t="s">
        <v>781</v>
      </c>
      <c r="S373" s="204" t="str">
        <f t="shared" si="2285"/>
        <v xml:space="preserve"> </v>
      </c>
      <c r="T373" s="95" t="s">
        <v>781</v>
      </c>
      <c r="U373" s="204" t="str">
        <f t="shared" ref="U373:W373" si="2286">IFERROR(T373/$G373," ")</f>
        <v xml:space="preserve"> </v>
      </c>
      <c r="V373" s="95" t="s">
        <v>781</v>
      </c>
      <c r="W373" s="204" t="str">
        <f t="shared" si="2286"/>
        <v xml:space="preserve"> </v>
      </c>
      <c r="X373" s="95" t="s">
        <v>781</v>
      </c>
      <c r="Y373" s="204" t="str">
        <f t="shared" ref="Y373:AA373" si="2287">IFERROR(X373/$G373," ")</f>
        <v xml:space="preserve"> </v>
      </c>
      <c r="Z373" s="95" t="s">
        <v>781</v>
      </c>
      <c r="AA373" s="204" t="str">
        <f t="shared" si="2287"/>
        <v xml:space="preserve"> </v>
      </c>
      <c r="AB373" s="95" t="s">
        <v>781</v>
      </c>
      <c r="AC373" s="204" t="str">
        <f t="shared" ref="AC373:AE373" si="2288">IFERROR(AB373/$G373," ")</f>
        <v xml:space="preserve"> </v>
      </c>
      <c r="AD373" s="95" t="s">
        <v>781</v>
      </c>
      <c r="AE373" s="204" t="str">
        <f t="shared" si="2288"/>
        <v xml:space="preserve"> </v>
      </c>
      <c r="AF373" s="95" t="s">
        <v>781</v>
      </c>
      <c r="AG373" s="204" t="str">
        <f t="shared" ref="AG373:AI373" si="2289">IFERROR(AF373/$G373," ")</f>
        <v xml:space="preserve"> </v>
      </c>
      <c r="AH373" s="95" t="s">
        <v>781</v>
      </c>
      <c r="AI373" s="204" t="str">
        <f t="shared" si="2289"/>
        <v xml:space="preserve"> </v>
      </c>
      <c r="AJ373" s="95" t="s">
        <v>781</v>
      </c>
      <c r="AK373" s="204" t="str">
        <f t="shared" ref="AK373:AM373" si="2290">IFERROR(AJ373/$G373," ")</f>
        <v xml:space="preserve"> </v>
      </c>
      <c r="AL373" s="95" t="s">
        <v>781</v>
      </c>
      <c r="AM373" s="204" t="str">
        <f t="shared" si="2290"/>
        <v xml:space="preserve"> </v>
      </c>
      <c r="AN373" s="95"/>
      <c r="AO373" s="94" t="str">
        <f t="shared" si="2014"/>
        <v xml:space="preserve"> </v>
      </c>
      <c r="AP373" s="94" t="str">
        <f t="shared" si="2004"/>
        <v xml:space="preserve"> </v>
      </c>
      <c r="AQ373" s="94" t="str">
        <f t="shared" si="2005"/>
        <v xml:space="preserve"> </v>
      </c>
      <c r="AR373" s="94" t="str">
        <f t="shared" si="2218"/>
        <v xml:space="preserve"> </v>
      </c>
      <c r="AS373" s="94" t="str">
        <f t="shared" si="2016"/>
        <v xml:space="preserve"> </v>
      </c>
      <c r="AT373" s="94" t="str">
        <f t="shared" si="2017"/>
        <v xml:space="preserve"> </v>
      </c>
      <c r="AU373" s="94" t="str">
        <f t="shared" si="2018"/>
        <v xml:space="preserve"> </v>
      </c>
      <c r="AV373" s="94" t="str">
        <f t="shared" si="2019"/>
        <v xml:space="preserve"> </v>
      </c>
      <c r="AW373" s="94" t="str">
        <f t="shared" si="2020"/>
        <v xml:space="preserve"> </v>
      </c>
      <c r="AX373" s="94" t="str">
        <f t="shared" si="2021"/>
        <v xml:space="preserve"> </v>
      </c>
      <c r="AY373" s="94" t="str">
        <f t="shared" si="2022"/>
        <v xml:space="preserve"> </v>
      </c>
      <c r="AZ373" s="94" t="str">
        <f t="shared" si="2023"/>
        <v xml:space="preserve"> </v>
      </c>
      <c r="BA373" s="94" t="str">
        <f t="shared" si="2024"/>
        <v xml:space="preserve"> </v>
      </c>
      <c r="BB373" s="94" t="str">
        <f t="shared" si="2025"/>
        <v xml:space="preserve"> </v>
      </c>
    </row>
    <row r="374" spans="1:54" x14ac:dyDescent="0.25">
      <c r="A374" s="80"/>
      <c r="B374" s="95" t="s">
        <v>2417</v>
      </c>
      <c r="C374" s="201" t="s">
        <v>71</v>
      </c>
      <c r="D374" s="80" t="s">
        <v>783</v>
      </c>
      <c r="E374" s="94" t="str">
        <f>IFERROR(VLOOKUP(A374,Estimate!A:Q,17,FALSE)," ")</f>
        <v xml:space="preserve"> </v>
      </c>
      <c r="F374" s="202" t="s">
        <v>781</v>
      </c>
      <c r="G374" s="202" t="s">
        <v>781</v>
      </c>
      <c r="H374" s="203" t="s">
        <v>781</v>
      </c>
      <c r="I374" s="203" t="s">
        <v>781</v>
      </c>
      <c r="J374" s="203" t="s">
        <v>781</v>
      </c>
      <c r="K374" s="203"/>
      <c r="L374" s="202" t="s">
        <v>781</v>
      </c>
      <c r="M374" s="204" t="str">
        <f t="shared" si="2007"/>
        <v xml:space="preserve"> </v>
      </c>
      <c r="N374" s="95" t="s">
        <v>781</v>
      </c>
      <c r="O374" s="204" t="str">
        <f t="shared" si="2007"/>
        <v xml:space="preserve"> </v>
      </c>
      <c r="P374" s="95" t="s">
        <v>781</v>
      </c>
      <c r="Q374" s="204" t="str">
        <f t="shared" ref="Q374:S374" si="2291">IFERROR(P374/$G374," ")</f>
        <v xml:space="preserve"> </v>
      </c>
      <c r="R374" s="95" t="s">
        <v>781</v>
      </c>
      <c r="S374" s="204" t="str">
        <f t="shared" si="2291"/>
        <v xml:space="preserve"> </v>
      </c>
      <c r="T374" s="95" t="s">
        <v>781</v>
      </c>
      <c r="U374" s="204" t="str">
        <f t="shared" ref="U374:W374" si="2292">IFERROR(T374/$G374," ")</f>
        <v xml:space="preserve"> </v>
      </c>
      <c r="V374" s="95" t="s">
        <v>781</v>
      </c>
      <c r="W374" s="204" t="str">
        <f t="shared" si="2292"/>
        <v xml:space="preserve"> </v>
      </c>
      <c r="X374" s="95" t="s">
        <v>781</v>
      </c>
      <c r="Y374" s="204" t="str">
        <f t="shared" ref="Y374:AA374" si="2293">IFERROR(X374/$G374," ")</f>
        <v xml:space="preserve"> </v>
      </c>
      <c r="Z374" s="95" t="s">
        <v>781</v>
      </c>
      <c r="AA374" s="204" t="str">
        <f t="shared" si="2293"/>
        <v xml:space="preserve"> </v>
      </c>
      <c r="AB374" s="95" t="s">
        <v>781</v>
      </c>
      <c r="AC374" s="204" t="str">
        <f t="shared" ref="AC374:AE374" si="2294">IFERROR(AB374/$G374," ")</f>
        <v xml:space="preserve"> </v>
      </c>
      <c r="AD374" s="95" t="s">
        <v>781</v>
      </c>
      <c r="AE374" s="204" t="str">
        <f t="shared" si="2294"/>
        <v xml:space="preserve"> </v>
      </c>
      <c r="AF374" s="95" t="s">
        <v>781</v>
      </c>
      <c r="AG374" s="204" t="str">
        <f t="shared" ref="AG374:AI374" si="2295">IFERROR(AF374/$G374," ")</f>
        <v xml:space="preserve"> </v>
      </c>
      <c r="AH374" s="95" t="s">
        <v>781</v>
      </c>
      <c r="AI374" s="204" t="str">
        <f t="shared" si="2295"/>
        <v xml:space="preserve"> </v>
      </c>
      <c r="AJ374" s="95" t="s">
        <v>781</v>
      </c>
      <c r="AK374" s="204" t="str">
        <f t="shared" ref="AK374:AM374" si="2296">IFERROR(AJ374/$G374," ")</f>
        <v xml:space="preserve"> </v>
      </c>
      <c r="AL374" s="95" t="s">
        <v>781</v>
      </c>
      <c r="AM374" s="204" t="str">
        <f t="shared" si="2296"/>
        <v xml:space="preserve"> </v>
      </c>
      <c r="AN374" s="95"/>
      <c r="AO374" s="94" t="str">
        <f t="shared" si="2014"/>
        <v xml:space="preserve"> </v>
      </c>
      <c r="AP374" s="94" t="str">
        <f t="shared" si="2004"/>
        <v xml:space="preserve"> </v>
      </c>
      <c r="AQ374" s="94" t="str">
        <f t="shared" si="2005"/>
        <v xml:space="preserve"> </v>
      </c>
      <c r="AR374" s="94" t="str">
        <f t="shared" si="2218"/>
        <v xml:space="preserve"> </v>
      </c>
      <c r="AS374" s="94" t="str">
        <f t="shared" si="2016"/>
        <v xml:space="preserve"> </v>
      </c>
      <c r="AT374" s="94" t="str">
        <f t="shared" si="2017"/>
        <v xml:space="preserve"> </v>
      </c>
      <c r="AU374" s="94" t="str">
        <f t="shared" si="2018"/>
        <v xml:space="preserve"> </v>
      </c>
      <c r="AV374" s="94" t="str">
        <f t="shared" si="2019"/>
        <v xml:space="preserve"> </v>
      </c>
      <c r="AW374" s="94" t="str">
        <f t="shared" si="2020"/>
        <v xml:space="preserve"> </v>
      </c>
      <c r="AX374" s="94" t="str">
        <f t="shared" si="2021"/>
        <v xml:space="preserve"> </v>
      </c>
      <c r="AY374" s="94" t="str">
        <f t="shared" si="2022"/>
        <v xml:space="preserve"> </v>
      </c>
      <c r="AZ374" s="94" t="str">
        <f t="shared" si="2023"/>
        <v xml:space="preserve"> </v>
      </c>
      <c r="BA374" s="94" t="str">
        <f t="shared" si="2024"/>
        <v xml:space="preserve"> </v>
      </c>
      <c r="BB374" s="94" t="str">
        <f t="shared" si="2025"/>
        <v xml:space="preserve"> </v>
      </c>
    </row>
    <row r="375" spans="1:54" x14ac:dyDescent="0.25">
      <c r="A375" s="80"/>
      <c r="B375" s="95" t="s">
        <v>2868</v>
      </c>
      <c r="C375" s="201" t="s">
        <v>170</v>
      </c>
      <c r="D375" s="80" t="s">
        <v>783</v>
      </c>
      <c r="E375" s="94" t="str">
        <f>IFERROR(VLOOKUP(A375,Estimate!A:Q,17,FALSE)," ")</f>
        <v xml:space="preserve"> </v>
      </c>
      <c r="F375" s="202" t="s">
        <v>781</v>
      </c>
      <c r="G375" s="202" t="s">
        <v>781</v>
      </c>
      <c r="H375" s="203" t="s">
        <v>781</v>
      </c>
      <c r="I375" s="203" t="s">
        <v>781</v>
      </c>
      <c r="J375" s="203" t="s">
        <v>781</v>
      </c>
      <c r="K375" s="203"/>
      <c r="L375" s="202" t="s">
        <v>781</v>
      </c>
      <c r="M375" s="204" t="str">
        <f t="shared" si="2007"/>
        <v xml:space="preserve"> </v>
      </c>
      <c r="N375" s="95" t="s">
        <v>781</v>
      </c>
      <c r="O375" s="204" t="str">
        <f t="shared" si="2007"/>
        <v xml:space="preserve"> </v>
      </c>
      <c r="P375" s="95" t="s">
        <v>781</v>
      </c>
      <c r="Q375" s="204" t="str">
        <f t="shared" ref="Q375:S375" si="2297">IFERROR(P375/$G375," ")</f>
        <v xml:space="preserve"> </v>
      </c>
      <c r="R375" s="95" t="s">
        <v>781</v>
      </c>
      <c r="S375" s="204" t="str">
        <f t="shared" si="2297"/>
        <v xml:space="preserve"> </v>
      </c>
      <c r="T375" s="95" t="s">
        <v>781</v>
      </c>
      <c r="U375" s="204" t="str">
        <f t="shared" ref="U375:W375" si="2298">IFERROR(T375/$G375," ")</f>
        <v xml:space="preserve"> </v>
      </c>
      <c r="V375" s="95" t="s">
        <v>781</v>
      </c>
      <c r="W375" s="204" t="str">
        <f t="shared" si="2298"/>
        <v xml:space="preserve"> </v>
      </c>
      <c r="X375" s="95" t="s">
        <v>781</v>
      </c>
      <c r="Y375" s="204" t="str">
        <f t="shared" ref="Y375:AA375" si="2299">IFERROR(X375/$G375," ")</f>
        <v xml:space="preserve"> </v>
      </c>
      <c r="Z375" s="95" t="s">
        <v>781</v>
      </c>
      <c r="AA375" s="204" t="str">
        <f t="shared" si="2299"/>
        <v xml:space="preserve"> </v>
      </c>
      <c r="AB375" s="95" t="s">
        <v>781</v>
      </c>
      <c r="AC375" s="204" t="str">
        <f t="shared" ref="AC375:AE375" si="2300">IFERROR(AB375/$G375," ")</f>
        <v xml:space="preserve"> </v>
      </c>
      <c r="AD375" s="95" t="s">
        <v>781</v>
      </c>
      <c r="AE375" s="204" t="str">
        <f t="shared" si="2300"/>
        <v xml:space="preserve"> </v>
      </c>
      <c r="AF375" s="95" t="s">
        <v>781</v>
      </c>
      <c r="AG375" s="204" t="str">
        <f t="shared" ref="AG375:AI375" si="2301">IFERROR(AF375/$G375," ")</f>
        <v xml:space="preserve"> </v>
      </c>
      <c r="AH375" s="95" t="s">
        <v>781</v>
      </c>
      <c r="AI375" s="204" t="str">
        <f t="shared" si="2301"/>
        <v xml:space="preserve"> </v>
      </c>
      <c r="AJ375" s="95" t="s">
        <v>781</v>
      </c>
      <c r="AK375" s="204" t="str">
        <f t="shared" ref="AK375:AM375" si="2302">IFERROR(AJ375/$G375," ")</f>
        <v xml:space="preserve"> </v>
      </c>
      <c r="AL375" s="95" t="s">
        <v>781</v>
      </c>
      <c r="AM375" s="204" t="str">
        <f t="shared" si="2302"/>
        <v xml:space="preserve"> </v>
      </c>
      <c r="AN375" s="95"/>
      <c r="AO375" s="94" t="str">
        <f t="shared" si="2014"/>
        <v xml:space="preserve"> </v>
      </c>
      <c r="AP375" s="94" t="str">
        <f t="shared" si="2004"/>
        <v xml:space="preserve"> </v>
      </c>
      <c r="AQ375" s="94" t="str">
        <f t="shared" si="2005"/>
        <v xml:space="preserve"> </v>
      </c>
      <c r="AR375" s="94" t="str">
        <f t="shared" si="2218"/>
        <v xml:space="preserve"> </v>
      </c>
      <c r="AS375" s="94" t="str">
        <f t="shared" si="2016"/>
        <v xml:space="preserve"> </v>
      </c>
      <c r="AT375" s="94" t="str">
        <f t="shared" si="2017"/>
        <v xml:space="preserve"> </v>
      </c>
      <c r="AU375" s="94" t="str">
        <f t="shared" si="2018"/>
        <v xml:space="preserve"> </v>
      </c>
      <c r="AV375" s="94" t="str">
        <f t="shared" si="2019"/>
        <v xml:space="preserve"> </v>
      </c>
      <c r="AW375" s="94" t="str">
        <f t="shared" si="2020"/>
        <v xml:space="preserve"> </v>
      </c>
      <c r="AX375" s="94" t="str">
        <f t="shared" si="2021"/>
        <v xml:space="preserve"> </v>
      </c>
      <c r="AY375" s="94" t="str">
        <f t="shared" si="2022"/>
        <v xml:space="preserve"> </v>
      </c>
      <c r="AZ375" s="94" t="str">
        <f t="shared" si="2023"/>
        <v xml:space="preserve"> </v>
      </c>
      <c r="BA375" s="94" t="str">
        <f t="shared" si="2024"/>
        <v xml:space="preserve"> </v>
      </c>
      <c r="BB375" s="94" t="str">
        <f t="shared" si="2025"/>
        <v xml:space="preserve"> </v>
      </c>
    </row>
    <row r="376" spans="1:54" ht="30" x14ac:dyDescent="0.25">
      <c r="A376" s="80">
        <v>153</v>
      </c>
      <c r="B376" s="95">
        <v>137</v>
      </c>
      <c r="C376" s="201" t="s">
        <v>172</v>
      </c>
      <c r="D376" s="80" t="s">
        <v>20</v>
      </c>
      <c r="E376" s="94">
        <f>IFERROR(VLOOKUP(A376,Estimate!A:Q,17,FALSE)," ")</f>
        <v>5452.4979524979526</v>
      </c>
      <c r="F376" s="202">
        <v>1</v>
      </c>
      <c r="G376" s="202">
        <v>1</v>
      </c>
      <c r="H376" s="203">
        <v>6829.54</v>
      </c>
      <c r="I376" s="203">
        <v>6829.54</v>
      </c>
      <c r="J376" s="203">
        <v>6829.54</v>
      </c>
      <c r="K376" s="203"/>
      <c r="L376" s="202"/>
      <c r="M376" s="204">
        <f t="shared" si="2007"/>
        <v>0</v>
      </c>
      <c r="N376" s="95"/>
      <c r="O376" s="204">
        <f t="shared" si="2007"/>
        <v>0</v>
      </c>
      <c r="P376" s="95"/>
      <c r="Q376" s="204">
        <f t="shared" ref="Q376:S376" si="2303">IFERROR(P376/$G376," ")</f>
        <v>0</v>
      </c>
      <c r="R376" s="95"/>
      <c r="S376" s="204">
        <f t="shared" si="2303"/>
        <v>0</v>
      </c>
      <c r="T376" s="95"/>
      <c r="U376" s="204">
        <f t="shared" ref="U376:W376" si="2304">IFERROR(T376/$G376," ")</f>
        <v>0</v>
      </c>
      <c r="V376" s="95"/>
      <c r="W376" s="204">
        <f t="shared" si="2304"/>
        <v>0</v>
      </c>
      <c r="X376" s="95"/>
      <c r="Y376" s="204">
        <f t="shared" ref="Y376:AA376" si="2305">IFERROR(X376/$G376," ")</f>
        <v>0</v>
      </c>
      <c r="Z376" s="95"/>
      <c r="AA376" s="204">
        <f t="shared" si="2305"/>
        <v>0</v>
      </c>
      <c r="AB376" s="95"/>
      <c r="AC376" s="204">
        <f t="shared" ref="AC376:AE376" si="2306">IFERROR(AB376/$G376," ")</f>
        <v>0</v>
      </c>
      <c r="AD376" s="95"/>
      <c r="AE376" s="204">
        <f t="shared" si="2306"/>
        <v>0</v>
      </c>
      <c r="AF376" s="95">
        <v>0.5</v>
      </c>
      <c r="AG376" s="204">
        <f t="shared" ref="AG376:AI376" si="2307">IFERROR(AF376/$G376," ")</f>
        <v>0.5</v>
      </c>
      <c r="AH376" s="95">
        <v>1</v>
      </c>
      <c r="AI376" s="204">
        <f t="shared" si="2307"/>
        <v>1</v>
      </c>
      <c r="AJ376" s="95">
        <v>1</v>
      </c>
      <c r="AK376" s="204">
        <f t="shared" ref="AK376:AM376" si="2308">IFERROR(AJ376/$G376," ")</f>
        <v>1</v>
      </c>
      <c r="AL376" s="95">
        <v>1</v>
      </c>
      <c r="AM376" s="204">
        <f t="shared" si="2308"/>
        <v>1</v>
      </c>
      <c r="AN376" s="95"/>
      <c r="AO376" s="94">
        <f t="shared" si="2014"/>
        <v>0</v>
      </c>
      <c r="AP376" s="94">
        <f t="shared" si="2004"/>
        <v>0</v>
      </c>
      <c r="AQ376" s="94">
        <f t="shared" si="2005"/>
        <v>0</v>
      </c>
      <c r="AR376" s="94">
        <f t="shared" si="2218"/>
        <v>0</v>
      </c>
      <c r="AS376" s="94">
        <f t="shared" si="2016"/>
        <v>0</v>
      </c>
      <c r="AT376" s="94">
        <f t="shared" si="2017"/>
        <v>0</v>
      </c>
      <c r="AU376" s="94">
        <f t="shared" si="2018"/>
        <v>0</v>
      </c>
      <c r="AV376" s="94">
        <f t="shared" si="2019"/>
        <v>0</v>
      </c>
      <c r="AW376" s="94">
        <f t="shared" si="2020"/>
        <v>0</v>
      </c>
      <c r="AX376" s="94">
        <f t="shared" si="2021"/>
        <v>0</v>
      </c>
      <c r="AY376" s="94">
        <f t="shared" si="2022"/>
        <v>3414.77</v>
      </c>
      <c r="AZ376" s="94">
        <f t="shared" si="2023"/>
        <v>6829.54</v>
      </c>
      <c r="BA376" s="94">
        <f t="shared" si="2024"/>
        <v>6829.54</v>
      </c>
      <c r="BB376" s="94">
        <f t="shared" si="2025"/>
        <v>6829.54</v>
      </c>
    </row>
    <row r="377" spans="1:54" x14ac:dyDescent="0.25">
      <c r="A377" s="80"/>
      <c r="B377" s="95" t="s">
        <v>2846</v>
      </c>
      <c r="C377" s="201" t="s">
        <v>73</v>
      </c>
      <c r="D377" s="80" t="s">
        <v>783</v>
      </c>
      <c r="E377" s="94" t="str">
        <f>IFERROR(VLOOKUP(A377,Estimate!A:Q,17,FALSE)," ")</f>
        <v xml:space="preserve"> </v>
      </c>
      <c r="F377" s="202" t="s">
        <v>781</v>
      </c>
      <c r="G377" s="202" t="s">
        <v>781</v>
      </c>
      <c r="H377" s="203" t="s">
        <v>781</v>
      </c>
      <c r="I377" s="203" t="s">
        <v>781</v>
      </c>
      <c r="J377" s="203" t="s">
        <v>781</v>
      </c>
      <c r="K377" s="203"/>
      <c r="L377" s="202" t="s">
        <v>781</v>
      </c>
      <c r="M377" s="204" t="str">
        <f t="shared" si="2007"/>
        <v xml:space="preserve"> </v>
      </c>
      <c r="N377" s="95" t="s">
        <v>781</v>
      </c>
      <c r="O377" s="204" t="str">
        <f t="shared" si="2007"/>
        <v xml:space="preserve"> </v>
      </c>
      <c r="P377" s="95" t="s">
        <v>781</v>
      </c>
      <c r="Q377" s="204" t="str">
        <f t="shared" ref="Q377:S377" si="2309">IFERROR(P377/$G377," ")</f>
        <v xml:space="preserve"> </v>
      </c>
      <c r="R377" s="95" t="s">
        <v>781</v>
      </c>
      <c r="S377" s="204" t="str">
        <f t="shared" si="2309"/>
        <v xml:space="preserve"> </v>
      </c>
      <c r="T377" s="95" t="s">
        <v>781</v>
      </c>
      <c r="U377" s="204" t="str">
        <f t="shared" ref="U377:W377" si="2310">IFERROR(T377/$G377," ")</f>
        <v xml:space="preserve"> </v>
      </c>
      <c r="V377" s="95" t="s">
        <v>781</v>
      </c>
      <c r="W377" s="204" t="str">
        <f t="shared" si="2310"/>
        <v xml:space="preserve"> </v>
      </c>
      <c r="X377" s="95" t="s">
        <v>781</v>
      </c>
      <c r="Y377" s="204" t="str">
        <f t="shared" ref="Y377:AA377" si="2311">IFERROR(X377/$G377," ")</f>
        <v xml:space="preserve"> </v>
      </c>
      <c r="Z377" s="95" t="s">
        <v>781</v>
      </c>
      <c r="AA377" s="204" t="str">
        <f t="shared" si="2311"/>
        <v xml:space="preserve"> </v>
      </c>
      <c r="AB377" s="95" t="s">
        <v>781</v>
      </c>
      <c r="AC377" s="204" t="str">
        <f t="shared" ref="AC377:AE377" si="2312">IFERROR(AB377/$G377," ")</f>
        <v xml:space="preserve"> </v>
      </c>
      <c r="AD377" s="95" t="s">
        <v>781</v>
      </c>
      <c r="AE377" s="204" t="str">
        <f t="shared" si="2312"/>
        <v xml:space="preserve"> </v>
      </c>
      <c r="AF377" s="95" t="s">
        <v>781</v>
      </c>
      <c r="AG377" s="204" t="str">
        <f t="shared" ref="AG377:AI377" si="2313">IFERROR(AF377/$G377," ")</f>
        <v xml:space="preserve"> </v>
      </c>
      <c r="AH377" s="95" t="s">
        <v>781</v>
      </c>
      <c r="AI377" s="204" t="str">
        <f t="shared" si="2313"/>
        <v xml:space="preserve"> </v>
      </c>
      <c r="AJ377" s="95" t="s">
        <v>781</v>
      </c>
      <c r="AK377" s="204" t="str">
        <f t="shared" ref="AK377:AM377" si="2314">IFERROR(AJ377/$G377," ")</f>
        <v xml:space="preserve"> </v>
      </c>
      <c r="AL377" s="95" t="s">
        <v>781</v>
      </c>
      <c r="AM377" s="204" t="str">
        <f t="shared" si="2314"/>
        <v xml:space="preserve"> </v>
      </c>
      <c r="AN377" s="95"/>
      <c r="AO377" s="94" t="str">
        <f t="shared" si="2014"/>
        <v xml:space="preserve"> </v>
      </c>
      <c r="AP377" s="94" t="str">
        <f t="shared" si="2004"/>
        <v xml:space="preserve"> </v>
      </c>
      <c r="AQ377" s="94" t="str">
        <f t="shared" si="2005"/>
        <v xml:space="preserve"> </v>
      </c>
      <c r="AR377" s="94" t="str">
        <f t="shared" si="2218"/>
        <v xml:space="preserve"> </v>
      </c>
      <c r="AS377" s="94" t="str">
        <f t="shared" si="2016"/>
        <v xml:space="preserve"> </v>
      </c>
      <c r="AT377" s="94" t="str">
        <f t="shared" si="2017"/>
        <v xml:space="preserve"> </v>
      </c>
      <c r="AU377" s="94" t="str">
        <f t="shared" si="2018"/>
        <v xml:space="preserve"> </v>
      </c>
      <c r="AV377" s="94" t="str">
        <f t="shared" si="2019"/>
        <v xml:space="preserve"> </v>
      </c>
      <c r="AW377" s="94" t="str">
        <f t="shared" si="2020"/>
        <v xml:space="preserve"> </v>
      </c>
      <c r="AX377" s="94" t="str">
        <f t="shared" si="2021"/>
        <v xml:space="preserve"> </v>
      </c>
      <c r="AY377" s="94" t="str">
        <f t="shared" si="2022"/>
        <v xml:space="preserve"> </v>
      </c>
      <c r="AZ377" s="94" t="str">
        <f t="shared" si="2023"/>
        <v xml:space="preserve"> </v>
      </c>
      <c r="BA377" s="94" t="str">
        <f t="shared" si="2024"/>
        <v xml:space="preserve"> </v>
      </c>
      <c r="BB377" s="94" t="str">
        <f t="shared" si="2025"/>
        <v xml:space="preserve"> </v>
      </c>
    </row>
    <row r="378" spans="1:54" x14ac:dyDescent="0.25">
      <c r="A378" s="80"/>
      <c r="B378" s="95" t="s">
        <v>2903</v>
      </c>
      <c r="C378" s="201" t="s">
        <v>546</v>
      </c>
      <c r="D378" s="80" t="s">
        <v>783</v>
      </c>
      <c r="E378" s="94" t="str">
        <f>IFERROR(VLOOKUP(A378,Estimate!A:Q,17,FALSE)," ")</f>
        <v xml:space="preserve"> </v>
      </c>
      <c r="F378" s="202" t="s">
        <v>781</v>
      </c>
      <c r="G378" s="202" t="s">
        <v>781</v>
      </c>
      <c r="H378" s="203" t="s">
        <v>781</v>
      </c>
      <c r="I378" s="203" t="s">
        <v>781</v>
      </c>
      <c r="J378" s="203" t="s">
        <v>781</v>
      </c>
      <c r="K378" s="203"/>
      <c r="L378" s="202" t="s">
        <v>781</v>
      </c>
      <c r="M378" s="204" t="str">
        <f t="shared" si="2007"/>
        <v xml:space="preserve"> </v>
      </c>
      <c r="N378" s="95" t="s">
        <v>781</v>
      </c>
      <c r="O378" s="204" t="str">
        <f t="shared" si="2007"/>
        <v xml:space="preserve"> </v>
      </c>
      <c r="P378" s="95" t="s">
        <v>781</v>
      </c>
      <c r="Q378" s="204" t="str">
        <f t="shared" ref="Q378:S378" si="2315">IFERROR(P378/$G378," ")</f>
        <v xml:space="preserve"> </v>
      </c>
      <c r="R378" s="95" t="s">
        <v>781</v>
      </c>
      <c r="S378" s="204" t="str">
        <f t="shared" si="2315"/>
        <v xml:space="preserve"> </v>
      </c>
      <c r="T378" s="95" t="s">
        <v>781</v>
      </c>
      <c r="U378" s="204" t="str">
        <f t="shared" ref="U378:W378" si="2316">IFERROR(T378/$G378," ")</f>
        <v xml:space="preserve"> </v>
      </c>
      <c r="V378" s="95" t="s">
        <v>781</v>
      </c>
      <c r="W378" s="204" t="str">
        <f t="shared" si="2316"/>
        <v xml:space="preserve"> </v>
      </c>
      <c r="X378" s="95" t="s">
        <v>781</v>
      </c>
      <c r="Y378" s="204" t="str">
        <f t="shared" ref="Y378:AA378" si="2317">IFERROR(X378/$G378," ")</f>
        <v xml:space="preserve"> </v>
      </c>
      <c r="Z378" s="95" t="s">
        <v>781</v>
      </c>
      <c r="AA378" s="204" t="str">
        <f t="shared" si="2317"/>
        <v xml:space="preserve"> </v>
      </c>
      <c r="AB378" s="95" t="s">
        <v>781</v>
      </c>
      <c r="AC378" s="204" t="str">
        <f t="shared" ref="AC378:AE378" si="2318">IFERROR(AB378/$G378," ")</f>
        <v xml:space="preserve"> </v>
      </c>
      <c r="AD378" s="95" t="s">
        <v>781</v>
      </c>
      <c r="AE378" s="204" t="str">
        <f t="shared" si="2318"/>
        <v xml:space="preserve"> </v>
      </c>
      <c r="AF378" s="95" t="s">
        <v>781</v>
      </c>
      <c r="AG378" s="204" t="str">
        <f t="shared" ref="AG378:AI378" si="2319">IFERROR(AF378/$G378," ")</f>
        <v xml:space="preserve"> </v>
      </c>
      <c r="AH378" s="95" t="s">
        <v>781</v>
      </c>
      <c r="AI378" s="204" t="str">
        <f t="shared" si="2319"/>
        <v xml:space="preserve"> </v>
      </c>
      <c r="AJ378" s="95" t="s">
        <v>781</v>
      </c>
      <c r="AK378" s="204" t="str">
        <f t="shared" ref="AK378:AM378" si="2320">IFERROR(AJ378/$G378," ")</f>
        <v xml:space="preserve"> </v>
      </c>
      <c r="AL378" s="95" t="s">
        <v>781</v>
      </c>
      <c r="AM378" s="204" t="str">
        <f t="shared" si="2320"/>
        <v xml:space="preserve"> </v>
      </c>
      <c r="AN378" s="95"/>
      <c r="AO378" s="94" t="str">
        <f t="shared" si="2014"/>
        <v xml:space="preserve"> </v>
      </c>
      <c r="AP378" s="94" t="str">
        <f t="shared" si="2004"/>
        <v xml:space="preserve"> </v>
      </c>
      <c r="AQ378" s="94" t="str">
        <f t="shared" si="2005"/>
        <v xml:space="preserve"> </v>
      </c>
      <c r="AR378" s="94" t="str">
        <f t="shared" si="2218"/>
        <v xml:space="preserve"> </v>
      </c>
      <c r="AS378" s="94" t="str">
        <f t="shared" si="2016"/>
        <v xml:space="preserve"> </v>
      </c>
      <c r="AT378" s="94" t="str">
        <f t="shared" si="2017"/>
        <v xml:space="preserve"> </v>
      </c>
      <c r="AU378" s="94" t="str">
        <f t="shared" si="2018"/>
        <v xml:space="preserve"> </v>
      </c>
      <c r="AV378" s="94" t="str">
        <f t="shared" si="2019"/>
        <v xml:space="preserve"> </v>
      </c>
      <c r="AW378" s="94" t="str">
        <f t="shared" si="2020"/>
        <v xml:space="preserve"> </v>
      </c>
      <c r="AX378" s="94" t="str">
        <f t="shared" si="2021"/>
        <v xml:space="preserve"> </v>
      </c>
      <c r="AY378" s="94" t="str">
        <f t="shared" si="2022"/>
        <v xml:space="preserve"> </v>
      </c>
      <c r="AZ378" s="94" t="str">
        <f t="shared" si="2023"/>
        <v xml:space="preserve"> </v>
      </c>
      <c r="BA378" s="94" t="str">
        <f t="shared" si="2024"/>
        <v xml:space="preserve"> </v>
      </c>
      <c r="BB378" s="94" t="str">
        <f t="shared" si="2025"/>
        <v xml:space="preserve"> </v>
      </c>
    </row>
    <row r="379" spans="1:54" x14ac:dyDescent="0.25">
      <c r="A379" s="80">
        <v>154</v>
      </c>
      <c r="B379" s="95" t="s">
        <v>2847</v>
      </c>
      <c r="C379" s="201" t="s">
        <v>548</v>
      </c>
      <c r="D379" s="80" t="s">
        <v>20</v>
      </c>
      <c r="E379" s="94">
        <f>IFERROR(VLOOKUP(A379,Estimate!A:Q,17,FALSE)," ")</f>
        <v>8295</v>
      </c>
      <c r="F379" s="202">
        <v>1</v>
      </c>
      <c r="G379" s="202">
        <v>1</v>
      </c>
      <c r="H379" s="203">
        <v>10420.41</v>
      </c>
      <c r="I379" s="203">
        <v>10420.41</v>
      </c>
      <c r="J379" s="203">
        <v>10420.41</v>
      </c>
      <c r="K379" s="203"/>
      <c r="L379" s="202"/>
      <c r="M379" s="204">
        <f t="shared" si="2007"/>
        <v>0</v>
      </c>
      <c r="N379" s="95"/>
      <c r="O379" s="204">
        <f t="shared" si="2007"/>
        <v>0</v>
      </c>
      <c r="P379" s="95"/>
      <c r="Q379" s="204">
        <f t="shared" ref="Q379:S379" si="2321">IFERROR(P379/$G379," ")</f>
        <v>0</v>
      </c>
      <c r="R379" s="95"/>
      <c r="S379" s="204">
        <f t="shared" si="2321"/>
        <v>0</v>
      </c>
      <c r="T379" s="95"/>
      <c r="U379" s="204">
        <f t="shared" ref="U379:W379" si="2322">IFERROR(T379/$G379," ")</f>
        <v>0</v>
      </c>
      <c r="V379" s="95"/>
      <c r="W379" s="204">
        <f t="shared" si="2322"/>
        <v>0</v>
      </c>
      <c r="X379" s="95"/>
      <c r="Y379" s="204">
        <f t="shared" ref="Y379:AA379" si="2323">IFERROR(X379/$G379," ")</f>
        <v>0</v>
      </c>
      <c r="Z379" s="95"/>
      <c r="AA379" s="204">
        <f t="shared" si="2323"/>
        <v>0</v>
      </c>
      <c r="AB379" s="95"/>
      <c r="AC379" s="204">
        <f t="shared" ref="AC379:AE379" si="2324">IFERROR(AB379/$G379," ")</f>
        <v>0</v>
      </c>
      <c r="AD379" s="95"/>
      <c r="AE379" s="204">
        <f t="shared" si="2324"/>
        <v>0</v>
      </c>
      <c r="AF379" s="95">
        <v>0.5</v>
      </c>
      <c r="AG379" s="204">
        <f t="shared" ref="AG379:AI379" si="2325">IFERROR(AF379/$G379," ")</f>
        <v>0.5</v>
      </c>
      <c r="AH379" s="95">
        <v>1</v>
      </c>
      <c r="AI379" s="204">
        <f t="shared" si="2325"/>
        <v>1</v>
      </c>
      <c r="AJ379" s="95">
        <v>1</v>
      </c>
      <c r="AK379" s="204">
        <f t="shared" ref="AK379:AM379" si="2326">IFERROR(AJ379/$G379," ")</f>
        <v>1</v>
      </c>
      <c r="AL379" s="95">
        <v>1</v>
      </c>
      <c r="AM379" s="204">
        <f t="shared" si="2326"/>
        <v>1</v>
      </c>
      <c r="AN379" s="95"/>
      <c r="AO379" s="94">
        <f t="shared" si="2014"/>
        <v>0</v>
      </c>
      <c r="AP379" s="94">
        <f t="shared" si="2004"/>
        <v>0</v>
      </c>
      <c r="AQ379" s="94">
        <f t="shared" si="2005"/>
        <v>0</v>
      </c>
      <c r="AR379" s="94">
        <f t="shared" si="2218"/>
        <v>0</v>
      </c>
      <c r="AS379" s="94">
        <f t="shared" si="2016"/>
        <v>0</v>
      </c>
      <c r="AT379" s="94">
        <f t="shared" si="2017"/>
        <v>0</v>
      </c>
      <c r="AU379" s="94">
        <f t="shared" si="2018"/>
        <v>0</v>
      </c>
      <c r="AV379" s="94">
        <f t="shared" si="2019"/>
        <v>0</v>
      </c>
      <c r="AW379" s="94">
        <f t="shared" si="2020"/>
        <v>0</v>
      </c>
      <c r="AX379" s="94">
        <f t="shared" si="2021"/>
        <v>0</v>
      </c>
      <c r="AY379" s="94">
        <f t="shared" si="2022"/>
        <v>5210.2049999999999</v>
      </c>
      <c r="AZ379" s="94">
        <f t="shared" si="2023"/>
        <v>10420.41</v>
      </c>
      <c r="BA379" s="94">
        <f t="shared" si="2024"/>
        <v>10420.41</v>
      </c>
      <c r="BB379" s="94">
        <f t="shared" si="2025"/>
        <v>10420.41</v>
      </c>
    </row>
    <row r="380" spans="1:54" x14ac:dyDescent="0.25">
      <c r="A380" s="80"/>
      <c r="B380" s="95" t="s">
        <v>2848</v>
      </c>
      <c r="C380" s="201" t="s">
        <v>77</v>
      </c>
      <c r="D380" s="80" t="s">
        <v>783</v>
      </c>
      <c r="E380" s="94" t="str">
        <f>IFERROR(VLOOKUP(A380,Estimate!A:Q,17,FALSE)," ")</f>
        <v xml:space="preserve"> </v>
      </c>
      <c r="F380" s="202" t="s">
        <v>781</v>
      </c>
      <c r="G380" s="202" t="s">
        <v>781</v>
      </c>
      <c r="H380" s="203" t="s">
        <v>781</v>
      </c>
      <c r="I380" s="203" t="s">
        <v>781</v>
      </c>
      <c r="J380" s="203" t="s">
        <v>781</v>
      </c>
      <c r="K380" s="203"/>
      <c r="L380" s="202" t="s">
        <v>781</v>
      </c>
      <c r="M380" s="204" t="str">
        <f t="shared" si="2007"/>
        <v xml:space="preserve"> </v>
      </c>
      <c r="N380" s="95" t="s">
        <v>781</v>
      </c>
      <c r="O380" s="204" t="str">
        <f t="shared" si="2007"/>
        <v xml:space="preserve"> </v>
      </c>
      <c r="P380" s="95" t="s">
        <v>781</v>
      </c>
      <c r="Q380" s="204" t="str">
        <f t="shared" ref="Q380:S380" si="2327">IFERROR(P380/$G380," ")</f>
        <v xml:space="preserve"> </v>
      </c>
      <c r="R380" s="95" t="s">
        <v>781</v>
      </c>
      <c r="S380" s="204" t="str">
        <f t="shared" si="2327"/>
        <v xml:space="preserve"> </v>
      </c>
      <c r="T380" s="95" t="s">
        <v>781</v>
      </c>
      <c r="U380" s="204" t="str">
        <f t="shared" ref="U380:W380" si="2328">IFERROR(T380/$G380," ")</f>
        <v xml:space="preserve"> </v>
      </c>
      <c r="V380" s="95" t="s">
        <v>781</v>
      </c>
      <c r="W380" s="204" t="str">
        <f t="shared" si="2328"/>
        <v xml:space="preserve"> </v>
      </c>
      <c r="X380" s="95" t="s">
        <v>781</v>
      </c>
      <c r="Y380" s="204" t="str">
        <f t="shared" ref="Y380:AA380" si="2329">IFERROR(X380/$G380," ")</f>
        <v xml:space="preserve"> </v>
      </c>
      <c r="Z380" s="95" t="s">
        <v>781</v>
      </c>
      <c r="AA380" s="204" t="str">
        <f t="shared" si="2329"/>
        <v xml:space="preserve"> </v>
      </c>
      <c r="AB380" s="95" t="s">
        <v>781</v>
      </c>
      <c r="AC380" s="204" t="str">
        <f t="shared" ref="AC380:AE380" si="2330">IFERROR(AB380/$G380," ")</f>
        <v xml:space="preserve"> </v>
      </c>
      <c r="AD380" s="95" t="s">
        <v>781</v>
      </c>
      <c r="AE380" s="204" t="str">
        <f t="shared" si="2330"/>
        <v xml:space="preserve"> </v>
      </c>
      <c r="AF380" s="95" t="s">
        <v>781</v>
      </c>
      <c r="AG380" s="204" t="str">
        <f t="shared" ref="AG380:AI380" si="2331">IFERROR(AF380/$G380," ")</f>
        <v xml:space="preserve"> </v>
      </c>
      <c r="AH380" s="95" t="s">
        <v>781</v>
      </c>
      <c r="AI380" s="204" t="str">
        <f t="shared" si="2331"/>
        <v xml:space="preserve"> </v>
      </c>
      <c r="AJ380" s="95" t="s">
        <v>781</v>
      </c>
      <c r="AK380" s="204" t="str">
        <f t="shared" ref="AK380:AM380" si="2332">IFERROR(AJ380/$G380," ")</f>
        <v xml:space="preserve"> </v>
      </c>
      <c r="AL380" s="95" t="s">
        <v>781</v>
      </c>
      <c r="AM380" s="204" t="str">
        <f t="shared" si="2332"/>
        <v xml:space="preserve"> </v>
      </c>
      <c r="AN380" s="95"/>
      <c r="AO380" s="94" t="str">
        <f t="shared" si="2014"/>
        <v xml:space="preserve"> </v>
      </c>
      <c r="AP380" s="94" t="str">
        <f t="shared" si="2004"/>
        <v xml:space="preserve"> </v>
      </c>
      <c r="AQ380" s="94" t="str">
        <f t="shared" si="2005"/>
        <v xml:space="preserve"> </v>
      </c>
      <c r="AR380" s="94" t="str">
        <f t="shared" si="2218"/>
        <v xml:space="preserve"> </v>
      </c>
      <c r="AS380" s="94" t="str">
        <f t="shared" si="2016"/>
        <v xml:space="preserve"> </v>
      </c>
      <c r="AT380" s="94" t="str">
        <f t="shared" si="2017"/>
        <v xml:space="preserve"> </v>
      </c>
      <c r="AU380" s="94" t="str">
        <f t="shared" si="2018"/>
        <v xml:space="preserve"> </v>
      </c>
      <c r="AV380" s="94" t="str">
        <f t="shared" si="2019"/>
        <v xml:space="preserve"> </v>
      </c>
      <c r="AW380" s="94" t="str">
        <f t="shared" si="2020"/>
        <v xml:space="preserve"> </v>
      </c>
      <c r="AX380" s="94" t="str">
        <f t="shared" si="2021"/>
        <v xml:space="preserve"> </v>
      </c>
      <c r="AY380" s="94" t="str">
        <f t="shared" si="2022"/>
        <v xml:space="preserve"> </v>
      </c>
      <c r="AZ380" s="94" t="str">
        <f t="shared" si="2023"/>
        <v xml:space="preserve"> </v>
      </c>
      <c r="BA380" s="94" t="str">
        <f t="shared" si="2024"/>
        <v xml:space="preserve"> </v>
      </c>
      <c r="BB380" s="94" t="str">
        <f t="shared" si="2025"/>
        <v xml:space="preserve"> </v>
      </c>
    </row>
    <row r="381" spans="1:54" ht="30" x14ac:dyDescent="0.25">
      <c r="A381" s="80">
        <v>155</v>
      </c>
      <c r="B381" s="95" t="s">
        <v>2849</v>
      </c>
      <c r="C381" s="201" t="s">
        <v>79</v>
      </c>
      <c r="D381" s="80" t="s">
        <v>62</v>
      </c>
      <c r="E381" s="94">
        <f>IFERROR(VLOOKUP(A381,Estimate!A:Q,17,FALSE)," ")</f>
        <v>1953.1333333333334</v>
      </c>
      <c r="F381" s="202">
        <v>3</v>
      </c>
      <c r="G381" s="202">
        <v>3</v>
      </c>
      <c r="H381" s="203">
        <v>817.86</v>
      </c>
      <c r="I381" s="203">
        <v>2453.58</v>
      </c>
      <c r="J381" s="203">
        <v>2453.58</v>
      </c>
      <c r="K381" s="203"/>
      <c r="L381" s="202"/>
      <c r="M381" s="204">
        <f t="shared" si="2007"/>
        <v>0</v>
      </c>
      <c r="N381" s="95"/>
      <c r="O381" s="204">
        <f t="shared" si="2007"/>
        <v>0</v>
      </c>
      <c r="P381" s="95"/>
      <c r="Q381" s="204">
        <f t="shared" ref="Q381:S381" si="2333">IFERROR(P381/$G381," ")</f>
        <v>0</v>
      </c>
      <c r="R381" s="95"/>
      <c r="S381" s="204">
        <f t="shared" si="2333"/>
        <v>0</v>
      </c>
      <c r="T381" s="95"/>
      <c r="U381" s="204">
        <f t="shared" ref="U381:W381" si="2334">IFERROR(T381/$G381," ")</f>
        <v>0</v>
      </c>
      <c r="V381" s="95"/>
      <c r="W381" s="204">
        <f t="shared" si="2334"/>
        <v>0</v>
      </c>
      <c r="X381" s="95"/>
      <c r="Y381" s="204">
        <f t="shared" ref="Y381:AA381" si="2335">IFERROR(X381/$G381," ")</f>
        <v>0</v>
      </c>
      <c r="Z381" s="95"/>
      <c r="AA381" s="204">
        <f t="shared" si="2335"/>
        <v>0</v>
      </c>
      <c r="AB381" s="95"/>
      <c r="AC381" s="204">
        <f t="shared" ref="AC381:AE381" si="2336">IFERROR(AB381/$G381," ")</f>
        <v>0</v>
      </c>
      <c r="AD381" s="95"/>
      <c r="AE381" s="204">
        <f t="shared" si="2336"/>
        <v>0</v>
      </c>
      <c r="AF381" s="95">
        <v>1.5</v>
      </c>
      <c r="AG381" s="204">
        <f t="shared" ref="AG381:AI381" si="2337">IFERROR(AF381/$G381," ")</f>
        <v>0.5</v>
      </c>
      <c r="AH381" s="95">
        <v>3</v>
      </c>
      <c r="AI381" s="204">
        <f t="shared" si="2337"/>
        <v>1</v>
      </c>
      <c r="AJ381" s="95">
        <v>3</v>
      </c>
      <c r="AK381" s="204">
        <f t="shared" ref="AK381:AM381" si="2338">IFERROR(AJ381/$G381," ")</f>
        <v>1</v>
      </c>
      <c r="AL381" s="95">
        <v>3</v>
      </c>
      <c r="AM381" s="204">
        <f t="shared" si="2338"/>
        <v>1</v>
      </c>
      <c r="AN381" s="95"/>
      <c r="AO381" s="94">
        <f t="shared" si="2014"/>
        <v>0</v>
      </c>
      <c r="AP381" s="94">
        <f t="shared" si="2004"/>
        <v>0</v>
      </c>
      <c r="AQ381" s="94">
        <f t="shared" si="2005"/>
        <v>0</v>
      </c>
      <c r="AR381" s="94">
        <f t="shared" si="2218"/>
        <v>0</v>
      </c>
      <c r="AS381" s="94">
        <f t="shared" si="2016"/>
        <v>0</v>
      </c>
      <c r="AT381" s="94">
        <f t="shared" si="2017"/>
        <v>0</v>
      </c>
      <c r="AU381" s="94">
        <f t="shared" si="2018"/>
        <v>0</v>
      </c>
      <c r="AV381" s="94">
        <f t="shared" si="2019"/>
        <v>0</v>
      </c>
      <c r="AW381" s="94">
        <f t="shared" si="2020"/>
        <v>0</v>
      </c>
      <c r="AX381" s="94">
        <f t="shared" si="2021"/>
        <v>0</v>
      </c>
      <c r="AY381" s="94">
        <f t="shared" si="2022"/>
        <v>1226.79</v>
      </c>
      <c r="AZ381" s="94">
        <f t="shared" si="2023"/>
        <v>2453.58</v>
      </c>
      <c r="BA381" s="94">
        <f t="shared" si="2024"/>
        <v>2453.58</v>
      </c>
      <c r="BB381" s="94">
        <f t="shared" si="2025"/>
        <v>2453.58</v>
      </c>
    </row>
    <row r="382" spans="1:54" x14ac:dyDescent="0.25">
      <c r="A382" s="80">
        <v>156</v>
      </c>
      <c r="B382" s="95" t="s">
        <v>2922</v>
      </c>
      <c r="C382" s="201" t="s">
        <v>552</v>
      </c>
      <c r="D382" s="80" t="s">
        <v>89</v>
      </c>
      <c r="E382" s="94">
        <f>IFERROR(VLOOKUP(A382,Estimate!A:Q,17,FALSE)," ")</f>
        <v>8442.851999999999</v>
      </c>
      <c r="F382" s="202">
        <v>12.4</v>
      </c>
      <c r="G382" s="202">
        <v>12.4</v>
      </c>
      <c r="H382" s="203">
        <v>855.33</v>
      </c>
      <c r="I382" s="203">
        <v>10606.09</v>
      </c>
      <c r="J382" s="203">
        <v>10606.092000000001</v>
      </c>
      <c r="K382" s="203"/>
      <c r="L382" s="202"/>
      <c r="M382" s="204">
        <f t="shared" si="2007"/>
        <v>0</v>
      </c>
      <c r="N382" s="95"/>
      <c r="O382" s="204">
        <f t="shared" si="2007"/>
        <v>0</v>
      </c>
      <c r="P382" s="95"/>
      <c r="Q382" s="204">
        <f t="shared" ref="Q382:S382" si="2339">IFERROR(P382/$G382," ")</f>
        <v>0</v>
      </c>
      <c r="R382" s="95"/>
      <c r="S382" s="204">
        <f t="shared" si="2339"/>
        <v>0</v>
      </c>
      <c r="T382" s="95"/>
      <c r="U382" s="204">
        <f t="shared" ref="U382:W382" si="2340">IFERROR(T382/$G382," ")</f>
        <v>0</v>
      </c>
      <c r="V382" s="95"/>
      <c r="W382" s="204">
        <f t="shared" si="2340"/>
        <v>0</v>
      </c>
      <c r="X382" s="95"/>
      <c r="Y382" s="204">
        <f t="shared" ref="Y382:AA382" si="2341">IFERROR(X382/$G382," ")</f>
        <v>0</v>
      </c>
      <c r="Z382" s="95"/>
      <c r="AA382" s="204">
        <f t="shared" si="2341"/>
        <v>0</v>
      </c>
      <c r="AB382" s="95"/>
      <c r="AC382" s="204">
        <f t="shared" ref="AC382:AE382" si="2342">IFERROR(AB382/$G382," ")</f>
        <v>0</v>
      </c>
      <c r="AD382" s="95">
        <v>6.2</v>
      </c>
      <c r="AE382" s="204">
        <f t="shared" si="2342"/>
        <v>0.5</v>
      </c>
      <c r="AF382" s="95">
        <v>8.1999999999999993</v>
      </c>
      <c r="AG382" s="204">
        <f t="shared" ref="AG382:AI382" si="2343">IFERROR(AF382/$G382," ")</f>
        <v>0.66129032258064513</v>
      </c>
      <c r="AH382" s="95">
        <v>12.4</v>
      </c>
      <c r="AI382" s="204">
        <f t="shared" si="2343"/>
        <v>1</v>
      </c>
      <c r="AJ382" s="95">
        <v>12.4</v>
      </c>
      <c r="AK382" s="204">
        <f t="shared" ref="AK382:AM382" si="2344">IFERROR(AJ382/$G382," ")</f>
        <v>1</v>
      </c>
      <c r="AL382" s="95">
        <v>12.4</v>
      </c>
      <c r="AM382" s="204">
        <f t="shared" si="2344"/>
        <v>1</v>
      </c>
      <c r="AN382" s="95"/>
      <c r="AO382" s="94">
        <f t="shared" si="2014"/>
        <v>0</v>
      </c>
      <c r="AP382" s="94">
        <f t="shared" si="2004"/>
        <v>0</v>
      </c>
      <c r="AQ382" s="94">
        <f t="shared" si="2005"/>
        <v>0</v>
      </c>
      <c r="AR382" s="94">
        <f t="shared" si="2218"/>
        <v>0</v>
      </c>
      <c r="AS382" s="94">
        <f t="shared" si="2016"/>
        <v>0</v>
      </c>
      <c r="AT382" s="94">
        <f t="shared" si="2017"/>
        <v>0</v>
      </c>
      <c r="AU382" s="94">
        <f t="shared" si="2018"/>
        <v>0</v>
      </c>
      <c r="AV382" s="94">
        <f t="shared" si="2019"/>
        <v>0</v>
      </c>
      <c r="AW382" s="94">
        <f t="shared" si="2020"/>
        <v>0</v>
      </c>
      <c r="AX382" s="94">
        <f t="shared" si="2021"/>
        <v>5303.0460000000003</v>
      </c>
      <c r="AY382" s="94">
        <f t="shared" si="2022"/>
        <v>7013.7060000000001</v>
      </c>
      <c r="AZ382" s="94">
        <f t="shared" si="2023"/>
        <v>10606.092000000001</v>
      </c>
      <c r="BA382" s="94">
        <f t="shared" si="2024"/>
        <v>10606.092000000001</v>
      </c>
      <c r="BB382" s="94">
        <f t="shared" si="2025"/>
        <v>10606.092000000001</v>
      </c>
    </row>
    <row r="383" spans="1:54" x14ac:dyDescent="0.25">
      <c r="A383" s="80"/>
      <c r="B383" s="95" t="s">
        <v>2851</v>
      </c>
      <c r="C383" s="201" t="s">
        <v>94</v>
      </c>
      <c r="D383" s="80" t="s">
        <v>783</v>
      </c>
      <c r="E383" s="94" t="str">
        <f>IFERROR(VLOOKUP(A383,Estimate!A:Q,17,FALSE)," ")</f>
        <v xml:space="preserve"> </v>
      </c>
      <c r="F383" s="202" t="s">
        <v>781</v>
      </c>
      <c r="G383" s="202" t="s">
        <v>781</v>
      </c>
      <c r="H383" s="203" t="s">
        <v>781</v>
      </c>
      <c r="I383" s="203" t="s">
        <v>781</v>
      </c>
      <c r="J383" s="203" t="s">
        <v>781</v>
      </c>
      <c r="K383" s="203"/>
      <c r="L383" s="202" t="s">
        <v>781</v>
      </c>
      <c r="M383" s="204" t="str">
        <f t="shared" si="2007"/>
        <v xml:space="preserve"> </v>
      </c>
      <c r="N383" s="95" t="s">
        <v>781</v>
      </c>
      <c r="O383" s="204" t="str">
        <f t="shared" si="2007"/>
        <v xml:space="preserve"> </v>
      </c>
      <c r="P383" s="95" t="s">
        <v>781</v>
      </c>
      <c r="Q383" s="204" t="str">
        <f t="shared" ref="Q383:S383" si="2345">IFERROR(P383/$G383," ")</f>
        <v xml:space="preserve"> </v>
      </c>
      <c r="R383" s="95" t="s">
        <v>781</v>
      </c>
      <c r="S383" s="204" t="str">
        <f t="shared" si="2345"/>
        <v xml:space="preserve"> </v>
      </c>
      <c r="T383" s="95" t="s">
        <v>781</v>
      </c>
      <c r="U383" s="204" t="str">
        <f t="shared" ref="U383:W383" si="2346">IFERROR(T383/$G383," ")</f>
        <v xml:space="preserve"> </v>
      </c>
      <c r="V383" s="95" t="s">
        <v>781</v>
      </c>
      <c r="W383" s="204" t="str">
        <f t="shared" si="2346"/>
        <v xml:space="preserve"> </v>
      </c>
      <c r="X383" s="95" t="s">
        <v>781</v>
      </c>
      <c r="Y383" s="204" t="str">
        <f t="shared" ref="Y383:AA383" si="2347">IFERROR(X383/$G383," ")</f>
        <v xml:space="preserve"> </v>
      </c>
      <c r="Z383" s="95" t="s">
        <v>781</v>
      </c>
      <c r="AA383" s="204" t="str">
        <f t="shared" si="2347"/>
        <v xml:space="preserve"> </v>
      </c>
      <c r="AB383" s="95" t="s">
        <v>781</v>
      </c>
      <c r="AC383" s="204" t="str">
        <f t="shared" ref="AC383:AE383" si="2348">IFERROR(AB383/$G383," ")</f>
        <v xml:space="preserve"> </v>
      </c>
      <c r="AD383" s="95" t="s">
        <v>781</v>
      </c>
      <c r="AE383" s="204" t="str">
        <f t="shared" si="2348"/>
        <v xml:space="preserve"> </v>
      </c>
      <c r="AF383" s="95" t="s">
        <v>781</v>
      </c>
      <c r="AG383" s="204" t="str">
        <f t="shared" ref="AG383:AI383" si="2349">IFERROR(AF383/$G383," ")</f>
        <v xml:space="preserve"> </v>
      </c>
      <c r="AH383" s="95" t="s">
        <v>781</v>
      </c>
      <c r="AI383" s="204" t="str">
        <f t="shared" si="2349"/>
        <v xml:space="preserve"> </v>
      </c>
      <c r="AJ383" s="95" t="s">
        <v>781</v>
      </c>
      <c r="AK383" s="204" t="str">
        <f t="shared" ref="AK383:AM383" si="2350">IFERROR(AJ383/$G383," ")</f>
        <v xml:space="preserve"> </v>
      </c>
      <c r="AL383" s="95" t="s">
        <v>781</v>
      </c>
      <c r="AM383" s="204" t="str">
        <f t="shared" si="2350"/>
        <v xml:space="preserve"> </v>
      </c>
      <c r="AN383" s="95"/>
      <c r="AO383" s="94" t="str">
        <f t="shared" si="2014"/>
        <v xml:space="preserve"> </v>
      </c>
      <c r="AP383" s="94" t="str">
        <f t="shared" si="2004"/>
        <v xml:space="preserve"> </v>
      </c>
      <c r="AQ383" s="94" t="str">
        <f t="shared" si="2005"/>
        <v xml:space="preserve"> </v>
      </c>
      <c r="AR383" s="94" t="str">
        <f t="shared" si="2218"/>
        <v xml:space="preserve"> </v>
      </c>
      <c r="AS383" s="94" t="str">
        <f t="shared" si="2016"/>
        <v xml:space="preserve"> </v>
      </c>
      <c r="AT383" s="94" t="str">
        <f t="shared" si="2017"/>
        <v xml:space="preserve"> </v>
      </c>
      <c r="AU383" s="94" t="str">
        <f t="shared" si="2018"/>
        <v xml:space="preserve"> </v>
      </c>
      <c r="AV383" s="94" t="str">
        <f t="shared" si="2019"/>
        <v xml:space="preserve"> </v>
      </c>
      <c r="AW383" s="94" t="str">
        <f t="shared" si="2020"/>
        <v xml:space="preserve"> </v>
      </c>
      <c r="AX383" s="94" t="str">
        <f t="shared" si="2021"/>
        <v xml:space="preserve"> </v>
      </c>
      <c r="AY383" s="94" t="str">
        <f t="shared" si="2022"/>
        <v xml:space="preserve"> </v>
      </c>
      <c r="AZ383" s="94" t="str">
        <f t="shared" si="2023"/>
        <v xml:space="preserve"> </v>
      </c>
      <c r="BA383" s="94" t="str">
        <f t="shared" si="2024"/>
        <v xml:space="preserve"> </v>
      </c>
      <c r="BB383" s="94" t="str">
        <f t="shared" si="2025"/>
        <v xml:space="preserve"> </v>
      </c>
    </row>
    <row r="384" spans="1:54" ht="30" x14ac:dyDescent="0.25">
      <c r="A384" s="80"/>
      <c r="B384" s="95" t="s">
        <v>2912</v>
      </c>
      <c r="C384" s="201" t="s">
        <v>467</v>
      </c>
      <c r="D384" s="80" t="s">
        <v>783</v>
      </c>
      <c r="E384" s="94" t="str">
        <f>IFERROR(VLOOKUP(A384,Estimate!A:Q,17,FALSE)," ")</f>
        <v xml:space="preserve"> </v>
      </c>
      <c r="F384" s="202" t="s">
        <v>781</v>
      </c>
      <c r="G384" s="202" t="s">
        <v>781</v>
      </c>
      <c r="H384" s="203" t="s">
        <v>781</v>
      </c>
      <c r="I384" s="203" t="s">
        <v>781</v>
      </c>
      <c r="J384" s="203" t="s">
        <v>781</v>
      </c>
      <c r="K384" s="203"/>
      <c r="L384" s="202" t="s">
        <v>781</v>
      </c>
      <c r="M384" s="204" t="str">
        <f t="shared" si="2007"/>
        <v xml:space="preserve"> </v>
      </c>
      <c r="N384" s="95" t="s">
        <v>781</v>
      </c>
      <c r="O384" s="204" t="str">
        <f t="shared" si="2007"/>
        <v xml:space="preserve"> </v>
      </c>
      <c r="P384" s="95" t="s">
        <v>781</v>
      </c>
      <c r="Q384" s="204" t="str">
        <f t="shared" ref="Q384:S384" si="2351">IFERROR(P384/$G384," ")</f>
        <v xml:space="preserve"> </v>
      </c>
      <c r="R384" s="95" t="s">
        <v>781</v>
      </c>
      <c r="S384" s="204" t="str">
        <f t="shared" si="2351"/>
        <v xml:space="preserve"> </v>
      </c>
      <c r="T384" s="95" t="s">
        <v>781</v>
      </c>
      <c r="U384" s="204" t="str">
        <f t="shared" ref="U384:W384" si="2352">IFERROR(T384/$G384," ")</f>
        <v xml:space="preserve"> </v>
      </c>
      <c r="V384" s="95" t="s">
        <v>781</v>
      </c>
      <c r="W384" s="204" t="str">
        <f t="shared" si="2352"/>
        <v xml:space="preserve"> </v>
      </c>
      <c r="X384" s="95" t="s">
        <v>781</v>
      </c>
      <c r="Y384" s="204" t="str">
        <f t="shared" ref="Y384:AA384" si="2353">IFERROR(X384/$G384," ")</f>
        <v xml:space="preserve"> </v>
      </c>
      <c r="Z384" s="95" t="s">
        <v>781</v>
      </c>
      <c r="AA384" s="204" t="str">
        <f t="shared" si="2353"/>
        <v xml:space="preserve"> </v>
      </c>
      <c r="AB384" s="95" t="s">
        <v>781</v>
      </c>
      <c r="AC384" s="204" t="str">
        <f t="shared" ref="AC384:AE384" si="2354">IFERROR(AB384/$G384," ")</f>
        <v xml:space="preserve"> </v>
      </c>
      <c r="AD384" s="95" t="s">
        <v>781</v>
      </c>
      <c r="AE384" s="204" t="str">
        <f t="shared" si="2354"/>
        <v xml:space="preserve"> </v>
      </c>
      <c r="AF384" s="95" t="s">
        <v>781</v>
      </c>
      <c r="AG384" s="204" t="str">
        <f t="shared" ref="AG384:AI384" si="2355">IFERROR(AF384/$G384," ")</f>
        <v xml:space="preserve"> </v>
      </c>
      <c r="AH384" s="95" t="s">
        <v>781</v>
      </c>
      <c r="AI384" s="204" t="str">
        <f t="shared" si="2355"/>
        <v xml:space="preserve"> </v>
      </c>
      <c r="AJ384" s="95" t="s">
        <v>781</v>
      </c>
      <c r="AK384" s="204" t="str">
        <f t="shared" ref="AK384:AM384" si="2356">IFERROR(AJ384/$G384," ")</f>
        <v xml:space="preserve"> </v>
      </c>
      <c r="AL384" s="95" t="s">
        <v>781</v>
      </c>
      <c r="AM384" s="204" t="str">
        <f t="shared" si="2356"/>
        <v xml:space="preserve"> </v>
      </c>
      <c r="AN384" s="95"/>
      <c r="AO384" s="94" t="str">
        <f t="shared" si="2014"/>
        <v xml:space="preserve"> </v>
      </c>
      <c r="AP384" s="94" t="str">
        <f t="shared" si="2004"/>
        <v xml:space="preserve"> </v>
      </c>
      <c r="AQ384" s="94" t="str">
        <f t="shared" si="2005"/>
        <v xml:space="preserve"> </v>
      </c>
      <c r="AR384" s="94" t="str">
        <f t="shared" si="2218"/>
        <v xml:space="preserve"> </v>
      </c>
      <c r="AS384" s="94" t="str">
        <f t="shared" si="2016"/>
        <v xml:space="preserve"> </v>
      </c>
      <c r="AT384" s="94" t="str">
        <f t="shared" si="2017"/>
        <v xml:space="preserve"> </v>
      </c>
      <c r="AU384" s="94" t="str">
        <f t="shared" si="2018"/>
        <v xml:space="preserve"> </v>
      </c>
      <c r="AV384" s="94" t="str">
        <f t="shared" si="2019"/>
        <v xml:space="preserve"> </v>
      </c>
      <c r="AW384" s="94" t="str">
        <f t="shared" si="2020"/>
        <v xml:space="preserve"> </v>
      </c>
      <c r="AX384" s="94" t="str">
        <f t="shared" si="2021"/>
        <v xml:space="preserve"> </v>
      </c>
      <c r="AY384" s="94" t="str">
        <f t="shared" si="2022"/>
        <v xml:space="preserve"> </v>
      </c>
      <c r="AZ384" s="94" t="str">
        <f t="shared" si="2023"/>
        <v xml:space="preserve"> </v>
      </c>
      <c r="BA384" s="94" t="str">
        <f t="shared" si="2024"/>
        <v xml:space="preserve"> </v>
      </c>
      <c r="BB384" s="94" t="str">
        <f t="shared" si="2025"/>
        <v xml:space="preserve"> </v>
      </c>
    </row>
    <row r="385" spans="1:54" x14ac:dyDescent="0.25">
      <c r="A385" s="80">
        <v>157</v>
      </c>
      <c r="B385" s="95" t="s">
        <v>2870</v>
      </c>
      <c r="C385" s="201" t="s">
        <v>382</v>
      </c>
      <c r="D385" s="80" t="s">
        <v>29</v>
      </c>
      <c r="E385" s="94">
        <f>IFERROR(VLOOKUP(A385,Estimate!A:Q,17,FALSE)," ")</f>
        <v>14020</v>
      </c>
      <c r="F385" s="202">
        <v>4</v>
      </c>
      <c r="G385" s="202">
        <v>4</v>
      </c>
      <c r="H385" s="203">
        <v>4403.08</v>
      </c>
      <c r="I385" s="203">
        <v>17612.32</v>
      </c>
      <c r="J385" s="203">
        <v>17612.32</v>
      </c>
      <c r="K385" s="203"/>
      <c r="L385" s="202"/>
      <c r="M385" s="204">
        <f t="shared" si="2007"/>
        <v>0</v>
      </c>
      <c r="N385" s="95"/>
      <c r="O385" s="204">
        <f t="shared" si="2007"/>
        <v>0</v>
      </c>
      <c r="P385" s="95"/>
      <c r="Q385" s="204">
        <f t="shared" ref="Q385:S385" si="2357">IFERROR(P385/$G385," ")</f>
        <v>0</v>
      </c>
      <c r="R385" s="95"/>
      <c r="S385" s="204">
        <f t="shared" si="2357"/>
        <v>0</v>
      </c>
      <c r="T385" s="95"/>
      <c r="U385" s="204">
        <f t="shared" ref="U385:W385" si="2358">IFERROR(T385/$G385," ")</f>
        <v>0</v>
      </c>
      <c r="V385" s="95"/>
      <c r="W385" s="204">
        <f t="shared" si="2358"/>
        <v>0</v>
      </c>
      <c r="X385" s="95"/>
      <c r="Y385" s="204">
        <f t="shared" ref="Y385:AA385" si="2359">IFERROR(X385/$G385," ")</f>
        <v>0</v>
      </c>
      <c r="Z385" s="95"/>
      <c r="AA385" s="204">
        <f t="shared" si="2359"/>
        <v>0</v>
      </c>
      <c r="AB385" s="95"/>
      <c r="AC385" s="204">
        <f t="shared" ref="AC385:AE385" si="2360">IFERROR(AB385/$G385," ")</f>
        <v>0</v>
      </c>
      <c r="AD385" s="95">
        <v>2</v>
      </c>
      <c r="AE385" s="204">
        <f t="shared" si="2360"/>
        <v>0.5</v>
      </c>
      <c r="AF385" s="95">
        <v>2</v>
      </c>
      <c r="AG385" s="204">
        <f t="shared" ref="AG385:AI385" si="2361">IFERROR(AF385/$G385," ")</f>
        <v>0.5</v>
      </c>
      <c r="AH385" s="95">
        <v>4</v>
      </c>
      <c r="AI385" s="204">
        <f t="shared" si="2361"/>
        <v>1</v>
      </c>
      <c r="AJ385" s="95">
        <v>4</v>
      </c>
      <c r="AK385" s="204">
        <f t="shared" ref="AK385:AM385" si="2362">IFERROR(AJ385/$G385," ")</f>
        <v>1</v>
      </c>
      <c r="AL385" s="95">
        <v>4</v>
      </c>
      <c r="AM385" s="204">
        <f t="shared" si="2362"/>
        <v>1</v>
      </c>
      <c r="AN385" s="95"/>
      <c r="AO385" s="94">
        <f t="shared" si="2014"/>
        <v>0</v>
      </c>
      <c r="AP385" s="94">
        <f t="shared" si="2004"/>
        <v>0</v>
      </c>
      <c r="AQ385" s="94">
        <f t="shared" si="2005"/>
        <v>0</v>
      </c>
      <c r="AR385" s="94">
        <f t="shared" si="2218"/>
        <v>0</v>
      </c>
      <c r="AS385" s="94">
        <f t="shared" si="2016"/>
        <v>0</v>
      </c>
      <c r="AT385" s="94">
        <f t="shared" si="2017"/>
        <v>0</v>
      </c>
      <c r="AU385" s="94">
        <f t="shared" si="2018"/>
        <v>0</v>
      </c>
      <c r="AV385" s="94">
        <f t="shared" si="2019"/>
        <v>0</v>
      </c>
      <c r="AW385" s="94">
        <f t="shared" si="2020"/>
        <v>0</v>
      </c>
      <c r="AX385" s="94">
        <f t="shared" si="2021"/>
        <v>8806.16</v>
      </c>
      <c r="AY385" s="94">
        <f t="shared" si="2022"/>
        <v>8806.16</v>
      </c>
      <c r="AZ385" s="94">
        <f t="shared" si="2023"/>
        <v>17612.32</v>
      </c>
      <c r="BA385" s="94">
        <f t="shared" si="2024"/>
        <v>17612.32</v>
      </c>
      <c r="BB385" s="94">
        <f t="shared" si="2025"/>
        <v>17612.32</v>
      </c>
    </row>
    <row r="386" spans="1:54" x14ac:dyDescent="0.25">
      <c r="A386" s="80"/>
      <c r="B386" s="95" t="s">
        <v>2853</v>
      </c>
      <c r="C386" s="201" t="s">
        <v>98</v>
      </c>
      <c r="D386" s="80" t="s">
        <v>783</v>
      </c>
      <c r="E386" s="94" t="str">
        <f>IFERROR(VLOOKUP(A386,Estimate!A:Q,17,FALSE)," ")</f>
        <v xml:space="preserve"> </v>
      </c>
      <c r="F386" s="202" t="s">
        <v>781</v>
      </c>
      <c r="G386" s="202" t="s">
        <v>781</v>
      </c>
      <c r="H386" s="203" t="s">
        <v>781</v>
      </c>
      <c r="I386" s="203" t="s">
        <v>781</v>
      </c>
      <c r="J386" s="203" t="s">
        <v>781</v>
      </c>
      <c r="K386" s="203"/>
      <c r="L386" s="202" t="s">
        <v>781</v>
      </c>
      <c r="M386" s="204" t="str">
        <f t="shared" si="2007"/>
        <v xml:space="preserve"> </v>
      </c>
      <c r="N386" s="95" t="s">
        <v>781</v>
      </c>
      <c r="O386" s="204" t="str">
        <f t="shared" si="2007"/>
        <v xml:space="preserve"> </v>
      </c>
      <c r="P386" s="95" t="s">
        <v>781</v>
      </c>
      <c r="Q386" s="204" t="str">
        <f t="shared" ref="Q386:S386" si="2363">IFERROR(P386/$G386," ")</f>
        <v xml:space="preserve"> </v>
      </c>
      <c r="R386" s="95" t="s">
        <v>781</v>
      </c>
      <c r="S386" s="204" t="str">
        <f t="shared" si="2363"/>
        <v xml:space="preserve"> </v>
      </c>
      <c r="T386" s="95" t="s">
        <v>781</v>
      </c>
      <c r="U386" s="204" t="str">
        <f t="shared" ref="U386:W386" si="2364">IFERROR(T386/$G386," ")</f>
        <v xml:space="preserve"> </v>
      </c>
      <c r="V386" s="95" t="s">
        <v>781</v>
      </c>
      <c r="W386" s="204" t="str">
        <f t="shared" si="2364"/>
        <v xml:space="preserve"> </v>
      </c>
      <c r="X386" s="95" t="s">
        <v>781</v>
      </c>
      <c r="Y386" s="204" t="str">
        <f t="shared" ref="Y386:AA386" si="2365">IFERROR(X386/$G386," ")</f>
        <v xml:space="preserve"> </v>
      </c>
      <c r="Z386" s="95" t="s">
        <v>781</v>
      </c>
      <c r="AA386" s="204" t="str">
        <f t="shared" si="2365"/>
        <v xml:space="preserve"> </v>
      </c>
      <c r="AB386" s="95" t="s">
        <v>781</v>
      </c>
      <c r="AC386" s="204" t="str">
        <f t="shared" ref="AC386:AE386" si="2366">IFERROR(AB386/$G386," ")</f>
        <v xml:space="preserve"> </v>
      </c>
      <c r="AD386" s="95" t="s">
        <v>781</v>
      </c>
      <c r="AE386" s="204" t="str">
        <f t="shared" si="2366"/>
        <v xml:space="preserve"> </v>
      </c>
      <c r="AF386" s="95" t="s">
        <v>781</v>
      </c>
      <c r="AG386" s="204" t="str">
        <f t="shared" ref="AG386:AI386" si="2367">IFERROR(AF386/$G386," ")</f>
        <v xml:space="preserve"> </v>
      </c>
      <c r="AH386" s="95" t="s">
        <v>781</v>
      </c>
      <c r="AI386" s="204" t="str">
        <f t="shared" si="2367"/>
        <v xml:space="preserve"> </v>
      </c>
      <c r="AJ386" s="95" t="s">
        <v>781</v>
      </c>
      <c r="AK386" s="204" t="str">
        <f t="shared" ref="AK386:AM386" si="2368">IFERROR(AJ386/$G386," ")</f>
        <v xml:space="preserve"> </v>
      </c>
      <c r="AL386" s="95" t="s">
        <v>781</v>
      </c>
      <c r="AM386" s="204" t="str">
        <f t="shared" si="2368"/>
        <v xml:space="preserve"> </v>
      </c>
      <c r="AN386" s="95"/>
      <c r="AO386" s="94" t="str">
        <f t="shared" si="2014"/>
        <v xml:space="preserve"> </v>
      </c>
      <c r="AP386" s="94" t="str">
        <f t="shared" si="2004"/>
        <v xml:space="preserve"> </v>
      </c>
      <c r="AQ386" s="94" t="str">
        <f t="shared" si="2005"/>
        <v xml:space="preserve"> </v>
      </c>
      <c r="AR386" s="94" t="str">
        <f t="shared" si="2218"/>
        <v xml:space="preserve"> </v>
      </c>
      <c r="AS386" s="94" t="str">
        <f t="shared" si="2016"/>
        <v xml:space="preserve"> </v>
      </c>
      <c r="AT386" s="94" t="str">
        <f t="shared" si="2017"/>
        <v xml:space="preserve"> </v>
      </c>
      <c r="AU386" s="94" t="str">
        <f t="shared" si="2018"/>
        <v xml:space="preserve"> </v>
      </c>
      <c r="AV386" s="94" t="str">
        <f t="shared" si="2019"/>
        <v xml:space="preserve"> </v>
      </c>
      <c r="AW386" s="94" t="str">
        <f t="shared" si="2020"/>
        <v xml:space="preserve"> </v>
      </c>
      <c r="AX386" s="94" t="str">
        <f t="shared" si="2021"/>
        <v xml:space="preserve"> </v>
      </c>
      <c r="AY386" s="94" t="str">
        <f t="shared" si="2022"/>
        <v xml:space="preserve"> </v>
      </c>
      <c r="AZ386" s="94" t="str">
        <f t="shared" si="2023"/>
        <v xml:space="preserve"> </v>
      </c>
      <c r="BA386" s="94" t="str">
        <f t="shared" si="2024"/>
        <v xml:space="preserve"> </v>
      </c>
      <c r="BB386" s="94" t="str">
        <f t="shared" si="2025"/>
        <v xml:space="preserve"> </v>
      </c>
    </row>
    <row r="387" spans="1:54" x14ac:dyDescent="0.25">
      <c r="A387" s="80"/>
      <c r="B387" s="95" t="s">
        <v>2915</v>
      </c>
      <c r="C387" s="201" t="s">
        <v>474</v>
      </c>
      <c r="D387" s="80" t="s">
        <v>783</v>
      </c>
      <c r="E387" s="94" t="str">
        <f>IFERROR(VLOOKUP(A387,Estimate!A:Q,17,FALSE)," ")</f>
        <v xml:space="preserve"> </v>
      </c>
      <c r="F387" s="202" t="s">
        <v>781</v>
      </c>
      <c r="G387" s="202" t="s">
        <v>781</v>
      </c>
      <c r="H387" s="203" t="s">
        <v>781</v>
      </c>
      <c r="I387" s="203" t="s">
        <v>781</v>
      </c>
      <c r="J387" s="203" t="s">
        <v>781</v>
      </c>
      <c r="K387" s="203"/>
      <c r="L387" s="202" t="s">
        <v>781</v>
      </c>
      <c r="M387" s="204" t="str">
        <f t="shared" si="2007"/>
        <v xml:space="preserve"> </v>
      </c>
      <c r="N387" s="95" t="s">
        <v>781</v>
      </c>
      <c r="O387" s="204" t="str">
        <f t="shared" si="2007"/>
        <v xml:space="preserve"> </v>
      </c>
      <c r="P387" s="95" t="s">
        <v>781</v>
      </c>
      <c r="Q387" s="204" t="str">
        <f t="shared" ref="Q387:S387" si="2369">IFERROR(P387/$G387," ")</f>
        <v xml:space="preserve"> </v>
      </c>
      <c r="R387" s="95" t="s">
        <v>781</v>
      </c>
      <c r="S387" s="204" t="str">
        <f t="shared" si="2369"/>
        <v xml:space="preserve"> </v>
      </c>
      <c r="T387" s="95" t="s">
        <v>781</v>
      </c>
      <c r="U387" s="204" t="str">
        <f t="shared" ref="U387:W387" si="2370">IFERROR(T387/$G387," ")</f>
        <v xml:space="preserve"> </v>
      </c>
      <c r="V387" s="95" t="s">
        <v>781</v>
      </c>
      <c r="W387" s="204" t="str">
        <f t="shared" si="2370"/>
        <v xml:space="preserve"> </v>
      </c>
      <c r="X387" s="95" t="s">
        <v>781</v>
      </c>
      <c r="Y387" s="204" t="str">
        <f t="shared" ref="Y387:AA387" si="2371">IFERROR(X387/$G387," ")</f>
        <v xml:space="preserve"> </v>
      </c>
      <c r="Z387" s="95" t="s">
        <v>781</v>
      </c>
      <c r="AA387" s="204" t="str">
        <f t="shared" si="2371"/>
        <v xml:space="preserve"> </v>
      </c>
      <c r="AB387" s="95" t="s">
        <v>781</v>
      </c>
      <c r="AC387" s="204" t="str">
        <f t="shared" ref="AC387:AE387" si="2372">IFERROR(AB387/$G387," ")</f>
        <v xml:space="preserve"> </v>
      </c>
      <c r="AD387" s="95" t="s">
        <v>781</v>
      </c>
      <c r="AE387" s="204" t="str">
        <f t="shared" si="2372"/>
        <v xml:space="preserve"> </v>
      </c>
      <c r="AF387" s="95" t="s">
        <v>781</v>
      </c>
      <c r="AG387" s="204" t="str">
        <f t="shared" ref="AG387:AI387" si="2373">IFERROR(AF387/$G387," ")</f>
        <v xml:space="preserve"> </v>
      </c>
      <c r="AH387" s="95" t="s">
        <v>781</v>
      </c>
      <c r="AI387" s="204" t="str">
        <f t="shared" si="2373"/>
        <v xml:space="preserve"> </v>
      </c>
      <c r="AJ387" s="95" t="s">
        <v>781</v>
      </c>
      <c r="AK387" s="204" t="str">
        <f t="shared" ref="AK387:AM387" si="2374">IFERROR(AJ387/$G387," ")</f>
        <v xml:space="preserve"> </v>
      </c>
      <c r="AL387" s="95" t="s">
        <v>781</v>
      </c>
      <c r="AM387" s="204" t="str">
        <f t="shared" si="2374"/>
        <v xml:space="preserve"> </v>
      </c>
      <c r="AN387" s="95"/>
      <c r="AO387" s="94" t="str">
        <f t="shared" si="2014"/>
        <v xml:space="preserve"> </v>
      </c>
      <c r="AP387" s="94" t="str">
        <f t="shared" si="2004"/>
        <v xml:space="preserve"> </v>
      </c>
      <c r="AQ387" s="94" t="str">
        <f t="shared" si="2005"/>
        <v xml:space="preserve"> </v>
      </c>
      <c r="AR387" s="94" t="str">
        <f t="shared" si="2218"/>
        <v xml:space="preserve"> </v>
      </c>
      <c r="AS387" s="94" t="str">
        <f t="shared" si="2016"/>
        <v xml:space="preserve"> </v>
      </c>
      <c r="AT387" s="94" t="str">
        <f t="shared" si="2017"/>
        <v xml:space="preserve"> </v>
      </c>
      <c r="AU387" s="94" t="str">
        <f t="shared" si="2018"/>
        <v xml:space="preserve"> </v>
      </c>
      <c r="AV387" s="94" t="str">
        <f t="shared" si="2019"/>
        <v xml:space="preserve"> </v>
      </c>
      <c r="AW387" s="94" t="str">
        <f t="shared" si="2020"/>
        <v xml:space="preserve"> </v>
      </c>
      <c r="AX387" s="94" t="str">
        <f t="shared" si="2021"/>
        <v xml:space="preserve"> </v>
      </c>
      <c r="AY387" s="94" t="str">
        <f t="shared" si="2022"/>
        <v xml:space="preserve"> </v>
      </c>
      <c r="AZ387" s="94" t="str">
        <f t="shared" si="2023"/>
        <v xml:space="preserve"> </v>
      </c>
      <c r="BA387" s="94" t="str">
        <f t="shared" si="2024"/>
        <v xml:space="preserve"> </v>
      </c>
      <c r="BB387" s="94" t="str">
        <f t="shared" si="2025"/>
        <v xml:space="preserve"> </v>
      </c>
    </row>
    <row r="388" spans="1:54" x14ac:dyDescent="0.25">
      <c r="A388" s="80">
        <v>158</v>
      </c>
      <c r="B388" s="95" t="s">
        <v>2872</v>
      </c>
      <c r="C388" s="201" t="s">
        <v>195</v>
      </c>
      <c r="D388" s="80" t="s">
        <v>89</v>
      </c>
      <c r="E388" s="94">
        <f>IFERROR(VLOOKUP(A388,Estimate!A:Q,17,FALSE)," ")</f>
        <v>25252.436046511626</v>
      </c>
      <c r="F388" s="202">
        <v>475</v>
      </c>
      <c r="G388" s="202">
        <v>475</v>
      </c>
      <c r="H388" s="203">
        <v>66.790000000000006</v>
      </c>
      <c r="I388" s="203">
        <v>31725.25</v>
      </c>
      <c r="J388" s="203">
        <v>31725.25</v>
      </c>
      <c r="K388" s="203"/>
      <c r="L388" s="202"/>
      <c r="M388" s="204">
        <f t="shared" si="2007"/>
        <v>0</v>
      </c>
      <c r="N388" s="95"/>
      <c r="O388" s="204">
        <f t="shared" si="2007"/>
        <v>0</v>
      </c>
      <c r="P388" s="95"/>
      <c r="Q388" s="204">
        <f t="shared" ref="Q388:S388" si="2375">IFERROR(P388/$G388," ")</f>
        <v>0</v>
      </c>
      <c r="R388" s="95"/>
      <c r="S388" s="204">
        <f t="shared" si="2375"/>
        <v>0</v>
      </c>
      <c r="T388" s="95"/>
      <c r="U388" s="204">
        <f t="shared" ref="U388:W388" si="2376">IFERROR(T388/$G388," ")</f>
        <v>0</v>
      </c>
      <c r="V388" s="95"/>
      <c r="W388" s="204">
        <f t="shared" si="2376"/>
        <v>0</v>
      </c>
      <c r="X388" s="95"/>
      <c r="Y388" s="204">
        <f t="shared" ref="Y388:AA388" si="2377">IFERROR(X388/$G388," ")</f>
        <v>0</v>
      </c>
      <c r="Z388" s="95"/>
      <c r="AA388" s="204">
        <f t="shared" si="2377"/>
        <v>0</v>
      </c>
      <c r="AB388" s="95"/>
      <c r="AC388" s="204">
        <f t="shared" ref="AC388:AE388" si="2378">IFERROR(AB388/$G388," ")</f>
        <v>0</v>
      </c>
      <c r="AD388" s="95"/>
      <c r="AE388" s="204">
        <f t="shared" si="2378"/>
        <v>0</v>
      </c>
      <c r="AF388" s="95">
        <v>100</v>
      </c>
      <c r="AG388" s="204">
        <f t="shared" ref="AG388:AI388" si="2379">IFERROR(AF388/$G388," ")</f>
        <v>0.21052631578947367</v>
      </c>
      <c r="AH388" s="95">
        <v>475</v>
      </c>
      <c r="AI388" s="204">
        <f t="shared" si="2379"/>
        <v>1</v>
      </c>
      <c r="AJ388" s="95">
        <v>475</v>
      </c>
      <c r="AK388" s="204">
        <f t="shared" ref="AK388:AM388" si="2380">IFERROR(AJ388/$G388," ")</f>
        <v>1</v>
      </c>
      <c r="AL388" s="95">
        <v>475</v>
      </c>
      <c r="AM388" s="204">
        <f t="shared" si="2380"/>
        <v>1</v>
      </c>
      <c r="AN388" s="95"/>
      <c r="AO388" s="94">
        <f t="shared" si="2014"/>
        <v>0</v>
      </c>
      <c r="AP388" s="94">
        <f t="shared" si="2004"/>
        <v>0</v>
      </c>
      <c r="AQ388" s="94">
        <f t="shared" si="2005"/>
        <v>0</v>
      </c>
      <c r="AR388" s="94">
        <f t="shared" si="2218"/>
        <v>0</v>
      </c>
      <c r="AS388" s="94">
        <f t="shared" si="2016"/>
        <v>0</v>
      </c>
      <c r="AT388" s="94">
        <f t="shared" si="2017"/>
        <v>0</v>
      </c>
      <c r="AU388" s="94">
        <f t="shared" si="2018"/>
        <v>0</v>
      </c>
      <c r="AV388" s="94">
        <f t="shared" si="2019"/>
        <v>0</v>
      </c>
      <c r="AW388" s="94">
        <f t="shared" si="2020"/>
        <v>0</v>
      </c>
      <c r="AX388" s="94">
        <f t="shared" si="2021"/>
        <v>0</v>
      </c>
      <c r="AY388" s="94">
        <f t="shared" si="2022"/>
        <v>6679</v>
      </c>
      <c r="AZ388" s="94">
        <f t="shared" si="2023"/>
        <v>31725.25</v>
      </c>
      <c r="BA388" s="94">
        <f t="shared" si="2024"/>
        <v>31725.25</v>
      </c>
      <c r="BB388" s="94">
        <f t="shared" si="2025"/>
        <v>31725.25</v>
      </c>
    </row>
    <row r="389" spans="1:54" x14ac:dyDescent="0.25">
      <c r="A389" s="80"/>
      <c r="B389" s="95" t="s">
        <v>2417</v>
      </c>
      <c r="C389" s="201" t="s">
        <v>2837</v>
      </c>
      <c r="D389" s="80" t="s">
        <v>783</v>
      </c>
      <c r="E389" s="94" t="str">
        <f>IFERROR(VLOOKUP(A389,Estimate!A:Q,17,FALSE)," ")</f>
        <v xml:space="preserve"> </v>
      </c>
      <c r="F389" s="202" t="s">
        <v>781</v>
      </c>
      <c r="G389" s="202" t="s">
        <v>781</v>
      </c>
      <c r="H389" s="203" t="s">
        <v>781</v>
      </c>
      <c r="I389" s="203" t="s">
        <v>781</v>
      </c>
      <c r="J389" s="203" t="s">
        <v>781</v>
      </c>
      <c r="K389" s="203"/>
      <c r="L389" s="202" t="s">
        <v>781</v>
      </c>
      <c r="M389" s="204" t="str">
        <f t="shared" si="2007"/>
        <v xml:space="preserve"> </v>
      </c>
      <c r="N389" s="95" t="s">
        <v>781</v>
      </c>
      <c r="O389" s="204" t="str">
        <f t="shared" si="2007"/>
        <v xml:space="preserve"> </v>
      </c>
      <c r="P389" s="95" t="s">
        <v>781</v>
      </c>
      <c r="Q389" s="204" t="str">
        <f t="shared" ref="Q389:S389" si="2381">IFERROR(P389/$G389," ")</f>
        <v xml:space="preserve"> </v>
      </c>
      <c r="R389" s="95" t="s">
        <v>781</v>
      </c>
      <c r="S389" s="204" t="str">
        <f t="shared" si="2381"/>
        <v xml:space="preserve"> </v>
      </c>
      <c r="T389" s="95" t="s">
        <v>781</v>
      </c>
      <c r="U389" s="204" t="str">
        <f t="shared" ref="U389:W389" si="2382">IFERROR(T389/$G389," ")</f>
        <v xml:space="preserve"> </v>
      </c>
      <c r="V389" s="95" t="s">
        <v>781</v>
      </c>
      <c r="W389" s="204" t="str">
        <f t="shared" si="2382"/>
        <v xml:space="preserve"> </v>
      </c>
      <c r="X389" s="95" t="s">
        <v>781</v>
      </c>
      <c r="Y389" s="204" t="str">
        <f t="shared" ref="Y389:AA389" si="2383">IFERROR(X389/$G389," ")</f>
        <v xml:space="preserve"> </v>
      </c>
      <c r="Z389" s="95" t="s">
        <v>781</v>
      </c>
      <c r="AA389" s="204" t="str">
        <f t="shared" si="2383"/>
        <v xml:space="preserve"> </v>
      </c>
      <c r="AB389" s="95" t="s">
        <v>781</v>
      </c>
      <c r="AC389" s="204" t="str">
        <f t="shared" ref="AC389:AE389" si="2384">IFERROR(AB389/$G389," ")</f>
        <v xml:space="preserve"> </v>
      </c>
      <c r="AD389" s="95" t="s">
        <v>781</v>
      </c>
      <c r="AE389" s="204" t="str">
        <f t="shared" si="2384"/>
        <v xml:space="preserve"> </v>
      </c>
      <c r="AF389" s="95" t="s">
        <v>781</v>
      </c>
      <c r="AG389" s="204" t="str">
        <f t="shared" ref="AG389:AI389" si="2385">IFERROR(AF389/$G389," ")</f>
        <v xml:space="preserve"> </v>
      </c>
      <c r="AH389" s="95" t="s">
        <v>781</v>
      </c>
      <c r="AI389" s="204" t="str">
        <f t="shared" si="2385"/>
        <v xml:space="preserve"> </v>
      </c>
      <c r="AJ389" s="95" t="s">
        <v>781</v>
      </c>
      <c r="AK389" s="204" t="str">
        <f t="shared" ref="AK389:AM389" si="2386">IFERROR(AJ389/$G389," ")</f>
        <v xml:space="preserve"> </v>
      </c>
      <c r="AL389" s="95" t="s">
        <v>781</v>
      </c>
      <c r="AM389" s="204" t="str">
        <f t="shared" si="2386"/>
        <v xml:space="preserve"> </v>
      </c>
      <c r="AN389" s="95"/>
      <c r="AO389" s="94" t="str">
        <f t="shared" si="2014"/>
        <v xml:space="preserve"> </v>
      </c>
      <c r="AP389" s="94" t="str">
        <f t="shared" si="2004"/>
        <v xml:space="preserve"> </v>
      </c>
      <c r="AQ389" s="94" t="str">
        <f t="shared" si="2005"/>
        <v xml:space="preserve"> </v>
      </c>
      <c r="AR389" s="94" t="str">
        <f t="shared" si="2218"/>
        <v xml:space="preserve"> </v>
      </c>
      <c r="AS389" s="94" t="str">
        <f t="shared" si="2016"/>
        <v xml:space="preserve"> </v>
      </c>
      <c r="AT389" s="94" t="str">
        <f t="shared" si="2017"/>
        <v xml:space="preserve"> </v>
      </c>
      <c r="AU389" s="94" t="str">
        <f t="shared" si="2018"/>
        <v xml:space="preserve"> </v>
      </c>
      <c r="AV389" s="94" t="str">
        <f t="shared" si="2019"/>
        <v xml:space="preserve"> </v>
      </c>
      <c r="AW389" s="94" t="str">
        <f t="shared" si="2020"/>
        <v xml:space="preserve"> </v>
      </c>
      <c r="AX389" s="94" t="str">
        <f t="shared" si="2021"/>
        <v xml:space="preserve"> </v>
      </c>
      <c r="AY389" s="94" t="str">
        <f t="shared" si="2022"/>
        <v xml:space="preserve"> </v>
      </c>
      <c r="AZ389" s="94" t="str">
        <f t="shared" si="2023"/>
        <v xml:space="preserve"> </v>
      </c>
      <c r="BA389" s="94" t="str">
        <f t="shared" si="2024"/>
        <v xml:space="preserve"> </v>
      </c>
      <c r="BB389" s="94" t="str">
        <f t="shared" si="2025"/>
        <v xml:space="preserve"> </v>
      </c>
    </row>
    <row r="390" spans="1:54" x14ac:dyDescent="0.25">
      <c r="A390" s="80"/>
      <c r="B390" s="95" t="s">
        <v>2417</v>
      </c>
      <c r="C390" s="201" t="s">
        <v>204</v>
      </c>
      <c r="D390" s="80" t="s">
        <v>783</v>
      </c>
      <c r="E390" s="94" t="str">
        <f>IFERROR(VLOOKUP(A390,Estimate!A:Q,17,FALSE)," ")</f>
        <v xml:space="preserve"> </v>
      </c>
      <c r="F390" s="202" t="s">
        <v>781</v>
      </c>
      <c r="G390" s="202" t="s">
        <v>781</v>
      </c>
      <c r="H390" s="203" t="s">
        <v>781</v>
      </c>
      <c r="I390" s="203" t="s">
        <v>781</v>
      </c>
      <c r="J390" s="203" t="s">
        <v>781</v>
      </c>
      <c r="K390" s="203"/>
      <c r="L390" s="202" t="s">
        <v>781</v>
      </c>
      <c r="M390" s="204" t="str">
        <f t="shared" si="2007"/>
        <v xml:space="preserve"> </v>
      </c>
      <c r="N390" s="95" t="s">
        <v>781</v>
      </c>
      <c r="O390" s="204" t="str">
        <f t="shared" si="2007"/>
        <v xml:space="preserve"> </v>
      </c>
      <c r="P390" s="95" t="s">
        <v>781</v>
      </c>
      <c r="Q390" s="204" t="str">
        <f t="shared" ref="Q390:S390" si="2387">IFERROR(P390/$G390," ")</f>
        <v xml:space="preserve"> </v>
      </c>
      <c r="R390" s="95" t="s">
        <v>781</v>
      </c>
      <c r="S390" s="204" t="str">
        <f t="shared" si="2387"/>
        <v xml:space="preserve"> </v>
      </c>
      <c r="T390" s="95" t="s">
        <v>781</v>
      </c>
      <c r="U390" s="204" t="str">
        <f t="shared" ref="U390:W390" si="2388">IFERROR(T390/$G390," ")</f>
        <v xml:space="preserve"> </v>
      </c>
      <c r="V390" s="95" t="s">
        <v>781</v>
      </c>
      <c r="W390" s="204" t="str">
        <f t="shared" si="2388"/>
        <v xml:space="preserve"> </v>
      </c>
      <c r="X390" s="95" t="s">
        <v>781</v>
      </c>
      <c r="Y390" s="204" t="str">
        <f t="shared" ref="Y390:AA390" si="2389">IFERROR(X390/$G390," ")</f>
        <v xml:space="preserve"> </v>
      </c>
      <c r="Z390" s="95" t="s">
        <v>781</v>
      </c>
      <c r="AA390" s="204" t="str">
        <f t="shared" si="2389"/>
        <v xml:space="preserve"> </v>
      </c>
      <c r="AB390" s="95" t="s">
        <v>781</v>
      </c>
      <c r="AC390" s="204" t="str">
        <f t="shared" ref="AC390:AE390" si="2390">IFERROR(AB390/$G390," ")</f>
        <v xml:space="preserve"> </v>
      </c>
      <c r="AD390" s="95" t="s">
        <v>781</v>
      </c>
      <c r="AE390" s="204" t="str">
        <f t="shared" si="2390"/>
        <v xml:space="preserve"> </v>
      </c>
      <c r="AF390" s="95" t="s">
        <v>781</v>
      </c>
      <c r="AG390" s="204" t="str">
        <f t="shared" ref="AG390:AI390" si="2391">IFERROR(AF390/$G390," ")</f>
        <v xml:space="preserve"> </v>
      </c>
      <c r="AH390" s="95" t="s">
        <v>781</v>
      </c>
      <c r="AI390" s="204" t="str">
        <f t="shared" si="2391"/>
        <v xml:space="preserve"> </v>
      </c>
      <c r="AJ390" s="95" t="s">
        <v>781</v>
      </c>
      <c r="AK390" s="204" t="str">
        <f t="shared" ref="AK390:AM390" si="2392">IFERROR(AJ390/$G390," ")</f>
        <v xml:space="preserve"> </v>
      </c>
      <c r="AL390" s="95" t="s">
        <v>781</v>
      </c>
      <c r="AM390" s="204" t="str">
        <f t="shared" si="2392"/>
        <v xml:space="preserve"> </v>
      </c>
      <c r="AN390" s="95"/>
      <c r="AO390" s="94" t="str">
        <f t="shared" si="2014"/>
        <v xml:space="preserve"> </v>
      </c>
      <c r="AP390" s="94" t="str">
        <f t="shared" si="2004"/>
        <v xml:space="preserve"> </v>
      </c>
      <c r="AQ390" s="94" t="str">
        <f t="shared" si="2005"/>
        <v xml:space="preserve"> </v>
      </c>
      <c r="AR390" s="94" t="str">
        <f t="shared" si="2218"/>
        <v xml:space="preserve"> </v>
      </c>
      <c r="AS390" s="94" t="str">
        <f t="shared" si="2016"/>
        <v xml:space="preserve"> </v>
      </c>
      <c r="AT390" s="94" t="str">
        <f t="shared" si="2017"/>
        <v xml:space="preserve"> </v>
      </c>
      <c r="AU390" s="94" t="str">
        <f t="shared" si="2018"/>
        <v xml:space="preserve"> </v>
      </c>
      <c r="AV390" s="94" t="str">
        <f t="shared" si="2019"/>
        <v xml:space="preserve"> </v>
      </c>
      <c r="AW390" s="94" t="str">
        <f t="shared" si="2020"/>
        <v xml:space="preserve"> </v>
      </c>
      <c r="AX390" s="94" t="str">
        <f t="shared" si="2021"/>
        <v xml:space="preserve"> </v>
      </c>
      <c r="AY390" s="94" t="str">
        <f t="shared" si="2022"/>
        <v xml:space="preserve"> </v>
      </c>
      <c r="AZ390" s="94" t="str">
        <f t="shared" si="2023"/>
        <v xml:space="preserve"> </v>
      </c>
      <c r="BA390" s="94" t="str">
        <f t="shared" si="2024"/>
        <v xml:space="preserve"> </v>
      </c>
      <c r="BB390" s="94" t="str">
        <f t="shared" si="2025"/>
        <v xml:space="preserve"> </v>
      </c>
    </row>
    <row r="391" spans="1:54" x14ac:dyDescent="0.25">
      <c r="A391" s="80"/>
      <c r="B391" s="95" t="s">
        <v>2896</v>
      </c>
      <c r="C391" s="201" t="s">
        <v>391</v>
      </c>
      <c r="D391" s="80" t="s">
        <v>783</v>
      </c>
      <c r="E391" s="94" t="str">
        <f>IFERROR(VLOOKUP(A391,Estimate!A:Q,17,FALSE)," ")</f>
        <v xml:space="preserve"> </v>
      </c>
      <c r="F391" s="202" t="s">
        <v>781</v>
      </c>
      <c r="G391" s="202" t="s">
        <v>781</v>
      </c>
      <c r="H391" s="203" t="s">
        <v>781</v>
      </c>
      <c r="I391" s="203" t="s">
        <v>781</v>
      </c>
      <c r="J391" s="203" t="s">
        <v>781</v>
      </c>
      <c r="K391" s="203"/>
      <c r="L391" s="202" t="s">
        <v>781</v>
      </c>
      <c r="M391" s="204" t="str">
        <f t="shared" si="2007"/>
        <v xml:space="preserve"> </v>
      </c>
      <c r="N391" s="95" t="s">
        <v>781</v>
      </c>
      <c r="O391" s="204" t="str">
        <f t="shared" si="2007"/>
        <v xml:space="preserve"> </v>
      </c>
      <c r="P391" s="95" t="s">
        <v>781</v>
      </c>
      <c r="Q391" s="204" t="str">
        <f t="shared" ref="Q391:S391" si="2393">IFERROR(P391/$G391," ")</f>
        <v xml:space="preserve"> </v>
      </c>
      <c r="R391" s="95" t="s">
        <v>781</v>
      </c>
      <c r="S391" s="204" t="str">
        <f t="shared" si="2393"/>
        <v xml:space="preserve"> </v>
      </c>
      <c r="T391" s="95" t="s">
        <v>781</v>
      </c>
      <c r="U391" s="204" t="str">
        <f t="shared" ref="U391:W391" si="2394">IFERROR(T391/$G391," ")</f>
        <v xml:space="preserve"> </v>
      </c>
      <c r="V391" s="95" t="s">
        <v>781</v>
      </c>
      <c r="W391" s="204" t="str">
        <f t="shared" si="2394"/>
        <v xml:space="preserve"> </v>
      </c>
      <c r="X391" s="95" t="s">
        <v>781</v>
      </c>
      <c r="Y391" s="204" t="str">
        <f t="shared" ref="Y391:AA391" si="2395">IFERROR(X391/$G391," ")</f>
        <v xml:space="preserve"> </v>
      </c>
      <c r="Z391" s="95" t="s">
        <v>781</v>
      </c>
      <c r="AA391" s="204" t="str">
        <f t="shared" si="2395"/>
        <v xml:space="preserve"> </v>
      </c>
      <c r="AB391" s="95" t="s">
        <v>781</v>
      </c>
      <c r="AC391" s="204" t="str">
        <f t="shared" ref="AC391:AE391" si="2396">IFERROR(AB391/$G391," ")</f>
        <v xml:space="preserve"> </v>
      </c>
      <c r="AD391" s="95" t="s">
        <v>781</v>
      </c>
      <c r="AE391" s="204" t="str">
        <f t="shared" si="2396"/>
        <v xml:space="preserve"> </v>
      </c>
      <c r="AF391" s="95" t="s">
        <v>781</v>
      </c>
      <c r="AG391" s="204" t="str">
        <f t="shared" ref="AG391:AI391" si="2397">IFERROR(AF391/$G391," ")</f>
        <v xml:space="preserve"> </v>
      </c>
      <c r="AH391" s="95" t="s">
        <v>781</v>
      </c>
      <c r="AI391" s="204" t="str">
        <f t="shared" si="2397"/>
        <v xml:space="preserve"> </v>
      </c>
      <c r="AJ391" s="95" t="s">
        <v>781</v>
      </c>
      <c r="AK391" s="204" t="str">
        <f t="shared" ref="AK391:AM391" si="2398">IFERROR(AJ391/$G391," ")</f>
        <v xml:space="preserve"> </v>
      </c>
      <c r="AL391" s="95" t="s">
        <v>781</v>
      </c>
      <c r="AM391" s="204" t="str">
        <f t="shared" si="2398"/>
        <v xml:space="preserve"> </v>
      </c>
      <c r="AN391" s="95"/>
      <c r="AO391" s="94" t="str">
        <f t="shared" si="2014"/>
        <v xml:space="preserve"> </v>
      </c>
      <c r="AP391" s="94" t="str">
        <f t="shared" si="2004"/>
        <v xml:space="preserve"> </v>
      </c>
      <c r="AQ391" s="94" t="str">
        <f t="shared" si="2005"/>
        <v xml:space="preserve"> </v>
      </c>
      <c r="AR391" s="94" t="str">
        <f t="shared" si="2218"/>
        <v xml:space="preserve"> </v>
      </c>
      <c r="AS391" s="94" t="str">
        <f t="shared" si="2016"/>
        <v xml:space="preserve"> </v>
      </c>
      <c r="AT391" s="94" t="str">
        <f t="shared" si="2017"/>
        <v xml:space="preserve"> </v>
      </c>
      <c r="AU391" s="94" t="str">
        <f t="shared" si="2018"/>
        <v xml:space="preserve"> </v>
      </c>
      <c r="AV391" s="94" t="str">
        <f t="shared" si="2019"/>
        <v xml:space="preserve"> </v>
      </c>
      <c r="AW391" s="94" t="str">
        <f t="shared" si="2020"/>
        <v xml:space="preserve"> </v>
      </c>
      <c r="AX391" s="94" t="str">
        <f t="shared" si="2021"/>
        <v xml:space="preserve"> </v>
      </c>
      <c r="AY391" s="94" t="str">
        <f t="shared" si="2022"/>
        <v xml:space="preserve"> </v>
      </c>
      <c r="AZ391" s="94" t="str">
        <f t="shared" si="2023"/>
        <v xml:space="preserve"> </v>
      </c>
      <c r="BA391" s="94" t="str">
        <f t="shared" si="2024"/>
        <v xml:space="preserve"> </v>
      </c>
      <c r="BB391" s="94" t="str">
        <f t="shared" si="2025"/>
        <v xml:space="preserve"> </v>
      </c>
    </row>
    <row r="392" spans="1:54" ht="30" x14ac:dyDescent="0.25">
      <c r="A392" s="80">
        <v>159</v>
      </c>
      <c r="B392" s="95" t="s">
        <v>2923</v>
      </c>
      <c r="C392" s="201" t="s">
        <v>563</v>
      </c>
      <c r="D392" s="80" t="s">
        <v>89</v>
      </c>
      <c r="E392" s="94">
        <f>IFERROR(VLOOKUP(A392,Estimate!A:Q,17,FALSE)," ")</f>
        <v>19609.06201620162</v>
      </c>
      <c r="F392" s="202">
        <v>475</v>
      </c>
      <c r="G392" s="202">
        <v>475</v>
      </c>
      <c r="H392" s="203">
        <v>51.86</v>
      </c>
      <c r="I392" s="203">
        <v>24633.5</v>
      </c>
      <c r="J392" s="203">
        <v>24633.5</v>
      </c>
      <c r="K392" s="203"/>
      <c r="L392" s="202"/>
      <c r="M392" s="204">
        <f t="shared" si="2007"/>
        <v>0</v>
      </c>
      <c r="N392" s="95"/>
      <c r="O392" s="204">
        <f t="shared" si="2007"/>
        <v>0</v>
      </c>
      <c r="P392" s="95"/>
      <c r="Q392" s="204">
        <f t="shared" ref="Q392:S392" si="2399">IFERROR(P392/$G392," ")</f>
        <v>0</v>
      </c>
      <c r="R392" s="95"/>
      <c r="S392" s="204">
        <f t="shared" si="2399"/>
        <v>0</v>
      </c>
      <c r="T392" s="95"/>
      <c r="U392" s="204">
        <f t="shared" ref="U392:W392" si="2400">IFERROR(T392/$G392," ")</f>
        <v>0</v>
      </c>
      <c r="V392" s="95"/>
      <c r="W392" s="204">
        <f t="shared" si="2400"/>
        <v>0</v>
      </c>
      <c r="X392" s="95"/>
      <c r="Y392" s="204">
        <f t="shared" ref="Y392:AA392" si="2401">IFERROR(X392/$G392," ")</f>
        <v>0</v>
      </c>
      <c r="Z392" s="95"/>
      <c r="AA392" s="204">
        <f t="shared" si="2401"/>
        <v>0</v>
      </c>
      <c r="AB392" s="95"/>
      <c r="AC392" s="204">
        <f t="shared" ref="AC392:AE392" si="2402">IFERROR(AB392/$G392," ")</f>
        <v>0</v>
      </c>
      <c r="AD392" s="95"/>
      <c r="AE392" s="204">
        <f t="shared" si="2402"/>
        <v>0</v>
      </c>
      <c r="AF392" s="95">
        <v>293</v>
      </c>
      <c r="AG392" s="204">
        <f t="shared" ref="AG392:AI392" si="2403">IFERROR(AF392/$G392," ")</f>
        <v>0.61684210526315786</v>
      </c>
      <c r="AH392" s="95">
        <v>475</v>
      </c>
      <c r="AI392" s="204">
        <f t="shared" si="2403"/>
        <v>1</v>
      </c>
      <c r="AJ392" s="95">
        <v>475</v>
      </c>
      <c r="AK392" s="204">
        <f t="shared" ref="AK392:AM392" si="2404">IFERROR(AJ392/$G392," ")</f>
        <v>1</v>
      </c>
      <c r="AL392" s="95">
        <v>475</v>
      </c>
      <c r="AM392" s="204">
        <f t="shared" si="2404"/>
        <v>1</v>
      </c>
      <c r="AN392" s="95"/>
      <c r="AO392" s="94">
        <f t="shared" si="2014"/>
        <v>0</v>
      </c>
      <c r="AP392" s="94">
        <f t="shared" ref="AP392:AP455" si="2405">IFERROR(O392*$J392," ")</f>
        <v>0</v>
      </c>
      <c r="AQ392" s="94">
        <f t="shared" ref="AQ392:AQ455" si="2406">IFERROR(Q392*$J392," ")</f>
        <v>0</v>
      </c>
      <c r="AR392" s="94">
        <f t="shared" ref="AR392" si="2407">IFERROR(S392*$J392," ")</f>
        <v>0</v>
      </c>
      <c r="AS392" s="94">
        <f t="shared" si="2016"/>
        <v>0</v>
      </c>
      <c r="AT392" s="94">
        <f t="shared" si="2017"/>
        <v>0</v>
      </c>
      <c r="AU392" s="94">
        <f t="shared" si="2018"/>
        <v>0</v>
      </c>
      <c r="AV392" s="94">
        <f t="shared" si="2019"/>
        <v>0</v>
      </c>
      <c r="AW392" s="94">
        <f t="shared" si="2020"/>
        <v>0</v>
      </c>
      <c r="AX392" s="94">
        <f t="shared" si="2021"/>
        <v>0</v>
      </c>
      <c r="AY392" s="94">
        <f t="shared" si="2022"/>
        <v>15194.98</v>
      </c>
      <c r="AZ392" s="94">
        <f t="shared" si="2023"/>
        <v>24633.5</v>
      </c>
      <c r="BA392" s="94">
        <f t="shared" si="2024"/>
        <v>24633.5</v>
      </c>
      <c r="BB392" s="94">
        <f t="shared" si="2025"/>
        <v>24633.5</v>
      </c>
    </row>
    <row r="393" spans="1:54" x14ac:dyDescent="0.25">
      <c r="A393" s="80"/>
      <c r="B393" s="95" t="s">
        <v>2417</v>
      </c>
      <c r="C393" s="201" t="s">
        <v>2837</v>
      </c>
      <c r="D393" s="80" t="s">
        <v>783</v>
      </c>
      <c r="E393" s="94" t="str">
        <f>IFERROR(VLOOKUP(A393,Estimate!A:Q,17,FALSE)," ")</f>
        <v xml:space="preserve"> </v>
      </c>
      <c r="F393" s="202" t="s">
        <v>781</v>
      </c>
      <c r="G393" s="202" t="s">
        <v>781</v>
      </c>
      <c r="H393" s="203" t="s">
        <v>781</v>
      </c>
      <c r="I393" s="203" t="s">
        <v>781</v>
      </c>
      <c r="J393" s="203" t="s">
        <v>781</v>
      </c>
      <c r="K393" s="203"/>
      <c r="L393" s="202" t="s">
        <v>781</v>
      </c>
      <c r="M393" s="204" t="str">
        <f t="shared" ref="M393:O456" si="2408">IFERROR(L393/$G393," ")</f>
        <v xml:space="preserve"> </v>
      </c>
      <c r="N393" s="95" t="s">
        <v>781</v>
      </c>
      <c r="O393" s="204" t="str">
        <f t="shared" si="2408"/>
        <v xml:space="preserve"> </v>
      </c>
      <c r="P393" s="95" t="s">
        <v>781</v>
      </c>
      <c r="Q393" s="204" t="str">
        <f t="shared" ref="Q393:S393" si="2409">IFERROR(P393/$G393," ")</f>
        <v xml:space="preserve"> </v>
      </c>
      <c r="R393" s="95" t="s">
        <v>781</v>
      </c>
      <c r="S393" s="204" t="str">
        <f t="shared" si="2409"/>
        <v xml:space="preserve"> </v>
      </c>
      <c r="T393" s="95" t="s">
        <v>781</v>
      </c>
      <c r="U393" s="204" t="str">
        <f t="shared" ref="U393:W393" si="2410">IFERROR(T393/$G393," ")</f>
        <v xml:space="preserve"> </v>
      </c>
      <c r="V393" s="95" t="s">
        <v>781</v>
      </c>
      <c r="W393" s="204" t="str">
        <f t="shared" si="2410"/>
        <v xml:space="preserve"> </v>
      </c>
      <c r="X393" s="95" t="s">
        <v>781</v>
      </c>
      <c r="Y393" s="204" t="str">
        <f t="shared" ref="Y393:AA393" si="2411">IFERROR(X393/$G393," ")</f>
        <v xml:space="preserve"> </v>
      </c>
      <c r="Z393" s="95" t="s">
        <v>781</v>
      </c>
      <c r="AA393" s="204" t="str">
        <f t="shared" si="2411"/>
        <v xml:space="preserve"> </v>
      </c>
      <c r="AB393" s="95" t="s">
        <v>781</v>
      </c>
      <c r="AC393" s="204" t="str">
        <f t="shared" ref="AC393:AE393" si="2412">IFERROR(AB393/$G393," ")</f>
        <v xml:space="preserve"> </v>
      </c>
      <c r="AD393" s="95" t="s">
        <v>781</v>
      </c>
      <c r="AE393" s="204" t="str">
        <f t="shared" si="2412"/>
        <v xml:space="preserve"> </v>
      </c>
      <c r="AF393" s="95" t="s">
        <v>781</v>
      </c>
      <c r="AG393" s="204" t="str">
        <f t="shared" ref="AG393:AI393" si="2413">IFERROR(AF393/$G393," ")</f>
        <v xml:space="preserve"> </v>
      </c>
      <c r="AH393" s="95" t="s">
        <v>781</v>
      </c>
      <c r="AI393" s="204" t="str">
        <f t="shared" si="2413"/>
        <v xml:space="preserve"> </v>
      </c>
      <c r="AJ393" s="95" t="s">
        <v>781</v>
      </c>
      <c r="AK393" s="204" t="str">
        <f t="shared" ref="AK393:AM393" si="2414">IFERROR(AJ393/$G393," ")</f>
        <v xml:space="preserve"> </v>
      </c>
      <c r="AL393" s="95" t="s">
        <v>781</v>
      </c>
      <c r="AM393" s="204" t="str">
        <f t="shared" si="2414"/>
        <v xml:space="preserve"> </v>
      </c>
      <c r="AN393" s="95"/>
      <c r="AO393" s="94" t="str">
        <f t="shared" ref="AO393:AO456" si="2415">IFERROR(M393*$J393," ")</f>
        <v xml:space="preserve"> </v>
      </c>
      <c r="AP393" s="94" t="str">
        <f t="shared" si="2405"/>
        <v xml:space="preserve"> </v>
      </c>
      <c r="AQ393" s="94" t="str">
        <f t="shared" si="2406"/>
        <v xml:space="preserve"> </v>
      </c>
      <c r="AR393" s="94" t="str">
        <f t="shared" ref="AR393:AR424" si="2416">IFERROR(S393*$J393," ")</f>
        <v xml:space="preserve"> </v>
      </c>
      <c r="AS393" s="94" t="str">
        <f t="shared" ref="AS393:AS456" si="2417">IFERROR(U393*$J393," ")</f>
        <v xml:space="preserve"> </v>
      </c>
      <c r="AT393" s="94" t="str">
        <f t="shared" ref="AT393:AT456" si="2418">IFERROR(W393*$J393," ")</f>
        <v xml:space="preserve"> </v>
      </c>
      <c r="AU393" s="94" t="str">
        <f t="shared" ref="AU393:AU456" si="2419">IFERROR(Y393*$J393," ")</f>
        <v xml:space="preserve"> </v>
      </c>
      <c r="AV393" s="94" t="str">
        <f t="shared" ref="AV393:AV456" si="2420">IFERROR(AA393*$J393," ")</f>
        <v xml:space="preserve"> </v>
      </c>
      <c r="AW393" s="94" t="str">
        <f t="shared" ref="AW393:AW456" si="2421">IFERROR(AC393*$J393," ")</f>
        <v xml:space="preserve"> </v>
      </c>
      <c r="AX393" s="94" t="str">
        <f t="shared" ref="AX393:AX456" si="2422">IFERROR(AE393*$J393," ")</f>
        <v xml:space="preserve"> </v>
      </c>
      <c r="AY393" s="94" t="str">
        <f t="shared" ref="AY393:AY456" si="2423">IFERROR(AG393*$J393," ")</f>
        <v xml:space="preserve"> </v>
      </c>
      <c r="AZ393" s="94" t="str">
        <f t="shared" ref="AZ393:AZ456" si="2424">IFERROR(AI393*$J393," ")</f>
        <v xml:space="preserve"> </v>
      </c>
      <c r="BA393" s="94" t="str">
        <f t="shared" ref="BA393:BA456" si="2425">IFERROR(AK393*$J393," ")</f>
        <v xml:space="preserve"> </v>
      </c>
      <c r="BB393" s="94" t="str">
        <f t="shared" ref="BB393:BB456" si="2426">IFERROR(AM393*$J393," ")</f>
        <v xml:space="preserve"> </v>
      </c>
    </row>
    <row r="394" spans="1:54" x14ac:dyDescent="0.25">
      <c r="A394" s="80"/>
      <c r="B394" s="95" t="s">
        <v>2417</v>
      </c>
      <c r="C394" s="201" t="s">
        <v>102</v>
      </c>
      <c r="D394" s="80" t="s">
        <v>783</v>
      </c>
      <c r="E394" s="94" t="str">
        <f>IFERROR(VLOOKUP(A394,Estimate!A:Q,17,FALSE)," ")</f>
        <v xml:space="preserve"> </v>
      </c>
      <c r="F394" s="202" t="s">
        <v>781</v>
      </c>
      <c r="G394" s="202" t="s">
        <v>781</v>
      </c>
      <c r="H394" s="203" t="s">
        <v>781</v>
      </c>
      <c r="I394" s="203" t="s">
        <v>781</v>
      </c>
      <c r="J394" s="203" t="s">
        <v>781</v>
      </c>
      <c r="K394" s="203"/>
      <c r="L394" s="202" t="s">
        <v>781</v>
      </c>
      <c r="M394" s="204" t="str">
        <f t="shared" si="2408"/>
        <v xml:space="preserve"> </v>
      </c>
      <c r="N394" s="95" t="s">
        <v>781</v>
      </c>
      <c r="O394" s="204" t="str">
        <f t="shared" si="2408"/>
        <v xml:space="preserve"> </v>
      </c>
      <c r="P394" s="95" t="s">
        <v>781</v>
      </c>
      <c r="Q394" s="204" t="str">
        <f t="shared" ref="Q394:S394" si="2427">IFERROR(P394/$G394," ")</f>
        <v xml:space="preserve"> </v>
      </c>
      <c r="R394" s="95" t="s">
        <v>781</v>
      </c>
      <c r="S394" s="204" t="str">
        <f t="shared" si="2427"/>
        <v xml:space="preserve"> </v>
      </c>
      <c r="T394" s="95" t="s">
        <v>781</v>
      </c>
      <c r="U394" s="204" t="str">
        <f t="shared" ref="U394:W394" si="2428">IFERROR(T394/$G394," ")</f>
        <v xml:space="preserve"> </v>
      </c>
      <c r="V394" s="95" t="s">
        <v>781</v>
      </c>
      <c r="W394" s="204" t="str">
        <f t="shared" si="2428"/>
        <v xml:space="preserve"> </v>
      </c>
      <c r="X394" s="95" t="s">
        <v>781</v>
      </c>
      <c r="Y394" s="204" t="str">
        <f t="shared" ref="Y394:AA394" si="2429">IFERROR(X394/$G394," ")</f>
        <v xml:space="preserve"> </v>
      </c>
      <c r="Z394" s="95" t="s">
        <v>781</v>
      </c>
      <c r="AA394" s="204" t="str">
        <f t="shared" si="2429"/>
        <v xml:space="preserve"> </v>
      </c>
      <c r="AB394" s="95" t="s">
        <v>781</v>
      </c>
      <c r="AC394" s="204" t="str">
        <f t="shared" ref="AC394:AE394" si="2430">IFERROR(AB394/$G394," ")</f>
        <v xml:space="preserve"> </v>
      </c>
      <c r="AD394" s="95" t="s">
        <v>781</v>
      </c>
      <c r="AE394" s="204" t="str">
        <f t="shared" si="2430"/>
        <v xml:space="preserve"> </v>
      </c>
      <c r="AF394" s="95" t="s">
        <v>781</v>
      </c>
      <c r="AG394" s="204" t="str">
        <f t="shared" ref="AG394:AI394" si="2431">IFERROR(AF394/$G394," ")</f>
        <v xml:space="preserve"> </v>
      </c>
      <c r="AH394" s="95" t="s">
        <v>781</v>
      </c>
      <c r="AI394" s="204" t="str">
        <f t="shared" si="2431"/>
        <v xml:space="preserve"> </v>
      </c>
      <c r="AJ394" s="95" t="s">
        <v>781</v>
      </c>
      <c r="AK394" s="204" t="str">
        <f t="shared" ref="AK394:AM394" si="2432">IFERROR(AJ394/$G394," ")</f>
        <v xml:space="preserve"> </v>
      </c>
      <c r="AL394" s="95" t="s">
        <v>781</v>
      </c>
      <c r="AM394" s="204" t="str">
        <f t="shared" si="2432"/>
        <v xml:space="preserve"> </v>
      </c>
      <c r="AN394" s="95"/>
      <c r="AO394" s="94" t="str">
        <f t="shared" si="2415"/>
        <v xml:space="preserve"> </v>
      </c>
      <c r="AP394" s="94" t="str">
        <f t="shared" si="2405"/>
        <v xml:space="preserve"> </v>
      </c>
      <c r="AQ394" s="94" t="str">
        <f t="shared" si="2406"/>
        <v xml:space="preserve"> </v>
      </c>
      <c r="AR394" s="94" t="str">
        <f t="shared" si="2416"/>
        <v xml:space="preserve"> </v>
      </c>
      <c r="AS394" s="94" t="str">
        <f t="shared" si="2417"/>
        <v xml:space="preserve"> </v>
      </c>
      <c r="AT394" s="94" t="str">
        <f t="shared" si="2418"/>
        <v xml:space="preserve"> </v>
      </c>
      <c r="AU394" s="94" t="str">
        <f t="shared" si="2419"/>
        <v xml:space="preserve"> </v>
      </c>
      <c r="AV394" s="94" t="str">
        <f t="shared" si="2420"/>
        <v xml:space="preserve"> </v>
      </c>
      <c r="AW394" s="94" t="str">
        <f t="shared" si="2421"/>
        <v xml:space="preserve"> </v>
      </c>
      <c r="AX394" s="94" t="str">
        <f t="shared" si="2422"/>
        <v xml:space="preserve"> </v>
      </c>
      <c r="AY394" s="94" t="str">
        <f t="shared" si="2423"/>
        <v xml:space="preserve"> </v>
      </c>
      <c r="AZ394" s="94" t="str">
        <f t="shared" si="2424"/>
        <v xml:space="preserve"> </v>
      </c>
      <c r="BA394" s="94" t="str">
        <f t="shared" si="2425"/>
        <v xml:space="preserve"> </v>
      </c>
      <c r="BB394" s="94" t="str">
        <f t="shared" si="2426"/>
        <v xml:space="preserve"> </v>
      </c>
    </row>
    <row r="395" spans="1:54" x14ac:dyDescent="0.25">
      <c r="A395" s="80"/>
      <c r="B395" s="95" t="s">
        <v>2856</v>
      </c>
      <c r="C395" s="201" t="s">
        <v>111</v>
      </c>
      <c r="D395" s="80" t="s">
        <v>783</v>
      </c>
      <c r="E395" s="94" t="str">
        <f>IFERROR(VLOOKUP(A395,Estimate!A:Q,17,FALSE)," ")</f>
        <v xml:space="preserve"> </v>
      </c>
      <c r="F395" s="202" t="s">
        <v>781</v>
      </c>
      <c r="G395" s="202" t="s">
        <v>781</v>
      </c>
      <c r="H395" s="203" t="s">
        <v>781</v>
      </c>
      <c r="I395" s="203" t="s">
        <v>781</v>
      </c>
      <c r="J395" s="203" t="s">
        <v>781</v>
      </c>
      <c r="K395" s="203"/>
      <c r="L395" s="202" t="s">
        <v>781</v>
      </c>
      <c r="M395" s="204" t="str">
        <f t="shared" si="2408"/>
        <v xml:space="preserve"> </v>
      </c>
      <c r="N395" s="95" t="s">
        <v>781</v>
      </c>
      <c r="O395" s="204" t="str">
        <f t="shared" si="2408"/>
        <v xml:space="preserve"> </v>
      </c>
      <c r="P395" s="95" t="s">
        <v>781</v>
      </c>
      <c r="Q395" s="204" t="str">
        <f t="shared" ref="Q395:S395" si="2433">IFERROR(P395/$G395," ")</f>
        <v xml:space="preserve"> </v>
      </c>
      <c r="R395" s="95" t="s">
        <v>781</v>
      </c>
      <c r="S395" s="204" t="str">
        <f t="shared" si="2433"/>
        <v xml:space="preserve"> </v>
      </c>
      <c r="T395" s="95" t="s">
        <v>781</v>
      </c>
      <c r="U395" s="204" t="str">
        <f t="shared" ref="U395:W395" si="2434">IFERROR(T395/$G395," ")</f>
        <v xml:space="preserve"> </v>
      </c>
      <c r="V395" s="95" t="s">
        <v>781</v>
      </c>
      <c r="W395" s="204" t="str">
        <f t="shared" si="2434"/>
        <v xml:space="preserve"> </v>
      </c>
      <c r="X395" s="95" t="s">
        <v>781</v>
      </c>
      <c r="Y395" s="204" t="str">
        <f t="shared" ref="Y395:AA395" si="2435">IFERROR(X395/$G395," ")</f>
        <v xml:space="preserve"> </v>
      </c>
      <c r="Z395" s="95" t="s">
        <v>781</v>
      </c>
      <c r="AA395" s="204" t="str">
        <f t="shared" si="2435"/>
        <v xml:space="preserve"> </v>
      </c>
      <c r="AB395" s="95" t="s">
        <v>781</v>
      </c>
      <c r="AC395" s="204" t="str">
        <f t="shared" ref="AC395:AE395" si="2436">IFERROR(AB395/$G395," ")</f>
        <v xml:space="preserve"> </v>
      </c>
      <c r="AD395" s="95" t="s">
        <v>781</v>
      </c>
      <c r="AE395" s="204" t="str">
        <f t="shared" si="2436"/>
        <v xml:space="preserve"> </v>
      </c>
      <c r="AF395" s="95" t="s">
        <v>781</v>
      </c>
      <c r="AG395" s="204" t="str">
        <f t="shared" ref="AG395:AI395" si="2437">IFERROR(AF395/$G395," ")</f>
        <v xml:space="preserve"> </v>
      </c>
      <c r="AH395" s="95" t="s">
        <v>781</v>
      </c>
      <c r="AI395" s="204" t="str">
        <f t="shared" si="2437"/>
        <v xml:space="preserve"> </v>
      </c>
      <c r="AJ395" s="95" t="s">
        <v>781</v>
      </c>
      <c r="AK395" s="204" t="str">
        <f t="shared" ref="AK395:AM395" si="2438">IFERROR(AJ395/$G395," ")</f>
        <v xml:space="preserve"> </v>
      </c>
      <c r="AL395" s="95" t="s">
        <v>781</v>
      </c>
      <c r="AM395" s="204" t="str">
        <f t="shared" si="2438"/>
        <v xml:space="preserve"> </v>
      </c>
      <c r="AN395" s="95"/>
      <c r="AO395" s="94" t="str">
        <f t="shared" si="2415"/>
        <v xml:space="preserve"> </v>
      </c>
      <c r="AP395" s="94" t="str">
        <f t="shared" si="2405"/>
        <v xml:space="preserve"> </v>
      </c>
      <c r="AQ395" s="94" t="str">
        <f t="shared" si="2406"/>
        <v xml:space="preserve"> </v>
      </c>
      <c r="AR395" s="94" t="str">
        <f t="shared" si="2416"/>
        <v xml:space="preserve"> </v>
      </c>
      <c r="AS395" s="94" t="str">
        <f t="shared" si="2417"/>
        <v xml:space="preserve"> </v>
      </c>
      <c r="AT395" s="94" t="str">
        <f t="shared" si="2418"/>
        <v xml:space="preserve"> </v>
      </c>
      <c r="AU395" s="94" t="str">
        <f t="shared" si="2419"/>
        <v xml:space="preserve"> </v>
      </c>
      <c r="AV395" s="94" t="str">
        <f t="shared" si="2420"/>
        <v xml:space="preserve"> </v>
      </c>
      <c r="AW395" s="94" t="str">
        <f t="shared" si="2421"/>
        <v xml:space="preserve"> </v>
      </c>
      <c r="AX395" s="94" t="str">
        <f t="shared" si="2422"/>
        <v xml:space="preserve"> </v>
      </c>
      <c r="AY395" s="94" t="str">
        <f t="shared" si="2423"/>
        <v xml:space="preserve"> </v>
      </c>
      <c r="AZ395" s="94" t="str">
        <f t="shared" si="2424"/>
        <v xml:space="preserve"> </v>
      </c>
      <c r="BA395" s="94" t="str">
        <f t="shared" si="2425"/>
        <v xml:space="preserve"> </v>
      </c>
      <c r="BB395" s="94" t="str">
        <f t="shared" si="2426"/>
        <v xml:space="preserve"> </v>
      </c>
    </row>
    <row r="396" spans="1:54" x14ac:dyDescent="0.25">
      <c r="A396" s="80">
        <v>160</v>
      </c>
      <c r="B396" s="95">
        <v>491</v>
      </c>
      <c r="C396" s="201" t="s">
        <v>567</v>
      </c>
      <c r="D396" s="80" t="s">
        <v>62</v>
      </c>
      <c r="E396" s="94">
        <f>IFERROR(VLOOKUP(A396,Estimate!A:Q,17,FALSE)," ")</f>
        <v>22392.330161695168</v>
      </c>
      <c r="F396" s="202">
        <v>304</v>
      </c>
      <c r="G396" s="202">
        <v>304</v>
      </c>
      <c r="H396" s="203">
        <v>92.54</v>
      </c>
      <c r="I396" s="203">
        <v>28132.16</v>
      </c>
      <c r="J396" s="203">
        <v>28132.16</v>
      </c>
      <c r="K396" s="203"/>
      <c r="L396" s="202"/>
      <c r="M396" s="204">
        <f t="shared" si="2408"/>
        <v>0</v>
      </c>
      <c r="N396" s="95"/>
      <c r="O396" s="204">
        <f t="shared" si="2408"/>
        <v>0</v>
      </c>
      <c r="P396" s="95"/>
      <c r="Q396" s="204">
        <f t="shared" ref="Q396:S396" si="2439">IFERROR(P396/$G396," ")</f>
        <v>0</v>
      </c>
      <c r="R396" s="95"/>
      <c r="S396" s="204">
        <f t="shared" si="2439"/>
        <v>0</v>
      </c>
      <c r="T396" s="95"/>
      <c r="U396" s="204">
        <f t="shared" ref="U396:W396" si="2440">IFERROR(T396/$G396," ")</f>
        <v>0</v>
      </c>
      <c r="V396" s="95"/>
      <c r="W396" s="204">
        <f t="shared" si="2440"/>
        <v>0</v>
      </c>
      <c r="X396" s="95"/>
      <c r="Y396" s="204">
        <f t="shared" ref="Y396:AA396" si="2441">IFERROR(X396/$G396," ")</f>
        <v>0</v>
      </c>
      <c r="Z396" s="95"/>
      <c r="AA396" s="204">
        <f t="shared" si="2441"/>
        <v>0</v>
      </c>
      <c r="AB396" s="95"/>
      <c r="AC396" s="204">
        <f t="shared" ref="AC396:AE396" si="2442">IFERROR(AB396/$G396," ")</f>
        <v>0</v>
      </c>
      <c r="AD396" s="95"/>
      <c r="AE396" s="204">
        <f t="shared" si="2442"/>
        <v>0</v>
      </c>
      <c r="AF396" s="95">
        <v>189</v>
      </c>
      <c r="AG396" s="204">
        <f t="shared" ref="AG396:AI396" si="2443">IFERROR(AF396/$G396," ")</f>
        <v>0.62171052631578949</v>
      </c>
      <c r="AH396" s="95">
        <v>304</v>
      </c>
      <c r="AI396" s="204">
        <f t="shared" si="2443"/>
        <v>1</v>
      </c>
      <c r="AJ396" s="95">
        <v>304</v>
      </c>
      <c r="AK396" s="204">
        <f t="shared" ref="AK396:AM396" si="2444">IFERROR(AJ396/$G396," ")</f>
        <v>1</v>
      </c>
      <c r="AL396" s="95">
        <v>304</v>
      </c>
      <c r="AM396" s="204">
        <f t="shared" si="2444"/>
        <v>1</v>
      </c>
      <c r="AN396" s="95"/>
      <c r="AO396" s="94">
        <f t="shared" si="2415"/>
        <v>0</v>
      </c>
      <c r="AP396" s="94">
        <f t="shared" si="2405"/>
        <v>0</v>
      </c>
      <c r="AQ396" s="94">
        <f t="shared" si="2406"/>
        <v>0</v>
      </c>
      <c r="AR396" s="94">
        <f t="shared" si="2416"/>
        <v>0</v>
      </c>
      <c r="AS396" s="94">
        <f t="shared" si="2417"/>
        <v>0</v>
      </c>
      <c r="AT396" s="94">
        <f t="shared" si="2418"/>
        <v>0</v>
      </c>
      <c r="AU396" s="94">
        <f t="shared" si="2419"/>
        <v>0</v>
      </c>
      <c r="AV396" s="94">
        <f t="shared" si="2420"/>
        <v>0</v>
      </c>
      <c r="AW396" s="94">
        <f t="shared" si="2421"/>
        <v>0</v>
      </c>
      <c r="AX396" s="94">
        <f t="shared" si="2422"/>
        <v>0</v>
      </c>
      <c r="AY396" s="94">
        <f t="shared" si="2423"/>
        <v>17490.060000000001</v>
      </c>
      <c r="AZ396" s="94">
        <f t="shared" si="2424"/>
        <v>28132.16</v>
      </c>
      <c r="BA396" s="94">
        <f t="shared" si="2425"/>
        <v>28132.16</v>
      </c>
      <c r="BB396" s="94">
        <f t="shared" si="2426"/>
        <v>28132.16</v>
      </c>
    </row>
    <row r="397" spans="1:54" x14ac:dyDescent="0.25">
      <c r="A397" s="80">
        <v>161</v>
      </c>
      <c r="B397" s="95">
        <v>490</v>
      </c>
      <c r="C397" s="201" t="s">
        <v>569</v>
      </c>
      <c r="D397" s="80" t="s">
        <v>62</v>
      </c>
      <c r="E397" s="94">
        <f>IFERROR(VLOOKUP(A397,Estimate!A:Q,17,FALSE)," ")</f>
        <v>17201.65330168181</v>
      </c>
      <c r="F397" s="202">
        <v>181</v>
      </c>
      <c r="G397" s="202">
        <v>181</v>
      </c>
      <c r="H397" s="203">
        <v>119.38</v>
      </c>
      <c r="I397" s="203">
        <v>21607.78</v>
      </c>
      <c r="J397" s="203">
        <v>21607.78</v>
      </c>
      <c r="K397" s="203"/>
      <c r="L397" s="202"/>
      <c r="M397" s="204">
        <f t="shared" si="2408"/>
        <v>0</v>
      </c>
      <c r="N397" s="95"/>
      <c r="O397" s="204">
        <f t="shared" si="2408"/>
        <v>0</v>
      </c>
      <c r="P397" s="95"/>
      <c r="Q397" s="204">
        <f t="shared" ref="Q397:S397" si="2445">IFERROR(P397/$G397," ")</f>
        <v>0</v>
      </c>
      <c r="R397" s="95"/>
      <c r="S397" s="204">
        <f t="shared" si="2445"/>
        <v>0</v>
      </c>
      <c r="T397" s="95"/>
      <c r="U397" s="204">
        <f t="shared" ref="U397:W397" si="2446">IFERROR(T397/$G397," ")</f>
        <v>0</v>
      </c>
      <c r="V397" s="95"/>
      <c r="W397" s="204">
        <f t="shared" si="2446"/>
        <v>0</v>
      </c>
      <c r="X397" s="95"/>
      <c r="Y397" s="204">
        <f t="shared" ref="Y397:AA397" si="2447">IFERROR(X397/$G397," ")</f>
        <v>0</v>
      </c>
      <c r="Z397" s="95"/>
      <c r="AA397" s="204">
        <f t="shared" si="2447"/>
        <v>0</v>
      </c>
      <c r="AB397" s="95"/>
      <c r="AC397" s="204">
        <f t="shared" ref="AC397:AE397" si="2448">IFERROR(AB397/$G397," ")</f>
        <v>0</v>
      </c>
      <c r="AD397" s="95"/>
      <c r="AE397" s="204">
        <f t="shared" si="2448"/>
        <v>0</v>
      </c>
      <c r="AF397" s="95">
        <v>131</v>
      </c>
      <c r="AG397" s="204">
        <f t="shared" ref="AG397:AI397" si="2449">IFERROR(AF397/$G397," ")</f>
        <v>0.72375690607734811</v>
      </c>
      <c r="AH397" s="95">
        <v>181</v>
      </c>
      <c r="AI397" s="204">
        <f t="shared" si="2449"/>
        <v>1</v>
      </c>
      <c r="AJ397" s="95">
        <v>181</v>
      </c>
      <c r="AK397" s="204">
        <f t="shared" ref="AK397:AM397" si="2450">IFERROR(AJ397/$G397," ")</f>
        <v>1</v>
      </c>
      <c r="AL397" s="95">
        <v>181</v>
      </c>
      <c r="AM397" s="204">
        <f t="shared" si="2450"/>
        <v>1</v>
      </c>
      <c r="AN397" s="95"/>
      <c r="AO397" s="94">
        <f t="shared" si="2415"/>
        <v>0</v>
      </c>
      <c r="AP397" s="94">
        <f t="shared" si="2405"/>
        <v>0</v>
      </c>
      <c r="AQ397" s="94">
        <f t="shared" si="2406"/>
        <v>0</v>
      </c>
      <c r="AR397" s="94">
        <f t="shared" si="2416"/>
        <v>0</v>
      </c>
      <c r="AS397" s="94">
        <f t="shared" si="2417"/>
        <v>0</v>
      </c>
      <c r="AT397" s="94">
        <f t="shared" si="2418"/>
        <v>0</v>
      </c>
      <c r="AU397" s="94">
        <f t="shared" si="2419"/>
        <v>0</v>
      </c>
      <c r="AV397" s="94">
        <f t="shared" si="2420"/>
        <v>0</v>
      </c>
      <c r="AW397" s="94">
        <f t="shared" si="2421"/>
        <v>0</v>
      </c>
      <c r="AX397" s="94">
        <f t="shared" si="2422"/>
        <v>0</v>
      </c>
      <c r="AY397" s="94">
        <f t="shared" si="2423"/>
        <v>15638.78</v>
      </c>
      <c r="AZ397" s="94">
        <f t="shared" si="2424"/>
        <v>21607.78</v>
      </c>
      <c r="BA397" s="94">
        <f t="shared" si="2425"/>
        <v>21607.78</v>
      </c>
      <c r="BB397" s="94">
        <f t="shared" si="2426"/>
        <v>21607.78</v>
      </c>
    </row>
    <row r="398" spans="1:54" x14ac:dyDescent="0.25">
      <c r="A398" s="80">
        <v>162</v>
      </c>
      <c r="B398" s="95">
        <v>538</v>
      </c>
      <c r="C398" s="201" t="s">
        <v>221</v>
      </c>
      <c r="D398" s="80" t="s">
        <v>107</v>
      </c>
      <c r="E398" s="94">
        <f>IFERROR(VLOOKUP(A398,Estimate!A:Q,17,FALSE)," ")</f>
        <v>9505.3885087719318</v>
      </c>
      <c r="F398" s="202">
        <v>1595</v>
      </c>
      <c r="G398" s="202">
        <v>1595</v>
      </c>
      <c r="H398" s="203">
        <v>7.49</v>
      </c>
      <c r="I398" s="203">
        <v>11946.55</v>
      </c>
      <c r="J398" s="203">
        <v>11946.55</v>
      </c>
      <c r="K398" s="203"/>
      <c r="L398" s="202"/>
      <c r="M398" s="204">
        <f t="shared" si="2408"/>
        <v>0</v>
      </c>
      <c r="N398" s="95"/>
      <c r="O398" s="204">
        <f t="shared" si="2408"/>
        <v>0</v>
      </c>
      <c r="P398" s="95"/>
      <c r="Q398" s="204">
        <f t="shared" ref="Q398:S398" si="2451">IFERROR(P398/$G398," ")</f>
        <v>0</v>
      </c>
      <c r="R398" s="95"/>
      <c r="S398" s="204">
        <f t="shared" si="2451"/>
        <v>0</v>
      </c>
      <c r="T398" s="95"/>
      <c r="U398" s="204">
        <f t="shared" ref="U398:W398" si="2452">IFERROR(T398/$G398," ")</f>
        <v>0</v>
      </c>
      <c r="V398" s="95"/>
      <c r="W398" s="204">
        <f t="shared" si="2452"/>
        <v>0</v>
      </c>
      <c r="X398" s="95"/>
      <c r="Y398" s="204">
        <f t="shared" ref="Y398:AA398" si="2453">IFERROR(X398/$G398," ")</f>
        <v>0</v>
      </c>
      <c r="Z398" s="95"/>
      <c r="AA398" s="204">
        <f t="shared" si="2453"/>
        <v>0</v>
      </c>
      <c r="AB398" s="95"/>
      <c r="AC398" s="204">
        <f t="shared" ref="AC398:AE398" si="2454">IFERROR(AB398/$G398," ")</f>
        <v>0</v>
      </c>
      <c r="AD398" s="95"/>
      <c r="AE398" s="204">
        <f t="shared" si="2454"/>
        <v>0</v>
      </c>
      <c r="AF398" s="95">
        <v>996</v>
      </c>
      <c r="AG398" s="204">
        <f t="shared" ref="AG398:AI398" si="2455">IFERROR(AF398/$G398," ")</f>
        <v>0.62445141065830723</v>
      </c>
      <c r="AH398" s="95">
        <v>1595</v>
      </c>
      <c r="AI398" s="204">
        <f t="shared" si="2455"/>
        <v>1</v>
      </c>
      <c r="AJ398" s="95">
        <v>1595</v>
      </c>
      <c r="AK398" s="204">
        <f t="shared" ref="AK398:AM398" si="2456">IFERROR(AJ398/$G398," ")</f>
        <v>1</v>
      </c>
      <c r="AL398" s="95">
        <v>1595</v>
      </c>
      <c r="AM398" s="204">
        <f t="shared" si="2456"/>
        <v>1</v>
      </c>
      <c r="AN398" s="95"/>
      <c r="AO398" s="94">
        <f t="shared" si="2415"/>
        <v>0</v>
      </c>
      <c r="AP398" s="94">
        <f t="shared" si="2405"/>
        <v>0</v>
      </c>
      <c r="AQ398" s="94">
        <f t="shared" si="2406"/>
        <v>0</v>
      </c>
      <c r="AR398" s="94">
        <f t="shared" si="2416"/>
        <v>0</v>
      </c>
      <c r="AS398" s="94">
        <f t="shared" si="2417"/>
        <v>0</v>
      </c>
      <c r="AT398" s="94">
        <f t="shared" si="2418"/>
        <v>0</v>
      </c>
      <c r="AU398" s="94">
        <f t="shared" si="2419"/>
        <v>0</v>
      </c>
      <c r="AV398" s="94">
        <f t="shared" si="2420"/>
        <v>0</v>
      </c>
      <c r="AW398" s="94">
        <f t="shared" si="2421"/>
        <v>0</v>
      </c>
      <c r="AX398" s="94">
        <f t="shared" si="2422"/>
        <v>0</v>
      </c>
      <c r="AY398" s="94">
        <f t="shared" si="2423"/>
        <v>7460.04</v>
      </c>
      <c r="AZ398" s="94">
        <f t="shared" si="2424"/>
        <v>11946.55</v>
      </c>
      <c r="BA398" s="94">
        <f t="shared" si="2425"/>
        <v>11946.55</v>
      </c>
      <c r="BB398" s="94">
        <f t="shared" si="2426"/>
        <v>11946.55</v>
      </c>
    </row>
    <row r="399" spans="1:54" x14ac:dyDescent="0.25">
      <c r="A399" s="80">
        <v>163</v>
      </c>
      <c r="B399" s="95">
        <v>539</v>
      </c>
      <c r="C399" s="201" t="s">
        <v>223</v>
      </c>
      <c r="D399" s="80" t="s">
        <v>107</v>
      </c>
      <c r="E399" s="94">
        <f>IFERROR(VLOOKUP(A399,Estimate!A:Q,17,FALSE)," ")</f>
        <v>2522.4785087719301</v>
      </c>
      <c r="F399" s="202">
        <v>1595</v>
      </c>
      <c r="G399" s="202">
        <v>1595</v>
      </c>
      <c r="H399" s="203">
        <v>1.99</v>
      </c>
      <c r="I399" s="203">
        <v>3174.05</v>
      </c>
      <c r="J399" s="203">
        <v>3174.05</v>
      </c>
      <c r="K399" s="203"/>
      <c r="L399" s="202"/>
      <c r="M399" s="204">
        <f t="shared" si="2408"/>
        <v>0</v>
      </c>
      <c r="N399" s="95"/>
      <c r="O399" s="204">
        <f t="shared" si="2408"/>
        <v>0</v>
      </c>
      <c r="P399" s="95"/>
      <c r="Q399" s="204">
        <f t="shared" ref="Q399:S399" si="2457">IFERROR(P399/$G399," ")</f>
        <v>0</v>
      </c>
      <c r="R399" s="95"/>
      <c r="S399" s="204">
        <f t="shared" si="2457"/>
        <v>0</v>
      </c>
      <c r="T399" s="95"/>
      <c r="U399" s="204">
        <f t="shared" ref="U399:W399" si="2458">IFERROR(T399/$G399," ")</f>
        <v>0</v>
      </c>
      <c r="V399" s="95"/>
      <c r="W399" s="204">
        <f t="shared" si="2458"/>
        <v>0</v>
      </c>
      <c r="X399" s="95"/>
      <c r="Y399" s="204">
        <f t="shared" ref="Y399:AA399" si="2459">IFERROR(X399/$G399," ")</f>
        <v>0</v>
      </c>
      <c r="Z399" s="95"/>
      <c r="AA399" s="204">
        <f t="shared" si="2459"/>
        <v>0</v>
      </c>
      <c r="AB399" s="95"/>
      <c r="AC399" s="204">
        <f t="shared" ref="AC399:AE399" si="2460">IFERROR(AB399/$G399," ")</f>
        <v>0</v>
      </c>
      <c r="AD399" s="95"/>
      <c r="AE399" s="204">
        <f t="shared" si="2460"/>
        <v>0</v>
      </c>
      <c r="AF399" s="95">
        <v>996</v>
      </c>
      <c r="AG399" s="204">
        <f t="shared" ref="AG399:AI399" si="2461">IFERROR(AF399/$G399," ")</f>
        <v>0.62445141065830723</v>
      </c>
      <c r="AH399" s="95">
        <v>1595</v>
      </c>
      <c r="AI399" s="204">
        <f t="shared" si="2461"/>
        <v>1</v>
      </c>
      <c r="AJ399" s="95">
        <v>1595</v>
      </c>
      <c r="AK399" s="204">
        <f t="shared" ref="AK399:AM399" si="2462">IFERROR(AJ399/$G399," ")</f>
        <v>1</v>
      </c>
      <c r="AL399" s="95">
        <v>1595</v>
      </c>
      <c r="AM399" s="204">
        <f t="shared" si="2462"/>
        <v>1</v>
      </c>
      <c r="AN399" s="95"/>
      <c r="AO399" s="94">
        <f t="shared" si="2415"/>
        <v>0</v>
      </c>
      <c r="AP399" s="94">
        <f t="shared" si="2405"/>
        <v>0</v>
      </c>
      <c r="AQ399" s="94">
        <f t="shared" si="2406"/>
        <v>0</v>
      </c>
      <c r="AR399" s="94">
        <f t="shared" si="2416"/>
        <v>0</v>
      </c>
      <c r="AS399" s="94">
        <f t="shared" si="2417"/>
        <v>0</v>
      </c>
      <c r="AT399" s="94">
        <f t="shared" si="2418"/>
        <v>0</v>
      </c>
      <c r="AU399" s="94">
        <f t="shared" si="2419"/>
        <v>0</v>
      </c>
      <c r="AV399" s="94">
        <f t="shared" si="2420"/>
        <v>0</v>
      </c>
      <c r="AW399" s="94">
        <f t="shared" si="2421"/>
        <v>0</v>
      </c>
      <c r="AX399" s="94">
        <f t="shared" si="2422"/>
        <v>0</v>
      </c>
      <c r="AY399" s="94">
        <f t="shared" si="2423"/>
        <v>1982.0400000000002</v>
      </c>
      <c r="AZ399" s="94">
        <f t="shared" si="2424"/>
        <v>3174.05</v>
      </c>
      <c r="BA399" s="94">
        <f t="shared" si="2425"/>
        <v>3174.05</v>
      </c>
      <c r="BB399" s="94">
        <f t="shared" si="2426"/>
        <v>3174.05</v>
      </c>
    </row>
    <row r="400" spans="1:54" x14ac:dyDescent="0.25">
      <c r="A400" s="80"/>
      <c r="B400" s="95" t="s">
        <v>2857</v>
      </c>
      <c r="C400" s="201" t="s">
        <v>120</v>
      </c>
      <c r="D400" s="80" t="s">
        <v>783</v>
      </c>
      <c r="E400" s="94" t="str">
        <f>IFERROR(VLOOKUP(A400,Estimate!A:Q,17,FALSE)," ")</f>
        <v xml:space="preserve"> </v>
      </c>
      <c r="F400" s="202" t="s">
        <v>781</v>
      </c>
      <c r="G400" s="202" t="s">
        <v>781</v>
      </c>
      <c r="H400" s="203" t="s">
        <v>781</v>
      </c>
      <c r="I400" s="203" t="s">
        <v>781</v>
      </c>
      <c r="J400" s="203" t="s">
        <v>781</v>
      </c>
      <c r="K400" s="203"/>
      <c r="L400" s="202" t="s">
        <v>781</v>
      </c>
      <c r="M400" s="204" t="str">
        <f t="shared" si="2408"/>
        <v xml:space="preserve"> </v>
      </c>
      <c r="N400" s="95" t="s">
        <v>781</v>
      </c>
      <c r="O400" s="204" t="str">
        <f t="shared" si="2408"/>
        <v xml:space="preserve"> </v>
      </c>
      <c r="P400" s="95" t="s">
        <v>781</v>
      </c>
      <c r="Q400" s="204" t="str">
        <f t="shared" ref="Q400:S400" si="2463">IFERROR(P400/$G400," ")</f>
        <v xml:space="preserve"> </v>
      </c>
      <c r="R400" s="95" t="s">
        <v>781</v>
      </c>
      <c r="S400" s="204" t="str">
        <f t="shared" si="2463"/>
        <v xml:space="preserve"> </v>
      </c>
      <c r="T400" s="95" t="s">
        <v>781</v>
      </c>
      <c r="U400" s="204" t="str">
        <f t="shared" ref="U400:W400" si="2464">IFERROR(T400/$G400," ")</f>
        <v xml:space="preserve"> </v>
      </c>
      <c r="V400" s="95" t="s">
        <v>781</v>
      </c>
      <c r="W400" s="204" t="str">
        <f t="shared" si="2464"/>
        <v xml:space="preserve"> </v>
      </c>
      <c r="X400" s="95" t="s">
        <v>781</v>
      </c>
      <c r="Y400" s="204" t="str">
        <f t="shared" ref="Y400:AA400" si="2465">IFERROR(X400/$G400," ")</f>
        <v xml:space="preserve"> </v>
      </c>
      <c r="Z400" s="95" t="s">
        <v>781</v>
      </c>
      <c r="AA400" s="204" t="str">
        <f t="shared" si="2465"/>
        <v xml:space="preserve"> </v>
      </c>
      <c r="AB400" s="95" t="s">
        <v>781</v>
      </c>
      <c r="AC400" s="204" t="str">
        <f t="shared" ref="AC400:AE400" si="2466">IFERROR(AB400/$G400," ")</f>
        <v xml:space="preserve"> </v>
      </c>
      <c r="AD400" s="95" t="s">
        <v>781</v>
      </c>
      <c r="AE400" s="204" t="str">
        <f t="shared" si="2466"/>
        <v xml:space="preserve"> </v>
      </c>
      <c r="AF400" s="95" t="s">
        <v>781</v>
      </c>
      <c r="AG400" s="204" t="str">
        <f t="shared" ref="AG400:AI400" si="2467">IFERROR(AF400/$G400," ")</f>
        <v xml:space="preserve"> </v>
      </c>
      <c r="AH400" s="95" t="s">
        <v>781</v>
      </c>
      <c r="AI400" s="204" t="str">
        <f t="shared" si="2467"/>
        <v xml:space="preserve"> </v>
      </c>
      <c r="AJ400" s="95" t="s">
        <v>781</v>
      </c>
      <c r="AK400" s="204" t="str">
        <f t="shared" ref="AK400:AM400" si="2468">IFERROR(AJ400/$G400," ")</f>
        <v xml:space="preserve"> </v>
      </c>
      <c r="AL400" s="95" t="s">
        <v>781</v>
      </c>
      <c r="AM400" s="204" t="str">
        <f t="shared" si="2468"/>
        <v xml:space="preserve"> </v>
      </c>
      <c r="AN400" s="95"/>
      <c r="AO400" s="94" t="str">
        <f t="shared" si="2415"/>
        <v xml:space="preserve"> </v>
      </c>
      <c r="AP400" s="94" t="str">
        <f t="shared" si="2405"/>
        <v xml:space="preserve"> </v>
      </c>
      <c r="AQ400" s="94" t="str">
        <f t="shared" si="2406"/>
        <v xml:space="preserve"> </v>
      </c>
      <c r="AR400" s="94" t="str">
        <f t="shared" si="2416"/>
        <v xml:space="preserve"> </v>
      </c>
      <c r="AS400" s="94" t="str">
        <f t="shared" si="2417"/>
        <v xml:space="preserve"> </v>
      </c>
      <c r="AT400" s="94" t="str">
        <f t="shared" si="2418"/>
        <v xml:space="preserve"> </v>
      </c>
      <c r="AU400" s="94" t="str">
        <f t="shared" si="2419"/>
        <v xml:space="preserve"> </v>
      </c>
      <c r="AV400" s="94" t="str">
        <f t="shared" si="2420"/>
        <v xml:space="preserve"> </v>
      </c>
      <c r="AW400" s="94" t="str">
        <f t="shared" si="2421"/>
        <v xml:space="preserve"> </v>
      </c>
      <c r="AX400" s="94" t="str">
        <f t="shared" si="2422"/>
        <v xml:space="preserve"> </v>
      </c>
      <c r="AY400" s="94" t="str">
        <f t="shared" si="2423"/>
        <v xml:space="preserve"> </v>
      </c>
      <c r="AZ400" s="94" t="str">
        <f t="shared" si="2424"/>
        <v xml:space="preserve"> </v>
      </c>
      <c r="BA400" s="94" t="str">
        <f t="shared" si="2425"/>
        <v xml:space="preserve"> </v>
      </c>
      <c r="BB400" s="94" t="str">
        <f t="shared" si="2426"/>
        <v xml:space="preserve"> </v>
      </c>
    </row>
    <row r="401" spans="1:54" ht="45" x14ac:dyDescent="0.25">
      <c r="A401" s="80"/>
      <c r="B401" s="95" t="s">
        <v>2858</v>
      </c>
      <c r="C401" s="201" t="s">
        <v>122</v>
      </c>
      <c r="D401" s="80" t="s">
        <v>783</v>
      </c>
      <c r="E401" s="94" t="str">
        <f>IFERROR(VLOOKUP(A401,Estimate!A:Q,17,FALSE)," ")</f>
        <v xml:space="preserve"> </v>
      </c>
      <c r="F401" s="202" t="s">
        <v>781</v>
      </c>
      <c r="G401" s="202" t="s">
        <v>781</v>
      </c>
      <c r="H401" s="203" t="s">
        <v>781</v>
      </c>
      <c r="I401" s="203" t="s">
        <v>781</v>
      </c>
      <c r="J401" s="203" t="s">
        <v>781</v>
      </c>
      <c r="K401" s="203"/>
      <c r="L401" s="202" t="s">
        <v>781</v>
      </c>
      <c r="M401" s="204" t="str">
        <f t="shared" si="2408"/>
        <v xml:space="preserve"> </v>
      </c>
      <c r="N401" s="95" t="s">
        <v>781</v>
      </c>
      <c r="O401" s="204" t="str">
        <f t="shared" si="2408"/>
        <v xml:space="preserve"> </v>
      </c>
      <c r="P401" s="95" t="s">
        <v>781</v>
      </c>
      <c r="Q401" s="204" t="str">
        <f t="shared" ref="Q401:S401" si="2469">IFERROR(P401/$G401," ")</f>
        <v xml:space="preserve"> </v>
      </c>
      <c r="R401" s="95" t="s">
        <v>781</v>
      </c>
      <c r="S401" s="204" t="str">
        <f t="shared" si="2469"/>
        <v xml:space="preserve"> </v>
      </c>
      <c r="T401" s="95" t="s">
        <v>781</v>
      </c>
      <c r="U401" s="204" t="str">
        <f t="shared" ref="U401:W401" si="2470">IFERROR(T401/$G401," ")</f>
        <v xml:space="preserve"> </v>
      </c>
      <c r="V401" s="95" t="s">
        <v>781</v>
      </c>
      <c r="W401" s="204" t="str">
        <f t="shared" si="2470"/>
        <v xml:space="preserve"> </v>
      </c>
      <c r="X401" s="95" t="s">
        <v>781</v>
      </c>
      <c r="Y401" s="204" t="str">
        <f t="shared" ref="Y401:AA401" si="2471">IFERROR(X401/$G401," ")</f>
        <v xml:space="preserve"> </v>
      </c>
      <c r="Z401" s="95" t="s">
        <v>781</v>
      </c>
      <c r="AA401" s="204" t="str">
        <f t="shared" si="2471"/>
        <v xml:space="preserve"> </v>
      </c>
      <c r="AB401" s="95" t="s">
        <v>781</v>
      </c>
      <c r="AC401" s="204" t="str">
        <f t="shared" ref="AC401:AE401" si="2472">IFERROR(AB401/$G401," ")</f>
        <v xml:space="preserve"> </v>
      </c>
      <c r="AD401" s="95" t="s">
        <v>781</v>
      </c>
      <c r="AE401" s="204" t="str">
        <f t="shared" si="2472"/>
        <v xml:space="preserve"> </v>
      </c>
      <c r="AF401" s="95" t="s">
        <v>781</v>
      </c>
      <c r="AG401" s="204" t="str">
        <f t="shared" ref="AG401:AI401" si="2473">IFERROR(AF401/$G401," ")</f>
        <v xml:space="preserve"> </v>
      </c>
      <c r="AH401" s="95" t="s">
        <v>781</v>
      </c>
      <c r="AI401" s="204" t="str">
        <f t="shared" si="2473"/>
        <v xml:space="preserve"> </v>
      </c>
      <c r="AJ401" s="95" t="s">
        <v>781</v>
      </c>
      <c r="AK401" s="204" t="str">
        <f t="shared" ref="AK401:AM401" si="2474">IFERROR(AJ401/$G401," ")</f>
        <v xml:space="preserve"> </v>
      </c>
      <c r="AL401" s="95" t="s">
        <v>781</v>
      </c>
      <c r="AM401" s="204" t="str">
        <f t="shared" si="2474"/>
        <v xml:space="preserve"> </v>
      </c>
      <c r="AN401" s="95"/>
      <c r="AO401" s="94" t="str">
        <f t="shared" si="2415"/>
        <v xml:space="preserve"> </v>
      </c>
      <c r="AP401" s="94" t="str">
        <f t="shared" si="2405"/>
        <v xml:space="preserve"> </v>
      </c>
      <c r="AQ401" s="94" t="str">
        <f t="shared" si="2406"/>
        <v xml:space="preserve"> </v>
      </c>
      <c r="AR401" s="94" t="str">
        <f t="shared" si="2416"/>
        <v xml:space="preserve"> </v>
      </c>
      <c r="AS401" s="94" t="str">
        <f t="shared" si="2417"/>
        <v xml:space="preserve"> </v>
      </c>
      <c r="AT401" s="94" t="str">
        <f t="shared" si="2418"/>
        <v xml:space="preserve"> </v>
      </c>
      <c r="AU401" s="94" t="str">
        <f t="shared" si="2419"/>
        <v xml:space="preserve"> </v>
      </c>
      <c r="AV401" s="94" t="str">
        <f t="shared" si="2420"/>
        <v xml:space="preserve"> </v>
      </c>
      <c r="AW401" s="94" t="str">
        <f t="shared" si="2421"/>
        <v xml:space="preserve"> </v>
      </c>
      <c r="AX401" s="94" t="str">
        <f t="shared" si="2422"/>
        <v xml:space="preserve"> </v>
      </c>
      <c r="AY401" s="94" t="str">
        <f t="shared" si="2423"/>
        <v xml:space="preserve"> </v>
      </c>
      <c r="AZ401" s="94" t="str">
        <f t="shared" si="2424"/>
        <v xml:space="preserve"> </v>
      </c>
      <c r="BA401" s="94" t="str">
        <f t="shared" si="2425"/>
        <v xml:space="preserve"> </v>
      </c>
      <c r="BB401" s="94" t="str">
        <f t="shared" si="2426"/>
        <v xml:space="preserve"> </v>
      </c>
    </row>
    <row r="402" spans="1:54" x14ac:dyDescent="0.25">
      <c r="A402" s="80">
        <v>164</v>
      </c>
      <c r="B402" s="95" t="s">
        <v>2859</v>
      </c>
      <c r="C402" s="201" t="s">
        <v>124</v>
      </c>
      <c r="D402" s="80" t="s">
        <v>107</v>
      </c>
      <c r="E402" s="94">
        <f>IFERROR(VLOOKUP(A402,Estimate!A:Q,17,FALSE)," ")</f>
        <v>14537.124</v>
      </c>
      <c r="F402" s="202">
        <v>1206</v>
      </c>
      <c r="G402" s="202">
        <v>1206</v>
      </c>
      <c r="H402" s="203">
        <v>12.36</v>
      </c>
      <c r="I402" s="203">
        <v>14906.16</v>
      </c>
      <c r="J402" s="203">
        <v>14906.16</v>
      </c>
      <c r="K402" s="203"/>
      <c r="L402" s="202"/>
      <c r="M402" s="204">
        <f t="shared" si="2408"/>
        <v>0</v>
      </c>
      <c r="N402" s="95"/>
      <c r="O402" s="204">
        <f t="shared" si="2408"/>
        <v>0</v>
      </c>
      <c r="P402" s="95"/>
      <c r="Q402" s="204">
        <f t="shared" ref="Q402:S402" si="2475">IFERROR(P402/$G402," ")</f>
        <v>0</v>
      </c>
      <c r="R402" s="95"/>
      <c r="S402" s="204">
        <f t="shared" si="2475"/>
        <v>0</v>
      </c>
      <c r="T402" s="95"/>
      <c r="U402" s="204">
        <f t="shared" ref="U402:W402" si="2476">IFERROR(T402/$G402," ")</f>
        <v>0</v>
      </c>
      <c r="V402" s="95"/>
      <c r="W402" s="204">
        <f t="shared" si="2476"/>
        <v>0</v>
      </c>
      <c r="X402" s="95"/>
      <c r="Y402" s="204">
        <f t="shared" ref="Y402:AA402" si="2477">IFERROR(X402/$G402," ")</f>
        <v>0</v>
      </c>
      <c r="Z402" s="95"/>
      <c r="AA402" s="204">
        <f t="shared" si="2477"/>
        <v>0</v>
      </c>
      <c r="AB402" s="95"/>
      <c r="AC402" s="204">
        <f t="shared" ref="AC402:AE402" si="2478">IFERROR(AB402/$G402," ")</f>
        <v>0</v>
      </c>
      <c r="AD402" s="95"/>
      <c r="AE402" s="204">
        <f t="shared" si="2478"/>
        <v>0</v>
      </c>
      <c r="AF402" s="95"/>
      <c r="AG402" s="204">
        <f t="shared" ref="AG402:AI402" si="2479">IFERROR(AF402/$G402," ")</f>
        <v>0</v>
      </c>
      <c r="AH402" s="95">
        <v>1206</v>
      </c>
      <c r="AI402" s="204">
        <f t="shared" si="2479"/>
        <v>1</v>
      </c>
      <c r="AJ402" s="95">
        <v>1206</v>
      </c>
      <c r="AK402" s="204">
        <f t="shared" ref="AK402:AM402" si="2480">IFERROR(AJ402/$G402," ")</f>
        <v>1</v>
      </c>
      <c r="AL402" s="95">
        <v>1206</v>
      </c>
      <c r="AM402" s="204">
        <f t="shared" si="2480"/>
        <v>1</v>
      </c>
      <c r="AN402" s="95"/>
      <c r="AO402" s="94">
        <f t="shared" si="2415"/>
        <v>0</v>
      </c>
      <c r="AP402" s="94">
        <f t="shared" si="2405"/>
        <v>0</v>
      </c>
      <c r="AQ402" s="94">
        <f t="shared" si="2406"/>
        <v>0</v>
      </c>
      <c r="AR402" s="94">
        <f t="shared" si="2416"/>
        <v>0</v>
      </c>
      <c r="AS402" s="94">
        <f t="shared" si="2417"/>
        <v>0</v>
      </c>
      <c r="AT402" s="94">
        <f t="shared" si="2418"/>
        <v>0</v>
      </c>
      <c r="AU402" s="94">
        <f t="shared" si="2419"/>
        <v>0</v>
      </c>
      <c r="AV402" s="94">
        <f t="shared" si="2420"/>
        <v>0</v>
      </c>
      <c r="AW402" s="94">
        <f t="shared" si="2421"/>
        <v>0</v>
      </c>
      <c r="AX402" s="94">
        <f t="shared" si="2422"/>
        <v>0</v>
      </c>
      <c r="AY402" s="94">
        <f t="shared" si="2423"/>
        <v>0</v>
      </c>
      <c r="AZ402" s="94">
        <f t="shared" si="2424"/>
        <v>14906.16</v>
      </c>
      <c r="BA402" s="94">
        <f t="shared" si="2425"/>
        <v>14906.16</v>
      </c>
      <c r="BB402" s="94">
        <f t="shared" si="2426"/>
        <v>14906.16</v>
      </c>
    </row>
    <row r="403" spans="1:54" x14ac:dyDescent="0.25">
      <c r="A403" s="80"/>
      <c r="B403" s="95" t="s">
        <v>2897</v>
      </c>
      <c r="C403" s="201" t="s">
        <v>403</v>
      </c>
      <c r="D403" s="80" t="s">
        <v>783</v>
      </c>
      <c r="E403" s="94" t="str">
        <f>IFERROR(VLOOKUP(A403,Estimate!A:Q,17,FALSE)," ")</f>
        <v xml:space="preserve"> </v>
      </c>
      <c r="F403" s="202" t="s">
        <v>781</v>
      </c>
      <c r="G403" s="202" t="s">
        <v>781</v>
      </c>
      <c r="H403" s="203" t="s">
        <v>781</v>
      </c>
      <c r="I403" s="203" t="s">
        <v>781</v>
      </c>
      <c r="J403" s="203" t="s">
        <v>781</v>
      </c>
      <c r="K403" s="203"/>
      <c r="L403" s="202" t="s">
        <v>781</v>
      </c>
      <c r="M403" s="204" t="str">
        <f t="shared" si="2408"/>
        <v xml:space="preserve"> </v>
      </c>
      <c r="N403" s="95" t="s">
        <v>781</v>
      </c>
      <c r="O403" s="204" t="str">
        <f t="shared" si="2408"/>
        <v xml:space="preserve"> </v>
      </c>
      <c r="P403" s="95" t="s">
        <v>781</v>
      </c>
      <c r="Q403" s="204" t="str">
        <f t="shared" ref="Q403:S403" si="2481">IFERROR(P403/$G403," ")</f>
        <v xml:space="preserve"> </v>
      </c>
      <c r="R403" s="95" t="s">
        <v>781</v>
      </c>
      <c r="S403" s="204" t="str">
        <f t="shared" si="2481"/>
        <v xml:space="preserve"> </v>
      </c>
      <c r="T403" s="95" t="s">
        <v>781</v>
      </c>
      <c r="U403" s="204" t="str">
        <f t="shared" ref="U403:W403" si="2482">IFERROR(T403/$G403," ")</f>
        <v xml:space="preserve"> </v>
      </c>
      <c r="V403" s="95" t="s">
        <v>781</v>
      </c>
      <c r="W403" s="204" t="str">
        <f t="shared" si="2482"/>
        <v xml:space="preserve"> </v>
      </c>
      <c r="X403" s="95" t="s">
        <v>781</v>
      </c>
      <c r="Y403" s="204" t="str">
        <f t="shared" ref="Y403:AA403" si="2483">IFERROR(X403/$G403," ")</f>
        <v xml:space="preserve"> </v>
      </c>
      <c r="Z403" s="95" t="s">
        <v>781</v>
      </c>
      <c r="AA403" s="204" t="str">
        <f t="shared" si="2483"/>
        <v xml:space="preserve"> </v>
      </c>
      <c r="AB403" s="95" t="s">
        <v>781</v>
      </c>
      <c r="AC403" s="204" t="str">
        <f t="shared" ref="AC403:AE403" si="2484">IFERROR(AB403/$G403," ")</f>
        <v xml:space="preserve"> </v>
      </c>
      <c r="AD403" s="95" t="s">
        <v>781</v>
      </c>
      <c r="AE403" s="204" t="str">
        <f t="shared" si="2484"/>
        <v xml:space="preserve"> </v>
      </c>
      <c r="AF403" s="95" t="s">
        <v>781</v>
      </c>
      <c r="AG403" s="204" t="str">
        <f t="shared" ref="AG403:AI403" si="2485">IFERROR(AF403/$G403," ")</f>
        <v xml:space="preserve"> </v>
      </c>
      <c r="AH403" s="95" t="s">
        <v>781</v>
      </c>
      <c r="AI403" s="204" t="str">
        <f t="shared" si="2485"/>
        <v xml:space="preserve"> </v>
      </c>
      <c r="AJ403" s="95" t="s">
        <v>781</v>
      </c>
      <c r="AK403" s="204" t="str">
        <f t="shared" ref="AK403:AM403" si="2486">IFERROR(AJ403/$G403," ")</f>
        <v xml:space="preserve"> </v>
      </c>
      <c r="AL403" s="95" t="s">
        <v>781</v>
      </c>
      <c r="AM403" s="204" t="str">
        <f t="shared" si="2486"/>
        <v xml:space="preserve"> </v>
      </c>
      <c r="AN403" s="95"/>
      <c r="AO403" s="94" t="str">
        <f t="shared" si="2415"/>
        <v xml:space="preserve"> </v>
      </c>
      <c r="AP403" s="94" t="str">
        <f t="shared" si="2405"/>
        <v xml:space="preserve"> </v>
      </c>
      <c r="AQ403" s="94" t="str">
        <f t="shared" si="2406"/>
        <v xml:space="preserve"> </v>
      </c>
      <c r="AR403" s="94" t="str">
        <f t="shared" si="2416"/>
        <v xml:space="preserve"> </v>
      </c>
      <c r="AS403" s="94" t="str">
        <f t="shared" si="2417"/>
        <v xml:space="preserve"> </v>
      </c>
      <c r="AT403" s="94" t="str">
        <f t="shared" si="2418"/>
        <v xml:space="preserve"> </v>
      </c>
      <c r="AU403" s="94" t="str">
        <f t="shared" si="2419"/>
        <v xml:space="preserve"> </v>
      </c>
      <c r="AV403" s="94" t="str">
        <f t="shared" si="2420"/>
        <v xml:space="preserve"> </v>
      </c>
      <c r="AW403" s="94" t="str">
        <f t="shared" si="2421"/>
        <v xml:space="preserve"> </v>
      </c>
      <c r="AX403" s="94" t="str">
        <f t="shared" si="2422"/>
        <v xml:space="preserve"> </v>
      </c>
      <c r="AY403" s="94" t="str">
        <f t="shared" si="2423"/>
        <v xml:space="preserve"> </v>
      </c>
      <c r="AZ403" s="94" t="str">
        <f t="shared" si="2424"/>
        <v xml:space="preserve"> </v>
      </c>
      <c r="BA403" s="94" t="str">
        <f t="shared" si="2425"/>
        <v xml:space="preserve"> </v>
      </c>
      <c r="BB403" s="94" t="str">
        <f t="shared" si="2426"/>
        <v xml:space="preserve"> </v>
      </c>
    </row>
    <row r="404" spans="1:54" x14ac:dyDescent="0.25">
      <c r="A404" s="80"/>
      <c r="B404" s="95" t="s">
        <v>2878</v>
      </c>
      <c r="C404" s="201" t="s">
        <v>226</v>
      </c>
      <c r="D404" s="80" t="s">
        <v>783</v>
      </c>
      <c r="E404" s="94" t="str">
        <f>IFERROR(VLOOKUP(A404,Estimate!A:Q,17,FALSE)," ")</f>
        <v xml:space="preserve"> </v>
      </c>
      <c r="F404" s="202" t="s">
        <v>781</v>
      </c>
      <c r="G404" s="202" t="s">
        <v>781</v>
      </c>
      <c r="H404" s="203" t="s">
        <v>781</v>
      </c>
      <c r="I404" s="203" t="s">
        <v>781</v>
      </c>
      <c r="J404" s="203" t="s">
        <v>781</v>
      </c>
      <c r="K404" s="203"/>
      <c r="L404" s="202" t="s">
        <v>781</v>
      </c>
      <c r="M404" s="204" t="str">
        <f t="shared" si="2408"/>
        <v xml:space="preserve"> </v>
      </c>
      <c r="N404" s="95" t="s">
        <v>781</v>
      </c>
      <c r="O404" s="204" t="str">
        <f t="shared" si="2408"/>
        <v xml:space="preserve"> </v>
      </c>
      <c r="P404" s="95" t="s">
        <v>781</v>
      </c>
      <c r="Q404" s="204" t="str">
        <f t="shared" ref="Q404:S404" si="2487">IFERROR(P404/$G404," ")</f>
        <v xml:space="preserve"> </v>
      </c>
      <c r="R404" s="95" t="s">
        <v>781</v>
      </c>
      <c r="S404" s="204" t="str">
        <f t="shared" si="2487"/>
        <v xml:space="preserve"> </v>
      </c>
      <c r="T404" s="95" t="s">
        <v>781</v>
      </c>
      <c r="U404" s="204" t="str">
        <f t="shared" ref="U404:W404" si="2488">IFERROR(T404/$G404," ")</f>
        <v xml:space="preserve"> </v>
      </c>
      <c r="V404" s="95" t="s">
        <v>781</v>
      </c>
      <c r="W404" s="204" t="str">
        <f t="shared" si="2488"/>
        <v xml:space="preserve"> </v>
      </c>
      <c r="X404" s="95" t="s">
        <v>781</v>
      </c>
      <c r="Y404" s="204" t="str">
        <f t="shared" ref="Y404:AA404" si="2489">IFERROR(X404/$G404," ")</f>
        <v xml:space="preserve"> </v>
      </c>
      <c r="Z404" s="95" t="s">
        <v>781</v>
      </c>
      <c r="AA404" s="204" t="str">
        <f t="shared" si="2489"/>
        <v xml:space="preserve"> </v>
      </c>
      <c r="AB404" s="95" t="s">
        <v>781</v>
      </c>
      <c r="AC404" s="204" t="str">
        <f t="shared" ref="AC404:AE404" si="2490">IFERROR(AB404/$G404," ")</f>
        <v xml:space="preserve"> </v>
      </c>
      <c r="AD404" s="95" t="s">
        <v>781</v>
      </c>
      <c r="AE404" s="204" t="str">
        <f t="shared" si="2490"/>
        <v xml:space="preserve"> </v>
      </c>
      <c r="AF404" s="95" t="s">
        <v>781</v>
      </c>
      <c r="AG404" s="204" t="str">
        <f t="shared" ref="AG404:AI404" si="2491">IFERROR(AF404/$G404," ")</f>
        <v xml:space="preserve"> </v>
      </c>
      <c r="AH404" s="95" t="s">
        <v>781</v>
      </c>
      <c r="AI404" s="204" t="str">
        <f t="shared" si="2491"/>
        <v xml:space="preserve"> </v>
      </c>
      <c r="AJ404" s="95" t="s">
        <v>781</v>
      </c>
      <c r="AK404" s="204" t="str">
        <f t="shared" ref="AK404:AM404" si="2492">IFERROR(AJ404/$G404," ")</f>
        <v xml:space="preserve"> </v>
      </c>
      <c r="AL404" s="95" t="s">
        <v>781</v>
      </c>
      <c r="AM404" s="204" t="str">
        <f t="shared" si="2492"/>
        <v xml:space="preserve"> </v>
      </c>
      <c r="AN404" s="95"/>
      <c r="AO404" s="94" t="str">
        <f t="shared" si="2415"/>
        <v xml:space="preserve"> </v>
      </c>
      <c r="AP404" s="94" t="str">
        <f t="shared" si="2405"/>
        <v xml:space="preserve"> </v>
      </c>
      <c r="AQ404" s="94" t="str">
        <f t="shared" si="2406"/>
        <v xml:space="preserve"> </v>
      </c>
      <c r="AR404" s="94" t="str">
        <f t="shared" si="2416"/>
        <v xml:space="preserve"> </v>
      </c>
      <c r="AS404" s="94" t="str">
        <f t="shared" si="2417"/>
        <v xml:space="preserve"> </v>
      </c>
      <c r="AT404" s="94" t="str">
        <f t="shared" si="2418"/>
        <v xml:space="preserve"> </v>
      </c>
      <c r="AU404" s="94" t="str">
        <f t="shared" si="2419"/>
        <v xml:space="preserve"> </v>
      </c>
      <c r="AV404" s="94" t="str">
        <f t="shared" si="2420"/>
        <v xml:space="preserve"> </v>
      </c>
      <c r="AW404" s="94" t="str">
        <f t="shared" si="2421"/>
        <v xml:space="preserve"> </v>
      </c>
      <c r="AX404" s="94" t="str">
        <f t="shared" si="2422"/>
        <v xml:space="preserve"> </v>
      </c>
      <c r="AY404" s="94" t="str">
        <f t="shared" si="2423"/>
        <v xml:space="preserve"> </v>
      </c>
      <c r="AZ404" s="94" t="str">
        <f t="shared" si="2424"/>
        <v xml:space="preserve"> </v>
      </c>
      <c r="BA404" s="94" t="str">
        <f t="shared" si="2425"/>
        <v xml:space="preserve"> </v>
      </c>
      <c r="BB404" s="94" t="str">
        <f t="shared" si="2426"/>
        <v xml:space="preserve"> </v>
      </c>
    </row>
    <row r="405" spans="1:54" x14ac:dyDescent="0.25">
      <c r="A405" s="80">
        <v>165</v>
      </c>
      <c r="B405" s="95" t="s">
        <v>2924</v>
      </c>
      <c r="C405" s="201" t="s">
        <v>578</v>
      </c>
      <c r="D405" s="80" t="s">
        <v>82</v>
      </c>
      <c r="E405" s="94">
        <f>IFERROR(VLOOKUP(A405,Estimate!A:Q,17,FALSE)," ")</f>
        <v>30256.947000000004</v>
      </c>
      <c r="F405" s="202">
        <v>87</v>
      </c>
      <c r="G405" s="202">
        <v>87</v>
      </c>
      <c r="H405" s="203">
        <v>356.48</v>
      </c>
      <c r="I405" s="203">
        <v>31013.759999999998</v>
      </c>
      <c r="J405" s="203">
        <v>31013.759999999998</v>
      </c>
      <c r="K405" s="203"/>
      <c r="L405" s="202"/>
      <c r="M405" s="204">
        <f t="shared" si="2408"/>
        <v>0</v>
      </c>
      <c r="N405" s="95"/>
      <c r="O405" s="204">
        <f t="shared" si="2408"/>
        <v>0</v>
      </c>
      <c r="P405" s="95"/>
      <c r="Q405" s="204">
        <f t="shared" ref="Q405:S405" si="2493">IFERROR(P405/$G405," ")</f>
        <v>0</v>
      </c>
      <c r="R405" s="95"/>
      <c r="S405" s="204">
        <f t="shared" si="2493"/>
        <v>0</v>
      </c>
      <c r="T405" s="95"/>
      <c r="U405" s="204">
        <f t="shared" ref="U405:W405" si="2494">IFERROR(T405/$G405," ")</f>
        <v>0</v>
      </c>
      <c r="V405" s="95"/>
      <c r="W405" s="204">
        <f t="shared" si="2494"/>
        <v>0</v>
      </c>
      <c r="X405" s="95"/>
      <c r="Y405" s="204">
        <f t="shared" ref="Y405:AA405" si="2495">IFERROR(X405/$G405," ")</f>
        <v>0</v>
      </c>
      <c r="Z405" s="95"/>
      <c r="AA405" s="204">
        <f t="shared" si="2495"/>
        <v>0</v>
      </c>
      <c r="AB405" s="95"/>
      <c r="AC405" s="204">
        <f t="shared" ref="AC405:AE405" si="2496">IFERROR(AB405/$G405," ")</f>
        <v>0</v>
      </c>
      <c r="AD405" s="95"/>
      <c r="AE405" s="204">
        <f t="shared" si="2496"/>
        <v>0</v>
      </c>
      <c r="AF405" s="95"/>
      <c r="AG405" s="204">
        <f t="shared" ref="AG405:AI405" si="2497">IFERROR(AF405/$G405," ")</f>
        <v>0</v>
      </c>
      <c r="AH405" s="95">
        <v>87</v>
      </c>
      <c r="AI405" s="204">
        <f t="shared" si="2497"/>
        <v>1</v>
      </c>
      <c r="AJ405" s="95">
        <v>87</v>
      </c>
      <c r="AK405" s="204">
        <f t="shared" ref="AK405:AM405" si="2498">IFERROR(AJ405/$G405," ")</f>
        <v>1</v>
      </c>
      <c r="AL405" s="95">
        <v>87</v>
      </c>
      <c r="AM405" s="204">
        <f t="shared" si="2498"/>
        <v>1</v>
      </c>
      <c r="AN405" s="95"/>
      <c r="AO405" s="94">
        <f t="shared" si="2415"/>
        <v>0</v>
      </c>
      <c r="AP405" s="94">
        <f t="shared" si="2405"/>
        <v>0</v>
      </c>
      <c r="AQ405" s="94">
        <f t="shared" si="2406"/>
        <v>0</v>
      </c>
      <c r="AR405" s="94">
        <f t="shared" si="2416"/>
        <v>0</v>
      </c>
      <c r="AS405" s="94">
        <f t="shared" si="2417"/>
        <v>0</v>
      </c>
      <c r="AT405" s="94">
        <f t="shared" si="2418"/>
        <v>0</v>
      </c>
      <c r="AU405" s="94">
        <f t="shared" si="2419"/>
        <v>0</v>
      </c>
      <c r="AV405" s="94">
        <f t="shared" si="2420"/>
        <v>0</v>
      </c>
      <c r="AW405" s="94">
        <f t="shared" si="2421"/>
        <v>0</v>
      </c>
      <c r="AX405" s="94">
        <f t="shared" si="2422"/>
        <v>0</v>
      </c>
      <c r="AY405" s="94">
        <f t="shared" si="2423"/>
        <v>0</v>
      </c>
      <c r="AZ405" s="94">
        <f t="shared" si="2424"/>
        <v>31013.759999999998</v>
      </c>
      <c r="BA405" s="94">
        <f t="shared" si="2425"/>
        <v>31013.759999999998</v>
      </c>
      <c r="BB405" s="94">
        <f t="shared" si="2426"/>
        <v>31013.759999999998</v>
      </c>
    </row>
    <row r="406" spans="1:54" x14ac:dyDescent="0.25">
      <c r="A406" s="80"/>
      <c r="B406" s="95" t="s">
        <v>2417</v>
      </c>
      <c r="C406" s="201" t="s">
        <v>2837</v>
      </c>
      <c r="D406" s="80" t="s">
        <v>783</v>
      </c>
      <c r="E406" s="94" t="str">
        <f>IFERROR(VLOOKUP(A406,Estimate!A:Q,17,FALSE)," ")</f>
        <v xml:space="preserve"> </v>
      </c>
      <c r="F406" s="202" t="s">
        <v>781</v>
      </c>
      <c r="G406" s="202" t="s">
        <v>781</v>
      </c>
      <c r="H406" s="203" t="s">
        <v>781</v>
      </c>
      <c r="I406" s="203" t="s">
        <v>781</v>
      </c>
      <c r="J406" s="203" t="s">
        <v>781</v>
      </c>
      <c r="K406" s="203"/>
      <c r="L406" s="202" t="s">
        <v>781</v>
      </c>
      <c r="M406" s="204" t="str">
        <f t="shared" si="2408"/>
        <v xml:space="preserve"> </v>
      </c>
      <c r="N406" s="95" t="s">
        <v>781</v>
      </c>
      <c r="O406" s="204" t="str">
        <f t="shared" si="2408"/>
        <v xml:space="preserve"> </v>
      </c>
      <c r="P406" s="95" t="s">
        <v>781</v>
      </c>
      <c r="Q406" s="204" t="str">
        <f t="shared" ref="Q406:S406" si="2499">IFERROR(P406/$G406," ")</f>
        <v xml:space="preserve"> </v>
      </c>
      <c r="R406" s="95" t="s">
        <v>781</v>
      </c>
      <c r="S406" s="204" t="str">
        <f t="shared" si="2499"/>
        <v xml:space="preserve"> </v>
      </c>
      <c r="T406" s="95" t="s">
        <v>781</v>
      </c>
      <c r="U406" s="204" t="str">
        <f t="shared" ref="U406:W406" si="2500">IFERROR(T406/$G406," ")</f>
        <v xml:space="preserve"> </v>
      </c>
      <c r="V406" s="95" t="s">
        <v>781</v>
      </c>
      <c r="W406" s="204" t="str">
        <f t="shared" si="2500"/>
        <v xml:space="preserve"> </v>
      </c>
      <c r="X406" s="95" t="s">
        <v>781</v>
      </c>
      <c r="Y406" s="204" t="str">
        <f t="shared" ref="Y406:AA406" si="2501">IFERROR(X406/$G406," ")</f>
        <v xml:space="preserve"> </v>
      </c>
      <c r="Z406" s="95" t="s">
        <v>781</v>
      </c>
      <c r="AA406" s="204" t="str">
        <f t="shared" si="2501"/>
        <v xml:space="preserve"> </v>
      </c>
      <c r="AB406" s="95" t="s">
        <v>781</v>
      </c>
      <c r="AC406" s="204" t="str">
        <f t="shared" ref="AC406:AE406" si="2502">IFERROR(AB406/$G406," ")</f>
        <v xml:space="preserve"> </v>
      </c>
      <c r="AD406" s="95" t="s">
        <v>781</v>
      </c>
      <c r="AE406" s="204" t="str">
        <f t="shared" si="2502"/>
        <v xml:space="preserve"> </v>
      </c>
      <c r="AF406" s="95" t="s">
        <v>781</v>
      </c>
      <c r="AG406" s="204" t="str">
        <f t="shared" ref="AG406:AI406" si="2503">IFERROR(AF406/$G406," ")</f>
        <v xml:space="preserve"> </v>
      </c>
      <c r="AH406" s="95" t="s">
        <v>781</v>
      </c>
      <c r="AI406" s="204" t="str">
        <f t="shared" si="2503"/>
        <v xml:space="preserve"> </v>
      </c>
      <c r="AJ406" s="95" t="s">
        <v>781</v>
      </c>
      <c r="AK406" s="204" t="str">
        <f t="shared" ref="AK406:AM406" si="2504">IFERROR(AJ406/$G406," ")</f>
        <v xml:space="preserve"> </v>
      </c>
      <c r="AL406" s="95" t="s">
        <v>781</v>
      </c>
      <c r="AM406" s="204" t="str">
        <f t="shared" si="2504"/>
        <v xml:space="preserve"> </v>
      </c>
      <c r="AN406" s="95"/>
      <c r="AO406" s="94" t="str">
        <f t="shared" si="2415"/>
        <v xml:space="preserve"> </v>
      </c>
      <c r="AP406" s="94" t="str">
        <f t="shared" si="2405"/>
        <v xml:space="preserve"> </v>
      </c>
      <c r="AQ406" s="94" t="str">
        <f t="shared" si="2406"/>
        <v xml:space="preserve"> </v>
      </c>
      <c r="AR406" s="94" t="str">
        <f t="shared" si="2416"/>
        <v xml:space="preserve"> </v>
      </c>
      <c r="AS406" s="94" t="str">
        <f t="shared" si="2417"/>
        <v xml:space="preserve"> </v>
      </c>
      <c r="AT406" s="94" t="str">
        <f t="shared" si="2418"/>
        <v xml:space="preserve"> </v>
      </c>
      <c r="AU406" s="94" t="str">
        <f t="shared" si="2419"/>
        <v xml:space="preserve"> </v>
      </c>
      <c r="AV406" s="94" t="str">
        <f t="shared" si="2420"/>
        <v xml:space="preserve"> </v>
      </c>
      <c r="AW406" s="94" t="str">
        <f t="shared" si="2421"/>
        <v xml:space="preserve"> </v>
      </c>
      <c r="AX406" s="94" t="str">
        <f t="shared" si="2422"/>
        <v xml:space="preserve"> </v>
      </c>
      <c r="AY406" s="94" t="str">
        <f t="shared" si="2423"/>
        <v xml:space="preserve"> </v>
      </c>
      <c r="AZ406" s="94" t="str">
        <f t="shared" si="2424"/>
        <v xml:space="preserve"> </v>
      </c>
      <c r="BA406" s="94" t="str">
        <f t="shared" si="2425"/>
        <v xml:space="preserve"> </v>
      </c>
      <c r="BB406" s="94" t="str">
        <f t="shared" si="2426"/>
        <v xml:space="preserve"> </v>
      </c>
    </row>
    <row r="407" spans="1:54" x14ac:dyDescent="0.25">
      <c r="A407" s="80"/>
      <c r="B407" s="95" t="s">
        <v>2417</v>
      </c>
      <c r="C407" s="201" t="s">
        <v>129</v>
      </c>
      <c r="D407" s="80" t="s">
        <v>783</v>
      </c>
      <c r="E407" s="94" t="str">
        <f>IFERROR(VLOOKUP(A407,Estimate!A:Q,17,FALSE)," ")</f>
        <v xml:space="preserve"> </v>
      </c>
      <c r="F407" s="202" t="s">
        <v>781</v>
      </c>
      <c r="G407" s="202" t="s">
        <v>781</v>
      </c>
      <c r="H407" s="203" t="s">
        <v>781</v>
      </c>
      <c r="I407" s="203" t="s">
        <v>781</v>
      </c>
      <c r="J407" s="203" t="s">
        <v>781</v>
      </c>
      <c r="K407" s="203"/>
      <c r="L407" s="202" t="s">
        <v>781</v>
      </c>
      <c r="M407" s="204" t="str">
        <f t="shared" si="2408"/>
        <v xml:space="preserve"> </v>
      </c>
      <c r="N407" s="95" t="s">
        <v>781</v>
      </c>
      <c r="O407" s="204" t="str">
        <f t="shared" si="2408"/>
        <v xml:space="preserve"> </v>
      </c>
      <c r="P407" s="95" t="s">
        <v>781</v>
      </c>
      <c r="Q407" s="204" t="str">
        <f t="shared" ref="Q407:S407" si="2505">IFERROR(P407/$G407," ")</f>
        <v xml:space="preserve"> </v>
      </c>
      <c r="R407" s="95" t="s">
        <v>781</v>
      </c>
      <c r="S407" s="204" t="str">
        <f t="shared" si="2505"/>
        <v xml:space="preserve"> </v>
      </c>
      <c r="T407" s="95" t="s">
        <v>781</v>
      </c>
      <c r="U407" s="204" t="str">
        <f t="shared" ref="U407:W407" si="2506">IFERROR(T407/$G407," ")</f>
        <v xml:space="preserve"> </v>
      </c>
      <c r="V407" s="95" t="s">
        <v>781</v>
      </c>
      <c r="W407" s="204" t="str">
        <f t="shared" si="2506"/>
        <v xml:space="preserve"> </v>
      </c>
      <c r="X407" s="95" t="s">
        <v>781</v>
      </c>
      <c r="Y407" s="204" t="str">
        <f t="shared" ref="Y407:AA407" si="2507">IFERROR(X407/$G407," ")</f>
        <v xml:space="preserve"> </v>
      </c>
      <c r="Z407" s="95" t="s">
        <v>781</v>
      </c>
      <c r="AA407" s="204" t="str">
        <f t="shared" si="2507"/>
        <v xml:space="preserve"> </v>
      </c>
      <c r="AB407" s="95" t="s">
        <v>781</v>
      </c>
      <c r="AC407" s="204" t="str">
        <f t="shared" ref="AC407:AE407" si="2508">IFERROR(AB407/$G407," ")</f>
        <v xml:space="preserve"> </v>
      </c>
      <c r="AD407" s="95" t="s">
        <v>781</v>
      </c>
      <c r="AE407" s="204" t="str">
        <f t="shared" si="2508"/>
        <v xml:space="preserve"> </v>
      </c>
      <c r="AF407" s="95" t="s">
        <v>781</v>
      </c>
      <c r="AG407" s="204" t="str">
        <f t="shared" ref="AG407:AI407" si="2509">IFERROR(AF407/$G407," ")</f>
        <v xml:space="preserve"> </v>
      </c>
      <c r="AH407" s="95" t="s">
        <v>781</v>
      </c>
      <c r="AI407" s="204" t="str">
        <f t="shared" si="2509"/>
        <v xml:space="preserve"> </v>
      </c>
      <c r="AJ407" s="95" t="s">
        <v>781</v>
      </c>
      <c r="AK407" s="204" t="str">
        <f t="shared" ref="AK407:AM407" si="2510">IFERROR(AJ407/$G407," ")</f>
        <v xml:space="preserve"> </v>
      </c>
      <c r="AL407" s="95" t="s">
        <v>781</v>
      </c>
      <c r="AM407" s="204" t="str">
        <f t="shared" si="2510"/>
        <v xml:space="preserve"> </v>
      </c>
      <c r="AN407" s="95"/>
      <c r="AO407" s="94" t="str">
        <f t="shared" si="2415"/>
        <v xml:space="preserve"> </v>
      </c>
      <c r="AP407" s="94" t="str">
        <f t="shared" si="2405"/>
        <v xml:space="preserve"> </v>
      </c>
      <c r="AQ407" s="94" t="str">
        <f t="shared" si="2406"/>
        <v xml:space="preserve"> </v>
      </c>
      <c r="AR407" s="94" t="str">
        <f t="shared" si="2416"/>
        <v xml:space="preserve"> </v>
      </c>
      <c r="AS407" s="94" t="str">
        <f t="shared" si="2417"/>
        <v xml:space="preserve"> </v>
      </c>
      <c r="AT407" s="94" t="str">
        <f t="shared" si="2418"/>
        <v xml:space="preserve"> </v>
      </c>
      <c r="AU407" s="94" t="str">
        <f t="shared" si="2419"/>
        <v xml:space="preserve"> </v>
      </c>
      <c r="AV407" s="94" t="str">
        <f t="shared" si="2420"/>
        <v xml:space="preserve"> </v>
      </c>
      <c r="AW407" s="94" t="str">
        <f t="shared" si="2421"/>
        <v xml:space="preserve"> </v>
      </c>
      <c r="AX407" s="94" t="str">
        <f t="shared" si="2422"/>
        <v xml:space="preserve"> </v>
      </c>
      <c r="AY407" s="94" t="str">
        <f t="shared" si="2423"/>
        <v xml:space="preserve"> </v>
      </c>
      <c r="AZ407" s="94" t="str">
        <f t="shared" si="2424"/>
        <v xml:space="preserve"> </v>
      </c>
      <c r="BA407" s="94" t="str">
        <f t="shared" si="2425"/>
        <v xml:space="preserve"> </v>
      </c>
      <c r="BB407" s="94" t="str">
        <f t="shared" si="2426"/>
        <v xml:space="preserve"> </v>
      </c>
    </row>
    <row r="408" spans="1:54" x14ac:dyDescent="0.25">
      <c r="A408" s="80"/>
      <c r="B408" s="95" t="s">
        <v>2889</v>
      </c>
      <c r="C408" s="201" t="s">
        <v>286</v>
      </c>
      <c r="D408" s="80" t="s">
        <v>783</v>
      </c>
      <c r="E408" s="94" t="str">
        <f>IFERROR(VLOOKUP(A408,Estimate!A:Q,17,FALSE)," ")</f>
        <v xml:space="preserve"> </v>
      </c>
      <c r="F408" s="202" t="s">
        <v>781</v>
      </c>
      <c r="G408" s="202" t="s">
        <v>781</v>
      </c>
      <c r="H408" s="203" t="s">
        <v>781</v>
      </c>
      <c r="I408" s="203" t="s">
        <v>781</v>
      </c>
      <c r="J408" s="203" t="s">
        <v>781</v>
      </c>
      <c r="K408" s="203"/>
      <c r="L408" s="202" t="s">
        <v>781</v>
      </c>
      <c r="M408" s="204" t="str">
        <f t="shared" si="2408"/>
        <v xml:space="preserve"> </v>
      </c>
      <c r="N408" s="95" t="s">
        <v>781</v>
      </c>
      <c r="O408" s="204" t="str">
        <f t="shared" si="2408"/>
        <v xml:space="preserve"> </v>
      </c>
      <c r="P408" s="95" t="s">
        <v>781</v>
      </c>
      <c r="Q408" s="204" t="str">
        <f t="shared" ref="Q408:S408" si="2511">IFERROR(P408/$G408," ")</f>
        <v xml:space="preserve"> </v>
      </c>
      <c r="R408" s="95" t="s">
        <v>781</v>
      </c>
      <c r="S408" s="204" t="str">
        <f t="shared" si="2511"/>
        <v xml:space="preserve"> </v>
      </c>
      <c r="T408" s="95" t="s">
        <v>781</v>
      </c>
      <c r="U408" s="204" t="str">
        <f t="shared" ref="U408:W408" si="2512">IFERROR(T408/$G408," ")</f>
        <v xml:space="preserve"> </v>
      </c>
      <c r="V408" s="95" t="s">
        <v>781</v>
      </c>
      <c r="W408" s="204" t="str">
        <f t="shared" si="2512"/>
        <v xml:space="preserve"> </v>
      </c>
      <c r="X408" s="95" t="s">
        <v>781</v>
      </c>
      <c r="Y408" s="204" t="str">
        <f t="shared" ref="Y408:AA408" si="2513">IFERROR(X408/$G408," ")</f>
        <v xml:space="preserve"> </v>
      </c>
      <c r="Z408" s="95" t="s">
        <v>781</v>
      </c>
      <c r="AA408" s="204" t="str">
        <f t="shared" si="2513"/>
        <v xml:space="preserve"> </v>
      </c>
      <c r="AB408" s="95" t="s">
        <v>781</v>
      </c>
      <c r="AC408" s="204" t="str">
        <f t="shared" ref="AC408:AE408" si="2514">IFERROR(AB408/$G408," ")</f>
        <v xml:space="preserve"> </v>
      </c>
      <c r="AD408" s="95" t="s">
        <v>781</v>
      </c>
      <c r="AE408" s="204" t="str">
        <f t="shared" si="2514"/>
        <v xml:space="preserve"> </v>
      </c>
      <c r="AF408" s="95" t="s">
        <v>781</v>
      </c>
      <c r="AG408" s="204" t="str">
        <f t="shared" ref="AG408:AI408" si="2515">IFERROR(AF408/$G408," ")</f>
        <v xml:space="preserve"> </v>
      </c>
      <c r="AH408" s="95" t="s">
        <v>781</v>
      </c>
      <c r="AI408" s="204" t="str">
        <f t="shared" si="2515"/>
        <v xml:space="preserve"> </v>
      </c>
      <c r="AJ408" s="95" t="s">
        <v>781</v>
      </c>
      <c r="AK408" s="204" t="str">
        <f t="shared" ref="AK408:AM408" si="2516">IFERROR(AJ408/$G408," ")</f>
        <v xml:space="preserve"> </v>
      </c>
      <c r="AL408" s="95" t="s">
        <v>781</v>
      </c>
      <c r="AM408" s="204" t="str">
        <f t="shared" si="2516"/>
        <v xml:space="preserve"> </v>
      </c>
      <c r="AN408" s="95"/>
      <c r="AO408" s="94" t="str">
        <f t="shared" si="2415"/>
        <v xml:space="preserve"> </v>
      </c>
      <c r="AP408" s="94" t="str">
        <f t="shared" si="2405"/>
        <v xml:space="preserve"> </v>
      </c>
      <c r="AQ408" s="94" t="str">
        <f t="shared" si="2406"/>
        <v xml:space="preserve"> </v>
      </c>
      <c r="AR408" s="94" t="str">
        <f t="shared" si="2416"/>
        <v xml:space="preserve"> </v>
      </c>
      <c r="AS408" s="94" t="str">
        <f t="shared" si="2417"/>
        <v xml:space="preserve"> </v>
      </c>
      <c r="AT408" s="94" t="str">
        <f t="shared" si="2418"/>
        <v xml:space="preserve"> </v>
      </c>
      <c r="AU408" s="94" t="str">
        <f t="shared" si="2419"/>
        <v xml:space="preserve"> </v>
      </c>
      <c r="AV408" s="94" t="str">
        <f t="shared" si="2420"/>
        <v xml:space="preserve"> </v>
      </c>
      <c r="AW408" s="94" t="str">
        <f t="shared" si="2421"/>
        <v xml:space="preserve"> </v>
      </c>
      <c r="AX408" s="94" t="str">
        <f t="shared" si="2422"/>
        <v xml:space="preserve"> </v>
      </c>
      <c r="AY408" s="94" t="str">
        <f t="shared" si="2423"/>
        <v xml:space="preserve"> </v>
      </c>
      <c r="AZ408" s="94" t="str">
        <f t="shared" si="2424"/>
        <v xml:space="preserve"> </v>
      </c>
      <c r="BA408" s="94" t="str">
        <f t="shared" si="2425"/>
        <v xml:space="preserve"> </v>
      </c>
      <c r="BB408" s="94" t="str">
        <f t="shared" si="2426"/>
        <v xml:space="preserve"> </v>
      </c>
    </row>
    <row r="409" spans="1:54" ht="30" x14ac:dyDescent="0.25">
      <c r="A409" s="80">
        <v>166</v>
      </c>
      <c r="B409" s="95" t="s">
        <v>2890</v>
      </c>
      <c r="C409" s="201" t="s">
        <v>288</v>
      </c>
      <c r="D409" s="80" t="s">
        <v>89</v>
      </c>
      <c r="E409" s="94">
        <f>IFERROR(VLOOKUP(A409,Estimate!A:Q,17,FALSE)," ")</f>
        <v>4000</v>
      </c>
      <c r="F409" s="202">
        <v>475</v>
      </c>
      <c r="G409" s="202">
        <v>475</v>
      </c>
      <c r="H409" s="203">
        <v>10.58</v>
      </c>
      <c r="I409" s="203">
        <v>5025.5</v>
      </c>
      <c r="J409" s="203">
        <v>5025.5</v>
      </c>
      <c r="K409" s="203"/>
      <c r="L409" s="202"/>
      <c r="M409" s="204">
        <f t="shared" si="2408"/>
        <v>0</v>
      </c>
      <c r="N409" s="95"/>
      <c r="O409" s="204">
        <f t="shared" si="2408"/>
        <v>0</v>
      </c>
      <c r="P409" s="95"/>
      <c r="Q409" s="204">
        <f t="shared" ref="Q409:S409" si="2517">IFERROR(P409/$G409," ")</f>
        <v>0</v>
      </c>
      <c r="R409" s="95"/>
      <c r="S409" s="204">
        <f t="shared" si="2517"/>
        <v>0</v>
      </c>
      <c r="T409" s="95"/>
      <c r="U409" s="204">
        <f t="shared" ref="U409:W409" si="2518">IFERROR(T409/$G409," ")</f>
        <v>0</v>
      </c>
      <c r="V409" s="95"/>
      <c r="W409" s="204">
        <f t="shared" si="2518"/>
        <v>0</v>
      </c>
      <c r="X409" s="95"/>
      <c r="Y409" s="204">
        <f t="shared" ref="Y409:AA409" si="2519">IFERROR(X409/$G409," ")</f>
        <v>0</v>
      </c>
      <c r="Z409" s="95"/>
      <c r="AA409" s="204">
        <f t="shared" si="2519"/>
        <v>0</v>
      </c>
      <c r="AB409" s="95"/>
      <c r="AC409" s="204">
        <f t="shared" ref="AC409:AE409" si="2520">IFERROR(AB409/$G409," ")</f>
        <v>0</v>
      </c>
      <c r="AD409" s="95"/>
      <c r="AE409" s="204">
        <f t="shared" si="2520"/>
        <v>0</v>
      </c>
      <c r="AF409" s="95"/>
      <c r="AG409" s="204">
        <f t="shared" ref="AG409:AI409" si="2521">IFERROR(AF409/$G409," ")</f>
        <v>0</v>
      </c>
      <c r="AH409" s="95">
        <v>475</v>
      </c>
      <c r="AI409" s="204">
        <f t="shared" si="2521"/>
        <v>1</v>
      </c>
      <c r="AJ409" s="95">
        <v>475</v>
      </c>
      <c r="AK409" s="204">
        <f t="shared" ref="AK409:AM409" si="2522">IFERROR(AJ409/$G409," ")</f>
        <v>1</v>
      </c>
      <c r="AL409" s="95">
        <v>475</v>
      </c>
      <c r="AM409" s="204">
        <f t="shared" si="2522"/>
        <v>1</v>
      </c>
      <c r="AN409" s="95"/>
      <c r="AO409" s="94">
        <f t="shared" si="2415"/>
        <v>0</v>
      </c>
      <c r="AP409" s="94">
        <f t="shared" si="2405"/>
        <v>0</v>
      </c>
      <c r="AQ409" s="94">
        <f t="shared" si="2406"/>
        <v>0</v>
      </c>
      <c r="AR409" s="94">
        <f t="shared" si="2416"/>
        <v>0</v>
      </c>
      <c r="AS409" s="94">
        <f t="shared" si="2417"/>
        <v>0</v>
      </c>
      <c r="AT409" s="94">
        <f t="shared" si="2418"/>
        <v>0</v>
      </c>
      <c r="AU409" s="94">
        <f t="shared" si="2419"/>
        <v>0</v>
      </c>
      <c r="AV409" s="94">
        <f t="shared" si="2420"/>
        <v>0</v>
      </c>
      <c r="AW409" s="94">
        <f t="shared" si="2421"/>
        <v>0</v>
      </c>
      <c r="AX409" s="94">
        <f t="shared" si="2422"/>
        <v>0</v>
      </c>
      <c r="AY409" s="94">
        <f t="shared" si="2423"/>
        <v>0</v>
      </c>
      <c r="AZ409" s="94">
        <f t="shared" si="2424"/>
        <v>5025.5</v>
      </c>
      <c r="BA409" s="94">
        <f t="shared" si="2425"/>
        <v>5025.5</v>
      </c>
      <c r="BB409" s="94">
        <f t="shared" si="2426"/>
        <v>5025.5</v>
      </c>
    </row>
    <row r="410" spans="1:54" x14ac:dyDescent="0.25">
      <c r="A410" s="80"/>
      <c r="B410" s="95" t="s">
        <v>2917</v>
      </c>
      <c r="C410" s="201" t="s">
        <v>497</v>
      </c>
      <c r="D410" s="80" t="s">
        <v>783</v>
      </c>
      <c r="E410" s="94" t="str">
        <f>IFERROR(VLOOKUP(A410,Estimate!A:Q,17,FALSE)," ")</f>
        <v xml:space="preserve"> </v>
      </c>
      <c r="F410" s="202" t="s">
        <v>781</v>
      </c>
      <c r="G410" s="202" t="s">
        <v>781</v>
      </c>
      <c r="H410" s="203" t="s">
        <v>781</v>
      </c>
      <c r="I410" s="203" t="s">
        <v>781</v>
      </c>
      <c r="J410" s="203" t="s">
        <v>781</v>
      </c>
      <c r="K410" s="203"/>
      <c r="L410" s="202" t="s">
        <v>781</v>
      </c>
      <c r="M410" s="204" t="str">
        <f t="shared" si="2408"/>
        <v xml:space="preserve"> </v>
      </c>
      <c r="N410" s="95" t="s">
        <v>781</v>
      </c>
      <c r="O410" s="204" t="str">
        <f t="shared" si="2408"/>
        <v xml:space="preserve"> </v>
      </c>
      <c r="P410" s="95" t="s">
        <v>781</v>
      </c>
      <c r="Q410" s="204" t="str">
        <f t="shared" ref="Q410:S410" si="2523">IFERROR(P410/$G410," ")</f>
        <v xml:space="preserve"> </v>
      </c>
      <c r="R410" s="95" t="s">
        <v>781</v>
      </c>
      <c r="S410" s="204" t="str">
        <f t="shared" si="2523"/>
        <v xml:space="preserve"> </v>
      </c>
      <c r="T410" s="95" t="s">
        <v>781</v>
      </c>
      <c r="U410" s="204" t="str">
        <f t="shared" ref="U410:W410" si="2524">IFERROR(T410/$G410," ")</f>
        <v xml:space="preserve"> </v>
      </c>
      <c r="V410" s="95" t="s">
        <v>781</v>
      </c>
      <c r="W410" s="204" t="str">
        <f t="shared" si="2524"/>
        <v xml:space="preserve"> </v>
      </c>
      <c r="X410" s="95" t="s">
        <v>781</v>
      </c>
      <c r="Y410" s="204" t="str">
        <f t="shared" ref="Y410:AA410" si="2525">IFERROR(X410/$G410," ")</f>
        <v xml:space="preserve"> </v>
      </c>
      <c r="Z410" s="95" t="s">
        <v>781</v>
      </c>
      <c r="AA410" s="204" t="str">
        <f t="shared" si="2525"/>
        <v xml:space="preserve"> </v>
      </c>
      <c r="AB410" s="95" t="s">
        <v>781</v>
      </c>
      <c r="AC410" s="204" t="str">
        <f t="shared" ref="AC410:AE410" si="2526">IFERROR(AB410/$G410," ")</f>
        <v xml:space="preserve"> </v>
      </c>
      <c r="AD410" s="95" t="s">
        <v>781</v>
      </c>
      <c r="AE410" s="204" t="str">
        <f t="shared" si="2526"/>
        <v xml:space="preserve"> </v>
      </c>
      <c r="AF410" s="95" t="s">
        <v>781</v>
      </c>
      <c r="AG410" s="204" t="str">
        <f t="shared" ref="AG410:AI410" si="2527">IFERROR(AF410/$G410," ")</f>
        <v xml:space="preserve"> </v>
      </c>
      <c r="AH410" s="95" t="s">
        <v>781</v>
      </c>
      <c r="AI410" s="204" t="str">
        <f t="shared" si="2527"/>
        <v xml:space="preserve"> </v>
      </c>
      <c r="AJ410" s="95" t="s">
        <v>781</v>
      </c>
      <c r="AK410" s="204" t="str">
        <f t="shared" ref="AK410:AM410" si="2528">IFERROR(AJ410/$G410," ")</f>
        <v xml:space="preserve"> </v>
      </c>
      <c r="AL410" s="95" t="s">
        <v>781</v>
      </c>
      <c r="AM410" s="204" t="str">
        <f t="shared" si="2528"/>
        <v xml:space="preserve"> </v>
      </c>
      <c r="AN410" s="95"/>
      <c r="AO410" s="94" t="str">
        <f t="shared" si="2415"/>
        <v xml:space="preserve"> </v>
      </c>
      <c r="AP410" s="94" t="str">
        <f t="shared" si="2405"/>
        <v xml:space="preserve"> </v>
      </c>
      <c r="AQ410" s="94" t="str">
        <f t="shared" si="2406"/>
        <v xml:space="preserve"> </v>
      </c>
      <c r="AR410" s="94" t="str">
        <f t="shared" si="2416"/>
        <v xml:space="preserve"> </v>
      </c>
      <c r="AS410" s="94" t="str">
        <f t="shared" si="2417"/>
        <v xml:space="preserve"> </v>
      </c>
      <c r="AT410" s="94" t="str">
        <f t="shared" si="2418"/>
        <v xml:space="preserve"> </v>
      </c>
      <c r="AU410" s="94" t="str">
        <f t="shared" si="2419"/>
        <v xml:space="preserve"> </v>
      </c>
      <c r="AV410" s="94" t="str">
        <f t="shared" si="2420"/>
        <v xml:space="preserve"> </v>
      </c>
      <c r="AW410" s="94" t="str">
        <f t="shared" si="2421"/>
        <v xml:space="preserve"> </v>
      </c>
      <c r="AX410" s="94" t="str">
        <f t="shared" si="2422"/>
        <v xml:space="preserve"> </v>
      </c>
      <c r="AY410" s="94" t="str">
        <f t="shared" si="2423"/>
        <v xml:space="preserve"> </v>
      </c>
      <c r="AZ410" s="94" t="str">
        <f t="shared" si="2424"/>
        <v xml:space="preserve"> </v>
      </c>
      <c r="BA410" s="94" t="str">
        <f t="shared" si="2425"/>
        <v xml:space="preserve"> </v>
      </c>
      <c r="BB410" s="94" t="str">
        <f t="shared" si="2426"/>
        <v xml:space="preserve"> </v>
      </c>
    </row>
    <row r="411" spans="1:54" ht="30" x14ac:dyDescent="0.25">
      <c r="A411" s="80">
        <v>167</v>
      </c>
      <c r="B411" s="95" t="s">
        <v>2898</v>
      </c>
      <c r="C411" s="201" t="s">
        <v>410</v>
      </c>
      <c r="D411" s="80" t="s">
        <v>33</v>
      </c>
      <c r="E411" s="94">
        <f>IFERROR(VLOOKUP(A411,Estimate!A:Q,17,FALSE)," ")</f>
        <v>2832</v>
      </c>
      <c r="F411" s="202">
        <v>1</v>
      </c>
      <c r="G411" s="202">
        <v>1</v>
      </c>
      <c r="H411" s="203">
        <v>3557.64</v>
      </c>
      <c r="I411" s="203">
        <v>3557.64</v>
      </c>
      <c r="J411" s="203">
        <v>3557.64</v>
      </c>
      <c r="K411" s="203"/>
      <c r="L411" s="202"/>
      <c r="M411" s="204">
        <f t="shared" si="2408"/>
        <v>0</v>
      </c>
      <c r="N411" s="95"/>
      <c r="O411" s="204">
        <f t="shared" si="2408"/>
        <v>0</v>
      </c>
      <c r="P411" s="95"/>
      <c r="Q411" s="204">
        <f t="shared" ref="Q411:S411" si="2529">IFERROR(P411/$G411," ")</f>
        <v>0</v>
      </c>
      <c r="R411" s="95"/>
      <c r="S411" s="204">
        <f t="shared" si="2529"/>
        <v>0</v>
      </c>
      <c r="T411" s="95"/>
      <c r="U411" s="204">
        <f t="shared" ref="U411:W411" si="2530">IFERROR(T411/$G411," ")</f>
        <v>0</v>
      </c>
      <c r="V411" s="95"/>
      <c r="W411" s="204">
        <f t="shared" si="2530"/>
        <v>0</v>
      </c>
      <c r="X411" s="95"/>
      <c r="Y411" s="204">
        <f t="shared" ref="Y411:AA411" si="2531">IFERROR(X411/$G411," ")</f>
        <v>0</v>
      </c>
      <c r="Z411" s="95"/>
      <c r="AA411" s="204">
        <f t="shared" si="2531"/>
        <v>0</v>
      </c>
      <c r="AB411" s="95"/>
      <c r="AC411" s="204">
        <f t="shared" ref="AC411:AE411" si="2532">IFERROR(AB411/$G411," ")</f>
        <v>0</v>
      </c>
      <c r="AD411" s="95"/>
      <c r="AE411" s="204">
        <f t="shared" si="2532"/>
        <v>0</v>
      </c>
      <c r="AF411" s="95"/>
      <c r="AG411" s="204">
        <f t="shared" ref="AG411:AI411" si="2533">IFERROR(AF411/$G411," ")</f>
        <v>0</v>
      </c>
      <c r="AH411" s="95">
        <v>1</v>
      </c>
      <c r="AI411" s="204">
        <f t="shared" si="2533"/>
        <v>1</v>
      </c>
      <c r="AJ411" s="95">
        <v>1</v>
      </c>
      <c r="AK411" s="204">
        <f t="shared" ref="AK411:AM411" si="2534">IFERROR(AJ411/$G411," ")</f>
        <v>1</v>
      </c>
      <c r="AL411" s="95">
        <v>1</v>
      </c>
      <c r="AM411" s="204">
        <f t="shared" si="2534"/>
        <v>1</v>
      </c>
      <c r="AN411" s="95"/>
      <c r="AO411" s="94">
        <f t="shared" si="2415"/>
        <v>0</v>
      </c>
      <c r="AP411" s="94">
        <f t="shared" si="2405"/>
        <v>0</v>
      </c>
      <c r="AQ411" s="94">
        <f t="shared" si="2406"/>
        <v>0</v>
      </c>
      <c r="AR411" s="94">
        <f t="shared" si="2416"/>
        <v>0</v>
      </c>
      <c r="AS411" s="94">
        <f t="shared" si="2417"/>
        <v>0</v>
      </c>
      <c r="AT411" s="94">
        <f t="shared" si="2418"/>
        <v>0</v>
      </c>
      <c r="AU411" s="94">
        <f t="shared" si="2419"/>
        <v>0</v>
      </c>
      <c r="AV411" s="94">
        <f t="shared" si="2420"/>
        <v>0</v>
      </c>
      <c r="AW411" s="94">
        <f t="shared" si="2421"/>
        <v>0</v>
      </c>
      <c r="AX411" s="94">
        <f t="shared" si="2422"/>
        <v>0</v>
      </c>
      <c r="AY411" s="94">
        <f t="shared" si="2423"/>
        <v>0</v>
      </c>
      <c r="AZ411" s="94">
        <f t="shared" si="2424"/>
        <v>3557.64</v>
      </c>
      <c r="BA411" s="94">
        <f t="shared" si="2425"/>
        <v>3557.64</v>
      </c>
      <c r="BB411" s="94">
        <f t="shared" si="2426"/>
        <v>3557.64</v>
      </c>
    </row>
    <row r="412" spans="1:54" x14ac:dyDescent="0.25">
      <c r="A412" s="80"/>
      <c r="B412" s="95" t="s">
        <v>2417</v>
      </c>
      <c r="C412" s="201" t="s">
        <v>2837</v>
      </c>
      <c r="D412" s="80" t="s">
        <v>783</v>
      </c>
      <c r="E412" s="94" t="str">
        <f>IFERROR(VLOOKUP(A412,Estimate!A:Q,17,FALSE)," ")</f>
        <v xml:space="preserve"> </v>
      </c>
      <c r="F412" s="202" t="s">
        <v>781</v>
      </c>
      <c r="G412" s="202" t="s">
        <v>781</v>
      </c>
      <c r="H412" s="203" t="s">
        <v>781</v>
      </c>
      <c r="I412" s="203" t="s">
        <v>781</v>
      </c>
      <c r="J412" s="203" t="s">
        <v>781</v>
      </c>
      <c r="K412" s="203"/>
      <c r="L412" s="202" t="s">
        <v>781</v>
      </c>
      <c r="M412" s="204" t="str">
        <f t="shared" si="2408"/>
        <v xml:space="preserve"> </v>
      </c>
      <c r="N412" s="95" t="s">
        <v>781</v>
      </c>
      <c r="O412" s="204" t="str">
        <f t="shared" si="2408"/>
        <v xml:space="preserve"> </v>
      </c>
      <c r="P412" s="95" t="s">
        <v>781</v>
      </c>
      <c r="Q412" s="204" t="str">
        <f t="shared" ref="Q412:S412" si="2535">IFERROR(P412/$G412," ")</f>
        <v xml:space="preserve"> </v>
      </c>
      <c r="R412" s="95" t="s">
        <v>781</v>
      </c>
      <c r="S412" s="204" t="str">
        <f t="shared" si="2535"/>
        <v xml:space="preserve"> </v>
      </c>
      <c r="T412" s="95" t="s">
        <v>781</v>
      </c>
      <c r="U412" s="204" t="str">
        <f t="shared" ref="U412:W412" si="2536">IFERROR(T412/$G412," ")</f>
        <v xml:space="preserve"> </v>
      </c>
      <c r="V412" s="95" t="s">
        <v>781</v>
      </c>
      <c r="W412" s="204" t="str">
        <f t="shared" si="2536"/>
        <v xml:space="preserve"> </v>
      </c>
      <c r="X412" s="95" t="s">
        <v>781</v>
      </c>
      <c r="Y412" s="204" t="str">
        <f t="shared" ref="Y412:AA412" si="2537">IFERROR(X412/$G412," ")</f>
        <v xml:space="preserve"> </v>
      </c>
      <c r="Z412" s="95" t="s">
        <v>781</v>
      </c>
      <c r="AA412" s="204" t="str">
        <f t="shared" si="2537"/>
        <v xml:space="preserve"> </v>
      </c>
      <c r="AB412" s="95" t="s">
        <v>781</v>
      </c>
      <c r="AC412" s="204" t="str">
        <f t="shared" ref="AC412:AE412" si="2538">IFERROR(AB412/$G412," ")</f>
        <v xml:space="preserve"> </v>
      </c>
      <c r="AD412" s="95" t="s">
        <v>781</v>
      </c>
      <c r="AE412" s="204" t="str">
        <f t="shared" si="2538"/>
        <v xml:space="preserve"> </v>
      </c>
      <c r="AF412" s="95" t="s">
        <v>781</v>
      </c>
      <c r="AG412" s="204" t="str">
        <f t="shared" ref="AG412:AI412" si="2539">IFERROR(AF412/$G412," ")</f>
        <v xml:space="preserve"> </v>
      </c>
      <c r="AH412" s="95" t="s">
        <v>781</v>
      </c>
      <c r="AI412" s="204" t="str">
        <f t="shared" si="2539"/>
        <v xml:space="preserve"> </v>
      </c>
      <c r="AJ412" s="95" t="s">
        <v>781</v>
      </c>
      <c r="AK412" s="204" t="str">
        <f t="shared" ref="AK412:AM412" si="2540">IFERROR(AJ412/$G412," ")</f>
        <v xml:space="preserve"> </v>
      </c>
      <c r="AL412" s="95" t="s">
        <v>781</v>
      </c>
      <c r="AM412" s="204" t="str">
        <f t="shared" si="2540"/>
        <v xml:space="preserve"> </v>
      </c>
      <c r="AN412" s="95"/>
      <c r="AO412" s="94" t="str">
        <f t="shared" si="2415"/>
        <v xml:space="preserve"> </v>
      </c>
      <c r="AP412" s="94" t="str">
        <f t="shared" si="2405"/>
        <v xml:space="preserve"> </v>
      </c>
      <c r="AQ412" s="94" t="str">
        <f t="shared" si="2406"/>
        <v xml:space="preserve"> </v>
      </c>
      <c r="AR412" s="94" t="str">
        <f t="shared" si="2416"/>
        <v xml:space="preserve"> </v>
      </c>
      <c r="AS412" s="94" t="str">
        <f t="shared" si="2417"/>
        <v xml:space="preserve"> </v>
      </c>
      <c r="AT412" s="94" t="str">
        <f t="shared" si="2418"/>
        <v xml:space="preserve"> </v>
      </c>
      <c r="AU412" s="94" t="str">
        <f t="shared" si="2419"/>
        <v xml:space="preserve"> </v>
      </c>
      <c r="AV412" s="94" t="str">
        <f t="shared" si="2420"/>
        <v xml:space="preserve"> </v>
      </c>
      <c r="AW412" s="94" t="str">
        <f t="shared" si="2421"/>
        <v xml:space="preserve"> </v>
      </c>
      <c r="AX412" s="94" t="str">
        <f t="shared" si="2422"/>
        <v xml:space="preserve"> </v>
      </c>
      <c r="AY412" s="94" t="str">
        <f t="shared" si="2423"/>
        <v xml:space="preserve"> </v>
      </c>
      <c r="AZ412" s="94" t="str">
        <f t="shared" si="2424"/>
        <v xml:space="preserve"> </v>
      </c>
      <c r="BA412" s="94" t="str">
        <f t="shared" si="2425"/>
        <v xml:space="preserve"> </v>
      </c>
      <c r="BB412" s="94" t="str">
        <f t="shared" si="2426"/>
        <v xml:space="preserve"> </v>
      </c>
    </row>
    <row r="413" spans="1:54" x14ac:dyDescent="0.25">
      <c r="A413" s="80"/>
      <c r="B413" s="95" t="s">
        <v>2417</v>
      </c>
      <c r="C413" s="201" t="s">
        <v>136</v>
      </c>
      <c r="D413" s="80" t="s">
        <v>783</v>
      </c>
      <c r="E413" s="94" t="str">
        <f>IFERROR(VLOOKUP(A413,Estimate!A:Q,17,FALSE)," ")</f>
        <v xml:space="preserve"> </v>
      </c>
      <c r="F413" s="202" t="s">
        <v>781</v>
      </c>
      <c r="G413" s="202" t="s">
        <v>781</v>
      </c>
      <c r="H413" s="203" t="s">
        <v>781</v>
      </c>
      <c r="I413" s="203" t="s">
        <v>781</v>
      </c>
      <c r="J413" s="203" t="s">
        <v>781</v>
      </c>
      <c r="K413" s="203"/>
      <c r="L413" s="202" t="s">
        <v>781</v>
      </c>
      <c r="M413" s="204" t="str">
        <f t="shared" si="2408"/>
        <v xml:space="preserve"> </v>
      </c>
      <c r="N413" s="95" t="s">
        <v>781</v>
      </c>
      <c r="O413" s="204" t="str">
        <f t="shared" si="2408"/>
        <v xml:space="preserve"> </v>
      </c>
      <c r="P413" s="95" t="s">
        <v>781</v>
      </c>
      <c r="Q413" s="204" t="str">
        <f t="shared" ref="Q413:S413" si="2541">IFERROR(P413/$G413," ")</f>
        <v xml:space="preserve"> </v>
      </c>
      <c r="R413" s="95" t="s">
        <v>781</v>
      </c>
      <c r="S413" s="204" t="str">
        <f t="shared" si="2541"/>
        <v xml:space="preserve"> </v>
      </c>
      <c r="T413" s="95" t="s">
        <v>781</v>
      </c>
      <c r="U413" s="204" t="str">
        <f t="shared" ref="U413:W413" si="2542">IFERROR(T413/$G413," ")</f>
        <v xml:space="preserve"> </v>
      </c>
      <c r="V413" s="95" t="s">
        <v>781</v>
      </c>
      <c r="W413" s="204" t="str">
        <f t="shared" si="2542"/>
        <v xml:space="preserve"> </v>
      </c>
      <c r="X413" s="95" t="s">
        <v>781</v>
      </c>
      <c r="Y413" s="204" t="str">
        <f t="shared" ref="Y413:AA413" si="2543">IFERROR(X413/$G413," ")</f>
        <v xml:space="preserve"> </v>
      </c>
      <c r="Z413" s="95" t="s">
        <v>781</v>
      </c>
      <c r="AA413" s="204" t="str">
        <f t="shared" si="2543"/>
        <v xml:space="preserve"> </v>
      </c>
      <c r="AB413" s="95" t="s">
        <v>781</v>
      </c>
      <c r="AC413" s="204" t="str">
        <f t="shared" ref="AC413:AE413" si="2544">IFERROR(AB413/$G413," ")</f>
        <v xml:space="preserve"> </v>
      </c>
      <c r="AD413" s="95" t="s">
        <v>781</v>
      </c>
      <c r="AE413" s="204" t="str">
        <f t="shared" si="2544"/>
        <v xml:space="preserve"> </v>
      </c>
      <c r="AF413" s="95" t="s">
        <v>781</v>
      </c>
      <c r="AG413" s="204" t="str">
        <f t="shared" ref="AG413:AI413" si="2545">IFERROR(AF413/$G413," ")</f>
        <v xml:space="preserve"> </v>
      </c>
      <c r="AH413" s="95" t="s">
        <v>781</v>
      </c>
      <c r="AI413" s="204" t="str">
        <f t="shared" si="2545"/>
        <v xml:space="preserve"> </v>
      </c>
      <c r="AJ413" s="95" t="s">
        <v>781</v>
      </c>
      <c r="AK413" s="204" t="str">
        <f t="shared" ref="AK413:AM413" si="2546">IFERROR(AJ413/$G413," ")</f>
        <v xml:space="preserve"> </v>
      </c>
      <c r="AL413" s="95" t="s">
        <v>781</v>
      </c>
      <c r="AM413" s="204" t="str">
        <f t="shared" si="2546"/>
        <v xml:space="preserve"> </v>
      </c>
      <c r="AN413" s="95"/>
      <c r="AO413" s="94" t="str">
        <f t="shared" si="2415"/>
        <v xml:space="preserve"> </v>
      </c>
      <c r="AP413" s="94" t="str">
        <f t="shared" si="2405"/>
        <v xml:space="preserve"> </v>
      </c>
      <c r="AQ413" s="94" t="str">
        <f t="shared" si="2406"/>
        <v xml:space="preserve"> </v>
      </c>
      <c r="AR413" s="94" t="str">
        <f t="shared" si="2416"/>
        <v xml:space="preserve"> </v>
      </c>
      <c r="AS413" s="94" t="str">
        <f t="shared" si="2417"/>
        <v xml:space="preserve"> </v>
      </c>
      <c r="AT413" s="94" t="str">
        <f t="shared" si="2418"/>
        <v xml:space="preserve"> </v>
      </c>
      <c r="AU413" s="94" t="str">
        <f t="shared" si="2419"/>
        <v xml:space="preserve"> </v>
      </c>
      <c r="AV413" s="94" t="str">
        <f t="shared" si="2420"/>
        <v xml:space="preserve"> </v>
      </c>
      <c r="AW413" s="94" t="str">
        <f t="shared" si="2421"/>
        <v xml:space="preserve"> </v>
      </c>
      <c r="AX413" s="94" t="str">
        <f t="shared" si="2422"/>
        <v xml:space="preserve"> </v>
      </c>
      <c r="AY413" s="94" t="str">
        <f t="shared" si="2423"/>
        <v xml:space="preserve"> </v>
      </c>
      <c r="AZ413" s="94" t="str">
        <f t="shared" si="2424"/>
        <v xml:space="preserve"> </v>
      </c>
      <c r="BA413" s="94" t="str">
        <f t="shared" si="2425"/>
        <v xml:space="preserve"> </v>
      </c>
      <c r="BB413" s="94" t="str">
        <f t="shared" si="2426"/>
        <v xml:space="preserve"> </v>
      </c>
    </row>
    <row r="414" spans="1:54" x14ac:dyDescent="0.25">
      <c r="A414" s="80"/>
      <c r="B414" s="95" t="s">
        <v>2880</v>
      </c>
      <c r="C414" s="201" t="s">
        <v>231</v>
      </c>
      <c r="D414" s="80" t="s">
        <v>783</v>
      </c>
      <c r="E414" s="94" t="str">
        <f>IFERROR(VLOOKUP(A414,Estimate!A:Q,17,FALSE)," ")</f>
        <v xml:space="preserve"> </v>
      </c>
      <c r="F414" s="202" t="s">
        <v>781</v>
      </c>
      <c r="G414" s="202" t="s">
        <v>781</v>
      </c>
      <c r="H414" s="203" t="s">
        <v>781</v>
      </c>
      <c r="I414" s="203" t="s">
        <v>781</v>
      </c>
      <c r="J414" s="203" t="s">
        <v>781</v>
      </c>
      <c r="K414" s="203"/>
      <c r="L414" s="202" t="s">
        <v>781</v>
      </c>
      <c r="M414" s="204" t="str">
        <f t="shared" si="2408"/>
        <v xml:space="preserve"> </v>
      </c>
      <c r="N414" s="95" t="s">
        <v>781</v>
      </c>
      <c r="O414" s="204" t="str">
        <f t="shared" si="2408"/>
        <v xml:space="preserve"> </v>
      </c>
      <c r="P414" s="95" t="s">
        <v>781</v>
      </c>
      <c r="Q414" s="204" t="str">
        <f t="shared" ref="Q414:S414" si="2547">IFERROR(P414/$G414," ")</f>
        <v xml:space="preserve"> </v>
      </c>
      <c r="R414" s="95" t="s">
        <v>781</v>
      </c>
      <c r="S414" s="204" t="str">
        <f t="shared" si="2547"/>
        <v xml:space="preserve"> </v>
      </c>
      <c r="T414" s="95" t="s">
        <v>781</v>
      </c>
      <c r="U414" s="204" t="str">
        <f t="shared" ref="U414:W414" si="2548">IFERROR(T414/$G414," ")</f>
        <v xml:space="preserve"> </v>
      </c>
      <c r="V414" s="95" t="s">
        <v>781</v>
      </c>
      <c r="W414" s="204" t="str">
        <f t="shared" si="2548"/>
        <v xml:space="preserve"> </v>
      </c>
      <c r="X414" s="95" t="s">
        <v>781</v>
      </c>
      <c r="Y414" s="204" t="str">
        <f t="shared" ref="Y414:AA414" si="2549">IFERROR(X414/$G414," ")</f>
        <v xml:space="preserve"> </v>
      </c>
      <c r="Z414" s="95" t="s">
        <v>781</v>
      </c>
      <c r="AA414" s="204" t="str">
        <f t="shared" si="2549"/>
        <v xml:space="preserve"> </v>
      </c>
      <c r="AB414" s="95" t="s">
        <v>781</v>
      </c>
      <c r="AC414" s="204" t="str">
        <f t="shared" ref="AC414:AE414" si="2550">IFERROR(AB414/$G414," ")</f>
        <v xml:space="preserve"> </v>
      </c>
      <c r="AD414" s="95" t="s">
        <v>781</v>
      </c>
      <c r="AE414" s="204" t="str">
        <f t="shared" si="2550"/>
        <v xml:space="preserve"> </v>
      </c>
      <c r="AF414" s="95" t="s">
        <v>781</v>
      </c>
      <c r="AG414" s="204" t="str">
        <f t="shared" ref="AG414:AI414" si="2551">IFERROR(AF414/$G414," ")</f>
        <v xml:space="preserve"> </v>
      </c>
      <c r="AH414" s="95" t="s">
        <v>781</v>
      </c>
      <c r="AI414" s="204" t="str">
        <f t="shared" si="2551"/>
        <v xml:space="preserve"> </v>
      </c>
      <c r="AJ414" s="95" t="s">
        <v>781</v>
      </c>
      <c r="AK414" s="204" t="str">
        <f t="shared" ref="AK414:AM414" si="2552">IFERROR(AJ414/$G414," ")</f>
        <v xml:space="preserve"> </v>
      </c>
      <c r="AL414" s="95" t="s">
        <v>781</v>
      </c>
      <c r="AM414" s="204" t="str">
        <f t="shared" si="2552"/>
        <v xml:space="preserve"> </v>
      </c>
      <c r="AN414" s="95"/>
      <c r="AO414" s="94" t="str">
        <f t="shared" si="2415"/>
        <v xml:space="preserve"> </v>
      </c>
      <c r="AP414" s="94" t="str">
        <f t="shared" si="2405"/>
        <v xml:space="preserve"> </v>
      </c>
      <c r="AQ414" s="94" t="str">
        <f t="shared" si="2406"/>
        <v xml:space="preserve"> </v>
      </c>
      <c r="AR414" s="94" t="str">
        <f t="shared" si="2416"/>
        <v xml:space="preserve"> </v>
      </c>
      <c r="AS414" s="94" t="str">
        <f t="shared" si="2417"/>
        <v xml:space="preserve"> </v>
      </c>
      <c r="AT414" s="94" t="str">
        <f t="shared" si="2418"/>
        <v xml:space="preserve"> </v>
      </c>
      <c r="AU414" s="94" t="str">
        <f t="shared" si="2419"/>
        <v xml:space="preserve"> </v>
      </c>
      <c r="AV414" s="94" t="str">
        <f t="shared" si="2420"/>
        <v xml:space="preserve"> </v>
      </c>
      <c r="AW414" s="94" t="str">
        <f t="shared" si="2421"/>
        <v xml:space="preserve"> </v>
      </c>
      <c r="AX414" s="94" t="str">
        <f t="shared" si="2422"/>
        <v xml:space="preserve"> </v>
      </c>
      <c r="AY414" s="94" t="str">
        <f t="shared" si="2423"/>
        <v xml:space="preserve"> </v>
      </c>
      <c r="AZ414" s="94" t="str">
        <f t="shared" si="2424"/>
        <v xml:space="preserve"> </v>
      </c>
      <c r="BA414" s="94" t="str">
        <f t="shared" si="2425"/>
        <v xml:space="preserve"> </v>
      </c>
      <c r="BB414" s="94" t="str">
        <f t="shared" si="2426"/>
        <v xml:space="preserve"> </v>
      </c>
    </row>
    <row r="415" spans="1:54" ht="30" x14ac:dyDescent="0.25">
      <c r="A415" s="80"/>
      <c r="B415" s="95" t="s">
        <v>2899</v>
      </c>
      <c r="C415" s="201" t="s">
        <v>415</v>
      </c>
      <c r="D415" s="80" t="s">
        <v>783</v>
      </c>
      <c r="E415" s="94" t="str">
        <f>IFERROR(VLOOKUP(A415,Estimate!A:Q,17,FALSE)," ")</f>
        <v xml:space="preserve"> </v>
      </c>
      <c r="F415" s="202" t="s">
        <v>781</v>
      </c>
      <c r="G415" s="202" t="s">
        <v>781</v>
      </c>
      <c r="H415" s="203" t="s">
        <v>781</v>
      </c>
      <c r="I415" s="203" t="s">
        <v>781</v>
      </c>
      <c r="J415" s="203" t="s">
        <v>781</v>
      </c>
      <c r="K415" s="203"/>
      <c r="L415" s="202" t="s">
        <v>781</v>
      </c>
      <c r="M415" s="204" t="str">
        <f t="shared" si="2408"/>
        <v xml:space="preserve"> </v>
      </c>
      <c r="N415" s="95" t="s">
        <v>781</v>
      </c>
      <c r="O415" s="204" t="str">
        <f t="shared" si="2408"/>
        <v xml:space="preserve"> </v>
      </c>
      <c r="P415" s="95" t="s">
        <v>781</v>
      </c>
      <c r="Q415" s="204" t="str">
        <f t="shared" ref="Q415:S415" si="2553">IFERROR(P415/$G415," ")</f>
        <v xml:space="preserve"> </v>
      </c>
      <c r="R415" s="95" t="s">
        <v>781</v>
      </c>
      <c r="S415" s="204" t="str">
        <f t="shared" si="2553"/>
        <v xml:space="preserve"> </v>
      </c>
      <c r="T415" s="95" t="s">
        <v>781</v>
      </c>
      <c r="U415" s="204" t="str">
        <f t="shared" ref="U415:W415" si="2554">IFERROR(T415/$G415," ")</f>
        <v xml:space="preserve"> </v>
      </c>
      <c r="V415" s="95" t="s">
        <v>781</v>
      </c>
      <c r="W415" s="204" t="str">
        <f t="shared" si="2554"/>
        <v xml:space="preserve"> </v>
      </c>
      <c r="X415" s="95" t="s">
        <v>781</v>
      </c>
      <c r="Y415" s="204" t="str">
        <f t="shared" ref="Y415:AA415" si="2555">IFERROR(X415/$G415," ")</f>
        <v xml:space="preserve"> </v>
      </c>
      <c r="Z415" s="95" t="s">
        <v>781</v>
      </c>
      <c r="AA415" s="204" t="str">
        <f t="shared" si="2555"/>
        <v xml:space="preserve"> </v>
      </c>
      <c r="AB415" s="95" t="s">
        <v>781</v>
      </c>
      <c r="AC415" s="204" t="str">
        <f t="shared" ref="AC415:AE415" si="2556">IFERROR(AB415/$G415," ")</f>
        <v xml:space="preserve"> </v>
      </c>
      <c r="AD415" s="95" t="s">
        <v>781</v>
      </c>
      <c r="AE415" s="204" t="str">
        <f t="shared" si="2556"/>
        <v xml:space="preserve"> </v>
      </c>
      <c r="AF415" s="95" t="s">
        <v>781</v>
      </c>
      <c r="AG415" s="204" t="str">
        <f t="shared" ref="AG415:AI415" si="2557">IFERROR(AF415/$G415," ")</f>
        <v xml:space="preserve"> </v>
      </c>
      <c r="AH415" s="95" t="s">
        <v>781</v>
      </c>
      <c r="AI415" s="204" t="str">
        <f t="shared" si="2557"/>
        <v xml:space="preserve"> </v>
      </c>
      <c r="AJ415" s="95" t="s">
        <v>781</v>
      </c>
      <c r="AK415" s="204" t="str">
        <f t="shared" ref="AK415:AM415" si="2558">IFERROR(AJ415/$G415," ")</f>
        <v xml:space="preserve"> </v>
      </c>
      <c r="AL415" s="95" t="s">
        <v>781</v>
      </c>
      <c r="AM415" s="204" t="str">
        <f t="shared" si="2558"/>
        <v xml:space="preserve"> </v>
      </c>
      <c r="AN415" s="95"/>
      <c r="AO415" s="94" t="str">
        <f t="shared" si="2415"/>
        <v xml:space="preserve"> </v>
      </c>
      <c r="AP415" s="94" t="str">
        <f t="shared" si="2405"/>
        <v xml:space="preserve"> </v>
      </c>
      <c r="AQ415" s="94" t="str">
        <f t="shared" si="2406"/>
        <v xml:space="preserve"> </v>
      </c>
      <c r="AR415" s="94" t="str">
        <f t="shared" si="2416"/>
        <v xml:space="preserve"> </v>
      </c>
      <c r="AS415" s="94" t="str">
        <f t="shared" si="2417"/>
        <v xml:space="preserve"> </v>
      </c>
      <c r="AT415" s="94" t="str">
        <f t="shared" si="2418"/>
        <v xml:space="preserve"> </v>
      </c>
      <c r="AU415" s="94" t="str">
        <f t="shared" si="2419"/>
        <v xml:space="preserve"> </v>
      </c>
      <c r="AV415" s="94" t="str">
        <f t="shared" si="2420"/>
        <v xml:space="preserve"> </v>
      </c>
      <c r="AW415" s="94" t="str">
        <f t="shared" si="2421"/>
        <v xml:space="preserve"> </v>
      </c>
      <c r="AX415" s="94" t="str">
        <f t="shared" si="2422"/>
        <v xml:space="preserve"> </v>
      </c>
      <c r="AY415" s="94" t="str">
        <f t="shared" si="2423"/>
        <v xml:space="preserve"> </v>
      </c>
      <c r="AZ415" s="94" t="str">
        <f t="shared" si="2424"/>
        <v xml:space="preserve"> </v>
      </c>
      <c r="BA415" s="94" t="str">
        <f t="shared" si="2425"/>
        <v xml:space="preserve"> </v>
      </c>
      <c r="BB415" s="94" t="str">
        <f t="shared" si="2426"/>
        <v xml:space="preserve"> </v>
      </c>
    </row>
    <row r="416" spans="1:54" x14ac:dyDescent="0.25">
      <c r="A416" s="80">
        <v>168</v>
      </c>
      <c r="B416" s="95" t="s">
        <v>2892</v>
      </c>
      <c r="C416" s="201" t="s">
        <v>295</v>
      </c>
      <c r="D416" s="80" t="s">
        <v>29</v>
      </c>
      <c r="E416" s="94">
        <f>IFERROR(VLOOKUP(A416,Estimate!A:Q,17,FALSE)," ")</f>
        <v>9765.52</v>
      </c>
      <c r="F416" s="202">
        <v>21</v>
      </c>
      <c r="G416" s="202">
        <v>21</v>
      </c>
      <c r="H416" s="203">
        <v>584.17999999999995</v>
      </c>
      <c r="I416" s="203">
        <v>12267.78</v>
      </c>
      <c r="J416" s="203">
        <v>12267.78</v>
      </c>
      <c r="K416" s="203"/>
      <c r="L416" s="202"/>
      <c r="M416" s="204">
        <f t="shared" si="2408"/>
        <v>0</v>
      </c>
      <c r="N416" s="95"/>
      <c r="O416" s="204">
        <f t="shared" si="2408"/>
        <v>0</v>
      </c>
      <c r="P416" s="95"/>
      <c r="Q416" s="204">
        <f t="shared" ref="Q416:S416" si="2559">IFERROR(P416/$G416," ")</f>
        <v>0</v>
      </c>
      <c r="R416" s="95"/>
      <c r="S416" s="204">
        <f t="shared" si="2559"/>
        <v>0</v>
      </c>
      <c r="T416" s="95"/>
      <c r="U416" s="204">
        <f t="shared" ref="U416:W416" si="2560">IFERROR(T416/$G416," ")</f>
        <v>0</v>
      </c>
      <c r="V416" s="95"/>
      <c r="W416" s="204">
        <f t="shared" si="2560"/>
        <v>0</v>
      </c>
      <c r="X416" s="95"/>
      <c r="Y416" s="204">
        <f t="shared" ref="Y416:AA416" si="2561">IFERROR(X416/$G416," ")</f>
        <v>0</v>
      </c>
      <c r="Z416" s="95"/>
      <c r="AA416" s="204">
        <f t="shared" si="2561"/>
        <v>0</v>
      </c>
      <c r="AB416" s="95"/>
      <c r="AC416" s="204">
        <f t="shared" ref="AC416:AE416" si="2562">IFERROR(AB416/$G416," ")</f>
        <v>0</v>
      </c>
      <c r="AD416" s="95"/>
      <c r="AE416" s="204">
        <f t="shared" si="2562"/>
        <v>0</v>
      </c>
      <c r="AF416" s="95">
        <v>6</v>
      </c>
      <c r="AG416" s="204">
        <f t="shared" ref="AG416:AI416" si="2563">IFERROR(AF416/$G416," ")</f>
        <v>0.2857142857142857</v>
      </c>
      <c r="AH416" s="95">
        <v>21</v>
      </c>
      <c r="AI416" s="204">
        <f t="shared" si="2563"/>
        <v>1</v>
      </c>
      <c r="AJ416" s="95">
        <v>21</v>
      </c>
      <c r="AK416" s="204">
        <f t="shared" ref="AK416:AM416" si="2564">IFERROR(AJ416/$G416," ")</f>
        <v>1</v>
      </c>
      <c r="AL416" s="95">
        <v>21</v>
      </c>
      <c r="AM416" s="204">
        <f t="shared" si="2564"/>
        <v>1</v>
      </c>
      <c r="AN416" s="95"/>
      <c r="AO416" s="94">
        <f t="shared" si="2415"/>
        <v>0</v>
      </c>
      <c r="AP416" s="94">
        <f t="shared" si="2405"/>
        <v>0</v>
      </c>
      <c r="AQ416" s="94">
        <f t="shared" si="2406"/>
        <v>0</v>
      </c>
      <c r="AR416" s="94">
        <f t="shared" si="2416"/>
        <v>0</v>
      </c>
      <c r="AS416" s="94">
        <f t="shared" si="2417"/>
        <v>0</v>
      </c>
      <c r="AT416" s="94">
        <f t="shared" si="2418"/>
        <v>0</v>
      </c>
      <c r="AU416" s="94">
        <f t="shared" si="2419"/>
        <v>0</v>
      </c>
      <c r="AV416" s="94">
        <f t="shared" si="2420"/>
        <v>0</v>
      </c>
      <c r="AW416" s="94">
        <f t="shared" si="2421"/>
        <v>0</v>
      </c>
      <c r="AX416" s="94">
        <f t="shared" si="2422"/>
        <v>0</v>
      </c>
      <c r="AY416" s="94">
        <f t="shared" si="2423"/>
        <v>3505.08</v>
      </c>
      <c r="AZ416" s="94">
        <f t="shared" si="2424"/>
        <v>12267.78</v>
      </c>
      <c r="BA416" s="94">
        <f t="shared" si="2425"/>
        <v>12267.78</v>
      </c>
      <c r="BB416" s="94">
        <f t="shared" si="2426"/>
        <v>12267.78</v>
      </c>
    </row>
    <row r="417" spans="1:54" x14ac:dyDescent="0.25">
      <c r="A417" s="80"/>
      <c r="B417" s="95" t="s">
        <v>2863</v>
      </c>
      <c r="C417" s="201" t="s">
        <v>138</v>
      </c>
      <c r="D417" s="80" t="s">
        <v>783</v>
      </c>
      <c r="E417" s="94" t="str">
        <f>IFERROR(VLOOKUP(A417,Estimate!A:Q,17,FALSE)," ")</f>
        <v xml:space="preserve"> </v>
      </c>
      <c r="F417" s="202" t="s">
        <v>781</v>
      </c>
      <c r="G417" s="202" t="s">
        <v>781</v>
      </c>
      <c r="H417" s="203" t="s">
        <v>781</v>
      </c>
      <c r="I417" s="203" t="s">
        <v>781</v>
      </c>
      <c r="J417" s="203" t="s">
        <v>781</v>
      </c>
      <c r="K417" s="203"/>
      <c r="L417" s="202" t="s">
        <v>781</v>
      </c>
      <c r="M417" s="204" t="str">
        <f t="shared" si="2408"/>
        <v xml:space="preserve"> </v>
      </c>
      <c r="N417" s="95" t="s">
        <v>781</v>
      </c>
      <c r="O417" s="204" t="str">
        <f t="shared" si="2408"/>
        <v xml:space="preserve"> </v>
      </c>
      <c r="P417" s="95" t="s">
        <v>781</v>
      </c>
      <c r="Q417" s="204" t="str">
        <f t="shared" ref="Q417:S417" si="2565">IFERROR(P417/$G417," ")</f>
        <v xml:space="preserve"> </v>
      </c>
      <c r="R417" s="95" t="s">
        <v>781</v>
      </c>
      <c r="S417" s="204" t="str">
        <f t="shared" si="2565"/>
        <v xml:space="preserve"> </v>
      </c>
      <c r="T417" s="95" t="s">
        <v>781</v>
      </c>
      <c r="U417" s="204" t="str">
        <f t="shared" ref="U417:W417" si="2566">IFERROR(T417/$G417," ")</f>
        <v xml:space="preserve"> </v>
      </c>
      <c r="V417" s="95" t="s">
        <v>781</v>
      </c>
      <c r="W417" s="204" t="str">
        <f t="shared" si="2566"/>
        <v xml:space="preserve"> </v>
      </c>
      <c r="X417" s="95" t="s">
        <v>781</v>
      </c>
      <c r="Y417" s="204" t="str">
        <f t="shared" ref="Y417:AA417" si="2567">IFERROR(X417/$G417," ")</f>
        <v xml:space="preserve"> </v>
      </c>
      <c r="Z417" s="95" t="s">
        <v>781</v>
      </c>
      <c r="AA417" s="204" t="str">
        <f t="shared" si="2567"/>
        <v xml:space="preserve"> </v>
      </c>
      <c r="AB417" s="95" t="s">
        <v>781</v>
      </c>
      <c r="AC417" s="204" t="str">
        <f t="shared" ref="AC417:AE417" si="2568">IFERROR(AB417/$G417," ")</f>
        <v xml:space="preserve"> </v>
      </c>
      <c r="AD417" s="95" t="s">
        <v>781</v>
      </c>
      <c r="AE417" s="204" t="str">
        <f t="shared" si="2568"/>
        <v xml:space="preserve"> </v>
      </c>
      <c r="AF417" s="95" t="s">
        <v>781</v>
      </c>
      <c r="AG417" s="204" t="str">
        <f t="shared" ref="AG417:AI417" si="2569">IFERROR(AF417/$G417," ")</f>
        <v xml:space="preserve"> </v>
      </c>
      <c r="AH417" s="95" t="s">
        <v>781</v>
      </c>
      <c r="AI417" s="204" t="str">
        <f t="shared" si="2569"/>
        <v xml:space="preserve"> </v>
      </c>
      <c r="AJ417" s="95" t="s">
        <v>781</v>
      </c>
      <c r="AK417" s="204" t="str">
        <f t="shared" ref="AK417:AM417" si="2570">IFERROR(AJ417/$G417," ")</f>
        <v xml:space="preserve"> </v>
      </c>
      <c r="AL417" s="95" t="s">
        <v>781</v>
      </c>
      <c r="AM417" s="204" t="str">
        <f t="shared" si="2570"/>
        <v xml:space="preserve"> </v>
      </c>
      <c r="AN417" s="95"/>
      <c r="AO417" s="94" t="str">
        <f t="shared" si="2415"/>
        <v xml:space="preserve"> </v>
      </c>
      <c r="AP417" s="94" t="str">
        <f t="shared" si="2405"/>
        <v xml:space="preserve"> </v>
      </c>
      <c r="AQ417" s="94" t="str">
        <f t="shared" si="2406"/>
        <v xml:space="preserve"> </v>
      </c>
      <c r="AR417" s="94" t="str">
        <f t="shared" si="2416"/>
        <v xml:space="preserve"> </v>
      </c>
      <c r="AS417" s="94" t="str">
        <f t="shared" si="2417"/>
        <v xml:space="preserve"> </v>
      </c>
      <c r="AT417" s="94" t="str">
        <f t="shared" si="2418"/>
        <v xml:space="preserve"> </v>
      </c>
      <c r="AU417" s="94" t="str">
        <f t="shared" si="2419"/>
        <v xml:space="preserve"> </v>
      </c>
      <c r="AV417" s="94" t="str">
        <f t="shared" si="2420"/>
        <v xml:space="preserve"> </v>
      </c>
      <c r="AW417" s="94" t="str">
        <f t="shared" si="2421"/>
        <v xml:space="preserve"> </v>
      </c>
      <c r="AX417" s="94" t="str">
        <f t="shared" si="2422"/>
        <v xml:space="preserve"> </v>
      </c>
      <c r="AY417" s="94" t="str">
        <f t="shared" si="2423"/>
        <v xml:space="preserve"> </v>
      </c>
      <c r="AZ417" s="94" t="str">
        <f t="shared" si="2424"/>
        <v xml:space="preserve"> </v>
      </c>
      <c r="BA417" s="94" t="str">
        <f t="shared" si="2425"/>
        <v xml:space="preserve"> </v>
      </c>
      <c r="BB417" s="94" t="str">
        <f t="shared" si="2426"/>
        <v xml:space="preserve"> </v>
      </c>
    </row>
    <row r="418" spans="1:54" x14ac:dyDescent="0.25">
      <c r="A418" s="80"/>
      <c r="B418" s="95" t="s">
        <v>2864</v>
      </c>
      <c r="C418" s="201" t="s">
        <v>140</v>
      </c>
      <c r="D418" s="80" t="s">
        <v>783</v>
      </c>
      <c r="E418" s="94" t="str">
        <f>IFERROR(VLOOKUP(A418,Estimate!A:Q,17,FALSE)," ")</f>
        <v xml:space="preserve"> </v>
      </c>
      <c r="F418" s="202" t="s">
        <v>781</v>
      </c>
      <c r="G418" s="202" t="s">
        <v>781</v>
      </c>
      <c r="H418" s="203" t="s">
        <v>781</v>
      </c>
      <c r="I418" s="203" t="s">
        <v>781</v>
      </c>
      <c r="J418" s="203" t="s">
        <v>781</v>
      </c>
      <c r="K418" s="203"/>
      <c r="L418" s="202" t="s">
        <v>781</v>
      </c>
      <c r="M418" s="204" t="str">
        <f t="shared" si="2408"/>
        <v xml:space="preserve"> </v>
      </c>
      <c r="N418" s="95" t="s">
        <v>781</v>
      </c>
      <c r="O418" s="204" t="str">
        <f t="shared" si="2408"/>
        <v xml:space="preserve"> </v>
      </c>
      <c r="P418" s="95" t="s">
        <v>781</v>
      </c>
      <c r="Q418" s="204" t="str">
        <f t="shared" ref="Q418:S418" si="2571">IFERROR(P418/$G418," ")</f>
        <v xml:space="preserve"> </v>
      </c>
      <c r="R418" s="95" t="s">
        <v>781</v>
      </c>
      <c r="S418" s="204" t="str">
        <f t="shared" si="2571"/>
        <v xml:space="preserve"> </v>
      </c>
      <c r="T418" s="95" t="s">
        <v>781</v>
      </c>
      <c r="U418" s="204" t="str">
        <f t="shared" ref="U418:W418" si="2572">IFERROR(T418/$G418," ")</f>
        <v xml:space="preserve"> </v>
      </c>
      <c r="V418" s="95" t="s">
        <v>781</v>
      </c>
      <c r="W418" s="204" t="str">
        <f t="shared" si="2572"/>
        <v xml:space="preserve"> </v>
      </c>
      <c r="X418" s="95" t="s">
        <v>781</v>
      </c>
      <c r="Y418" s="204" t="str">
        <f t="shared" ref="Y418:AA418" si="2573">IFERROR(X418/$G418," ")</f>
        <v xml:space="preserve"> </v>
      </c>
      <c r="Z418" s="95" t="s">
        <v>781</v>
      </c>
      <c r="AA418" s="204" t="str">
        <f t="shared" si="2573"/>
        <v xml:space="preserve"> </v>
      </c>
      <c r="AB418" s="95" t="s">
        <v>781</v>
      </c>
      <c r="AC418" s="204" t="str">
        <f t="shared" ref="AC418:AE418" si="2574">IFERROR(AB418/$G418," ")</f>
        <v xml:space="preserve"> </v>
      </c>
      <c r="AD418" s="95" t="s">
        <v>781</v>
      </c>
      <c r="AE418" s="204" t="str">
        <f t="shared" si="2574"/>
        <v xml:space="preserve"> </v>
      </c>
      <c r="AF418" s="95" t="s">
        <v>781</v>
      </c>
      <c r="AG418" s="204" t="str">
        <f t="shared" ref="AG418:AI418" si="2575">IFERROR(AF418/$G418," ")</f>
        <v xml:space="preserve"> </v>
      </c>
      <c r="AH418" s="95" t="s">
        <v>781</v>
      </c>
      <c r="AI418" s="204" t="str">
        <f t="shared" si="2575"/>
        <v xml:space="preserve"> </v>
      </c>
      <c r="AJ418" s="95" t="s">
        <v>781</v>
      </c>
      <c r="AK418" s="204" t="str">
        <f t="shared" ref="AK418:AM418" si="2576">IFERROR(AJ418/$G418," ")</f>
        <v xml:space="preserve"> </v>
      </c>
      <c r="AL418" s="95" t="s">
        <v>781</v>
      </c>
      <c r="AM418" s="204" t="str">
        <f t="shared" si="2576"/>
        <v xml:space="preserve"> </v>
      </c>
      <c r="AN418" s="95"/>
      <c r="AO418" s="94" t="str">
        <f t="shared" si="2415"/>
        <v xml:space="preserve"> </v>
      </c>
      <c r="AP418" s="94" t="str">
        <f t="shared" si="2405"/>
        <v xml:space="preserve"> </v>
      </c>
      <c r="AQ418" s="94" t="str">
        <f t="shared" si="2406"/>
        <v xml:space="preserve"> </v>
      </c>
      <c r="AR418" s="94" t="str">
        <f t="shared" si="2416"/>
        <v xml:space="preserve"> </v>
      </c>
      <c r="AS418" s="94" t="str">
        <f t="shared" si="2417"/>
        <v xml:space="preserve"> </v>
      </c>
      <c r="AT418" s="94" t="str">
        <f t="shared" si="2418"/>
        <v xml:space="preserve"> </v>
      </c>
      <c r="AU418" s="94" t="str">
        <f t="shared" si="2419"/>
        <v xml:space="preserve"> </v>
      </c>
      <c r="AV418" s="94" t="str">
        <f t="shared" si="2420"/>
        <v xml:space="preserve"> </v>
      </c>
      <c r="AW418" s="94" t="str">
        <f t="shared" si="2421"/>
        <v xml:space="preserve"> </v>
      </c>
      <c r="AX418" s="94" t="str">
        <f t="shared" si="2422"/>
        <v xml:space="preserve"> </v>
      </c>
      <c r="AY418" s="94" t="str">
        <f t="shared" si="2423"/>
        <v xml:space="preserve"> </v>
      </c>
      <c r="AZ418" s="94" t="str">
        <f t="shared" si="2424"/>
        <v xml:space="preserve"> </v>
      </c>
      <c r="BA418" s="94" t="str">
        <f t="shared" si="2425"/>
        <v xml:space="preserve"> </v>
      </c>
      <c r="BB418" s="94" t="str">
        <f t="shared" si="2426"/>
        <v xml:space="preserve"> </v>
      </c>
    </row>
    <row r="419" spans="1:54" x14ac:dyDescent="0.25">
      <c r="A419" s="80">
        <v>169</v>
      </c>
      <c r="B419" s="95" t="s">
        <v>2865</v>
      </c>
      <c r="C419" s="201" t="s">
        <v>142</v>
      </c>
      <c r="D419" s="80" t="s">
        <v>107</v>
      </c>
      <c r="E419" s="94">
        <f>IFERROR(VLOOKUP(A419,Estimate!A:Q,17,FALSE)," ")</f>
        <v>1347.5</v>
      </c>
      <c r="F419" s="202">
        <v>500</v>
      </c>
      <c r="G419" s="202">
        <v>500</v>
      </c>
      <c r="H419" s="203">
        <v>3.39</v>
      </c>
      <c r="I419" s="203">
        <v>1695</v>
      </c>
      <c r="J419" s="203">
        <v>1695</v>
      </c>
      <c r="K419" s="203"/>
      <c r="L419" s="202"/>
      <c r="M419" s="204">
        <f t="shared" si="2408"/>
        <v>0</v>
      </c>
      <c r="N419" s="95"/>
      <c r="O419" s="204">
        <f t="shared" si="2408"/>
        <v>0</v>
      </c>
      <c r="P419" s="95"/>
      <c r="Q419" s="204">
        <f t="shared" ref="Q419:S419" si="2577">IFERROR(P419/$G419," ")</f>
        <v>0</v>
      </c>
      <c r="R419" s="95"/>
      <c r="S419" s="204">
        <f t="shared" si="2577"/>
        <v>0</v>
      </c>
      <c r="T419" s="95"/>
      <c r="U419" s="204">
        <f t="shared" ref="U419:W419" si="2578">IFERROR(T419/$G419," ")</f>
        <v>0</v>
      </c>
      <c r="V419" s="95"/>
      <c r="W419" s="204">
        <f t="shared" si="2578"/>
        <v>0</v>
      </c>
      <c r="X419" s="95"/>
      <c r="Y419" s="204">
        <f t="shared" ref="Y419:AA419" si="2579">IFERROR(X419/$G419," ")</f>
        <v>0</v>
      </c>
      <c r="Z419" s="95"/>
      <c r="AA419" s="204">
        <f t="shared" si="2579"/>
        <v>0</v>
      </c>
      <c r="AB419" s="95"/>
      <c r="AC419" s="204">
        <f t="shared" ref="AC419:AE419" si="2580">IFERROR(AB419/$G419," ")</f>
        <v>0</v>
      </c>
      <c r="AD419" s="95"/>
      <c r="AE419" s="204">
        <f t="shared" si="2580"/>
        <v>0</v>
      </c>
      <c r="AF419" s="95"/>
      <c r="AG419" s="204">
        <f t="shared" ref="AG419:AI419" si="2581">IFERROR(AF419/$G419," ")</f>
        <v>0</v>
      </c>
      <c r="AH419" s="95">
        <v>500</v>
      </c>
      <c r="AI419" s="204">
        <f t="shared" si="2581"/>
        <v>1</v>
      </c>
      <c r="AJ419" s="95">
        <v>500</v>
      </c>
      <c r="AK419" s="204">
        <f t="shared" ref="AK419:AM419" si="2582">IFERROR(AJ419/$G419," ")</f>
        <v>1</v>
      </c>
      <c r="AL419" s="95">
        <v>500</v>
      </c>
      <c r="AM419" s="204">
        <f t="shared" si="2582"/>
        <v>1</v>
      </c>
      <c r="AN419" s="95"/>
      <c r="AO419" s="94">
        <f t="shared" si="2415"/>
        <v>0</v>
      </c>
      <c r="AP419" s="94">
        <f t="shared" si="2405"/>
        <v>0</v>
      </c>
      <c r="AQ419" s="94">
        <f t="shared" si="2406"/>
        <v>0</v>
      </c>
      <c r="AR419" s="94">
        <f t="shared" si="2416"/>
        <v>0</v>
      </c>
      <c r="AS419" s="94">
        <f t="shared" si="2417"/>
        <v>0</v>
      </c>
      <c r="AT419" s="94">
        <f t="shared" si="2418"/>
        <v>0</v>
      </c>
      <c r="AU419" s="94">
        <f t="shared" si="2419"/>
        <v>0</v>
      </c>
      <c r="AV419" s="94">
        <f t="shared" si="2420"/>
        <v>0</v>
      </c>
      <c r="AW419" s="94">
        <f t="shared" si="2421"/>
        <v>0</v>
      </c>
      <c r="AX419" s="94">
        <f t="shared" si="2422"/>
        <v>0</v>
      </c>
      <c r="AY419" s="94">
        <f t="shared" si="2423"/>
        <v>0</v>
      </c>
      <c r="AZ419" s="94">
        <f t="shared" si="2424"/>
        <v>1695</v>
      </c>
      <c r="BA419" s="94">
        <f t="shared" si="2425"/>
        <v>1695</v>
      </c>
      <c r="BB419" s="94">
        <f t="shared" si="2426"/>
        <v>1695</v>
      </c>
    </row>
    <row r="420" spans="1:54" x14ac:dyDescent="0.25">
      <c r="A420" s="80">
        <v>170</v>
      </c>
      <c r="B420" s="95" t="s">
        <v>2884</v>
      </c>
      <c r="C420" s="201" t="s">
        <v>241</v>
      </c>
      <c r="D420" s="80" t="s">
        <v>107</v>
      </c>
      <c r="E420" s="94">
        <f>IFERROR(VLOOKUP(A420,Estimate!A:Q,17,FALSE)," ")</f>
        <v>2231.25</v>
      </c>
      <c r="F420" s="202">
        <v>250</v>
      </c>
      <c r="G420" s="202">
        <v>250</v>
      </c>
      <c r="H420" s="203">
        <v>11.21</v>
      </c>
      <c r="I420" s="203">
        <v>2802.5</v>
      </c>
      <c r="J420" s="203">
        <v>2802.5</v>
      </c>
      <c r="K420" s="203"/>
      <c r="L420" s="202"/>
      <c r="M420" s="204">
        <f t="shared" si="2408"/>
        <v>0</v>
      </c>
      <c r="N420" s="95"/>
      <c r="O420" s="204">
        <f t="shared" si="2408"/>
        <v>0</v>
      </c>
      <c r="P420" s="95"/>
      <c r="Q420" s="204">
        <f t="shared" ref="Q420:S420" si="2583">IFERROR(P420/$G420," ")</f>
        <v>0</v>
      </c>
      <c r="R420" s="95"/>
      <c r="S420" s="204">
        <f t="shared" si="2583"/>
        <v>0</v>
      </c>
      <c r="T420" s="95"/>
      <c r="U420" s="204">
        <f t="shared" ref="U420:W420" si="2584">IFERROR(T420/$G420," ")</f>
        <v>0</v>
      </c>
      <c r="V420" s="95"/>
      <c r="W420" s="204">
        <f t="shared" si="2584"/>
        <v>0</v>
      </c>
      <c r="X420" s="95"/>
      <c r="Y420" s="204">
        <f t="shared" ref="Y420:AA420" si="2585">IFERROR(X420/$G420," ")</f>
        <v>0</v>
      </c>
      <c r="Z420" s="95"/>
      <c r="AA420" s="204">
        <f t="shared" si="2585"/>
        <v>0</v>
      </c>
      <c r="AB420" s="95"/>
      <c r="AC420" s="204">
        <f t="shared" ref="AC420:AE420" si="2586">IFERROR(AB420/$G420," ")</f>
        <v>0</v>
      </c>
      <c r="AD420" s="95"/>
      <c r="AE420" s="204">
        <f t="shared" si="2586"/>
        <v>0</v>
      </c>
      <c r="AF420" s="95"/>
      <c r="AG420" s="204">
        <f t="shared" ref="AG420:AI420" si="2587">IFERROR(AF420/$G420," ")</f>
        <v>0</v>
      </c>
      <c r="AH420" s="95">
        <v>250</v>
      </c>
      <c r="AI420" s="204">
        <f t="shared" si="2587"/>
        <v>1</v>
      </c>
      <c r="AJ420" s="95">
        <v>250</v>
      </c>
      <c r="AK420" s="204">
        <f t="shared" ref="AK420:AM420" si="2588">IFERROR(AJ420/$G420," ")</f>
        <v>1</v>
      </c>
      <c r="AL420" s="95">
        <v>250</v>
      </c>
      <c r="AM420" s="204">
        <f t="shared" si="2588"/>
        <v>1</v>
      </c>
      <c r="AN420" s="95"/>
      <c r="AO420" s="94">
        <f t="shared" si="2415"/>
        <v>0</v>
      </c>
      <c r="AP420" s="94">
        <f t="shared" si="2405"/>
        <v>0</v>
      </c>
      <c r="AQ420" s="94">
        <f t="shared" si="2406"/>
        <v>0</v>
      </c>
      <c r="AR420" s="94">
        <f t="shared" si="2416"/>
        <v>0</v>
      </c>
      <c r="AS420" s="94">
        <f t="shared" si="2417"/>
        <v>0</v>
      </c>
      <c r="AT420" s="94">
        <f t="shared" si="2418"/>
        <v>0</v>
      </c>
      <c r="AU420" s="94">
        <f t="shared" si="2419"/>
        <v>0</v>
      </c>
      <c r="AV420" s="94">
        <f t="shared" si="2420"/>
        <v>0</v>
      </c>
      <c r="AW420" s="94">
        <f t="shared" si="2421"/>
        <v>0</v>
      </c>
      <c r="AX420" s="94">
        <f t="shared" si="2422"/>
        <v>0</v>
      </c>
      <c r="AY420" s="94">
        <f t="shared" si="2423"/>
        <v>0</v>
      </c>
      <c r="AZ420" s="94">
        <f t="shared" si="2424"/>
        <v>2802.5</v>
      </c>
      <c r="BA420" s="94">
        <f t="shared" si="2425"/>
        <v>2802.5</v>
      </c>
      <c r="BB420" s="94">
        <f t="shared" si="2426"/>
        <v>2802.5</v>
      </c>
    </row>
    <row r="421" spans="1:54" x14ac:dyDescent="0.25">
      <c r="A421" s="80"/>
      <c r="B421" s="95" t="s">
        <v>2925</v>
      </c>
      <c r="C421" s="201" t="s">
        <v>593</v>
      </c>
      <c r="D421" s="80" t="s">
        <v>783</v>
      </c>
      <c r="E421" s="94" t="str">
        <f>IFERROR(VLOOKUP(A421,Estimate!A:Q,17,FALSE)," ")</f>
        <v xml:space="preserve"> </v>
      </c>
      <c r="F421" s="202" t="s">
        <v>781</v>
      </c>
      <c r="G421" s="202" t="s">
        <v>781</v>
      </c>
      <c r="H421" s="203" t="s">
        <v>781</v>
      </c>
      <c r="I421" s="203" t="s">
        <v>781</v>
      </c>
      <c r="J421" s="203" t="s">
        <v>781</v>
      </c>
      <c r="K421" s="203"/>
      <c r="L421" s="202" t="s">
        <v>781</v>
      </c>
      <c r="M421" s="204" t="str">
        <f t="shared" si="2408"/>
        <v xml:space="preserve"> </v>
      </c>
      <c r="N421" s="95" t="s">
        <v>781</v>
      </c>
      <c r="O421" s="204" t="str">
        <f t="shared" si="2408"/>
        <v xml:space="preserve"> </v>
      </c>
      <c r="P421" s="95" t="s">
        <v>781</v>
      </c>
      <c r="Q421" s="204" t="str">
        <f t="shared" ref="Q421:S421" si="2589">IFERROR(P421/$G421," ")</f>
        <v xml:space="preserve"> </v>
      </c>
      <c r="R421" s="95" t="s">
        <v>781</v>
      </c>
      <c r="S421" s="204" t="str">
        <f t="shared" si="2589"/>
        <v xml:space="preserve"> </v>
      </c>
      <c r="T421" s="95" t="s">
        <v>781</v>
      </c>
      <c r="U421" s="204" t="str">
        <f t="shared" ref="U421:W421" si="2590">IFERROR(T421/$G421," ")</f>
        <v xml:space="preserve"> </v>
      </c>
      <c r="V421" s="95" t="s">
        <v>781</v>
      </c>
      <c r="W421" s="204" t="str">
        <f t="shared" si="2590"/>
        <v xml:space="preserve"> </v>
      </c>
      <c r="X421" s="95" t="s">
        <v>781</v>
      </c>
      <c r="Y421" s="204" t="str">
        <f t="shared" ref="Y421:AA421" si="2591">IFERROR(X421/$G421," ")</f>
        <v xml:space="preserve"> </v>
      </c>
      <c r="Z421" s="95" t="s">
        <v>781</v>
      </c>
      <c r="AA421" s="204" t="str">
        <f t="shared" si="2591"/>
        <v xml:space="preserve"> </v>
      </c>
      <c r="AB421" s="95" t="s">
        <v>781</v>
      </c>
      <c r="AC421" s="204" t="str">
        <f t="shared" ref="AC421:AE421" si="2592">IFERROR(AB421/$G421," ")</f>
        <v xml:space="preserve"> </v>
      </c>
      <c r="AD421" s="95" t="s">
        <v>781</v>
      </c>
      <c r="AE421" s="204" t="str">
        <f t="shared" si="2592"/>
        <v xml:space="preserve"> </v>
      </c>
      <c r="AF421" s="95" t="s">
        <v>781</v>
      </c>
      <c r="AG421" s="204" t="str">
        <f t="shared" ref="AG421:AI421" si="2593">IFERROR(AF421/$G421," ")</f>
        <v xml:space="preserve"> </v>
      </c>
      <c r="AH421" s="95" t="s">
        <v>781</v>
      </c>
      <c r="AI421" s="204" t="str">
        <f t="shared" si="2593"/>
        <v xml:space="preserve"> </v>
      </c>
      <c r="AJ421" s="95" t="s">
        <v>781</v>
      </c>
      <c r="AK421" s="204" t="str">
        <f t="shared" ref="AK421:AM421" si="2594">IFERROR(AJ421/$G421," ")</f>
        <v xml:space="preserve"> </v>
      </c>
      <c r="AL421" s="95" t="s">
        <v>781</v>
      </c>
      <c r="AM421" s="204" t="str">
        <f t="shared" si="2594"/>
        <v xml:space="preserve"> </v>
      </c>
      <c r="AN421" s="95"/>
      <c r="AO421" s="94" t="str">
        <f t="shared" si="2415"/>
        <v xml:space="preserve"> </v>
      </c>
      <c r="AP421" s="94" t="str">
        <f t="shared" si="2405"/>
        <v xml:space="preserve"> </v>
      </c>
      <c r="AQ421" s="94" t="str">
        <f t="shared" si="2406"/>
        <v xml:space="preserve"> </v>
      </c>
      <c r="AR421" s="94" t="str">
        <f t="shared" si="2416"/>
        <v xml:space="preserve"> </v>
      </c>
      <c r="AS421" s="94" t="str">
        <f t="shared" si="2417"/>
        <v xml:space="preserve"> </v>
      </c>
      <c r="AT421" s="94" t="str">
        <f t="shared" si="2418"/>
        <v xml:space="preserve"> </v>
      </c>
      <c r="AU421" s="94" t="str">
        <f t="shared" si="2419"/>
        <v xml:space="preserve"> </v>
      </c>
      <c r="AV421" s="94" t="str">
        <f t="shared" si="2420"/>
        <v xml:space="preserve"> </v>
      </c>
      <c r="AW421" s="94" t="str">
        <f t="shared" si="2421"/>
        <v xml:space="preserve"> </v>
      </c>
      <c r="AX421" s="94" t="str">
        <f t="shared" si="2422"/>
        <v xml:space="preserve"> </v>
      </c>
      <c r="AY421" s="94" t="str">
        <f t="shared" si="2423"/>
        <v xml:space="preserve"> </v>
      </c>
      <c r="AZ421" s="94" t="str">
        <f t="shared" si="2424"/>
        <v xml:space="preserve"> </v>
      </c>
      <c r="BA421" s="94" t="str">
        <f t="shared" si="2425"/>
        <v xml:space="preserve"> </v>
      </c>
      <c r="BB421" s="94" t="str">
        <f t="shared" si="2426"/>
        <v xml:space="preserve"> </v>
      </c>
    </row>
    <row r="422" spans="1:54" x14ac:dyDescent="0.25">
      <c r="A422" s="80">
        <v>171</v>
      </c>
      <c r="B422" s="95" t="s">
        <v>2926</v>
      </c>
      <c r="C422" s="201" t="s">
        <v>595</v>
      </c>
      <c r="D422" s="80" t="s">
        <v>29</v>
      </c>
      <c r="E422" s="94">
        <f>IFERROR(VLOOKUP(A422,Estimate!A:Q,17,FALSE)," ")</f>
        <v>3000</v>
      </c>
      <c r="F422" s="202">
        <v>4</v>
      </c>
      <c r="G422" s="202">
        <v>4</v>
      </c>
      <c r="H422" s="203">
        <v>942.17</v>
      </c>
      <c r="I422" s="203">
        <v>3768.68</v>
      </c>
      <c r="J422" s="203">
        <v>3768.68</v>
      </c>
      <c r="K422" s="203"/>
      <c r="L422" s="202"/>
      <c r="M422" s="204">
        <f t="shared" si="2408"/>
        <v>0</v>
      </c>
      <c r="N422" s="95"/>
      <c r="O422" s="204">
        <f t="shared" si="2408"/>
        <v>0</v>
      </c>
      <c r="P422" s="95"/>
      <c r="Q422" s="204">
        <f t="shared" ref="Q422:S422" si="2595">IFERROR(P422/$G422," ")</f>
        <v>0</v>
      </c>
      <c r="R422" s="95"/>
      <c r="S422" s="204">
        <f t="shared" si="2595"/>
        <v>0</v>
      </c>
      <c r="T422" s="95"/>
      <c r="U422" s="204">
        <f t="shared" ref="U422:W422" si="2596">IFERROR(T422/$G422," ")</f>
        <v>0</v>
      </c>
      <c r="V422" s="95"/>
      <c r="W422" s="204">
        <f t="shared" si="2596"/>
        <v>0</v>
      </c>
      <c r="X422" s="95"/>
      <c r="Y422" s="204">
        <f t="shared" ref="Y422:AA422" si="2597">IFERROR(X422/$G422," ")</f>
        <v>0</v>
      </c>
      <c r="Z422" s="95"/>
      <c r="AA422" s="204">
        <f t="shared" si="2597"/>
        <v>0</v>
      </c>
      <c r="AB422" s="95"/>
      <c r="AC422" s="204">
        <f t="shared" ref="AC422:AE422" si="2598">IFERROR(AB422/$G422," ")</f>
        <v>0</v>
      </c>
      <c r="AD422" s="95"/>
      <c r="AE422" s="204">
        <f t="shared" si="2598"/>
        <v>0</v>
      </c>
      <c r="AF422" s="95"/>
      <c r="AG422" s="204">
        <f t="shared" ref="AG422:AI422" si="2599">IFERROR(AF422/$G422," ")</f>
        <v>0</v>
      </c>
      <c r="AH422" s="95">
        <v>4</v>
      </c>
      <c r="AI422" s="204">
        <f t="shared" si="2599"/>
        <v>1</v>
      </c>
      <c r="AJ422" s="95">
        <v>4</v>
      </c>
      <c r="AK422" s="204">
        <f t="shared" ref="AK422:AM422" si="2600">IFERROR(AJ422/$G422," ")</f>
        <v>1</v>
      </c>
      <c r="AL422" s="95">
        <v>4</v>
      </c>
      <c r="AM422" s="204">
        <f t="shared" si="2600"/>
        <v>1</v>
      </c>
      <c r="AN422" s="95"/>
      <c r="AO422" s="94">
        <f t="shared" si="2415"/>
        <v>0</v>
      </c>
      <c r="AP422" s="94">
        <f t="shared" si="2405"/>
        <v>0</v>
      </c>
      <c r="AQ422" s="94">
        <f t="shared" si="2406"/>
        <v>0</v>
      </c>
      <c r="AR422" s="94">
        <f t="shared" si="2416"/>
        <v>0</v>
      </c>
      <c r="AS422" s="94">
        <f t="shared" si="2417"/>
        <v>0</v>
      </c>
      <c r="AT422" s="94">
        <f t="shared" si="2418"/>
        <v>0</v>
      </c>
      <c r="AU422" s="94">
        <f t="shared" si="2419"/>
        <v>0</v>
      </c>
      <c r="AV422" s="94">
        <f t="shared" si="2420"/>
        <v>0</v>
      </c>
      <c r="AW422" s="94">
        <f t="shared" si="2421"/>
        <v>0</v>
      </c>
      <c r="AX422" s="94">
        <f t="shared" si="2422"/>
        <v>0</v>
      </c>
      <c r="AY422" s="94">
        <f t="shared" si="2423"/>
        <v>0</v>
      </c>
      <c r="AZ422" s="94">
        <f t="shared" si="2424"/>
        <v>3768.68</v>
      </c>
      <c r="BA422" s="94">
        <f t="shared" si="2425"/>
        <v>3768.68</v>
      </c>
      <c r="BB422" s="94">
        <f t="shared" si="2426"/>
        <v>3768.68</v>
      </c>
    </row>
    <row r="423" spans="1:54" x14ac:dyDescent="0.25">
      <c r="A423" s="80">
        <v>172</v>
      </c>
      <c r="B423" s="95">
        <v>816</v>
      </c>
      <c r="C423" s="201" t="s">
        <v>244</v>
      </c>
      <c r="D423" s="80" t="s">
        <v>62</v>
      </c>
      <c r="E423" s="94">
        <f>IFERROR(VLOOKUP(A423,Estimate!A:Q,17,FALSE)," ")</f>
        <v>2645</v>
      </c>
      <c r="F423" s="202">
        <v>50</v>
      </c>
      <c r="G423" s="202">
        <v>50</v>
      </c>
      <c r="H423" s="203">
        <v>66.45</v>
      </c>
      <c r="I423" s="203">
        <v>3322.5</v>
      </c>
      <c r="J423" s="203">
        <v>3322.5</v>
      </c>
      <c r="K423" s="203"/>
      <c r="L423" s="202"/>
      <c r="M423" s="204">
        <f t="shared" si="2408"/>
        <v>0</v>
      </c>
      <c r="N423" s="95"/>
      <c r="O423" s="204">
        <f t="shared" si="2408"/>
        <v>0</v>
      </c>
      <c r="P423" s="95"/>
      <c r="Q423" s="204">
        <f t="shared" ref="Q423:S423" si="2601">IFERROR(P423/$G423," ")</f>
        <v>0</v>
      </c>
      <c r="R423" s="95"/>
      <c r="S423" s="204">
        <f t="shared" si="2601"/>
        <v>0</v>
      </c>
      <c r="T423" s="95"/>
      <c r="U423" s="204">
        <f t="shared" ref="U423:W423" si="2602">IFERROR(T423/$G423," ")</f>
        <v>0</v>
      </c>
      <c r="V423" s="95"/>
      <c r="W423" s="204">
        <f t="shared" si="2602"/>
        <v>0</v>
      </c>
      <c r="X423" s="95"/>
      <c r="Y423" s="204">
        <f t="shared" ref="Y423:AA423" si="2603">IFERROR(X423/$G423," ")</f>
        <v>0</v>
      </c>
      <c r="Z423" s="95"/>
      <c r="AA423" s="204">
        <f t="shared" si="2603"/>
        <v>0</v>
      </c>
      <c r="AB423" s="95"/>
      <c r="AC423" s="204">
        <f t="shared" ref="AC423:AE423" si="2604">IFERROR(AB423/$G423," ")</f>
        <v>0</v>
      </c>
      <c r="AD423" s="95"/>
      <c r="AE423" s="204">
        <f t="shared" si="2604"/>
        <v>0</v>
      </c>
      <c r="AF423" s="95"/>
      <c r="AG423" s="204">
        <f t="shared" ref="AG423:AI423" si="2605">IFERROR(AF423/$G423," ")</f>
        <v>0</v>
      </c>
      <c r="AH423" s="95">
        <v>50</v>
      </c>
      <c r="AI423" s="204">
        <f t="shared" si="2605"/>
        <v>1</v>
      </c>
      <c r="AJ423" s="95">
        <v>50</v>
      </c>
      <c r="AK423" s="204">
        <f t="shared" ref="AK423:AM423" si="2606">IFERROR(AJ423/$G423," ")</f>
        <v>1</v>
      </c>
      <c r="AL423" s="95">
        <v>50</v>
      </c>
      <c r="AM423" s="204">
        <f t="shared" si="2606"/>
        <v>1</v>
      </c>
      <c r="AN423" s="95"/>
      <c r="AO423" s="94">
        <f t="shared" si="2415"/>
        <v>0</v>
      </c>
      <c r="AP423" s="94">
        <f t="shared" si="2405"/>
        <v>0</v>
      </c>
      <c r="AQ423" s="94">
        <f t="shared" si="2406"/>
        <v>0</v>
      </c>
      <c r="AR423" s="94">
        <f t="shared" si="2416"/>
        <v>0</v>
      </c>
      <c r="AS423" s="94">
        <f t="shared" si="2417"/>
        <v>0</v>
      </c>
      <c r="AT423" s="94">
        <f t="shared" si="2418"/>
        <v>0</v>
      </c>
      <c r="AU423" s="94">
        <f t="shared" si="2419"/>
        <v>0</v>
      </c>
      <c r="AV423" s="94">
        <f t="shared" si="2420"/>
        <v>0</v>
      </c>
      <c r="AW423" s="94">
        <f t="shared" si="2421"/>
        <v>0</v>
      </c>
      <c r="AX423" s="94">
        <f t="shared" si="2422"/>
        <v>0</v>
      </c>
      <c r="AY423" s="94">
        <f t="shared" si="2423"/>
        <v>0</v>
      </c>
      <c r="AZ423" s="94">
        <f t="shared" si="2424"/>
        <v>3322.5</v>
      </c>
      <c r="BA423" s="94">
        <f t="shared" si="2425"/>
        <v>3322.5</v>
      </c>
      <c r="BB423" s="94">
        <f t="shared" si="2426"/>
        <v>3322.5</v>
      </c>
    </row>
    <row r="424" spans="1:54" x14ac:dyDescent="0.25">
      <c r="A424" s="80"/>
      <c r="B424" s="95" t="s">
        <v>2417</v>
      </c>
      <c r="C424" s="201" t="s">
        <v>2837</v>
      </c>
      <c r="D424" s="80" t="s">
        <v>783</v>
      </c>
      <c r="E424" s="94" t="str">
        <f>IFERROR(VLOOKUP(A424,Estimate!A:Q,17,FALSE)," ")</f>
        <v xml:space="preserve"> </v>
      </c>
      <c r="F424" s="202" t="s">
        <v>781</v>
      </c>
      <c r="G424" s="202" t="s">
        <v>781</v>
      </c>
      <c r="H424" s="203" t="s">
        <v>781</v>
      </c>
      <c r="I424" s="203" t="s">
        <v>781</v>
      </c>
      <c r="J424" s="203" t="s">
        <v>781</v>
      </c>
      <c r="K424" s="203"/>
      <c r="L424" s="202" t="s">
        <v>781</v>
      </c>
      <c r="M424" s="204" t="str">
        <f t="shared" si="2408"/>
        <v xml:space="preserve"> </v>
      </c>
      <c r="N424" s="95" t="s">
        <v>781</v>
      </c>
      <c r="O424" s="204" t="str">
        <f t="shared" si="2408"/>
        <v xml:space="preserve"> </v>
      </c>
      <c r="P424" s="95" t="s">
        <v>781</v>
      </c>
      <c r="Q424" s="204" t="str">
        <f t="shared" ref="Q424:S424" si="2607">IFERROR(P424/$G424," ")</f>
        <v xml:space="preserve"> </v>
      </c>
      <c r="R424" s="95" t="s">
        <v>781</v>
      </c>
      <c r="S424" s="204" t="str">
        <f t="shared" si="2607"/>
        <v xml:space="preserve"> </v>
      </c>
      <c r="T424" s="95" t="s">
        <v>781</v>
      </c>
      <c r="U424" s="204" t="str">
        <f t="shared" ref="U424:W424" si="2608">IFERROR(T424/$G424," ")</f>
        <v xml:space="preserve"> </v>
      </c>
      <c r="V424" s="95" t="s">
        <v>781</v>
      </c>
      <c r="W424" s="204" t="str">
        <f t="shared" si="2608"/>
        <v xml:space="preserve"> </v>
      </c>
      <c r="X424" s="95" t="s">
        <v>781</v>
      </c>
      <c r="Y424" s="204" t="str">
        <f t="shared" ref="Y424:AA424" si="2609">IFERROR(X424/$G424," ")</f>
        <v xml:space="preserve"> </v>
      </c>
      <c r="Z424" s="95" t="s">
        <v>781</v>
      </c>
      <c r="AA424" s="204" t="str">
        <f t="shared" si="2609"/>
        <v xml:space="preserve"> </v>
      </c>
      <c r="AB424" s="95" t="s">
        <v>781</v>
      </c>
      <c r="AC424" s="204" t="str">
        <f t="shared" ref="AC424:AE424" si="2610">IFERROR(AB424/$G424," ")</f>
        <v xml:space="preserve"> </v>
      </c>
      <c r="AD424" s="95" t="s">
        <v>781</v>
      </c>
      <c r="AE424" s="204" t="str">
        <f t="shared" si="2610"/>
        <v xml:space="preserve"> </v>
      </c>
      <c r="AF424" s="95" t="s">
        <v>781</v>
      </c>
      <c r="AG424" s="204" t="str">
        <f t="shared" ref="AG424:AI424" si="2611">IFERROR(AF424/$G424," ")</f>
        <v xml:space="preserve"> </v>
      </c>
      <c r="AH424" s="95" t="s">
        <v>781</v>
      </c>
      <c r="AI424" s="204" t="str">
        <f t="shared" si="2611"/>
        <v xml:space="preserve"> </v>
      </c>
      <c r="AJ424" s="95" t="s">
        <v>781</v>
      </c>
      <c r="AK424" s="204" t="str">
        <f t="shared" ref="AK424:AM424" si="2612">IFERROR(AJ424/$G424," ")</f>
        <v xml:space="preserve"> </v>
      </c>
      <c r="AL424" s="95" t="s">
        <v>781</v>
      </c>
      <c r="AM424" s="204" t="str">
        <f t="shared" si="2612"/>
        <v xml:space="preserve"> </v>
      </c>
      <c r="AN424" s="95"/>
      <c r="AO424" s="94" t="str">
        <f t="shared" si="2415"/>
        <v xml:space="preserve"> </v>
      </c>
      <c r="AP424" s="94" t="str">
        <f t="shared" si="2405"/>
        <v xml:space="preserve"> </v>
      </c>
      <c r="AQ424" s="94" t="str">
        <f t="shared" si="2406"/>
        <v xml:space="preserve"> </v>
      </c>
      <c r="AR424" s="94" t="str">
        <f t="shared" si="2416"/>
        <v xml:space="preserve"> </v>
      </c>
      <c r="AS424" s="94" t="str">
        <f t="shared" si="2417"/>
        <v xml:space="preserve"> </v>
      </c>
      <c r="AT424" s="94" t="str">
        <f t="shared" si="2418"/>
        <v xml:space="preserve"> </v>
      </c>
      <c r="AU424" s="94" t="str">
        <f t="shared" si="2419"/>
        <v xml:space="preserve"> </v>
      </c>
      <c r="AV424" s="94" t="str">
        <f t="shared" si="2420"/>
        <v xml:space="preserve"> </v>
      </c>
      <c r="AW424" s="94" t="str">
        <f t="shared" si="2421"/>
        <v xml:space="preserve"> </v>
      </c>
      <c r="AX424" s="94" t="str">
        <f t="shared" si="2422"/>
        <v xml:space="preserve"> </v>
      </c>
      <c r="AY424" s="94" t="str">
        <f t="shared" si="2423"/>
        <v xml:space="preserve"> </v>
      </c>
      <c r="AZ424" s="94" t="str">
        <f t="shared" si="2424"/>
        <v xml:space="preserve"> </v>
      </c>
      <c r="BA424" s="94" t="str">
        <f t="shared" si="2425"/>
        <v xml:space="preserve"> </v>
      </c>
      <c r="BB424" s="94" t="str">
        <f t="shared" si="2426"/>
        <v xml:space="preserve"> </v>
      </c>
    </row>
    <row r="425" spans="1:54" x14ac:dyDescent="0.25">
      <c r="A425" s="80"/>
      <c r="B425" s="95" t="s">
        <v>2417</v>
      </c>
      <c r="C425" s="201" t="s">
        <v>418</v>
      </c>
      <c r="D425" s="80" t="s">
        <v>783</v>
      </c>
      <c r="E425" s="94" t="str">
        <f>IFERROR(VLOOKUP(A425,Estimate!A:Q,17,FALSE)," ")</f>
        <v xml:space="preserve"> </v>
      </c>
      <c r="F425" s="202" t="s">
        <v>781</v>
      </c>
      <c r="G425" s="202" t="s">
        <v>781</v>
      </c>
      <c r="H425" s="203" t="s">
        <v>781</v>
      </c>
      <c r="I425" s="203" t="s">
        <v>781</v>
      </c>
      <c r="J425" s="203" t="s">
        <v>781</v>
      </c>
      <c r="K425" s="203"/>
      <c r="L425" s="202" t="s">
        <v>781</v>
      </c>
      <c r="M425" s="204" t="str">
        <f t="shared" si="2408"/>
        <v xml:space="preserve"> </v>
      </c>
      <c r="N425" s="95" t="s">
        <v>781</v>
      </c>
      <c r="O425" s="204" t="str">
        <f t="shared" si="2408"/>
        <v xml:space="preserve"> </v>
      </c>
      <c r="P425" s="95" t="s">
        <v>781</v>
      </c>
      <c r="Q425" s="204" t="str">
        <f t="shared" ref="Q425:S425" si="2613">IFERROR(P425/$G425," ")</f>
        <v xml:space="preserve"> </v>
      </c>
      <c r="R425" s="95" t="s">
        <v>781</v>
      </c>
      <c r="S425" s="204" t="str">
        <f t="shared" si="2613"/>
        <v xml:space="preserve"> </v>
      </c>
      <c r="T425" s="95" t="s">
        <v>781</v>
      </c>
      <c r="U425" s="204" t="str">
        <f t="shared" ref="U425:W425" si="2614">IFERROR(T425/$G425," ")</f>
        <v xml:space="preserve"> </v>
      </c>
      <c r="V425" s="95" t="s">
        <v>781</v>
      </c>
      <c r="W425" s="204" t="str">
        <f t="shared" si="2614"/>
        <v xml:space="preserve"> </v>
      </c>
      <c r="X425" s="95" t="s">
        <v>781</v>
      </c>
      <c r="Y425" s="204" t="str">
        <f t="shared" ref="Y425:AA425" si="2615">IFERROR(X425/$G425," ")</f>
        <v xml:space="preserve"> </v>
      </c>
      <c r="Z425" s="95" t="s">
        <v>781</v>
      </c>
      <c r="AA425" s="204" t="str">
        <f t="shared" si="2615"/>
        <v xml:space="preserve"> </v>
      </c>
      <c r="AB425" s="95" t="s">
        <v>781</v>
      </c>
      <c r="AC425" s="204" t="str">
        <f t="shared" ref="AC425:AE425" si="2616">IFERROR(AB425/$G425," ")</f>
        <v xml:space="preserve"> </v>
      </c>
      <c r="AD425" s="95" t="s">
        <v>781</v>
      </c>
      <c r="AE425" s="204" t="str">
        <f t="shared" si="2616"/>
        <v xml:space="preserve"> </v>
      </c>
      <c r="AF425" s="95" t="s">
        <v>781</v>
      </c>
      <c r="AG425" s="204" t="str">
        <f t="shared" ref="AG425:AI425" si="2617">IFERROR(AF425/$G425," ")</f>
        <v xml:space="preserve"> </v>
      </c>
      <c r="AH425" s="95" t="s">
        <v>781</v>
      </c>
      <c r="AI425" s="204" t="str">
        <f t="shared" si="2617"/>
        <v xml:space="preserve"> </v>
      </c>
      <c r="AJ425" s="95" t="s">
        <v>781</v>
      </c>
      <c r="AK425" s="204" t="str">
        <f t="shared" ref="AK425:AM425" si="2618">IFERROR(AJ425/$G425," ")</f>
        <v xml:space="preserve"> </v>
      </c>
      <c r="AL425" s="95" t="s">
        <v>781</v>
      </c>
      <c r="AM425" s="204" t="str">
        <f t="shared" si="2618"/>
        <v xml:space="preserve"> </v>
      </c>
      <c r="AN425" s="95"/>
      <c r="AO425" s="94" t="str">
        <f t="shared" si="2415"/>
        <v xml:space="preserve"> </v>
      </c>
      <c r="AP425" s="94" t="str">
        <f t="shared" si="2405"/>
        <v xml:space="preserve"> </v>
      </c>
      <c r="AQ425" s="94" t="str">
        <f t="shared" si="2406"/>
        <v xml:space="preserve"> </v>
      </c>
      <c r="AR425" s="94" t="str">
        <f t="shared" ref="AR425:AR455" si="2619">IFERROR(S425*$J425," ")</f>
        <v xml:space="preserve"> </v>
      </c>
      <c r="AS425" s="94" t="str">
        <f t="shared" si="2417"/>
        <v xml:space="preserve"> </v>
      </c>
      <c r="AT425" s="94" t="str">
        <f t="shared" si="2418"/>
        <v xml:space="preserve"> </v>
      </c>
      <c r="AU425" s="94" t="str">
        <f t="shared" si="2419"/>
        <v xml:space="preserve"> </v>
      </c>
      <c r="AV425" s="94" t="str">
        <f t="shared" si="2420"/>
        <v xml:space="preserve"> </v>
      </c>
      <c r="AW425" s="94" t="str">
        <f t="shared" si="2421"/>
        <v xml:space="preserve"> </v>
      </c>
      <c r="AX425" s="94" t="str">
        <f t="shared" si="2422"/>
        <v xml:space="preserve"> </v>
      </c>
      <c r="AY425" s="94" t="str">
        <f t="shared" si="2423"/>
        <v xml:space="preserve"> </v>
      </c>
      <c r="AZ425" s="94" t="str">
        <f t="shared" si="2424"/>
        <v xml:space="preserve"> </v>
      </c>
      <c r="BA425" s="94" t="str">
        <f t="shared" si="2425"/>
        <v xml:space="preserve"> </v>
      </c>
      <c r="BB425" s="94" t="str">
        <f t="shared" si="2426"/>
        <v xml:space="preserve"> </v>
      </c>
    </row>
    <row r="426" spans="1:54" x14ac:dyDescent="0.25">
      <c r="A426" s="80"/>
      <c r="B426" s="95" t="s">
        <v>2927</v>
      </c>
      <c r="C426" s="201" t="s">
        <v>599</v>
      </c>
      <c r="D426" s="80" t="s">
        <v>783</v>
      </c>
      <c r="E426" s="94" t="str">
        <f>IFERROR(VLOOKUP(A426,Estimate!A:Q,17,FALSE)," ")</f>
        <v xml:space="preserve"> </v>
      </c>
      <c r="F426" s="202" t="s">
        <v>781</v>
      </c>
      <c r="G426" s="202" t="s">
        <v>781</v>
      </c>
      <c r="H426" s="203" t="s">
        <v>781</v>
      </c>
      <c r="I426" s="203" t="s">
        <v>781</v>
      </c>
      <c r="J426" s="203" t="s">
        <v>781</v>
      </c>
      <c r="K426" s="203"/>
      <c r="L426" s="202" t="s">
        <v>781</v>
      </c>
      <c r="M426" s="204" t="str">
        <f t="shared" si="2408"/>
        <v xml:space="preserve"> </v>
      </c>
      <c r="N426" s="95" t="s">
        <v>781</v>
      </c>
      <c r="O426" s="204" t="str">
        <f t="shared" si="2408"/>
        <v xml:space="preserve"> </v>
      </c>
      <c r="P426" s="95" t="s">
        <v>781</v>
      </c>
      <c r="Q426" s="204" t="str">
        <f t="shared" ref="Q426:S426" si="2620">IFERROR(P426/$G426," ")</f>
        <v xml:space="preserve"> </v>
      </c>
      <c r="R426" s="95" t="s">
        <v>781</v>
      </c>
      <c r="S426" s="204" t="str">
        <f t="shared" si="2620"/>
        <v xml:space="preserve"> </v>
      </c>
      <c r="T426" s="95" t="s">
        <v>781</v>
      </c>
      <c r="U426" s="204" t="str">
        <f t="shared" ref="U426:W426" si="2621">IFERROR(T426/$G426," ")</f>
        <v xml:space="preserve"> </v>
      </c>
      <c r="V426" s="95" t="s">
        <v>781</v>
      </c>
      <c r="W426" s="204" t="str">
        <f t="shared" si="2621"/>
        <v xml:space="preserve"> </v>
      </c>
      <c r="X426" s="95" t="s">
        <v>781</v>
      </c>
      <c r="Y426" s="204" t="str">
        <f t="shared" ref="Y426:AA426" si="2622">IFERROR(X426/$G426," ")</f>
        <v xml:space="preserve"> </v>
      </c>
      <c r="Z426" s="95" t="s">
        <v>781</v>
      </c>
      <c r="AA426" s="204" t="str">
        <f t="shared" si="2622"/>
        <v xml:space="preserve"> </v>
      </c>
      <c r="AB426" s="95" t="s">
        <v>781</v>
      </c>
      <c r="AC426" s="204" t="str">
        <f t="shared" ref="AC426:AE426" si="2623">IFERROR(AB426/$G426," ")</f>
        <v xml:space="preserve"> </v>
      </c>
      <c r="AD426" s="95" t="s">
        <v>781</v>
      </c>
      <c r="AE426" s="204" t="str">
        <f t="shared" si="2623"/>
        <v xml:space="preserve"> </v>
      </c>
      <c r="AF426" s="95" t="s">
        <v>781</v>
      </c>
      <c r="AG426" s="204" t="str">
        <f t="shared" ref="AG426:AI426" si="2624">IFERROR(AF426/$G426," ")</f>
        <v xml:space="preserve"> </v>
      </c>
      <c r="AH426" s="95" t="s">
        <v>781</v>
      </c>
      <c r="AI426" s="204" t="str">
        <f t="shared" si="2624"/>
        <v xml:space="preserve"> </v>
      </c>
      <c r="AJ426" s="95" t="s">
        <v>781</v>
      </c>
      <c r="AK426" s="204" t="str">
        <f t="shared" ref="AK426:AM426" si="2625">IFERROR(AJ426/$G426," ")</f>
        <v xml:space="preserve"> </v>
      </c>
      <c r="AL426" s="95" t="s">
        <v>781</v>
      </c>
      <c r="AM426" s="204" t="str">
        <f t="shared" si="2625"/>
        <v xml:space="preserve"> </v>
      </c>
      <c r="AN426" s="95"/>
      <c r="AO426" s="94" t="str">
        <f t="shared" si="2415"/>
        <v xml:space="preserve"> </v>
      </c>
      <c r="AP426" s="94" t="str">
        <f t="shared" si="2405"/>
        <v xml:space="preserve"> </v>
      </c>
      <c r="AQ426" s="94" t="str">
        <f t="shared" si="2406"/>
        <v xml:space="preserve"> </v>
      </c>
      <c r="AR426" s="94" t="str">
        <f t="shared" si="2619"/>
        <v xml:space="preserve"> </v>
      </c>
      <c r="AS426" s="94" t="str">
        <f t="shared" si="2417"/>
        <v xml:space="preserve"> </v>
      </c>
      <c r="AT426" s="94" t="str">
        <f t="shared" si="2418"/>
        <v xml:space="preserve"> </v>
      </c>
      <c r="AU426" s="94" t="str">
        <f t="shared" si="2419"/>
        <v xml:space="preserve"> </v>
      </c>
      <c r="AV426" s="94" t="str">
        <f t="shared" si="2420"/>
        <v xml:space="preserve"> </v>
      </c>
      <c r="AW426" s="94" t="str">
        <f t="shared" si="2421"/>
        <v xml:space="preserve"> </v>
      </c>
      <c r="AX426" s="94" t="str">
        <f t="shared" si="2422"/>
        <v xml:space="preserve"> </v>
      </c>
      <c r="AY426" s="94" t="str">
        <f t="shared" si="2423"/>
        <v xml:space="preserve"> </v>
      </c>
      <c r="AZ426" s="94" t="str">
        <f t="shared" si="2424"/>
        <v xml:space="preserve"> </v>
      </c>
      <c r="BA426" s="94" t="str">
        <f t="shared" si="2425"/>
        <v xml:space="preserve"> </v>
      </c>
      <c r="BB426" s="94" t="str">
        <f t="shared" si="2426"/>
        <v xml:space="preserve"> </v>
      </c>
    </row>
    <row r="427" spans="1:54" x14ac:dyDescent="0.25">
      <c r="A427" s="80"/>
      <c r="B427" s="95" t="s">
        <v>2928</v>
      </c>
      <c r="C427" s="201" t="s">
        <v>601</v>
      </c>
      <c r="D427" s="80" t="s">
        <v>783</v>
      </c>
      <c r="E427" s="94" t="str">
        <f>IFERROR(VLOOKUP(A427,Estimate!A:Q,17,FALSE)," ")</f>
        <v xml:space="preserve"> </v>
      </c>
      <c r="F427" s="202" t="s">
        <v>781</v>
      </c>
      <c r="G427" s="202" t="s">
        <v>781</v>
      </c>
      <c r="H427" s="203" t="s">
        <v>781</v>
      </c>
      <c r="I427" s="203" t="s">
        <v>781</v>
      </c>
      <c r="J427" s="203" t="s">
        <v>781</v>
      </c>
      <c r="K427" s="203"/>
      <c r="L427" s="202" t="s">
        <v>781</v>
      </c>
      <c r="M427" s="204" t="str">
        <f t="shared" si="2408"/>
        <v xml:space="preserve"> </v>
      </c>
      <c r="N427" s="95" t="s">
        <v>781</v>
      </c>
      <c r="O427" s="204" t="str">
        <f t="shared" si="2408"/>
        <v xml:space="preserve"> </v>
      </c>
      <c r="P427" s="95" t="s">
        <v>781</v>
      </c>
      <c r="Q427" s="204" t="str">
        <f t="shared" ref="Q427:S427" si="2626">IFERROR(P427/$G427," ")</f>
        <v xml:space="preserve"> </v>
      </c>
      <c r="R427" s="95" t="s">
        <v>781</v>
      </c>
      <c r="S427" s="204" t="str">
        <f t="shared" si="2626"/>
        <v xml:space="preserve"> </v>
      </c>
      <c r="T427" s="95" t="s">
        <v>781</v>
      </c>
      <c r="U427" s="204" t="str">
        <f t="shared" ref="U427:W427" si="2627">IFERROR(T427/$G427," ")</f>
        <v xml:space="preserve"> </v>
      </c>
      <c r="V427" s="95" t="s">
        <v>781</v>
      </c>
      <c r="W427" s="204" t="str">
        <f t="shared" si="2627"/>
        <v xml:space="preserve"> </v>
      </c>
      <c r="X427" s="95" t="s">
        <v>781</v>
      </c>
      <c r="Y427" s="204" t="str">
        <f t="shared" ref="Y427:AA427" si="2628">IFERROR(X427/$G427," ")</f>
        <v xml:space="preserve"> </v>
      </c>
      <c r="Z427" s="95" t="s">
        <v>781</v>
      </c>
      <c r="AA427" s="204" t="str">
        <f t="shared" si="2628"/>
        <v xml:space="preserve"> </v>
      </c>
      <c r="AB427" s="95" t="s">
        <v>781</v>
      </c>
      <c r="AC427" s="204" t="str">
        <f t="shared" ref="AC427:AE427" si="2629">IFERROR(AB427/$G427," ")</f>
        <v xml:space="preserve"> </v>
      </c>
      <c r="AD427" s="95" t="s">
        <v>781</v>
      </c>
      <c r="AE427" s="204" t="str">
        <f t="shared" si="2629"/>
        <v xml:space="preserve"> </v>
      </c>
      <c r="AF427" s="95" t="s">
        <v>781</v>
      </c>
      <c r="AG427" s="204" t="str">
        <f t="shared" ref="AG427:AI427" si="2630">IFERROR(AF427/$G427," ")</f>
        <v xml:space="preserve"> </v>
      </c>
      <c r="AH427" s="95" t="s">
        <v>781</v>
      </c>
      <c r="AI427" s="204" t="str">
        <f t="shared" si="2630"/>
        <v xml:space="preserve"> </v>
      </c>
      <c r="AJ427" s="95" t="s">
        <v>781</v>
      </c>
      <c r="AK427" s="204" t="str">
        <f t="shared" ref="AK427:AM427" si="2631">IFERROR(AJ427/$G427," ")</f>
        <v xml:space="preserve"> </v>
      </c>
      <c r="AL427" s="95" t="s">
        <v>781</v>
      </c>
      <c r="AM427" s="204" t="str">
        <f t="shared" si="2631"/>
        <v xml:space="preserve"> </v>
      </c>
      <c r="AN427" s="95"/>
      <c r="AO427" s="94" t="str">
        <f t="shared" si="2415"/>
        <v xml:space="preserve"> </v>
      </c>
      <c r="AP427" s="94" t="str">
        <f t="shared" si="2405"/>
        <v xml:space="preserve"> </v>
      </c>
      <c r="AQ427" s="94" t="str">
        <f t="shared" si="2406"/>
        <v xml:space="preserve"> </v>
      </c>
      <c r="AR427" s="94" t="str">
        <f t="shared" si="2619"/>
        <v xml:space="preserve"> </v>
      </c>
      <c r="AS427" s="94" t="str">
        <f t="shared" si="2417"/>
        <v xml:space="preserve"> </v>
      </c>
      <c r="AT427" s="94" t="str">
        <f t="shared" si="2418"/>
        <v xml:space="preserve"> </v>
      </c>
      <c r="AU427" s="94" t="str">
        <f t="shared" si="2419"/>
        <v xml:space="preserve"> </v>
      </c>
      <c r="AV427" s="94" t="str">
        <f t="shared" si="2420"/>
        <v xml:space="preserve"> </v>
      </c>
      <c r="AW427" s="94" t="str">
        <f t="shared" si="2421"/>
        <v xml:space="preserve"> </v>
      </c>
      <c r="AX427" s="94" t="str">
        <f t="shared" si="2422"/>
        <v xml:space="preserve"> </v>
      </c>
      <c r="AY427" s="94" t="str">
        <f t="shared" si="2423"/>
        <v xml:space="preserve"> </v>
      </c>
      <c r="AZ427" s="94" t="str">
        <f t="shared" si="2424"/>
        <v xml:space="preserve"> </v>
      </c>
      <c r="BA427" s="94" t="str">
        <f t="shared" si="2425"/>
        <v xml:space="preserve"> </v>
      </c>
      <c r="BB427" s="94" t="str">
        <f t="shared" si="2426"/>
        <v xml:space="preserve"> </v>
      </c>
    </row>
    <row r="428" spans="1:54" x14ac:dyDescent="0.25">
      <c r="A428" s="80">
        <v>173</v>
      </c>
      <c r="B428" s="95" t="s">
        <v>2929</v>
      </c>
      <c r="C428" s="201" t="s">
        <v>603</v>
      </c>
      <c r="D428" s="80" t="s">
        <v>89</v>
      </c>
      <c r="E428" s="94">
        <f>IFERROR(VLOOKUP(A428,Estimate!A:Q,17,FALSE)," ")</f>
        <v>3000</v>
      </c>
      <c r="F428" s="202">
        <v>300</v>
      </c>
      <c r="G428" s="202">
        <v>300</v>
      </c>
      <c r="H428" s="203">
        <v>12.56</v>
      </c>
      <c r="I428" s="203">
        <v>3768</v>
      </c>
      <c r="J428" s="203">
        <v>3768</v>
      </c>
      <c r="K428" s="203"/>
      <c r="L428" s="202"/>
      <c r="M428" s="204">
        <f t="shared" si="2408"/>
        <v>0</v>
      </c>
      <c r="N428" s="95"/>
      <c r="O428" s="204">
        <f t="shared" si="2408"/>
        <v>0</v>
      </c>
      <c r="P428" s="95"/>
      <c r="Q428" s="204">
        <f t="shared" ref="Q428:S428" si="2632">IFERROR(P428/$G428," ")</f>
        <v>0</v>
      </c>
      <c r="R428" s="95"/>
      <c r="S428" s="204">
        <f t="shared" si="2632"/>
        <v>0</v>
      </c>
      <c r="T428" s="95"/>
      <c r="U428" s="204">
        <f t="shared" ref="U428:W428" si="2633">IFERROR(T428/$G428," ")</f>
        <v>0</v>
      </c>
      <c r="V428" s="95"/>
      <c r="W428" s="204">
        <f t="shared" si="2633"/>
        <v>0</v>
      </c>
      <c r="X428" s="95"/>
      <c r="Y428" s="204">
        <f t="shared" ref="Y428:AA428" si="2634">IFERROR(X428/$G428," ")</f>
        <v>0</v>
      </c>
      <c r="Z428" s="95"/>
      <c r="AA428" s="204">
        <f t="shared" si="2634"/>
        <v>0</v>
      </c>
      <c r="AB428" s="95"/>
      <c r="AC428" s="204">
        <f t="shared" ref="AC428:AE428" si="2635">IFERROR(AB428/$G428," ")</f>
        <v>0</v>
      </c>
      <c r="AD428" s="95"/>
      <c r="AE428" s="204">
        <f t="shared" si="2635"/>
        <v>0</v>
      </c>
      <c r="AF428" s="95"/>
      <c r="AG428" s="204">
        <f t="shared" ref="AG428:AI428" si="2636">IFERROR(AF428/$G428," ")</f>
        <v>0</v>
      </c>
      <c r="AH428" s="95">
        <v>300</v>
      </c>
      <c r="AI428" s="204">
        <f t="shared" si="2636"/>
        <v>1</v>
      </c>
      <c r="AJ428" s="95">
        <v>300</v>
      </c>
      <c r="AK428" s="204">
        <f t="shared" ref="AK428:AM428" si="2637">IFERROR(AJ428/$G428," ")</f>
        <v>1</v>
      </c>
      <c r="AL428" s="95">
        <v>300</v>
      </c>
      <c r="AM428" s="204">
        <f t="shared" si="2637"/>
        <v>1</v>
      </c>
      <c r="AN428" s="95"/>
      <c r="AO428" s="94">
        <f t="shared" si="2415"/>
        <v>0</v>
      </c>
      <c r="AP428" s="94">
        <f t="shared" si="2405"/>
        <v>0</v>
      </c>
      <c r="AQ428" s="94">
        <f t="shared" si="2406"/>
        <v>0</v>
      </c>
      <c r="AR428" s="94">
        <f t="shared" si="2619"/>
        <v>0</v>
      </c>
      <c r="AS428" s="94">
        <f t="shared" si="2417"/>
        <v>0</v>
      </c>
      <c r="AT428" s="94">
        <f t="shared" si="2418"/>
        <v>0</v>
      </c>
      <c r="AU428" s="94">
        <f t="shared" si="2419"/>
        <v>0</v>
      </c>
      <c r="AV428" s="94">
        <f t="shared" si="2420"/>
        <v>0</v>
      </c>
      <c r="AW428" s="94">
        <f t="shared" si="2421"/>
        <v>0</v>
      </c>
      <c r="AX428" s="94">
        <f t="shared" si="2422"/>
        <v>0</v>
      </c>
      <c r="AY428" s="94">
        <f t="shared" si="2423"/>
        <v>0</v>
      </c>
      <c r="AZ428" s="94">
        <f t="shared" si="2424"/>
        <v>3768</v>
      </c>
      <c r="BA428" s="94">
        <f t="shared" si="2425"/>
        <v>3768</v>
      </c>
      <c r="BB428" s="94">
        <f t="shared" si="2426"/>
        <v>3768</v>
      </c>
    </row>
    <row r="429" spans="1:54" x14ac:dyDescent="0.25">
      <c r="A429" s="80"/>
      <c r="B429" s="95" t="s">
        <v>2901</v>
      </c>
      <c r="C429" s="201" t="s">
        <v>420</v>
      </c>
      <c r="D429" s="80" t="s">
        <v>783</v>
      </c>
      <c r="E429" s="94" t="str">
        <f>IFERROR(VLOOKUP(A429,Estimate!A:Q,17,FALSE)," ")</f>
        <v xml:space="preserve"> </v>
      </c>
      <c r="F429" s="202" t="s">
        <v>781</v>
      </c>
      <c r="G429" s="202" t="s">
        <v>781</v>
      </c>
      <c r="H429" s="203" t="s">
        <v>781</v>
      </c>
      <c r="I429" s="203" t="s">
        <v>781</v>
      </c>
      <c r="J429" s="203" t="s">
        <v>781</v>
      </c>
      <c r="K429" s="203"/>
      <c r="L429" s="202" t="s">
        <v>781</v>
      </c>
      <c r="M429" s="204" t="str">
        <f t="shared" si="2408"/>
        <v xml:space="preserve"> </v>
      </c>
      <c r="N429" s="95" t="s">
        <v>781</v>
      </c>
      <c r="O429" s="204" t="str">
        <f t="shared" si="2408"/>
        <v xml:space="preserve"> </v>
      </c>
      <c r="P429" s="95" t="s">
        <v>781</v>
      </c>
      <c r="Q429" s="204" t="str">
        <f t="shared" ref="Q429:S429" si="2638">IFERROR(P429/$G429," ")</f>
        <v xml:space="preserve"> </v>
      </c>
      <c r="R429" s="95" t="s">
        <v>781</v>
      </c>
      <c r="S429" s="204" t="str">
        <f t="shared" si="2638"/>
        <v xml:space="preserve"> </v>
      </c>
      <c r="T429" s="95" t="s">
        <v>781</v>
      </c>
      <c r="U429" s="204" t="str">
        <f t="shared" ref="U429:W429" si="2639">IFERROR(T429/$G429," ")</f>
        <v xml:space="preserve"> </v>
      </c>
      <c r="V429" s="95" t="s">
        <v>781</v>
      </c>
      <c r="W429" s="204" t="str">
        <f t="shared" si="2639"/>
        <v xml:space="preserve"> </v>
      </c>
      <c r="X429" s="95" t="s">
        <v>781</v>
      </c>
      <c r="Y429" s="204" t="str">
        <f t="shared" ref="Y429:AA429" si="2640">IFERROR(X429/$G429," ")</f>
        <v xml:space="preserve"> </v>
      </c>
      <c r="Z429" s="95" t="s">
        <v>781</v>
      </c>
      <c r="AA429" s="204" t="str">
        <f t="shared" si="2640"/>
        <v xml:space="preserve"> </v>
      </c>
      <c r="AB429" s="95" t="s">
        <v>781</v>
      </c>
      <c r="AC429" s="204" t="str">
        <f t="shared" ref="AC429:AE429" si="2641">IFERROR(AB429/$G429," ")</f>
        <v xml:space="preserve"> </v>
      </c>
      <c r="AD429" s="95" t="s">
        <v>781</v>
      </c>
      <c r="AE429" s="204" t="str">
        <f t="shared" si="2641"/>
        <v xml:space="preserve"> </v>
      </c>
      <c r="AF429" s="95" t="s">
        <v>781</v>
      </c>
      <c r="AG429" s="204" t="str">
        <f t="shared" ref="AG429:AI429" si="2642">IFERROR(AF429/$G429," ")</f>
        <v xml:space="preserve"> </v>
      </c>
      <c r="AH429" s="95" t="s">
        <v>781</v>
      </c>
      <c r="AI429" s="204" t="str">
        <f t="shared" si="2642"/>
        <v xml:space="preserve"> </v>
      </c>
      <c r="AJ429" s="95" t="s">
        <v>781</v>
      </c>
      <c r="AK429" s="204" t="str">
        <f t="shared" ref="AK429:AM429" si="2643">IFERROR(AJ429/$G429," ")</f>
        <v xml:space="preserve"> </v>
      </c>
      <c r="AL429" s="95" t="s">
        <v>781</v>
      </c>
      <c r="AM429" s="204" t="str">
        <f t="shared" si="2643"/>
        <v xml:space="preserve"> </v>
      </c>
      <c r="AN429" s="95"/>
      <c r="AO429" s="94" t="str">
        <f t="shared" si="2415"/>
        <v xml:space="preserve"> </v>
      </c>
      <c r="AP429" s="94" t="str">
        <f t="shared" si="2405"/>
        <v xml:space="preserve"> </v>
      </c>
      <c r="AQ429" s="94" t="str">
        <f t="shared" si="2406"/>
        <v xml:space="preserve"> </v>
      </c>
      <c r="AR429" s="94" t="str">
        <f t="shared" si="2619"/>
        <v xml:space="preserve"> </v>
      </c>
      <c r="AS429" s="94" t="str">
        <f t="shared" si="2417"/>
        <v xml:space="preserve"> </v>
      </c>
      <c r="AT429" s="94" t="str">
        <f t="shared" si="2418"/>
        <v xml:space="preserve"> </v>
      </c>
      <c r="AU429" s="94" t="str">
        <f t="shared" si="2419"/>
        <v xml:space="preserve"> </v>
      </c>
      <c r="AV429" s="94" t="str">
        <f t="shared" si="2420"/>
        <v xml:space="preserve"> </v>
      </c>
      <c r="AW429" s="94" t="str">
        <f t="shared" si="2421"/>
        <v xml:space="preserve"> </v>
      </c>
      <c r="AX429" s="94" t="str">
        <f t="shared" si="2422"/>
        <v xml:space="preserve"> </v>
      </c>
      <c r="AY429" s="94" t="str">
        <f t="shared" si="2423"/>
        <v xml:space="preserve"> </v>
      </c>
      <c r="AZ429" s="94" t="str">
        <f t="shared" si="2424"/>
        <v xml:space="preserve"> </v>
      </c>
      <c r="BA429" s="94" t="str">
        <f t="shared" si="2425"/>
        <v xml:space="preserve"> </v>
      </c>
      <c r="BB429" s="94" t="str">
        <f t="shared" si="2426"/>
        <v xml:space="preserve"> </v>
      </c>
    </row>
    <row r="430" spans="1:54" x14ac:dyDescent="0.25">
      <c r="A430" s="80">
        <v>174</v>
      </c>
      <c r="B430" s="95">
        <v>1301</v>
      </c>
      <c r="C430" s="201" t="s">
        <v>514</v>
      </c>
      <c r="D430" s="80" t="s">
        <v>20</v>
      </c>
      <c r="E430" s="94">
        <f>IFERROR(VLOOKUP(A430,Estimate!A:Q,17,FALSE)," ")</f>
        <v>29880</v>
      </c>
      <c r="F430" s="202">
        <v>1</v>
      </c>
      <c r="G430" s="202">
        <v>1</v>
      </c>
      <c r="H430" s="203">
        <v>37536.089999999997</v>
      </c>
      <c r="I430" s="203">
        <v>37536.089999999997</v>
      </c>
      <c r="J430" s="203">
        <v>37536.089999999997</v>
      </c>
      <c r="K430" s="203"/>
      <c r="L430" s="202"/>
      <c r="M430" s="204">
        <f t="shared" si="2408"/>
        <v>0</v>
      </c>
      <c r="N430" s="95"/>
      <c r="O430" s="204">
        <f t="shared" si="2408"/>
        <v>0</v>
      </c>
      <c r="P430" s="95"/>
      <c r="Q430" s="204">
        <f t="shared" ref="Q430:S430" si="2644">IFERROR(P430/$G430," ")</f>
        <v>0</v>
      </c>
      <c r="R430" s="95"/>
      <c r="S430" s="204">
        <f t="shared" si="2644"/>
        <v>0</v>
      </c>
      <c r="T430" s="95"/>
      <c r="U430" s="204">
        <f t="shared" ref="U430:W430" si="2645">IFERROR(T430/$G430," ")</f>
        <v>0</v>
      </c>
      <c r="V430" s="95"/>
      <c r="W430" s="204">
        <f t="shared" si="2645"/>
        <v>0</v>
      </c>
      <c r="X430" s="95"/>
      <c r="Y430" s="204">
        <f t="shared" ref="Y430:AA430" si="2646">IFERROR(X430/$G430," ")</f>
        <v>0</v>
      </c>
      <c r="Z430" s="95"/>
      <c r="AA430" s="204">
        <f t="shared" si="2646"/>
        <v>0</v>
      </c>
      <c r="AB430" s="95"/>
      <c r="AC430" s="204">
        <f t="shared" ref="AC430:AE430" si="2647">IFERROR(AB430/$G430," ")</f>
        <v>0</v>
      </c>
      <c r="AD430" s="95"/>
      <c r="AE430" s="204">
        <f t="shared" si="2647"/>
        <v>0</v>
      </c>
      <c r="AF430" s="95">
        <v>0.4</v>
      </c>
      <c r="AG430" s="204">
        <f t="shared" ref="AG430:AI430" si="2648">IFERROR(AF430/$G430," ")</f>
        <v>0.4</v>
      </c>
      <c r="AH430" s="95">
        <v>1</v>
      </c>
      <c r="AI430" s="204">
        <f t="shared" si="2648"/>
        <v>1</v>
      </c>
      <c r="AJ430" s="95">
        <v>1</v>
      </c>
      <c r="AK430" s="204">
        <f t="shared" ref="AK430:AM430" si="2649">IFERROR(AJ430/$G430," ")</f>
        <v>1</v>
      </c>
      <c r="AL430" s="95">
        <v>1</v>
      </c>
      <c r="AM430" s="204">
        <f t="shared" si="2649"/>
        <v>1</v>
      </c>
      <c r="AN430" s="95"/>
      <c r="AO430" s="94">
        <f t="shared" si="2415"/>
        <v>0</v>
      </c>
      <c r="AP430" s="94">
        <f t="shared" si="2405"/>
        <v>0</v>
      </c>
      <c r="AQ430" s="94">
        <f t="shared" si="2406"/>
        <v>0</v>
      </c>
      <c r="AR430" s="94">
        <f t="shared" si="2619"/>
        <v>0</v>
      </c>
      <c r="AS430" s="94">
        <f t="shared" si="2417"/>
        <v>0</v>
      </c>
      <c r="AT430" s="94">
        <f t="shared" si="2418"/>
        <v>0</v>
      </c>
      <c r="AU430" s="94">
        <f t="shared" si="2419"/>
        <v>0</v>
      </c>
      <c r="AV430" s="94">
        <f t="shared" si="2420"/>
        <v>0</v>
      </c>
      <c r="AW430" s="94">
        <f t="shared" si="2421"/>
        <v>0</v>
      </c>
      <c r="AX430" s="94">
        <f t="shared" si="2422"/>
        <v>0</v>
      </c>
      <c r="AY430" s="94">
        <f t="shared" si="2423"/>
        <v>15014.436</v>
      </c>
      <c r="AZ430" s="94">
        <f t="shared" si="2424"/>
        <v>37536.089999999997</v>
      </c>
      <c r="BA430" s="94">
        <f t="shared" si="2425"/>
        <v>37536.089999999997</v>
      </c>
      <c r="BB430" s="94">
        <f t="shared" si="2426"/>
        <v>37536.089999999997</v>
      </c>
    </row>
    <row r="431" spans="1:54" x14ac:dyDescent="0.25">
      <c r="A431" s="80"/>
      <c r="B431" s="95" t="s">
        <v>2417</v>
      </c>
      <c r="C431" s="201" t="s">
        <v>2837</v>
      </c>
      <c r="D431" s="80" t="s">
        <v>783</v>
      </c>
      <c r="E431" s="94" t="str">
        <f>IFERROR(VLOOKUP(A431,Estimate!A:Q,17,FALSE)," ")</f>
        <v xml:space="preserve"> </v>
      </c>
      <c r="F431" s="202" t="s">
        <v>781</v>
      </c>
      <c r="G431" s="202" t="s">
        <v>781</v>
      </c>
      <c r="H431" s="203" t="s">
        <v>781</v>
      </c>
      <c r="I431" s="203" t="s">
        <v>781</v>
      </c>
      <c r="J431" s="203" t="s">
        <v>781</v>
      </c>
      <c r="K431" s="203"/>
      <c r="L431" s="202" t="s">
        <v>781</v>
      </c>
      <c r="M431" s="204" t="str">
        <f t="shared" si="2408"/>
        <v xml:space="preserve"> </v>
      </c>
      <c r="N431" s="95" t="s">
        <v>781</v>
      </c>
      <c r="O431" s="204" t="str">
        <f t="shared" si="2408"/>
        <v xml:space="preserve"> </v>
      </c>
      <c r="P431" s="95" t="s">
        <v>781</v>
      </c>
      <c r="Q431" s="204" t="str">
        <f t="shared" ref="Q431:S431" si="2650">IFERROR(P431/$G431," ")</f>
        <v xml:space="preserve"> </v>
      </c>
      <c r="R431" s="95" t="s">
        <v>781</v>
      </c>
      <c r="S431" s="204" t="str">
        <f t="shared" si="2650"/>
        <v xml:space="preserve"> </v>
      </c>
      <c r="T431" s="95" t="s">
        <v>781</v>
      </c>
      <c r="U431" s="204" t="str">
        <f t="shared" ref="U431:W431" si="2651">IFERROR(T431/$G431," ")</f>
        <v xml:space="preserve"> </v>
      </c>
      <c r="V431" s="95" t="s">
        <v>781</v>
      </c>
      <c r="W431" s="204" t="str">
        <f t="shared" si="2651"/>
        <v xml:space="preserve"> </v>
      </c>
      <c r="X431" s="95" t="s">
        <v>781</v>
      </c>
      <c r="Y431" s="204" t="str">
        <f t="shared" ref="Y431:AA431" si="2652">IFERROR(X431/$G431," ")</f>
        <v xml:space="preserve"> </v>
      </c>
      <c r="Z431" s="95" t="s">
        <v>781</v>
      </c>
      <c r="AA431" s="204" t="str">
        <f t="shared" si="2652"/>
        <v xml:space="preserve"> </v>
      </c>
      <c r="AB431" s="95" t="s">
        <v>781</v>
      </c>
      <c r="AC431" s="204" t="str">
        <f t="shared" ref="AC431:AE431" si="2653">IFERROR(AB431/$G431," ")</f>
        <v xml:space="preserve"> </v>
      </c>
      <c r="AD431" s="95" t="s">
        <v>781</v>
      </c>
      <c r="AE431" s="204" t="str">
        <f t="shared" si="2653"/>
        <v xml:space="preserve"> </v>
      </c>
      <c r="AF431" s="95" t="s">
        <v>781</v>
      </c>
      <c r="AG431" s="204" t="str">
        <f t="shared" ref="AG431:AI431" si="2654">IFERROR(AF431/$G431," ")</f>
        <v xml:space="preserve"> </v>
      </c>
      <c r="AH431" s="95" t="s">
        <v>781</v>
      </c>
      <c r="AI431" s="204" t="str">
        <f t="shared" si="2654"/>
        <v xml:space="preserve"> </v>
      </c>
      <c r="AJ431" s="95" t="s">
        <v>781</v>
      </c>
      <c r="AK431" s="204" t="str">
        <f t="shared" ref="AK431:AM431" si="2655">IFERROR(AJ431/$G431," ")</f>
        <v xml:space="preserve"> </v>
      </c>
      <c r="AL431" s="95" t="s">
        <v>781</v>
      </c>
      <c r="AM431" s="204" t="str">
        <f t="shared" si="2655"/>
        <v xml:space="preserve"> </v>
      </c>
      <c r="AN431" s="95"/>
      <c r="AO431" s="94" t="str">
        <f t="shared" si="2415"/>
        <v xml:space="preserve"> </v>
      </c>
      <c r="AP431" s="94" t="str">
        <f t="shared" si="2405"/>
        <v xml:space="preserve"> </v>
      </c>
      <c r="AQ431" s="94" t="str">
        <f t="shared" si="2406"/>
        <v xml:space="preserve"> </v>
      </c>
      <c r="AR431" s="94" t="str">
        <f t="shared" si="2619"/>
        <v xml:space="preserve"> </v>
      </c>
      <c r="AS431" s="94" t="str">
        <f t="shared" si="2417"/>
        <v xml:space="preserve"> </v>
      </c>
      <c r="AT431" s="94" t="str">
        <f t="shared" si="2418"/>
        <v xml:space="preserve"> </v>
      </c>
      <c r="AU431" s="94" t="str">
        <f t="shared" si="2419"/>
        <v xml:space="preserve"> </v>
      </c>
      <c r="AV431" s="94" t="str">
        <f t="shared" si="2420"/>
        <v xml:space="preserve"> </v>
      </c>
      <c r="AW431" s="94" t="str">
        <f t="shared" si="2421"/>
        <v xml:space="preserve"> </v>
      </c>
      <c r="AX431" s="94" t="str">
        <f t="shared" si="2422"/>
        <v xml:space="preserve"> </v>
      </c>
      <c r="AY431" s="94" t="str">
        <f t="shared" si="2423"/>
        <v xml:space="preserve"> </v>
      </c>
      <c r="AZ431" s="94" t="str">
        <f t="shared" si="2424"/>
        <v xml:space="preserve"> </v>
      </c>
      <c r="BA431" s="94" t="str">
        <f t="shared" si="2425"/>
        <v xml:space="preserve"> </v>
      </c>
      <c r="BB431" s="94" t="str">
        <f t="shared" si="2426"/>
        <v xml:space="preserve"> </v>
      </c>
    </row>
    <row r="432" spans="1:54" x14ac:dyDescent="0.25">
      <c r="A432" s="80"/>
      <c r="B432" s="95" t="s">
        <v>2417</v>
      </c>
      <c r="C432" s="201" t="s">
        <v>145</v>
      </c>
      <c r="D432" s="80" t="s">
        <v>783</v>
      </c>
      <c r="E432" s="94" t="str">
        <f>IFERROR(VLOOKUP(A432,Estimate!A:Q,17,FALSE)," ")</f>
        <v xml:space="preserve"> </v>
      </c>
      <c r="F432" s="202" t="s">
        <v>781</v>
      </c>
      <c r="G432" s="202" t="s">
        <v>781</v>
      </c>
      <c r="H432" s="203" t="s">
        <v>781</v>
      </c>
      <c r="I432" s="203" t="s">
        <v>781</v>
      </c>
      <c r="J432" s="203" t="s">
        <v>781</v>
      </c>
      <c r="K432" s="203"/>
      <c r="L432" s="202" t="s">
        <v>781</v>
      </c>
      <c r="M432" s="204" t="str">
        <f t="shared" si="2408"/>
        <v xml:space="preserve"> </v>
      </c>
      <c r="N432" s="95" t="s">
        <v>781</v>
      </c>
      <c r="O432" s="204" t="str">
        <f t="shared" si="2408"/>
        <v xml:space="preserve"> </v>
      </c>
      <c r="P432" s="95" t="s">
        <v>781</v>
      </c>
      <c r="Q432" s="204" t="str">
        <f t="shared" ref="Q432:S432" si="2656">IFERROR(P432/$G432," ")</f>
        <v xml:space="preserve"> </v>
      </c>
      <c r="R432" s="95" t="s">
        <v>781</v>
      </c>
      <c r="S432" s="204" t="str">
        <f t="shared" si="2656"/>
        <v xml:space="preserve"> </v>
      </c>
      <c r="T432" s="95" t="s">
        <v>781</v>
      </c>
      <c r="U432" s="204" t="str">
        <f t="shared" ref="U432:W432" si="2657">IFERROR(T432/$G432," ")</f>
        <v xml:space="preserve"> </v>
      </c>
      <c r="V432" s="95" t="s">
        <v>781</v>
      </c>
      <c r="W432" s="204" t="str">
        <f t="shared" si="2657"/>
        <v xml:space="preserve"> </v>
      </c>
      <c r="X432" s="95" t="s">
        <v>781</v>
      </c>
      <c r="Y432" s="204" t="str">
        <f t="shared" ref="Y432:AA432" si="2658">IFERROR(X432/$G432," ")</f>
        <v xml:space="preserve"> </v>
      </c>
      <c r="Z432" s="95" t="s">
        <v>781</v>
      </c>
      <c r="AA432" s="204" t="str">
        <f t="shared" si="2658"/>
        <v xml:space="preserve"> </v>
      </c>
      <c r="AB432" s="95" t="s">
        <v>781</v>
      </c>
      <c r="AC432" s="204" t="str">
        <f t="shared" ref="AC432:AE432" si="2659">IFERROR(AB432/$G432," ")</f>
        <v xml:space="preserve"> </v>
      </c>
      <c r="AD432" s="95" t="s">
        <v>781</v>
      </c>
      <c r="AE432" s="204" t="str">
        <f t="shared" si="2659"/>
        <v xml:space="preserve"> </v>
      </c>
      <c r="AF432" s="95" t="s">
        <v>781</v>
      </c>
      <c r="AG432" s="204" t="str">
        <f t="shared" ref="AG432:AI432" si="2660">IFERROR(AF432/$G432," ")</f>
        <v xml:space="preserve"> </v>
      </c>
      <c r="AH432" s="95" t="s">
        <v>781</v>
      </c>
      <c r="AI432" s="204" t="str">
        <f t="shared" si="2660"/>
        <v xml:space="preserve"> </v>
      </c>
      <c r="AJ432" s="95" t="s">
        <v>781</v>
      </c>
      <c r="AK432" s="204" t="str">
        <f t="shared" ref="AK432:AM432" si="2661">IFERROR(AJ432/$G432," ")</f>
        <v xml:space="preserve"> </v>
      </c>
      <c r="AL432" s="95" t="s">
        <v>781</v>
      </c>
      <c r="AM432" s="204" t="str">
        <f t="shared" si="2661"/>
        <v xml:space="preserve"> </v>
      </c>
      <c r="AN432" s="95"/>
      <c r="AO432" s="94" t="str">
        <f t="shared" si="2415"/>
        <v xml:space="preserve"> </v>
      </c>
      <c r="AP432" s="94" t="str">
        <f t="shared" si="2405"/>
        <v xml:space="preserve"> </v>
      </c>
      <c r="AQ432" s="94" t="str">
        <f t="shared" si="2406"/>
        <v xml:space="preserve"> </v>
      </c>
      <c r="AR432" s="94" t="str">
        <f t="shared" si="2619"/>
        <v xml:space="preserve"> </v>
      </c>
      <c r="AS432" s="94" t="str">
        <f t="shared" si="2417"/>
        <v xml:space="preserve"> </v>
      </c>
      <c r="AT432" s="94" t="str">
        <f t="shared" si="2418"/>
        <v xml:space="preserve"> </v>
      </c>
      <c r="AU432" s="94" t="str">
        <f t="shared" si="2419"/>
        <v xml:space="preserve"> </v>
      </c>
      <c r="AV432" s="94" t="str">
        <f t="shared" si="2420"/>
        <v xml:space="preserve"> </v>
      </c>
      <c r="AW432" s="94" t="str">
        <f t="shared" si="2421"/>
        <v xml:space="preserve"> </v>
      </c>
      <c r="AX432" s="94" t="str">
        <f t="shared" si="2422"/>
        <v xml:space="preserve"> </v>
      </c>
      <c r="AY432" s="94" t="str">
        <f t="shared" si="2423"/>
        <v xml:space="preserve"> </v>
      </c>
      <c r="AZ432" s="94" t="str">
        <f t="shared" si="2424"/>
        <v xml:space="preserve"> </v>
      </c>
      <c r="BA432" s="94" t="str">
        <f t="shared" si="2425"/>
        <v xml:space="preserve"> </v>
      </c>
      <c r="BB432" s="94" t="str">
        <f t="shared" si="2426"/>
        <v xml:space="preserve"> </v>
      </c>
    </row>
    <row r="433" spans="1:54" x14ac:dyDescent="0.25">
      <c r="A433" s="80">
        <v>175</v>
      </c>
      <c r="B433" s="95" t="s">
        <v>2417</v>
      </c>
      <c r="C433" s="201" t="s">
        <v>147</v>
      </c>
      <c r="D433" s="80" t="s">
        <v>20</v>
      </c>
      <c r="E433" s="94">
        <f>IFERROR(VLOOKUP(A433,Estimate!A:Q,17,FALSE)," ")</f>
        <v>2400</v>
      </c>
      <c r="F433" s="202">
        <v>1</v>
      </c>
      <c r="G433" s="202">
        <v>1</v>
      </c>
      <c r="H433" s="203">
        <v>3014.95</v>
      </c>
      <c r="I433" s="203">
        <v>3014.95</v>
      </c>
      <c r="J433" s="203">
        <v>3014.95</v>
      </c>
      <c r="K433" s="203"/>
      <c r="L433" s="202"/>
      <c r="M433" s="204">
        <f t="shared" si="2408"/>
        <v>0</v>
      </c>
      <c r="N433" s="95"/>
      <c r="O433" s="204">
        <f t="shared" si="2408"/>
        <v>0</v>
      </c>
      <c r="P433" s="95"/>
      <c r="Q433" s="204">
        <f t="shared" ref="Q433:S433" si="2662">IFERROR(P433/$G433," ")</f>
        <v>0</v>
      </c>
      <c r="R433" s="95"/>
      <c r="S433" s="204">
        <f t="shared" si="2662"/>
        <v>0</v>
      </c>
      <c r="T433" s="95"/>
      <c r="U433" s="204">
        <f t="shared" ref="U433:W433" si="2663">IFERROR(T433/$G433," ")</f>
        <v>0</v>
      </c>
      <c r="V433" s="95"/>
      <c r="W433" s="204">
        <f t="shared" si="2663"/>
        <v>0</v>
      </c>
      <c r="X433" s="95"/>
      <c r="Y433" s="204">
        <f t="shared" ref="Y433:AA433" si="2664">IFERROR(X433/$G433," ")</f>
        <v>0</v>
      </c>
      <c r="Z433" s="95"/>
      <c r="AA433" s="204">
        <f t="shared" si="2664"/>
        <v>0</v>
      </c>
      <c r="AB433" s="95"/>
      <c r="AC433" s="204">
        <f t="shared" ref="AC433:AE433" si="2665">IFERROR(AB433/$G433," ")</f>
        <v>0</v>
      </c>
      <c r="AD433" s="95"/>
      <c r="AE433" s="204">
        <f t="shared" si="2665"/>
        <v>0</v>
      </c>
      <c r="AF433" s="95">
        <v>0.4</v>
      </c>
      <c r="AG433" s="204">
        <f t="shared" ref="AG433:AI433" si="2666">IFERROR(AF433/$G433," ")</f>
        <v>0.4</v>
      </c>
      <c r="AH433" s="95">
        <v>1</v>
      </c>
      <c r="AI433" s="204">
        <f t="shared" si="2666"/>
        <v>1</v>
      </c>
      <c r="AJ433" s="95">
        <v>1</v>
      </c>
      <c r="AK433" s="204">
        <f t="shared" ref="AK433:AM433" si="2667">IFERROR(AJ433/$G433," ")</f>
        <v>1</v>
      </c>
      <c r="AL433" s="95">
        <v>1</v>
      </c>
      <c r="AM433" s="204">
        <f t="shared" si="2667"/>
        <v>1</v>
      </c>
      <c r="AN433" s="95"/>
      <c r="AO433" s="94">
        <f t="shared" si="2415"/>
        <v>0</v>
      </c>
      <c r="AP433" s="94">
        <f t="shared" si="2405"/>
        <v>0</v>
      </c>
      <c r="AQ433" s="94">
        <f t="shared" si="2406"/>
        <v>0</v>
      </c>
      <c r="AR433" s="94">
        <f t="shared" si="2619"/>
        <v>0</v>
      </c>
      <c r="AS433" s="94">
        <f t="shared" si="2417"/>
        <v>0</v>
      </c>
      <c r="AT433" s="94">
        <f t="shared" si="2418"/>
        <v>0</v>
      </c>
      <c r="AU433" s="94">
        <f t="shared" si="2419"/>
        <v>0</v>
      </c>
      <c r="AV433" s="94">
        <f t="shared" si="2420"/>
        <v>0</v>
      </c>
      <c r="AW433" s="94">
        <f t="shared" si="2421"/>
        <v>0</v>
      </c>
      <c r="AX433" s="94">
        <f t="shared" si="2422"/>
        <v>0</v>
      </c>
      <c r="AY433" s="94">
        <f t="shared" si="2423"/>
        <v>1205.98</v>
      </c>
      <c r="AZ433" s="94">
        <f t="shared" si="2424"/>
        <v>3014.95</v>
      </c>
      <c r="BA433" s="94">
        <f t="shared" si="2425"/>
        <v>3014.95</v>
      </c>
      <c r="BB433" s="94">
        <f t="shared" si="2426"/>
        <v>3014.95</v>
      </c>
    </row>
    <row r="434" spans="1:54" x14ac:dyDescent="0.25">
      <c r="A434" s="80"/>
      <c r="B434" s="95" t="s">
        <v>2417</v>
      </c>
      <c r="C434" s="201" t="s">
        <v>2837</v>
      </c>
      <c r="D434" s="80" t="s">
        <v>783</v>
      </c>
      <c r="E434" s="94" t="str">
        <f>IFERROR(VLOOKUP(A434,Estimate!A:Q,17,FALSE)," ")</f>
        <v xml:space="preserve"> </v>
      </c>
      <c r="F434" s="202" t="s">
        <v>781</v>
      </c>
      <c r="G434" s="202" t="s">
        <v>781</v>
      </c>
      <c r="H434" s="203" t="s">
        <v>781</v>
      </c>
      <c r="I434" s="203" t="s">
        <v>781</v>
      </c>
      <c r="J434" s="203" t="s">
        <v>781</v>
      </c>
      <c r="K434" s="203"/>
      <c r="L434" s="202" t="s">
        <v>781</v>
      </c>
      <c r="M434" s="204" t="str">
        <f t="shared" si="2408"/>
        <v xml:space="preserve"> </v>
      </c>
      <c r="N434" s="95" t="s">
        <v>781</v>
      </c>
      <c r="O434" s="204" t="str">
        <f t="shared" si="2408"/>
        <v xml:space="preserve"> </v>
      </c>
      <c r="P434" s="95" t="s">
        <v>781</v>
      </c>
      <c r="Q434" s="204" t="str">
        <f t="shared" ref="Q434:S434" si="2668">IFERROR(P434/$G434," ")</f>
        <v xml:space="preserve"> </v>
      </c>
      <c r="R434" s="95" t="s">
        <v>781</v>
      </c>
      <c r="S434" s="204" t="str">
        <f t="shared" si="2668"/>
        <v xml:space="preserve"> </v>
      </c>
      <c r="T434" s="95" t="s">
        <v>781</v>
      </c>
      <c r="U434" s="204" t="str">
        <f t="shared" ref="U434:W434" si="2669">IFERROR(T434/$G434," ")</f>
        <v xml:space="preserve"> </v>
      </c>
      <c r="V434" s="95" t="s">
        <v>781</v>
      </c>
      <c r="W434" s="204" t="str">
        <f t="shared" si="2669"/>
        <v xml:space="preserve"> </v>
      </c>
      <c r="X434" s="95" t="s">
        <v>781</v>
      </c>
      <c r="Y434" s="204" t="str">
        <f t="shared" ref="Y434:AA434" si="2670">IFERROR(X434/$G434," ")</f>
        <v xml:space="preserve"> </v>
      </c>
      <c r="Z434" s="95" t="s">
        <v>781</v>
      </c>
      <c r="AA434" s="204" t="str">
        <f t="shared" si="2670"/>
        <v xml:space="preserve"> </v>
      </c>
      <c r="AB434" s="95" t="s">
        <v>781</v>
      </c>
      <c r="AC434" s="204" t="str">
        <f t="shared" ref="AC434:AE434" si="2671">IFERROR(AB434/$G434," ")</f>
        <v xml:space="preserve"> </v>
      </c>
      <c r="AD434" s="95" t="s">
        <v>781</v>
      </c>
      <c r="AE434" s="204" t="str">
        <f t="shared" si="2671"/>
        <v xml:space="preserve"> </v>
      </c>
      <c r="AF434" s="95" t="s">
        <v>781</v>
      </c>
      <c r="AG434" s="204" t="str">
        <f t="shared" ref="AG434:AI434" si="2672">IFERROR(AF434/$G434," ")</f>
        <v xml:space="preserve"> </v>
      </c>
      <c r="AH434" s="95" t="s">
        <v>781</v>
      </c>
      <c r="AI434" s="204" t="str">
        <f t="shared" si="2672"/>
        <v xml:space="preserve"> </v>
      </c>
      <c r="AJ434" s="95" t="s">
        <v>781</v>
      </c>
      <c r="AK434" s="204" t="str">
        <f t="shared" ref="AK434:AM434" si="2673">IFERROR(AJ434/$G434," ")</f>
        <v xml:space="preserve"> </v>
      </c>
      <c r="AL434" s="95" t="s">
        <v>781</v>
      </c>
      <c r="AM434" s="204" t="str">
        <f t="shared" si="2673"/>
        <v xml:space="preserve"> </v>
      </c>
      <c r="AN434" s="95"/>
      <c r="AO434" s="94" t="str">
        <f t="shared" si="2415"/>
        <v xml:space="preserve"> </v>
      </c>
      <c r="AP434" s="94" t="str">
        <f t="shared" si="2405"/>
        <v xml:space="preserve"> </v>
      </c>
      <c r="AQ434" s="94" t="str">
        <f t="shared" si="2406"/>
        <v xml:space="preserve"> </v>
      </c>
      <c r="AR434" s="94" t="str">
        <f t="shared" si="2619"/>
        <v xml:space="preserve"> </v>
      </c>
      <c r="AS434" s="94" t="str">
        <f t="shared" si="2417"/>
        <v xml:space="preserve"> </v>
      </c>
      <c r="AT434" s="94" t="str">
        <f t="shared" si="2418"/>
        <v xml:space="preserve"> </v>
      </c>
      <c r="AU434" s="94" t="str">
        <f t="shared" si="2419"/>
        <v xml:space="preserve"> </v>
      </c>
      <c r="AV434" s="94" t="str">
        <f t="shared" si="2420"/>
        <v xml:space="preserve"> </v>
      </c>
      <c r="AW434" s="94" t="str">
        <f t="shared" si="2421"/>
        <v xml:space="preserve"> </v>
      </c>
      <c r="AX434" s="94" t="str">
        <f t="shared" si="2422"/>
        <v xml:space="preserve"> </v>
      </c>
      <c r="AY434" s="94" t="str">
        <f t="shared" si="2423"/>
        <v xml:space="preserve"> </v>
      </c>
      <c r="AZ434" s="94" t="str">
        <f t="shared" si="2424"/>
        <v xml:space="preserve"> </v>
      </c>
      <c r="BA434" s="94" t="str">
        <f t="shared" si="2425"/>
        <v xml:space="preserve"> </v>
      </c>
      <c r="BB434" s="94" t="str">
        <f t="shared" si="2426"/>
        <v xml:space="preserve"> </v>
      </c>
    </row>
    <row r="435" spans="1:54" x14ac:dyDescent="0.25">
      <c r="A435" s="80"/>
      <c r="B435" s="205" t="s">
        <v>2417</v>
      </c>
      <c r="C435" s="206" t="s">
        <v>1916</v>
      </c>
      <c r="D435" s="207" t="s">
        <v>783</v>
      </c>
      <c r="E435" s="94" t="str">
        <f>IFERROR(VLOOKUP(A435,Estimate!A:Q,17,FALSE)," ")</f>
        <v xml:space="preserve"> </v>
      </c>
      <c r="F435" s="208" t="s">
        <v>781</v>
      </c>
      <c r="G435" s="208" t="s">
        <v>781</v>
      </c>
      <c r="H435" s="209" t="s">
        <v>781</v>
      </c>
      <c r="I435" s="209">
        <v>394144.24</v>
      </c>
      <c r="J435" s="209" t="s">
        <v>781</v>
      </c>
      <c r="K435" s="209"/>
      <c r="L435" s="208" t="s">
        <v>781</v>
      </c>
      <c r="M435" s="204" t="str">
        <f t="shared" si="2408"/>
        <v xml:space="preserve"> </v>
      </c>
      <c r="N435" s="95" t="s">
        <v>781</v>
      </c>
      <c r="O435" s="204" t="str">
        <f t="shared" si="2408"/>
        <v xml:space="preserve"> </v>
      </c>
      <c r="P435" s="95" t="s">
        <v>781</v>
      </c>
      <c r="Q435" s="204" t="str">
        <f t="shared" ref="Q435:S435" si="2674">IFERROR(P435/$G435," ")</f>
        <v xml:space="preserve"> </v>
      </c>
      <c r="R435" s="95" t="s">
        <v>781</v>
      </c>
      <c r="S435" s="204" t="str">
        <f t="shared" si="2674"/>
        <v xml:space="preserve"> </v>
      </c>
      <c r="T435" s="95" t="s">
        <v>781</v>
      </c>
      <c r="U435" s="204" t="str">
        <f t="shared" ref="U435:W435" si="2675">IFERROR(T435/$G435," ")</f>
        <v xml:space="preserve"> </v>
      </c>
      <c r="V435" s="95" t="s">
        <v>781</v>
      </c>
      <c r="W435" s="204" t="str">
        <f t="shared" si="2675"/>
        <v xml:space="preserve"> </v>
      </c>
      <c r="X435" s="95" t="s">
        <v>781</v>
      </c>
      <c r="Y435" s="204" t="str">
        <f t="shared" ref="Y435:AA435" si="2676">IFERROR(X435/$G435," ")</f>
        <v xml:space="preserve"> </v>
      </c>
      <c r="Z435" s="95" t="s">
        <v>781</v>
      </c>
      <c r="AA435" s="204" t="str">
        <f t="shared" si="2676"/>
        <v xml:space="preserve"> </v>
      </c>
      <c r="AB435" s="95" t="s">
        <v>781</v>
      </c>
      <c r="AC435" s="204" t="str">
        <f t="shared" ref="AC435:AE435" si="2677">IFERROR(AB435/$G435," ")</f>
        <v xml:space="preserve"> </v>
      </c>
      <c r="AD435" s="95" t="s">
        <v>781</v>
      </c>
      <c r="AE435" s="204" t="str">
        <f t="shared" si="2677"/>
        <v xml:space="preserve"> </v>
      </c>
      <c r="AF435" s="95" t="s">
        <v>781</v>
      </c>
      <c r="AG435" s="204" t="str">
        <f t="shared" ref="AG435:AI435" si="2678">IFERROR(AF435/$G435," ")</f>
        <v xml:space="preserve"> </v>
      </c>
      <c r="AH435" s="95" t="s">
        <v>781</v>
      </c>
      <c r="AI435" s="204" t="str">
        <f t="shared" si="2678"/>
        <v xml:space="preserve"> </v>
      </c>
      <c r="AJ435" s="95" t="s">
        <v>781</v>
      </c>
      <c r="AK435" s="204" t="str">
        <f t="shared" ref="AK435:AM435" si="2679">IFERROR(AJ435/$G435," ")</f>
        <v xml:space="preserve"> </v>
      </c>
      <c r="AL435" s="95" t="s">
        <v>781</v>
      </c>
      <c r="AM435" s="204" t="str">
        <f t="shared" si="2679"/>
        <v xml:space="preserve"> </v>
      </c>
      <c r="AN435" s="95"/>
      <c r="AO435" s="94" t="str">
        <f t="shared" si="2415"/>
        <v xml:space="preserve"> </v>
      </c>
      <c r="AP435" s="94" t="str">
        <f t="shared" si="2405"/>
        <v xml:space="preserve"> </v>
      </c>
      <c r="AQ435" s="94" t="str">
        <f t="shared" si="2406"/>
        <v xml:space="preserve"> </v>
      </c>
      <c r="AR435" s="94" t="str">
        <f t="shared" si="2619"/>
        <v xml:space="preserve"> </v>
      </c>
      <c r="AS435" s="94" t="str">
        <f t="shared" si="2417"/>
        <v xml:space="preserve"> </v>
      </c>
      <c r="AT435" s="94" t="str">
        <f t="shared" si="2418"/>
        <v xml:space="preserve"> </v>
      </c>
      <c r="AU435" s="94" t="str">
        <f t="shared" si="2419"/>
        <v xml:space="preserve"> </v>
      </c>
      <c r="AV435" s="94" t="str">
        <f t="shared" si="2420"/>
        <v xml:space="preserve"> </v>
      </c>
      <c r="AW435" s="94" t="str">
        <f t="shared" si="2421"/>
        <v xml:space="preserve"> </v>
      </c>
      <c r="AX435" s="94" t="str">
        <f t="shared" si="2422"/>
        <v xml:space="preserve"> </v>
      </c>
      <c r="AY435" s="94" t="str">
        <f t="shared" si="2423"/>
        <v xml:space="preserve"> </v>
      </c>
      <c r="AZ435" s="94" t="str">
        <f t="shared" si="2424"/>
        <v xml:space="preserve"> </v>
      </c>
      <c r="BA435" s="94" t="str">
        <f t="shared" si="2425"/>
        <v xml:space="preserve"> </v>
      </c>
      <c r="BB435" s="94" t="str">
        <f t="shared" si="2426"/>
        <v xml:space="preserve"> </v>
      </c>
    </row>
    <row r="436" spans="1:54" x14ac:dyDescent="0.25">
      <c r="A436" s="80"/>
      <c r="B436" s="95" t="s">
        <v>2417</v>
      </c>
      <c r="C436" s="201" t="s">
        <v>781</v>
      </c>
      <c r="D436" s="80" t="s">
        <v>783</v>
      </c>
      <c r="E436" s="94" t="str">
        <f>IFERROR(VLOOKUP(A436,Estimate!A:Q,17,FALSE)," ")</f>
        <v xml:space="preserve"> </v>
      </c>
      <c r="F436" s="202" t="s">
        <v>781</v>
      </c>
      <c r="G436" s="202" t="s">
        <v>781</v>
      </c>
      <c r="H436" s="203" t="s">
        <v>781</v>
      </c>
      <c r="I436" s="203" t="s">
        <v>781</v>
      </c>
      <c r="J436" s="203" t="s">
        <v>781</v>
      </c>
      <c r="K436" s="203"/>
      <c r="L436" s="202" t="s">
        <v>781</v>
      </c>
      <c r="M436" s="204" t="str">
        <f t="shared" si="2408"/>
        <v xml:space="preserve"> </v>
      </c>
      <c r="N436" s="95" t="s">
        <v>781</v>
      </c>
      <c r="O436" s="204" t="str">
        <f t="shared" si="2408"/>
        <v xml:space="preserve"> </v>
      </c>
      <c r="P436" s="95" t="s">
        <v>781</v>
      </c>
      <c r="Q436" s="204" t="str">
        <f t="shared" ref="Q436:S436" si="2680">IFERROR(P436/$G436," ")</f>
        <v xml:space="preserve"> </v>
      </c>
      <c r="R436" s="95" t="s">
        <v>781</v>
      </c>
      <c r="S436" s="204" t="str">
        <f t="shared" si="2680"/>
        <v xml:space="preserve"> </v>
      </c>
      <c r="T436" s="95" t="s">
        <v>781</v>
      </c>
      <c r="U436" s="204" t="str">
        <f t="shared" ref="U436:W436" si="2681">IFERROR(T436/$G436," ")</f>
        <v xml:space="preserve"> </v>
      </c>
      <c r="V436" s="95" t="s">
        <v>781</v>
      </c>
      <c r="W436" s="204" t="str">
        <f t="shared" si="2681"/>
        <v xml:space="preserve"> </v>
      </c>
      <c r="X436" s="95" t="s">
        <v>781</v>
      </c>
      <c r="Y436" s="204" t="str">
        <f t="shared" ref="Y436:AA436" si="2682">IFERROR(X436/$G436," ")</f>
        <v xml:space="preserve"> </v>
      </c>
      <c r="Z436" s="95" t="s">
        <v>781</v>
      </c>
      <c r="AA436" s="204" t="str">
        <f t="shared" si="2682"/>
        <v xml:space="preserve"> </v>
      </c>
      <c r="AB436" s="95" t="s">
        <v>781</v>
      </c>
      <c r="AC436" s="204" t="str">
        <f t="shared" ref="AC436:AE436" si="2683">IFERROR(AB436/$G436," ")</f>
        <v xml:space="preserve"> </v>
      </c>
      <c r="AD436" s="95" t="s">
        <v>781</v>
      </c>
      <c r="AE436" s="204" t="str">
        <f t="shared" si="2683"/>
        <v xml:space="preserve"> </v>
      </c>
      <c r="AF436" s="95" t="s">
        <v>781</v>
      </c>
      <c r="AG436" s="204" t="str">
        <f t="shared" ref="AG436:AI436" si="2684">IFERROR(AF436/$G436," ")</f>
        <v xml:space="preserve"> </v>
      </c>
      <c r="AH436" s="95" t="s">
        <v>781</v>
      </c>
      <c r="AI436" s="204" t="str">
        <f t="shared" si="2684"/>
        <v xml:space="preserve"> </v>
      </c>
      <c r="AJ436" s="95" t="s">
        <v>781</v>
      </c>
      <c r="AK436" s="204" t="str">
        <f t="shared" ref="AK436:AM436" si="2685">IFERROR(AJ436/$G436," ")</f>
        <v xml:space="preserve"> </v>
      </c>
      <c r="AL436" s="95" t="s">
        <v>781</v>
      </c>
      <c r="AM436" s="204" t="str">
        <f t="shared" si="2685"/>
        <v xml:space="preserve"> </v>
      </c>
      <c r="AN436" s="95"/>
      <c r="AO436" s="94" t="str">
        <f t="shared" si="2415"/>
        <v xml:space="preserve"> </v>
      </c>
      <c r="AP436" s="94" t="str">
        <f t="shared" si="2405"/>
        <v xml:space="preserve"> </v>
      </c>
      <c r="AQ436" s="94" t="str">
        <f t="shared" si="2406"/>
        <v xml:space="preserve"> </v>
      </c>
      <c r="AR436" s="94" t="str">
        <f t="shared" si="2619"/>
        <v xml:space="preserve"> </v>
      </c>
      <c r="AS436" s="94" t="str">
        <f t="shared" si="2417"/>
        <v xml:space="preserve"> </v>
      </c>
      <c r="AT436" s="94" t="str">
        <f t="shared" si="2418"/>
        <v xml:space="preserve"> </v>
      </c>
      <c r="AU436" s="94" t="str">
        <f t="shared" si="2419"/>
        <v xml:space="preserve"> </v>
      </c>
      <c r="AV436" s="94" t="str">
        <f t="shared" si="2420"/>
        <v xml:space="preserve"> </v>
      </c>
      <c r="AW436" s="94" t="str">
        <f t="shared" si="2421"/>
        <v xml:space="preserve"> </v>
      </c>
      <c r="AX436" s="94" t="str">
        <f t="shared" si="2422"/>
        <v xml:space="preserve"> </v>
      </c>
      <c r="AY436" s="94" t="str">
        <f t="shared" si="2423"/>
        <v xml:space="preserve"> </v>
      </c>
      <c r="AZ436" s="94" t="str">
        <f t="shared" si="2424"/>
        <v xml:space="preserve"> </v>
      </c>
      <c r="BA436" s="94" t="str">
        <f t="shared" si="2425"/>
        <v xml:space="preserve"> </v>
      </c>
      <c r="BB436" s="94" t="str">
        <f t="shared" si="2426"/>
        <v xml:space="preserve"> </v>
      </c>
    </row>
    <row r="437" spans="1:54" x14ac:dyDescent="0.25">
      <c r="A437" s="80"/>
      <c r="B437" s="95" t="s">
        <v>2417</v>
      </c>
      <c r="C437" s="201" t="s">
        <v>610</v>
      </c>
      <c r="D437" s="80" t="s">
        <v>783</v>
      </c>
      <c r="E437" s="94" t="str">
        <f>IFERROR(VLOOKUP(A437,Estimate!A:Q,17,FALSE)," ")</f>
        <v xml:space="preserve"> </v>
      </c>
      <c r="F437" s="202" t="s">
        <v>781</v>
      </c>
      <c r="G437" s="202" t="s">
        <v>781</v>
      </c>
      <c r="H437" s="203" t="s">
        <v>781</v>
      </c>
      <c r="I437" s="203" t="s">
        <v>781</v>
      </c>
      <c r="J437" s="203" t="s">
        <v>781</v>
      </c>
      <c r="K437" s="203"/>
      <c r="L437" s="202" t="s">
        <v>781</v>
      </c>
      <c r="M437" s="204" t="str">
        <f t="shared" si="2408"/>
        <v xml:space="preserve"> </v>
      </c>
      <c r="N437" s="95" t="s">
        <v>781</v>
      </c>
      <c r="O437" s="204" t="str">
        <f t="shared" si="2408"/>
        <v xml:space="preserve"> </v>
      </c>
      <c r="P437" s="95" t="s">
        <v>781</v>
      </c>
      <c r="Q437" s="204" t="str">
        <f t="shared" ref="Q437:S437" si="2686">IFERROR(P437/$G437," ")</f>
        <v xml:space="preserve"> </v>
      </c>
      <c r="R437" s="95" t="s">
        <v>781</v>
      </c>
      <c r="S437" s="204" t="str">
        <f t="shared" si="2686"/>
        <v xml:space="preserve"> </v>
      </c>
      <c r="T437" s="95" t="s">
        <v>781</v>
      </c>
      <c r="U437" s="204" t="str">
        <f t="shared" ref="U437:W437" si="2687">IFERROR(T437/$G437," ")</f>
        <v xml:space="preserve"> </v>
      </c>
      <c r="V437" s="95" t="s">
        <v>781</v>
      </c>
      <c r="W437" s="204" t="str">
        <f t="shared" si="2687"/>
        <v xml:space="preserve"> </v>
      </c>
      <c r="X437" s="95" t="s">
        <v>781</v>
      </c>
      <c r="Y437" s="204" t="str">
        <f t="shared" ref="Y437:AA437" si="2688">IFERROR(X437/$G437," ")</f>
        <v xml:space="preserve"> </v>
      </c>
      <c r="Z437" s="95" t="s">
        <v>781</v>
      </c>
      <c r="AA437" s="204" t="str">
        <f t="shared" si="2688"/>
        <v xml:space="preserve"> </v>
      </c>
      <c r="AB437" s="95" t="s">
        <v>781</v>
      </c>
      <c r="AC437" s="204" t="str">
        <f t="shared" ref="AC437:AE437" si="2689">IFERROR(AB437/$G437," ")</f>
        <v xml:space="preserve"> </v>
      </c>
      <c r="AD437" s="95" t="s">
        <v>781</v>
      </c>
      <c r="AE437" s="204" t="str">
        <f t="shared" si="2689"/>
        <v xml:space="preserve"> </v>
      </c>
      <c r="AF437" s="95" t="s">
        <v>781</v>
      </c>
      <c r="AG437" s="204" t="str">
        <f t="shared" ref="AG437:AI437" si="2690">IFERROR(AF437/$G437," ")</f>
        <v xml:space="preserve"> </v>
      </c>
      <c r="AH437" s="95" t="s">
        <v>781</v>
      </c>
      <c r="AI437" s="204" t="str">
        <f t="shared" si="2690"/>
        <v xml:space="preserve"> </v>
      </c>
      <c r="AJ437" s="95" t="s">
        <v>781</v>
      </c>
      <c r="AK437" s="204" t="str">
        <f t="shared" ref="AK437:AM437" si="2691">IFERROR(AJ437/$G437," ")</f>
        <v xml:space="preserve"> </v>
      </c>
      <c r="AL437" s="95" t="s">
        <v>781</v>
      </c>
      <c r="AM437" s="204" t="str">
        <f t="shared" si="2691"/>
        <v xml:space="preserve"> </v>
      </c>
      <c r="AN437" s="95"/>
      <c r="AO437" s="94" t="str">
        <f t="shared" si="2415"/>
        <v xml:space="preserve"> </v>
      </c>
      <c r="AP437" s="94" t="str">
        <f t="shared" si="2405"/>
        <v xml:space="preserve"> </v>
      </c>
      <c r="AQ437" s="94" t="str">
        <f t="shared" si="2406"/>
        <v xml:space="preserve"> </v>
      </c>
      <c r="AR437" s="94" t="str">
        <f t="shared" si="2619"/>
        <v xml:space="preserve"> </v>
      </c>
      <c r="AS437" s="94" t="str">
        <f t="shared" si="2417"/>
        <v xml:space="preserve"> </v>
      </c>
      <c r="AT437" s="94" t="str">
        <f t="shared" si="2418"/>
        <v xml:space="preserve"> </v>
      </c>
      <c r="AU437" s="94" t="str">
        <f t="shared" si="2419"/>
        <v xml:space="preserve"> </v>
      </c>
      <c r="AV437" s="94" t="str">
        <f t="shared" si="2420"/>
        <v xml:space="preserve"> </v>
      </c>
      <c r="AW437" s="94" t="str">
        <f t="shared" si="2421"/>
        <v xml:space="preserve"> </v>
      </c>
      <c r="AX437" s="94" t="str">
        <f t="shared" si="2422"/>
        <v xml:space="preserve"> </v>
      </c>
      <c r="AY437" s="94" t="str">
        <f t="shared" si="2423"/>
        <v xml:space="preserve"> </v>
      </c>
      <c r="AZ437" s="94" t="str">
        <f t="shared" si="2424"/>
        <v xml:space="preserve"> </v>
      </c>
      <c r="BA437" s="94" t="str">
        <f t="shared" si="2425"/>
        <v xml:space="preserve"> </v>
      </c>
      <c r="BB437" s="94" t="str">
        <f t="shared" si="2426"/>
        <v xml:space="preserve"> </v>
      </c>
    </row>
    <row r="438" spans="1:54" x14ac:dyDescent="0.25">
      <c r="A438" s="80"/>
      <c r="B438" s="95" t="s">
        <v>2417</v>
      </c>
      <c r="C438" s="201" t="s">
        <v>781</v>
      </c>
      <c r="D438" s="80" t="s">
        <v>783</v>
      </c>
      <c r="E438" s="94" t="str">
        <f>IFERROR(VLOOKUP(A438,Estimate!A:Q,17,FALSE)," ")</f>
        <v xml:space="preserve"> </v>
      </c>
      <c r="F438" s="202" t="s">
        <v>781</v>
      </c>
      <c r="G438" s="202" t="s">
        <v>781</v>
      </c>
      <c r="H438" s="203" t="s">
        <v>781</v>
      </c>
      <c r="I438" s="203" t="s">
        <v>781</v>
      </c>
      <c r="J438" s="203" t="s">
        <v>781</v>
      </c>
      <c r="K438" s="203"/>
      <c r="L438" s="202" t="s">
        <v>781</v>
      </c>
      <c r="M438" s="204" t="str">
        <f t="shared" si="2408"/>
        <v xml:space="preserve"> </v>
      </c>
      <c r="N438" s="95" t="s">
        <v>781</v>
      </c>
      <c r="O438" s="204" t="str">
        <f t="shared" si="2408"/>
        <v xml:space="preserve"> </v>
      </c>
      <c r="P438" s="95" t="s">
        <v>781</v>
      </c>
      <c r="Q438" s="204" t="str">
        <f t="shared" ref="Q438:S438" si="2692">IFERROR(P438/$G438," ")</f>
        <v xml:space="preserve"> </v>
      </c>
      <c r="R438" s="95" t="s">
        <v>781</v>
      </c>
      <c r="S438" s="204" t="str">
        <f t="shared" si="2692"/>
        <v xml:space="preserve"> </v>
      </c>
      <c r="T438" s="95" t="s">
        <v>781</v>
      </c>
      <c r="U438" s="204" t="str">
        <f t="shared" ref="U438:W438" si="2693">IFERROR(T438/$G438," ")</f>
        <v xml:space="preserve"> </v>
      </c>
      <c r="V438" s="95" t="s">
        <v>781</v>
      </c>
      <c r="W438" s="204" t="str">
        <f t="shared" si="2693"/>
        <v xml:space="preserve"> </v>
      </c>
      <c r="X438" s="95" t="s">
        <v>781</v>
      </c>
      <c r="Y438" s="204" t="str">
        <f t="shared" ref="Y438:AA438" si="2694">IFERROR(X438/$G438," ")</f>
        <v xml:space="preserve"> </v>
      </c>
      <c r="Z438" s="95" t="s">
        <v>781</v>
      </c>
      <c r="AA438" s="204" t="str">
        <f t="shared" si="2694"/>
        <v xml:space="preserve"> </v>
      </c>
      <c r="AB438" s="95" t="s">
        <v>781</v>
      </c>
      <c r="AC438" s="204" t="str">
        <f t="shared" ref="AC438:AE438" si="2695">IFERROR(AB438/$G438," ")</f>
        <v xml:space="preserve"> </v>
      </c>
      <c r="AD438" s="95" t="s">
        <v>781</v>
      </c>
      <c r="AE438" s="204" t="str">
        <f t="shared" si="2695"/>
        <v xml:space="preserve"> </v>
      </c>
      <c r="AF438" s="95" t="s">
        <v>781</v>
      </c>
      <c r="AG438" s="204" t="str">
        <f t="shared" ref="AG438:AI438" si="2696">IFERROR(AF438/$G438," ")</f>
        <v xml:space="preserve"> </v>
      </c>
      <c r="AH438" s="95" t="s">
        <v>781</v>
      </c>
      <c r="AI438" s="204" t="str">
        <f t="shared" si="2696"/>
        <v xml:space="preserve"> </v>
      </c>
      <c r="AJ438" s="95" t="s">
        <v>781</v>
      </c>
      <c r="AK438" s="204" t="str">
        <f t="shared" ref="AK438:AM438" si="2697">IFERROR(AJ438/$G438," ")</f>
        <v xml:space="preserve"> </v>
      </c>
      <c r="AL438" s="95" t="s">
        <v>781</v>
      </c>
      <c r="AM438" s="204" t="str">
        <f t="shared" si="2697"/>
        <v xml:space="preserve"> </v>
      </c>
      <c r="AN438" s="95"/>
      <c r="AO438" s="94" t="str">
        <f t="shared" si="2415"/>
        <v xml:space="preserve"> </v>
      </c>
      <c r="AP438" s="94" t="str">
        <f t="shared" si="2405"/>
        <v xml:space="preserve"> </v>
      </c>
      <c r="AQ438" s="94" t="str">
        <f t="shared" si="2406"/>
        <v xml:space="preserve"> </v>
      </c>
      <c r="AR438" s="94" t="str">
        <f t="shared" si="2619"/>
        <v xml:space="preserve"> </v>
      </c>
      <c r="AS438" s="94" t="str">
        <f t="shared" si="2417"/>
        <v xml:space="preserve"> </v>
      </c>
      <c r="AT438" s="94" t="str">
        <f t="shared" si="2418"/>
        <v xml:space="preserve"> </v>
      </c>
      <c r="AU438" s="94" t="str">
        <f t="shared" si="2419"/>
        <v xml:space="preserve"> </v>
      </c>
      <c r="AV438" s="94" t="str">
        <f t="shared" si="2420"/>
        <v xml:space="preserve"> </v>
      </c>
      <c r="AW438" s="94" t="str">
        <f t="shared" si="2421"/>
        <v xml:space="preserve"> </v>
      </c>
      <c r="AX438" s="94" t="str">
        <f t="shared" si="2422"/>
        <v xml:space="preserve"> </v>
      </c>
      <c r="AY438" s="94" t="str">
        <f t="shared" si="2423"/>
        <v xml:space="preserve"> </v>
      </c>
      <c r="AZ438" s="94" t="str">
        <f t="shared" si="2424"/>
        <v xml:space="preserve"> </v>
      </c>
      <c r="BA438" s="94" t="str">
        <f t="shared" si="2425"/>
        <v xml:space="preserve"> </v>
      </c>
      <c r="BB438" s="94" t="str">
        <f t="shared" si="2426"/>
        <v xml:space="preserve"> </v>
      </c>
    </row>
    <row r="439" spans="1:54" x14ac:dyDescent="0.25">
      <c r="A439" s="80"/>
      <c r="B439" s="95" t="s">
        <v>2417</v>
      </c>
      <c r="C439" s="201" t="s">
        <v>17</v>
      </c>
      <c r="D439" s="80" t="s">
        <v>783</v>
      </c>
      <c r="E439" s="94" t="str">
        <f>IFERROR(VLOOKUP(A439,Estimate!A:Q,17,FALSE)," ")</f>
        <v xml:space="preserve"> </v>
      </c>
      <c r="F439" s="202" t="s">
        <v>781</v>
      </c>
      <c r="G439" s="202" t="s">
        <v>781</v>
      </c>
      <c r="H439" s="203" t="s">
        <v>781</v>
      </c>
      <c r="I439" s="203" t="s">
        <v>781</v>
      </c>
      <c r="J439" s="203" t="s">
        <v>781</v>
      </c>
      <c r="K439" s="203"/>
      <c r="L439" s="202" t="s">
        <v>781</v>
      </c>
      <c r="M439" s="204" t="str">
        <f t="shared" si="2408"/>
        <v xml:space="preserve"> </v>
      </c>
      <c r="N439" s="95" t="s">
        <v>781</v>
      </c>
      <c r="O439" s="204" t="str">
        <f t="shared" si="2408"/>
        <v xml:space="preserve"> </v>
      </c>
      <c r="P439" s="95" t="s">
        <v>781</v>
      </c>
      <c r="Q439" s="204" t="str">
        <f t="shared" ref="Q439:S439" si="2698">IFERROR(P439/$G439," ")</f>
        <v xml:space="preserve"> </v>
      </c>
      <c r="R439" s="95" t="s">
        <v>781</v>
      </c>
      <c r="S439" s="204" t="str">
        <f t="shared" si="2698"/>
        <v xml:space="preserve"> </v>
      </c>
      <c r="T439" s="95" t="s">
        <v>781</v>
      </c>
      <c r="U439" s="204" t="str">
        <f t="shared" ref="U439:W439" si="2699">IFERROR(T439/$G439," ")</f>
        <v xml:space="preserve"> </v>
      </c>
      <c r="V439" s="95" t="s">
        <v>781</v>
      </c>
      <c r="W439" s="204" t="str">
        <f t="shared" si="2699"/>
        <v xml:space="preserve"> </v>
      </c>
      <c r="X439" s="95" t="s">
        <v>781</v>
      </c>
      <c r="Y439" s="204" t="str">
        <f t="shared" ref="Y439:AA439" si="2700">IFERROR(X439/$G439," ")</f>
        <v xml:space="preserve"> </v>
      </c>
      <c r="Z439" s="95" t="s">
        <v>781</v>
      </c>
      <c r="AA439" s="204" t="str">
        <f t="shared" si="2700"/>
        <v xml:space="preserve"> </v>
      </c>
      <c r="AB439" s="95" t="s">
        <v>781</v>
      </c>
      <c r="AC439" s="204" t="str">
        <f t="shared" ref="AC439:AE439" si="2701">IFERROR(AB439/$G439," ")</f>
        <v xml:space="preserve"> </v>
      </c>
      <c r="AD439" s="95" t="s">
        <v>781</v>
      </c>
      <c r="AE439" s="204" t="str">
        <f t="shared" si="2701"/>
        <v xml:space="preserve"> </v>
      </c>
      <c r="AF439" s="95" t="s">
        <v>781</v>
      </c>
      <c r="AG439" s="204" t="str">
        <f t="shared" ref="AG439:AI439" si="2702">IFERROR(AF439/$G439," ")</f>
        <v xml:space="preserve"> </v>
      </c>
      <c r="AH439" s="95" t="s">
        <v>781</v>
      </c>
      <c r="AI439" s="204" t="str">
        <f t="shared" si="2702"/>
        <v xml:space="preserve"> </v>
      </c>
      <c r="AJ439" s="95" t="s">
        <v>781</v>
      </c>
      <c r="AK439" s="204" t="str">
        <f t="shared" ref="AK439:AM439" si="2703">IFERROR(AJ439/$G439," ")</f>
        <v xml:space="preserve"> </v>
      </c>
      <c r="AL439" s="95" t="s">
        <v>781</v>
      </c>
      <c r="AM439" s="204" t="str">
        <f t="shared" si="2703"/>
        <v xml:space="preserve"> </v>
      </c>
      <c r="AN439" s="95"/>
      <c r="AO439" s="94" t="str">
        <f t="shared" si="2415"/>
        <v xml:space="preserve"> </v>
      </c>
      <c r="AP439" s="94" t="str">
        <f t="shared" si="2405"/>
        <v xml:space="preserve"> </v>
      </c>
      <c r="AQ439" s="94" t="str">
        <f t="shared" si="2406"/>
        <v xml:space="preserve"> </v>
      </c>
      <c r="AR439" s="94" t="str">
        <f t="shared" si="2619"/>
        <v xml:space="preserve"> </v>
      </c>
      <c r="AS439" s="94" t="str">
        <f t="shared" si="2417"/>
        <v xml:space="preserve"> </v>
      </c>
      <c r="AT439" s="94" t="str">
        <f t="shared" si="2418"/>
        <v xml:space="preserve"> </v>
      </c>
      <c r="AU439" s="94" t="str">
        <f t="shared" si="2419"/>
        <v xml:space="preserve"> </v>
      </c>
      <c r="AV439" s="94" t="str">
        <f t="shared" si="2420"/>
        <v xml:space="preserve"> </v>
      </c>
      <c r="AW439" s="94" t="str">
        <f t="shared" si="2421"/>
        <v xml:space="preserve"> </v>
      </c>
      <c r="AX439" s="94" t="str">
        <f t="shared" si="2422"/>
        <v xml:space="preserve"> </v>
      </c>
      <c r="AY439" s="94" t="str">
        <f t="shared" si="2423"/>
        <v xml:space="preserve"> </v>
      </c>
      <c r="AZ439" s="94" t="str">
        <f t="shared" si="2424"/>
        <v xml:space="preserve"> </v>
      </c>
      <c r="BA439" s="94" t="str">
        <f t="shared" si="2425"/>
        <v xml:space="preserve"> </v>
      </c>
      <c r="BB439" s="94" t="str">
        <f t="shared" si="2426"/>
        <v xml:space="preserve"> </v>
      </c>
    </row>
    <row r="440" spans="1:54" x14ac:dyDescent="0.25">
      <c r="A440" s="80"/>
      <c r="B440" s="95" t="s">
        <v>2835</v>
      </c>
      <c r="C440" s="201" t="s">
        <v>25</v>
      </c>
      <c r="D440" s="80" t="s">
        <v>783</v>
      </c>
      <c r="E440" s="94" t="str">
        <f>IFERROR(VLOOKUP(A440,Estimate!A:Q,17,FALSE)," ")</f>
        <v xml:space="preserve"> </v>
      </c>
      <c r="F440" s="202" t="s">
        <v>781</v>
      </c>
      <c r="G440" s="202" t="s">
        <v>781</v>
      </c>
      <c r="H440" s="203" t="s">
        <v>781</v>
      </c>
      <c r="I440" s="203" t="s">
        <v>781</v>
      </c>
      <c r="J440" s="203" t="s">
        <v>781</v>
      </c>
      <c r="K440" s="203"/>
      <c r="L440" s="202" t="s">
        <v>781</v>
      </c>
      <c r="M440" s="204" t="str">
        <f t="shared" si="2408"/>
        <v xml:space="preserve"> </v>
      </c>
      <c r="N440" s="95" t="s">
        <v>781</v>
      </c>
      <c r="O440" s="204" t="str">
        <f t="shared" si="2408"/>
        <v xml:space="preserve"> </v>
      </c>
      <c r="P440" s="95" t="s">
        <v>781</v>
      </c>
      <c r="Q440" s="204" t="str">
        <f t="shared" ref="Q440:S440" si="2704">IFERROR(P440/$G440," ")</f>
        <v xml:space="preserve"> </v>
      </c>
      <c r="R440" s="95" t="s">
        <v>781</v>
      </c>
      <c r="S440" s="204" t="str">
        <f t="shared" si="2704"/>
        <v xml:space="preserve"> </v>
      </c>
      <c r="T440" s="95" t="s">
        <v>781</v>
      </c>
      <c r="U440" s="204" t="str">
        <f t="shared" ref="U440:W440" si="2705">IFERROR(T440/$G440," ")</f>
        <v xml:space="preserve"> </v>
      </c>
      <c r="V440" s="95" t="s">
        <v>781</v>
      </c>
      <c r="W440" s="204" t="str">
        <f t="shared" si="2705"/>
        <v xml:space="preserve"> </v>
      </c>
      <c r="X440" s="95" t="s">
        <v>781</v>
      </c>
      <c r="Y440" s="204" t="str">
        <f t="shared" ref="Y440:AA440" si="2706">IFERROR(X440/$G440," ")</f>
        <v xml:space="preserve"> </v>
      </c>
      <c r="Z440" s="95" t="s">
        <v>781</v>
      </c>
      <c r="AA440" s="204" t="str">
        <f t="shared" si="2706"/>
        <v xml:space="preserve"> </v>
      </c>
      <c r="AB440" s="95" t="s">
        <v>781</v>
      </c>
      <c r="AC440" s="204" t="str">
        <f t="shared" ref="AC440:AE440" si="2707">IFERROR(AB440/$G440," ")</f>
        <v xml:space="preserve"> </v>
      </c>
      <c r="AD440" s="95" t="s">
        <v>781</v>
      </c>
      <c r="AE440" s="204" t="str">
        <f t="shared" si="2707"/>
        <v xml:space="preserve"> </v>
      </c>
      <c r="AF440" s="95" t="s">
        <v>781</v>
      </c>
      <c r="AG440" s="204" t="str">
        <f t="shared" ref="AG440:AI440" si="2708">IFERROR(AF440/$G440," ")</f>
        <v xml:space="preserve"> </v>
      </c>
      <c r="AH440" s="95" t="s">
        <v>781</v>
      </c>
      <c r="AI440" s="204" t="str">
        <f t="shared" si="2708"/>
        <v xml:space="preserve"> </v>
      </c>
      <c r="AJ440" s="95" t="s">
        <v>781</v>
      </c>
      <c r="AK440" s="204" t="str">
        <f t="shared" ref="AK440:AM440" si="2709">IFERROR(AJ440/$G440," ")</f>
        <v xml:space="preserve"> </v>
      </c>
      <c r="AL440" s="95" t="s">
        <v>781</v>
      </c>
      <c r="AM440" s="204" t="str">
        <f t="shared" si="2709"/>
        <v xml:space="preserve"> </v>
      </c>
      <c r="AN440" s="95"/>
      <c r="AO440" s="94" t="str">
        <f t="shared" si="2415"/>
        <v xml:space="preserve"> </v>
      </c>
      <c r="AP440" s="94" t="str">
        <f t="shared" si="2405"/>
        <v xml:space="preserve"> </v>
      </c>
      <c r="AQ440" s="94" t="str">
        <f t="shared" si="2406"/>
        <v xml:space="preserve"> </v>
      </c>
      <c r="AR440" s="94" t="str">
        <f t="shared" si="2619"/>
        <v xml:space="preserve"> </v>
      </c>
      <c r="AS440" s="94" t="str">
        <f t="shared" si="2417"/>
        <v xml:space="preserve"> </v>
      </c>
      <c r="AT440" s="94" t="str">
        <f t="shared" si="2418"/>
        <v xml:space="preserve"> </v>
      </c>
      <c r="AU440" s="94" t="str">
        <f t="shared" si="2419"/>
        <v xml:space="preserve"> </v>
      </c>
      <c r="AV440" s="94" t="str">
        <f t="shared" si="2420"/>
        <v xml:space="preserve"> </v>
      </c>
      <c r="AW440" s="94" t="str">
        <f t="shared" si="2421"/>
        <v xml:space="preserve"> </v>
      </c>
      <c r="AX440" s="94" t="str">
        <f t="shared" si="2422"/>
        <v xml:space="preserve"> </v>
      </c>
      <c r="AY440" s="94" t="str">
        <f t="shared" si="2423"/>
        <v xml:space="preserve"> </v>
      </c>
      <c r="AZ440" s="94" t="str">
        <f t="shared" si="2424"/>
        <v xml:space="preserve"> </v>
      </c>
      <c r="BA440" s="94" t="str">
        <f t="shared" si="2425"/>
        <v xml:space="preserve"> </v>
      </c>
      <c r="BB440" s="94" t="str">
        <f t="shared" si="2426"/>
        <v xml:space="preserve"> </v>
      </c>
    </row>
    <row r="441" spans="1:54" x14ac:dyDescent="0.25">
      <c r="A441" s="80">
        <v>176</v>
      </c>
      <c r="B441" s="95" t="s">
        <v>2836</v>
      </c>
      <c r="C441" s="201" t="s">
        <v>27</v>
      </c>
      <c r="D441" s="80" t="s">
        <v>20</v>
      </c>
      <c r="E441" s="94">
        <f>IFERROR(VLOOKUP(A441,Estimate!A:Q,17,FALSE)," ")</f>
        <v>9860</v>
      </c>
      <c r="F441" s="202">
        <v>1</v>
      </c>
      <c r="G441" s="202">
        <v>1</v>
      </c>
      <c r="H441" s="203">
        <v>12386.41</v>
      </c>
      <c r="I441" s="203">
        <v>12386.41</v>
      </c>
      <c r="J441" s="203">
        <v>12386.41</v>
      </c>
      <c r="K441" s="203"/>
      <c r="L441" s="202">
        <v>0.25</v>
      </c>
      <c r="M441" s="204">
        <f t="shared" si="2408"/>
        <v>0.25</v>
      </c>
      <c r="N441" s="95">
        <v>0.5</v>
      </c>
      <c r="O441" s="204">
        <f t="shared" si="2408"/>
        <v>0.5</v>
      </c>
      <c r="P441" s="95">
        <v>0.5</v>
      </c>
      <c r="Q441" s="204">
        <f t="shared" ref="Q441:S441" si="2710">IFERROR(P441/$G441," ")</f>
        <v>0.5</v>
      </c>
      <c r="R441" s="95">
        <v>0.6</v>
      </c>
      <c r="S441" s="204">
        <f t="shared" si="2710"/>
        <v>0.6</v>
      </c>
      <c r="T441" s="95">
        <v>0.75</v>
      </c>
      <c r="U441" s="204">
        <f t="shared" ref="U441:W441" si="2711">IFERROR(T441/$G441," ")</f>
        <v>0.75</v>
      </c>
      <c r="V441" s="95">
        <v>0.8</v>
      </c>
      <c r="W441" s="204">
        <f t="shared" si="2711"/>
        <v>0.8</v>
      </c>
      <c r="X441" s="95">
        <v>0.9</v>
      </c>
      <c r="Y441" s="204">
        <f t="shared" ref="Y441:AA441" si="2712">IFERROR(X441/$G441," ")</f>
        <v>0.9</v>
      </c>
      <c r="Z441" s="95">
        <v>1</v>
      </c>
      <c r="AA441" s="204">
        <f t="shared" si="2712"/>
        <v>1</v>
      </c>
      <c r="AB441" s="95">
        <v>1</v>
      </c>
      <c r="AC441" s="204">
        <f t="shared" ref="AC441:AE441" si="2713">IFERROR(AB441/$G441," ")</f>
        <v>1</v>
      </c>
      <c r="AD441" s="95">
        <v>1</v>
      </c>
      <c r="AE441" s="204">
        <f t="shared" si="2713"/>
        <v>1</v>
      </c>
      <c r="AF441" s="95">
        <v>1</v>
      </c>
      <c r="AG441" s="204">
        <f t="shared" ref="AG441:AI441" si="2714">IFERROR(AF441/$G441," ")</f>
        <v>1</v>
      </c>
      <c r="AH441" s="95">
        <v>1</v>
      </c>
      <c r="AI441" s="204">
        <f t="shared" si="2714"/>
        <v>1</v>
      </c>
      <c r="AJ441" s="95">
        <v>1</v>
      </c>
      <c r="AK441" s="204">
        <f t="shared" ref="AK441:AM441" si="2715">IFERROR(AJ441/$G441," ")</f>
        <v>1</v>
      </c>
      <c r="AL441" s="95">
        <v>1</v>
      </c>
      <c r="AM441" s="204">
        <f t="shared" si="2715"/>
        <v>1</v>
      </c>
      <c r="AN441" s="95"/>
      <c r="AO441" s="94">
        <f t="shared" si="2415"/>
        <v>3096.6025</v>
      </c>
      <c r="AP441" s="94">
        <f t="shared" si="2405"/>
        <v>6193.2049999999999</v>
      </c>
      <c r="AQ441" s="94">
        <f t="shared" si="2406"/>
        <v>6193.2049999999999</v>
      </c>
      <c r="AR441" s="94">
        <f t="shared" si="2619"/>
        <v>7431.8459999999995</v>
      </c>
      <c r="AS441" s="94">
        <f t="shared" si="2417"/>
        <v>9289.807499999999</v>
      </c>
      <c r="AT441" s="94">
        <f t="shared" si="2418"/>
        <v>9909.1280000000006</v>
      </c>
      <c r="AU441" s="94">
        <f t="shared" si="2419"/>
        <v>11147.769</v>
      </c>
      <c r="AV441" s="94">
        <f t="shared" si="2420"/>
        <v>12386.41</v>
      </c>
      <c r="AW441" s="94">
        <f t="shared" si="2421"/>
        <v>12386.41</v>
      </c>
      <c r="AX441" s="94">
        <f t="shared" si="2422"/>
        <v>12386.41</v>
      </c>
      <c r="AY441" s="94">
        <f t="shared" si="2423"/>
        <v>12386.41</v>
      </c>
      <c r="AZ441" s="94">
        <f t="shared" si="2424"/>
        <v>12386.41</v>
      </c>
      <c r="BA441" s="94">
        <f t="shared" si="2425"/>
        <v>12386.41</v>
      </c>
      <c r="BB441" s="94">
        <f t="shared" si="2426"/>
        <v>12386.41</v>
      </c>
    </row>
    <row r="442" spans="1:54" x14ac:dyDescent="0.25">
      <c r="A442" s="80"/>
      <c r="B442" s="95" t="s">
        <v>2417</v>
      </c>
      <c r="C442" s="201" t="s">
        <v>2837</v>
      </c>
      <c r="D442" s="80" t="s">
        <v>783</v>
      </c>
      <c r="E442" s="94" t="str">
        <f>IFERROR(VLOOKUP(A442,Estimate!A:Q,17,FALSE)," ")</f>
        <v xml:space="preserve"> </v>
      </c>
      <c r="F442" s="202" t="s">
        <v>781</v>
      </c>
      <c r="G442" s="202" t="s">
        <v>781</v>
      </c>
      <c r="H442" s="203" t="s">
        <v>781</v>
      </c>
      <c r="I442" s="203" t="s">
        <v>781</v>
      </c>
      <c r="J442" s="203" t="s">
        <v>781</v>
      </c>
      <c r="K442" s="203"/>
      <c r="L442" s="202" t="s">
        <v>781</v>
      </c>
      <c r="M442" s="204" t="str">
        <f t="shared" si="2408"/>
        <v xml:space="preserve"> </v>
      </c>
      <c r="N442" s="95" t="s">
        <v>781</v>
      </c>
      <c r="O442" s="204" t="str">
        <f t="shared" si="2408"/>
        <v xml:space="preserve"> </v>
      </c>
      <c r="P442" s="95" t="s">
        <v>781</v>
      </c>
      <c r="Q442" s="204" t="str">
        <f t="shared" ref="Q442:S442" si="2716">IFERROR(P442/$G442," ")</f>
        <v xml:space="preserve"> </v>
      </c>
      <c r="R442" s="95" t="s">
        <v>781</v>
      </c>
      <c r="S442" s="204" t="str">
        <f t="shared" si="2716"/>
        <v xml:space="preserve"> </v>
      </c>
      <c r="T442" s="95" t="s">
        <v>781</v>
      </c>
      <c r="U442" s="204" t="str">
        <f t="shared" ref="U442:W442" si="2717">IFERROR(T442/$G442," ")</f>
        <v xml:space="preserve"> </v>
      </c>
      <c r="V442" s="95" t="s">
        <v>781</v>
      </c>
      <c r="W442" s="204" t="str">
        <f t="shared" si="2717"/>
        <v xml:space="preserve"> </v>
      </c>
      <c r="X442" s="95" t="s">
        <v>781</v>
      </c>
      <c r="Y442" s="204" t="str">
        <f t="shared" ref="Y442:AA442" si="2718">IFERROR(X442/$G442," ")</f>
        <v xml:space="preserve"> </v>
      </c>
      <c r="Z442" s="95" t="s">
        <v>781</v>
      </c>
      <c r="AA442" s="204" t="str">
        <f t="shared" si="2718"/>
        <v xml:space="preserve"> </v>
      </c>
      <c r="AB442" s="95" t="s">
        <v>781</v>
      </c>
      <c r="AC442" s="204" t="str">
        <f t="shared" ref="AC442:AE442" si="2719">IFERROR(AB442/$G442," ")</f>
        <v xml:space="preserve"> </v>
      </c>
      <c r="AD442" s="95" t="s">
        <v>781</v>
      </c>
      <c r="AE442" s="204" t="str">
        <f t="shared" si="2719"/>
        <v xml:space="preserve"> </v>
      </c>
      <c r="AF442" s="95" t="s">
        <v>781</v>
      </c>
      <c r="AG442" s="204" t="str">
        <f t="shared" ref="AG442:AI442" si="2720">IFERROR(AF442/$G442," ")</f>
        <v xml:space="preserve"> </v>
      </c>
      <c r="AH442" s="95" t="s">
        <v>781</v>
      </c>
      <c r="AI442" s="204" t="str">
        <f t="shared" si="2720"/>
        <v xml:space="preserve"> </v>
      </c>
      <c r="AJ442" s="95" t="s">
        <v>781</v>
      </c>
      <c r="AK442" s="204" t="str">
        <f t="shared" ref="AK442:AM442" si="2721">IFERROR(AJ442/$G442," ")</f>
        <v xml:space="preserve"> </v>
      </c>
      <c r="AL442" s="95" t="s">
        <v>781</v>
      </c>
      <c r="AM442" s="204" t="str">
        <f t="shared" si="2721"/>
        <v xml:space="preserve"> </v>
      </c>
      <c r="AN442" s="95"/>
      <c r="AO442" s="94" t="str">
        <f t="shared" si="2415"/>
        <v xml:space="preserve"> </v>
      </c>
      <c r="AP442" s="94" t="str">
        <f t="shared" si="2405"/>
        <v xml:space="preserve"> </v>
      </c>
      <c r="AQ442" s="94" t="str">
        <f t="shared" si="2406"/>
        <v xml:space="preserve"> </v>
      </c>
      <c r="AR442" s="94" t="str">
        <f t="shared" si="2619"/>
        <v xml:space="preserve"> </v>
      </c>
      <c r="AS442" s="94" t="str">
        <f t="shared" si="2417"/>
        <v xml:space="preserve"> </v>
      </c>
      <c r="AT442" s="94" t="str">
        <f t="shared" si="2418"/>
        <v xml:space="preserve"> </v>
      </c>
      <c r="AU442" s="94" t="str">
        <f t="shared" si="2419"/>
        <v xml:space="preserve"> </v>
      </c>
      <c r="AV442" s="94" t="str">
        <f t="shared" si="2420"/>
        <v xml:space="preserve"> </v>
      </c>
      <c r="AW442" s="94" t="str">
        <f t="shared" si="2421"/>
        <v xml:space="preserve"> </v>
      </c>
      <c r="AX442" s="94" t="str">
        <f t="shared" si="2422"/>
        <v xml:space="preserve"> </v>
      </c>
      <c r="AY442" s="94" t="str">
        <f t="shared" si="2423"/>
        <v xml:space="preserve"> </v>
      </c>
      <c r="AZ442" s="94" t="str">
        <f t="shared" si="2424"/>
        <v xml:space="preserve"> </v>
      </c>
      <c r="BA442" s="94" t="str">
        <f t="shared" si="2425"/>
        <v xml:space="preserve"> </v>
      </c>
      <c r="BB442" s="94" t="str">
        <f t="shared" si="2426"/>
        <v xml:space="preserve"> </v>
      </c>
    </row>
    <row r="443" spans="1:54" x14ac:dyDescent="0.25">
      <c r="A443" s="80"/>
      <c r="B443" s="95" t="s">
        <v>2417</v>
      </c>
      <c r="C443" s="201" t="s">
        <v>35</v>
      </c>
      <c r="D443" s="80" t="s">
        <v>783</v>
      </c>
      <c r="E443" s="94" t="str">
        <f>IFERROR(VLOOKUP(A443,Estimate!A:Q,17,FALSE)," ")</f>
        <v xml:space="preserve"> </v>
      </c>
      <c r="F443" s="202" t="s">
        <v>781</v>
      </c>
      <c r="G443" s="202" t="s">
        <v>781</v>
      </c>
      <c r="H443" s="203" t="s">
        <v>781</v>
      </c>
      <c r="I443" s="203" t="s">
        <v>781</v>
      </c>
      <c r="J443" s="203" t="s">
        <v>781</v>
      </c>
      <c r="K443" s="203"/>
      <c r="L443" s="202" t="s">
        <v>781</v>
      </c>
      <c r="M443" s="204" t="str">
        <f t="shared" si="2408"/>
        <v xml:space="preserve"> </v>
      </c>
      <c r="N443" s="95" t="s">
        <v>781</v>
      </c>
      <c r="O443" s="204" t="str">
        <f t="shared" si="2408"/>
        <v xml:space="preserve"> </v>
      </c>
      <c r="P443" s="95" t="s">
        <v>781</v>
      </c>
      <c r="Q443" s="204" t="str">
        <f t="shared" ref="Q443:S443" si="2722">IFERROR(P443/$G443," ")</f>
        <v xml:space="preserve"> </v>
      </c>
      <c r="R443" s="95" t="s">
        <v>781</v>
      </c>
      <c r="S443" s="204" t="str">
        <f t="shared" si="2722"/>
        <v xml:space="preserve"> </v>
      </c>
      <c r="T443" s="95" t="s">
        <v>781</v>
      </c>
      <c r="U443" s="204" t="str">
        <f t="shared" ref="U443:W443" si="2723">IFERROR(T443/$G443," ")</f>
        <v xml:space="preserve"> </v>
      </c>
      <c r="V443" s="95" t="s">
        <v>781</v>
      </c>
      <c r="W443" s="204" t="str">
        <f t="shared" si="2723"/>
        <v xml:space="preserve"> </v>
      </c>
      <c r="X443" s="95" t="s">
        <v>781</v>
      </c>
      <c r="Y443" s="204" t="str">
        <f t="shared" ref="Y443:AA443" si="2724">IFERROR(X443/$G443," ")</f>
        <v xml:space="preserve"> </v>
      </c>
      <c r="Z443" s="95" t="s">
        <v>781</v>
      </c>
      <c r="AA443" s="204" t="str">
        <f t="shared" si="2724"/>
        <v xml:space="preserve"> </v>
      </c>
      <c r="AB443" s="95" t="s">
        <v>781</v>
      </c>
      <c r="AC443" s="204" t="str">
        <f t="shared" ref="AC443:AE443" si="2725">IFERROR(AB443/$G443," ")</f>
        <v xml:space="preserve"> </v>
      </c>
      <c r="AD443" s="95" t="s">
        <v>781</v>
      </c>
      <c r="AE443" s="204" t="str">
        <f t="shared" si="2725"/>
        <v xml:space="preserve"> </v>
      </c>
      <c r="AF443" s="95" t="s">
        <v>781</v>
      </c>
      <c r="AG443" s="204" t="str">
        <f t="shared" ref="AG443:AI443" si="2726">IFERROR(AF443/$G443," ")</f>
        <v xml:space="preserve"> </v>
      </c>
      <c r="AH443" s="95" t="s">
        <v>781</v>
      </c>
      <c r="AI443" s="204" t="str">
        <f t="shared" si="2726"/>
        <v xml:space="preserve"> </v>
      </c>
      <c r="AJ443" s="95" t="s">
        <v>781</v>
      </c>
      <c r="AK443" s="204" t="str">
        <f t="shared" ref="AK443:AM443" si="2727">IFERROR(AJ443/$G443," ")</f>
        <v xml:space="preserve"> </v>
      </c>
      <c r="AL443" s="95" t="s">
        <v>781</v>
      </c>
      <c r="AM443" s="204" t="str">
        <f t="shared" si="2727"/>
        <v xml:space="preserve"> </v>
      </c>
      <c r="AN443" s="95"/>
      <c r="AO443" s="94" t="str">
        <f t="shared" si="2415"/>
        <v xml:space="preserve"> </v>
      </c>
      <c r="AP443" s="94" t="str">
        <f t="shared" si="2405"/>
        <v xml:space="preserve"> </v>
      </c>
      <c r="AQ443" s="94" t="str">
        <f t="shared" si="2406"/>
        <v xml:space="preserve"> </v>
      </c>
      <c r="AR443" s="94" t="str">
        <f t="shared" si="2619"/>
        <v xml:space="preserve"> </v>
      </c>
      <c r="AS443" s="94" t="str">
        <f t="shared" si="2417"/>
        <v xml:space="preserve"> </v>
      </c>
      <c r="AT443" s="94" t="str">
        <f t="shared" si="2418"/>
        <v xml:space="preserve"> </v>
      </c>
      <c r="AU443" s="94" t="str">
        <f t="shared" si="2419"/>
        <v xml:space="preserve"> </v>
      </c>
      <c r="AV443" s="94" t="str">
        <f t="shared" si="2420"/>
        <v xml:space="preserve"> </v>
      </c>
      <c r="AW443" s="94" t="str">
        <f t="shared" si="2421"/>
        <v xml:space="preserve"> </v>
      </c>
      <c r="AX443" s="94" t="str">
        <f t="shared" si="2422"/>
        <v xml:space="preserve"> </v>
      </c>
      <c r="AY443" s="94" t="str">
        <f t="shared" si="2423"/>
        <v xml:space="preserve"> </v>
      </c>
      <c r="AZ443" s="94" t="str">
        <f t="shared" si="2424"/>
        <v xml:space="preserve"> </v>
      </c>
      <c r="BA443" s="94" t="str">
        <f t="shared" si="2425"/>
        <v xml:space="preserve"> </v>
      </c>
      <c r="BB443" s="94" t="str">
        <f t="shared" si="2426"/>
        <v xml:space="preserve"> </v>
      </c>
    </row>
    <row r="444" spans="1:54" x14ac:dyDescent="0.25">
      <c r="A444" s="80"/>
      <c r="B444" s="95" t="s">
        <v>2838</v>
      </c>
      <c r="C444" s="201" t="s">
        <v>36</v>
      </c>
      <c r="D444" s="80" t="s">
        <v>783</v>
      </c>
      <c r="E444" s="94" t="str">
        <f>IFERROR(VLOOKUP(A444,Estimate!A:Q,17,FALSE)," ")</f>
        <v xml:space="preserve"> </v>
      </c>
      <c r="F444" s="202" t="s">
        <v>781</v>
      </c>
      <c r="G444" s="202" t="s">
        <v>781</v>
      </c>
      <c r="H444" s="203" t="s">
        <v>781</v>
      </c>
      <c r="I444" s="203" t="s">
        <v>781</v>
      </c>
      <c r="J444" s="203" t="s">
        <v>781</v>
      </c>
      <c r="K444" s="203"/>
      <c r="L444" s="202" t="s">
        <v>781</v>
      </c>
      <c r="M444" s="204" t="str">
        <f t="shared" si="2408"/>
        <v xml:space="preserve"> </v>
      </c>
      <c r="N444" s="95" t="s">
        <v>781</v>
      </c>
      <c r="O444" s="204" t="str">
        <f t="shared" si="2408"/>
        <v xml:space="preserve"> </v>
      </c>
      <c r="P444" s="95" t="s">
        <v>781</v>
      </c>
      <c r="Q444" s="204" t="str">
        <f t="shared" ref="Q444:S444" si="2728">IFERROR(P444/$G444," ")</f>
        <v xml:space="preserve"> </v>
      </c>
      <c r="R444" s="95" t="s">
        <v>781</v>
      </c>
      <c r="S444" s="204" t="str">
        <f t="shared" si="2728"/>
        <v xml:space="preserve"> </v>
      </c>
      <c r="T444" s="95" t="s">
        <v>781</v>
      </c>
      <c r="U444" s="204" t="str">
        <f t="shared" ref="U444:W444" si="2729">IFERROR(T444/$G444," ")</f>
        <v xml:space="preserve"> </v>
      </c>
      <c r="V444" s="95" t="s">
        <v>781</v>
      </c>
      <c r="W444" s="204" t="str">
        <f t="shared" si="2729"/>
        <v xml:space="preserve"> </v>
      </c>
      <c r="X444" s="95" t="s">
        <v>781</v>
      </c>
      <c r="Y444" s="204" t="str">
        <f t="shared" ref="Y444:AA444" si="2730">IFERROR(X444/$G444," ")</f>
        <v xml:space="preserve"> </v>
      </c>
      <c r="Z444" s="95" t="s">
        <v>781</v>
      </c>
      <c r="AA444" s="204" t="str">
        <f t="shared" si="2730"/>
        <v xml:space="preserve"> </v>
      </c>
      <c r="AB444" s="95" t="s">
        <v>781</v>
      </c>
      <c r="AC444" s="204" t="str">
        <f t="shared" ref="AC444:AE444" si="2731">IFERROR(AB444/$G444," ")</f>
        <v xml:space="preserve"> </v>
      </c>
      <c r="AD444" s="95" t="s">
        <v>781</v>
      </c>
      <c r="AE444" s="204" t="str">
        <f t="shared" si="2731"/>
        <v xml:space="preserve"> </v>
      </c>
      <c r="AF444" s="95" t="s">
        <v>781</v>
      </c>
      <c r="AG444" s="204" t="str">
        <f t="shared" ref="AG444:AI444" si="2732">IFERROR(AF444/$G444," ")</f>
        <v xml:space="preserve"> </v>
      </c>
      <c r="AH444" s="95" t="s">
        <v>781</v>
      </c>
      <c r="AI444" s="204" t="str">
        <f t="shared" si="2732"/>
        <v xml:space="preserve"> </v>
      </c>
      <c r="AJ444" s="95" t="s">
        <v>781</v>
      </c>
      <c r="AK444" s="204" t="str">
        <f t="shared" ref="AK444:AM444" si="2733">IFERROR(AJ444/$G444," ")</f>
        <v xml:space="preserve"> </v>
      </c>
      <c r="AL444" s="95" t="s">
        <v>781</v>
      </c>
      <c r="AM444" s="204" t="str">
        <f t="shared" si="2733"/>
        <v xml:space="preserve"> </v>
      </c>
      <c r="AN444" s="95"/>
      <c r="AO444" s="94" t="str">
        <f t="shared" si="2415"/>
        <v xml:space="preserve"> </v>
      </c>
      <c r="AP444" s="94" t="str">
        <f t="shared" si="2405"/>
        <v xml:space="preserve"> </v>
      </c>
      <c r="AQ444" s="94" t="str">
        <f t="shared" si="2406"/>
        <v xml:space="preserve"> </v>
      </c>
      <c r="AR444" s="94" t="str">
        <f t="shared" si="2619"/>
        <v xml:space="preserve"> </v>
      </c>
      <c r="AS444" s="94" t="str">
        <f t="shared" si="2417"/>
        <v xml:space="preserve"> </v>
      </c>
      <c r="AT444" s="94" t="str">
        <f t="shared" si="2418"/>
        <v xml:space="preserve"> </v>
      </c>
      <c r="AU444" s="94" t="str">
        <f t="shared" si="2419"/>
        <v xml:space="preserve"> </v>
      </c>
      <c r="AV444" s="94" t="str">
        <f t="shared" si="2420"/>
        <v xml:space="preserve"> </v>
      </c>
      <c r="AW444" s="94" t="str">
        <f t="shared" si="2421"/>
        <v xml:space="preserve"> </v>
      </c>
      <c r="AX444" s="94" t="str">
        <f t="shared" si="2422"/>
        <v xml:space="preserve"> </v>
      </c>
      <c r="AY444" s="94" t="str">
        <f t="shared" si="2423"/>
        <v xml:space="preserve"> </v>
      </c>
      <c r="AZ444" s="94" t="str">
        <f t="shared" si="2424"/>
        <v xml:space="preserve"> </v>
      </c>
      <c r="BA444" s="94" t="str">
        <f t="shared" si="2425"/>
        <v xml:space="preserve"> </v>
      </c>
      <c r="BB444" s="94" t="str">
        <f t="shared" si="2426"/>
        <v xml:space="preserve"> </v>
      </c>
    </row>
    <row r="445" spans="1:54" x14ac:dyDescent="0.25">
      <c r="A445" s="80"/>
      <c r="B445" s="95" t="s">
        <v>2839</v>
      </c>
      <c r="C445" s="201" t="s">
        <v>38</v>
      </c>
      <c r="D445" s="80" t="s">
        <v>20</v>
      </c>
      <c r="E445" s="94" t="str">
        <f>IFERROR(VLOOKUP(A445,Estimate!A:Q,17,FALSE)," ")</f>
        <v xml:space="preserve"> </v>
      </c>
      <c r="F445" s="202">
        <v>1</v>
      </c>
      <c r="G445" s="202">
        <v>1</v>
      </c>
      <c r="H445" s="203"/>
      <c r="I445" s="203"/>
      <c r="J445" s="203"/>
      <c r="K445" s="203"/>
      <c r="L445" s="202"/>
      <c r="M445" s="204">
        <f t="shared" si="2408"/>
        <v>0</v>
      </c>
      <c r="N445" s="95"/>
      <c r="O445" s="204">
        <f t="shared" si="2408"/>
        <v>0</v>
      </c>
      <c r="P445" s="95"/>
      <c r="Q445" s="204">
        <f t="shared" ref="Q445:S445" si="2734">IFERROR(P445/$G445," ")</f>
        <v>0</v>
      </c>
      <c r="R445" s="95"/>
      <c r="S445" s="204">
        <f t="shared" si="2734"/>
        <v>0</v>
      </c>
      <c r="T445" s="95"/>
      <c r="U445" s="204">
        <f t="shared" ref="U445:W445" si="2735">IFERROR(T445/$G445," ")</f>
        <v>0</v>
      </c>
      <c r="V445" s="95"/>
      <c r="W445" s="204">
        <f t="shared" si="2735"/>
        <v>0</v>
      </c>
      <c r="X445" s="95"/>
      <c r="Y445" s="204">
        <f t="shared" ref="Y445:AA445" si="2736">IFERROR(X445/$G445," ")</f>
        <v>0</v>
      </c>
      <c r="Z445" s="95"/>
      <c r="AA445" s="204">
        <f t="shared" si="2736"/>
        <v>0</v>
      </c>
      <c r="AB445" s="95"/>
      <c r="AC445" s="204">
        <f t="shared" ref="AC445:AE445" si="2737">IFERROR(AB445/$G445," ")</f>
        <v>0</v>
      </c>
      <c r="AD445" s="95"/>
      <c r="AE445" s="204">
        <f t="shared" si="2737"/>
        <v>0</v>
      </c>
      <c r="AF445" s="95"/>
      <c r="AG445" s="204">
        <f t="shared" ref="AG445:AI445" si="2738">IFERROR(AF445/$G445," ")</f>
        <v>0</v>
      </c>
      <c r="AH445" s="95"/>
      <c r="AI445" s="204">
        <f t="shared" si="2738"/>
        <v>0</v>
      </c>
      <c r="AJ445" s="95"/>
      <c r="AK445" s="204">
        <f t="shared" ref="AK445:AM445" si="2739">IFERROR(AJ445/$G445," ")</f>
        <v>0</v>
      </c>
      <c r="AL445" s="95"/>
      <c r="AM445" s="204">
        <f t="shared" si="2739"/>
        <v>0</v>
      </c>
      <c r="AN445" s="95"/>
      <c r="AO445" s="94">
        <f t="shared" si="2415"/>
        <v>0</v>
      </c>
      <c r="AP445" s="94">
        <f t="shared" si="2405"/>
        <v>0</v>
      </c>
      <c r="AQ445" s="94">
        <f t="shared" si="2406"/>
        <v>0</v>
      </c>
      <c r="AR445" s="94">
        <f t="shared" si="2619"/>
        <v>0</v>
      </c>
      <c r="AS445" s="94">
        <f t="shared" si="2417"/>
        <v>0</v>
      </c>
      <c r="AT445" s="94">
        <f t="shared" si="2418"/>
        <v>0</v>
      </c>
      <c r="AU445" s="94">
        <f t="shared" si="2419"/>
        <v>0</v>
      </c>
      <c r="AV445" s="94">
        <f t="shared" si="2420"/>
        <v>0</v>
      </c>
      <c r="AW445" s="94">
        <f t="shared" si="2421"/>
        <v>0</v>
      </c>
      <c r="AX445" s="94">
        <f t="shared" si="2422"/>
        <v>0</v>
      </c>
      <c r="AY445" s="94">
        <f t="shared" si="2423"/>
        <v>0</v>
      </c>
      <c r="AZ445" s="94">
        <f t="shared" si="2424"/>
        <v>0</v>
      </c>
      <c r="BA445" s="94">
        <f t="shared" si="2425"/>
        <v>0</v>
      </c>
      <c r="BB445" s="94">
        <f t="shared" si="2426"/>
        <v>0</v>
      </c>
    </row>
    <row r="446" spans="1:54" x14ac:dyDescent="0.25">
      <c r="A446" s="80"/>
      <c r="B446" s="95" t="s">
        <v>2417</v>
      </c>
      <c r="C446" s="201" t="s">
        <v>2837</v>
      </c>
      <c r="D446" s="80" t="s">
        <v>783</v>
      </c>
      <c r="E446" s="94" t="str">
        <f>IFERROR(VLOOKUP(A446,Estimate!A:Q,17,FALSE)," ")</f>
        <v xml:space="preserve"> </v>
      </c>
      <c r="F446" s="202" t="s">
        <v>781</v>
      </c>
      <c r="G446" s="202" t="s">
        <v>781</v>
      </c>
      <c r="H446" s="203" t="s">
        <v>781</v>
      </c>
      <c r="I446" s="203" t="s">
        <v>781</v>
      </c>
      <c r="J446" s="203" t="s">
        <v>781</v>
      </c>
      <c r="K446" s="203"/>
      <c r="L446" s="202" t="s">
        <v>781</v>
      </c>
      <c r="M446" s="204" t="str">
        <f t="shared" si="2408"/>
        <v xml:space="preserve"> </v>
      </c>
      <c r="N446" s="95" t="s">
        <v>781</v>
      </c>
      <c r="O446" s="204" t="str">
        <f t="shared" si="2408"/>
        <v xml:space="preserve"> </v>
      </c>
      <c r="P446" s="95" t="s">
        <v>781</v>
      </c>
      <c r="Q446" s="204" t="str">
        <f t="shared" ref="Q446:S446" si="2740">IFERROR(P446/$G446," ")</f>
        <v xml:space="preserve"> </v>
      </c>
      <c r="R446" s="95" t="s">
        <v>781</v>
      </c>
      <c r="S446" s="204" t="str">
        <f t="shared" si="2740"/>
        <v xml:space="preserve"> </v>
      </c>
      <c r="T446" s="95" t="s">
        <v>781</v>
      </c>
      <c r="U446" s="204" t="str">
        <f t="shared" ref="U446:W446" si="2741">IFERROR(T446/$G446," ")</f>
        <v xml:space="preserve"> </v>
      </c>
      <c r="V446" s="95" t="s">
        <v>781</v>
      </c>
      <c r="W446" s="204" t="str">
        <f t="shared" si="2741"/>
        <v xml:space="preserve"> </v>
      </c>
      <c r="X446" s="95" t="s">
        <v>781</v>
      </c>
      <c r="Y446" s="204" t="str">
        <f t="shared" ref="Y446:AA446" si="2742">IFERROR(X446/$G446," ")</f>
        <v xml:space="preserve"> </v>
      </c>
      <c r="Z446" s="95" t="s">
        <v>781</v>
      </c>
      <c r="AA446" s="204" t="str">
        <f t="shared" si="2742"/>
        <v xml:space="preserve"> </v>
      </c>
      <c r="AB446" s="95" t="s">
        <v>781</v>
      </c>
      <c r="AC446" s="204" t="str">
        <f t="shared" ref="AC446:AE446" si="2743">IFERROR(AB446/$G446," ")</f>
        <v xml:space="preserve"> </v>
      </c>
      <c r="AD446" s="95" t="s">
        <v>781</v>
      </c>
      <c r="AE446" s="204" t="str">
        <f t="shared" si="2743"/>
        <v xml:space="preserve"> </v>
      </c>
      <c r="AF446" s="95" t="s">
        <v>781</v>
      </c>
      <c r="AG446" s="204" t="str">
        <f t="shared" ref="AG446:AI446" si="2744">IFERROR(AF446/$G446," ")</f>
        <v xml:space="preserve"> </v>
      </c>
      <c r="AH446" s="95" t="s">
        <v>781</v>
      </c>
      <c r="AI446" s="204" t="str">
        <f t="shared" si="2744"/>
        <v xml:space="preserve"> </v>
      </c>
      <c r="AJ446" s="95" t="s">
        <v>781</v>
      </c>
      <c r="AK446" s="204" t="str">
        <f t="shared" ref="AK446:AM446" si="2745">IFERROR(AJ446/$G446," ")</f>
        <v xml:space="preserve"> </v>
      </c>
      <c r="AL446" s="95" t="s">
        <v>781</v>
      </c>
      <c r="AM446" s="204" t="str">
        <f t="shared" si="2745"/>
        <v xml:space="preserve"> </v>
      </c>
      <c r="AN446" s="95"/>
      <c r="AO446" s="94" t="str">
        <f t="shared" si="2415"/>
        <v xml:space="preserve"> </v>
      </c>
      <c r="AP446" s="94" t="str">
        <f t="shared" si="2405"/>
        <v xml:space="preserve"> </v>
      </c>
      <c r="AQ446" s="94" t="str">
        <f t="shared" si="2406"/>
        <v xml:space="preserve"> </v>
      </c>
      <c r="AR446" s="94" t="str">
        <f t="shared" si="2619"/>
        <v xml:space="preserve"> </v>
      </c>
      <c r="AS446" s="94" t="str">
        <f t="shared" si="2417"/>
        <v xml:space="preserve"> </v>
      </c>
      <c r="AT446" s="94" t="str">
        <f t="shared" si="2418"/>
        <v xml:space="preserve"> </v>
      </c>
      <c r="AU446" s="94" t="str">
        <f t="shared" si="2419"/>
        <v xml:space="preserve"> </v>
      </c>
      <c r="AV446" s="94" t="str">
        <f t="shared" si="2420"/>
        <v xml:space="preserve"> </v>
      </c>
      <c r="AW446" s="94" t="str">
        <f t="shared" si="2421"/>
        <v xml:space="preserve"> </v>
      </c>
      <c r="AX446" s="94" t="str">
        <f t="shared" si="2422"/>
        <v xml:space="preserve"> </v>
      </c>
      <c r="AY446" s="94" t="str">
        <f t="shared" si="2423"/>
        <v xml:space="preserve"> </v>
      </c>
      <c r="AZ446" s="94" t="str">
        <f t="shared" si="2424"/>
        <v xml:space="preserve"> </v>
      </c>
      <c r="BA446" s="94" t="str">
        <f t="shared" si="2425"/>
        <v xml:space="preserve"> </v>
      </c>
      <c r="BB446" s="94" t="str">
        <f t="shared" si="2426"/>
        <v xml:space="preserve"> </v>
      </c>
    </row>
    <row r="447" spans="1:54" x14ac:dyDescent="0.25">
      <c r="A447" s="80"/>
      <c r="B447" s="95" t="s">
        <v>2417</v>
      </c>
      <c r="C447" s="201" t="s">
        <v>50</v>
      </c>
      <c r="D447" s="80" t="s">
        <v>783</v>
      </c>
      <c r="E447" s="94" t="str">
        <f>IFERROR(VLOOKUP(A447,Estimate!A:Q,17,FALSE)," ")</f>
        <v xml:space="preserve"> </v>
      </c>
      <c r="F447" s="202" t="s">
        <v>781</v>
      </c>
      <c r="G447" s="202" t="s">
        <v>781</v>
      </c>
      <c r="H447" s="203" t="s">
        <v>781</v>
      </c>
      <c r="I447" s="203" t="s">
        <v>781</v>
      </c>
      <c r="J447" s="203" t="s">
        <v>781</v>
      </c>
      <c r="K447" s="203"/>
      <c r="L447" s="202" t="s">
        <v>781</v>
      </c>
      <c r="M447" s="204" t="str">
        <f t="shared" si="2408"/>
        <v xml:space="preserve"> </v>
      </c>
      <c r="N447" s="95" t="s">
        <v>781</v>
      </c>
      <c r="O447" s="204" t="str">
        <f t="shared" si="2408"/>
        <v xml:space="preserve"> </v>
      </c>
      <c r="P447" s="95" t="s">
        <v>781</v>
      </c>
      <c r="Q447" s="204" t="str">
        <f t="shared" ref="Q447:S447" si="2746">IFERROR(P447/$G447," ")</f>
        <v xml:space="preserve"> </v>
      </c>
      <c r="R447" s="95" t="s">
        <v>781</v>
      </c>
      <c r="S447" s="204" t="str">
        <f t="shared" si="2746"/>
        <v xml:space="preserve"> </v>
      </c>
      <c r="T447" s="95" t="s">
        <v>781</v>
      </c>
      <c r="U447" s="204" t="str">
        <f t="shared" ref="U447:W447" si="2747">IFERROR(T447/$G447," ")</f>
        <v xml:space="preserve"> </v>
      </c>
      <c r="V447" s="95" t="s">
        <v>781</v>
      </c>
      <c r="W447" s="204" t="str">
        <f t="shared" si="2747"/>
        <v xml:space="preserve"> </v>
      </c>
      <c r="X447" s="95" t="s">
        <v>781</v>
      </c>
      <c r="Y447" s="204" t="str">
        <f t="shared" ref="Y447:AA447" si="2748">IFERROR(X447/$G447," ")</f>
        <v xml:space="preserve"> </v>
      </c>
      <c r="Z447" s="95" t="s">
        <v>781</v>
      </c>
      <c r="AA447" s="204" t="str">
        <f t="shared" si="2748"/>
        <v xml:space="preserve"> </v>
      </c>
      <c r="AB447" s="95" t="s">
        <v>781</v>
      </c>
      <c r="AC447" s="204" t="str">
        <f t="shared" ref="AC447:AE447" si="2749">IFERROR(AB447/$G447," ")</f>
        <v xml:space="preserve"> </v>
      </c>
      <c r="AD447" s="95" t="s">
        <v>781</v>
      </c>
      <c r="AE447" s="204" t="str">
        <f t="shared" si="2749"/>
        <v xml:space="preserve"> </v>
      </c>
      <c r="AF447" s="95" t="s">
        <v>781</v>
      </c>
      <c r="AG447" s="204" t="str">
        <f t="shared" ref="AG447:AI447" si="2750">IFERROR(AF447/$G447," ")</f>
        <v xml:space="preserve"> </v>
      </c>
      <c r="AH447" s="95" t="s">
        <v>781</v>
      </c>
      <c r="AI447" s="204" t="str">
        <f t="shared" si="2750"/>
        <v xml:space="preserve"> </v>
      </c>
      <c r="AJ447" s="95" t="s">
        <v>781</v>
      </c>
      <c r="AK447" s="204" t="str">
        <f t="shared" ref="AK447:AM447" si="2751">IFERROR(AJ447/$G447," ")</f>
        <v xml:space="preserve"> </v>
      </c>
      <c r="AL447" s="95" t="s">
        <v>781</v>
      </c>
      <c r="AM447" s="204" t="str">
        <f t="shared" si="2751"/>
        <v xml:space="preserve"> </v>
      </c>
      <c r="AN447" s="95"/>
      <c r="AO447" s="94" t="str">
        <f t="shared" si="2415"/>
        <v xml:space="preserve"> </v>
      </c>
      <c r="AP447" s="94" t="str">
        <f t="shared" si="2405"/>
        <v xml:space="preserve"> </v>
      </c>
      <c r="AQ447" s="94" t="str">
        <f t="shared" si="2406"/>
        <v xml:space="preserve"> </v>
      </c>
      <c r="AR447" s="94" t="str">
        <f t="shared" si="2619"/>
        <v xml:space="preserve"> </v>
      </c>
      <c r="AS447" s="94" t="str">
        <f t="shared" si="2417"/>
        <v xml:space="preserve"> </v>
      </c>
      <c r="AT447" s="94" t="str">
        <f t="shared" si="2418"/>
        <v xml:space="preserve"> </v>
      </c>
      <c r="AU447" s="94" t="str">
        <f t="shared" si="2419"/>
        <v xml:space="preserve"> </v>
      </c>
      <c r="AV447" s="94" t="str">
        <f t="shared" si="2420"/>
        <v xml:space="preserve"> </v>
      </c>
      <c r="AW447" s="94" t="str">
        <f t="shared" si="2421"/>
        <v xml:space="preserve"> </v>
      </c>
      <c r="AX447" s="94" t="str">
        <f t="shared" si="2422"/>
        <v xml:space="preserve"> </v>
      </c>
      <c r="AY447" s="94" t="str">
        <f t="shared" si="2423"/>
        <v xml:space="preserve"> </v>
      </c>
      <c r="AZ447" s="94" t="str">
        <f t="shared" si="2424"/>
        <v xml:space="preserve"> </v>
      </c>
      <c r="BA447" s="94" t="str">
        <f t="shared" si="2425"/>
        <v xml:space="preserve"> </v>
      </c>
      <c r="BB447" s="94" t="str">
        <f t="shared" si="2426"/>
        <v xml:space="preserve"> </v>
      </c>
    </row>
    <row r="448" spans="1:54" x14ac:dyDescent="0.25">
      <c r="A448" s="80"/>
      <c r="B448" s="95" t="s">
        <v>2840</v>
      </c>
      <c r="C448" s="201" t="s">
        <v>52</v>
      </c>
      <c r="D448" s="80" t="s">
        <v>783</v>
      </c>
      <c r="E448" s="94" t="str">
        <f>IFERROR(VLOOKUP(A448,Estimate!A:Q,17,FALSE)," ")</f>
        <v xml:space="preserve"> </v>
      </c>
      <c r="F448" s="202" t="s">
        <v>781</v>
      </c>
      <c r="G448" s="202" t="s">
        <v>781</v>
      </c>
      <c r="H448" s="203" t="s">
        <v>781</v>
      </c>
      <c r="I448" s="203" t="s">
        <v>781</v>
      </c>
      <c r="J448" s="203" t="s">
        <v>781</v>
      </c>
      <c r="K448" s="203"/>
      <c r="L448" s="202" t="s">
        <v>781</v>
      </c>
      <c r="M448" s="204" t="str">
        <f t="shared" si="2408"/>
        <v xml:space="preserve"> </v>
      </c>
      <c r="N448" s="95" t="s">
        <v>781</v>
      </c>
      <c r="O448" s="204" t="str">
        <f t="shared" si="2408"/>
        <v xml:space="preserve"> </v>
      </c>
      <c r="P448" s="95" t="s">
        <v>781</v>
      </c>
      <c r="Q448" s="204" t="str">
        <f t="shared" ref="Q448:S448" si="2752">IFERROR(P448/$G448," ")</f>
        <v xml:space="preserve"> </v>
      </c>
      <c r="R448" s="95" t="s">
        <v>781</v>
      </c>
      <c r="S448" s="204" t="str">
        <f t="shared" si="2752"/>
        <v xml:space="preserve"> </v>
      </c>
      <c r="T448" s="95" t="s">
        <v>781</v>
      </c>
      <c r="U448" s="204" t="str">
        <f t="shared" ref="U448:W448" si="2753">IFERROR(T448/$G448," ")</f>
        <v xml:space="preserve"> </v>
      </c>
      <c r="V448" s="95" t="s">
        <v>781</v>
      </c>
      <c r="W448" s="204" t="str">
        <f t="shared" si="2753"/>
        <v xml:space="preserve"> </v>
      </c>
      <c r="X448" s="95" t="s">
        <v>781</v>
      </c>
      <c r="Y448" s="204" t="str">
        <f t="shared" ref="Y448:AA448" si="2754">IFERROR(X448/$G448," ")</f>
        <v xml:space="preserve"> </v>
      </c>
      <c r="Z448" s="95" t="s">
        <v>781</v>
      </c>
      <c r="AA448" s="204" t="str">
        <f t="shared" si="2754"/>
        <v xml:space="preserve"> </v>
      </c>
      <c r="AB448" s="95" t="s">
        <v>781</v>
      </c>
      <c r="AC448" s="204" t="str">
        <f t="shared" ref="AC448:AE448" si="2755">IFERROR(AB448/$G448," ")</f>
        <v xml:space="preserve"> </v>
      </c>
      <c r="AD448" s="95" t="s">
        <v>781</v>
      </c>
      <c r="AE448" s="204" t="str">
        <f t="shared" si="2755"/>
        <v xml:space="preserve"> </v>
      </c>
      <c r="AF448" s="95" t="s">
        <v>781</v>
      </c>
      <c r="AG448" s="204" t="str">
        <f t="shared" ref="AG448:AI448" si="2756">IFERROR(AF448/$G448," ")</f>
        <v xml:space="preserve"> </v>
      </c>
      <c r="AH448" s="95" t="s">
        <v>781</v>
      </c>
      <c r="AI448" s="204" t="str">
        <f t="shared" si="2756"/>
        <v xml:space="preserve"> </v>
      </c>
      <c r="AJ448" s="95" t="s">
        <v>781</v>
      </c>
      <c r="AK448" s="204" t="str">
        <f t="shared" ref="AK448:AM448" si="2757">IFERROR(AJ448/$G448," ")</f>
        <v xml:space="preserve"> </v>
      </c>
      <c r="AL448" s="95" t="s">
        <v>781</v>
      </c>
      <c r="AM448" s="204" t="str">
        <f t="shared" si="2757"/>
        <v xml:space="preserve"> </v>
      </c>
      <c r="AN448" s="95"/>
      <c r="AO448" s="94" t="str">
        <f t="shared" si="2415"/>
        <v xml:space="preserve"> </v>
      </c>
      <c r="AP448" s="94" t="str">
        <f t="shared" si="2405"/>
        <v xml:space="preserve"> </v>
      </c>
      <c r="AQ448" s="94" t="str">
        <f t="shared" si="2406"/>
        <v xml:space="preserve"> </v>
      </c>
      <c r="AR448" s="94" t="str">
        <f t="shared" si="2619"/>
        <v xml:space="preserve"> </v>
      </c>
      <c r="AS448" s="94" t="str">
        <f t="shared" si="2417"/>
        <v xml:space="preserve"> </v>
      </c>
      <c r="AT448" s="94" t="str">
        <f t="shared" si="2418"/>
        <v xml:space="preserve"> </v>
      </c>
      <c r="AU448" s="94" t="str">
        <f t="shared" si="2419"/>
        <v xml:space="preserve"> </v>
      </c>
      <c r="AV448" s="94" t="str">
        <f t="shared" si="2420"/>
        <v xml:space="preserve"> </v>
      </c>
      <c r="AW448" s="94" t="str">
        <f t="shared" si="2421"/>
        <v xml:space="preserve"> </v>
      </c>
      <c r="AX448" s="94" t="str">
        <f t="shared" si="2422"/>
        <v xml:space="preserve"> </v>
      </c>
      <c r="AY448" s="94" t="str">
        <f t="shared" si="2423"/>
        <v xml:space="preserve"> </v>
      </c>
      <c r="AZ448" s="94" t="str">
        <f t="shared" si="2424"/>
        <v xml:space="preserve"> </v>
      </c>
      <c r="BA448" s="94" t="str">
        <f t="shared" si="2425"/>
        <v xml:space="preserve"> </v>
      </c>
      <c r="BB448" s="94" t="str">
        <f t="shared" si="2426"/>
        <v xml:space="preserve"> </v>
      </c>
    </row>
    <row r="449" spans="1:54" x14ac:dyDescent="0.25">
      <c r="A449" s="80">
        <v>177</v>
      </c>
      <c r="B449" s="95" t="s">
        <v>2841</v>
      </c>
      <c r="C449" s="201" t="s">
        <v>54</v>
      </c>
      <c r="D449" s="80" t="s">
        <v>20</v>
      </c>
      <c r="E449" s="94">
        <f>IFERROR(VLOOKUP(A449,Estimate!A:Q,17,FALSE)," ")</f>
        <v>23292.48</v>
      </c>
      <c r="F449" s="202">
        <v>1</v>
      </c>
      <c r="G449" s="202">
        <v>1</v>
      </c>
      <c r="H449" s="203">
        <v>29260.66</v>
      </c>
      <c r="I449" s="203">
        <v>29260.66</v>
      </c>
      <c r="J449" s="203">
        <v>29260.66</v>
      </c>
      <c r="K449" s="203"/>
      <c r="L449" s="202">
        <v>0.2</v>
      </c>
      <c r="M449" s="204">
        <f t="shared" si="2408"/>
        <v>0.2</v>
      </c>
      <c r="N449" s="95">
        <v>0.6</v>
      </c>
      <c r="O449" s="204">
        <f t="shared" si="2408"/>
        <v>0.6</v>
      </c>
      <c r="P449" s="95">
        <v>0.6</v>
      </c>
      <c r="Q449" s="204">
        <f t="shared" ref="Q449:S449" si="2758">IFERROR(P449/$G449," ")</f>
        <v>0.6</v>
      </c>
      <c r="R449" s="95">
        <v>0.7</v>
      </c>
      <c r="S449" s="204">
        <f t="shared" si="2758"/>
        <v>0.7</v>
      </c>
      <c r="T449" s="95">
        <v>0.75</v>
      </c>
      <c r="U449" s="204">
        <f t="shared" ref="U449:W449" si="2759">IFERROR(T449/$G449," ")</f>
        <v>0.75</v>
      </c>
      <c r="V449" s="95">
        <v>0.8</v>
      </c>
      <c r="W449" s="204">
        <f t="shared" si="2759"/>
        <v>0.8</v>
      </c>
      <c r="X449" s="95">
        <v>0.9</v>
      </c>
      <c r="Y449" s="204">
        <f t="shared" ref="Y449:AA449" si="2760">IFERROR(X449/$G449," ")</f>
        <v>0.9</v>
      </c>
      <c r="Z449" s="95">
        <v>1</v>
      </c>
      <c r="AA449" s="204">
        <f t="shared" si="2760"/>
        <v>1</v>
      </c>
      <c r="AB449" s="95">
        <v>1</v>
      </c>
      <c r="AC449" s="204">
        <f t="shared" ref="AC449:AE449" si="2761">IFERROR(AB449/$G449," ")</f>
        <v>1</v>
      </c>
      <c r="AD449" s="95">
        <v>1</v>
      </c>
      <c r="AE449" s="204">
        <f t="shared" si="2761"/>
        <v>1</v>
      </c>
      <c r="AF449" s="95">
        <v>1</v>
      </c>
      <c r="AG449" s="204">
        <f t="shared" ref="AG449:AI449" si="2762">IFERROR(AF449/$G449," ")</f>
        <v>1</v>
      </c>
      <c r="AH449" s="95">
        <v>1</v>
      </c>
      <c r="AI449" s="204">
        <f t="shared" si="2762"/>
        <v>1</v>
      </c>
      <c r="AJ449" s="95">
        <v>1</v>
      </c>
      <c r="AK449" s="204">
        <f t="shared" ref="AK449:AM449" si="2763">IFERROR(AJ449/$G449," ")</f>
        <v>1</v>
      </c>
      <c r="AL449" s="95">
        <v>1</v>
      </c>
      <c r="AM449" s="204">
        <f t="shared" si="2763"/>
        <v>1</v>
      </c>
      <c r="AN449" s="95"/>
      <c r="AO449" s="94">
        <f t="shared" si="2415"/>
        <v>5852.1320000000005</v>
      </c>
      <c r="AP449" s="94">
        <f t="shared" si="2405"/>
        <v>17556.396000000001</v>
      </c>
      <c r="AQ449" s="94">
        <f t="shared" si="2406"/>
        <v>17556.396000000001</v>
      </c>
      <c r="AR449" s="94">
        <f t="shared" si="2619"/>
        <v>20482.462</v>
      </c>
      <c r="AS449" s="94">
        <f t="shared" si="2417"/>
        <v>21945.494999999999</v>
      </c>
      <c r="AT449" s="94">
        <f t="shared" si="2418"/>
        <v>23408.528000000002</v>
      </c>
      <c r="AU449" s="94">
        <f t="shared" si="2419"/>
        <v>26334.594000000001</v>
      </c>
      <c r="AV449" s="94">
        <f t="shared" si="2420"/>
        <v>29260.66</v>
      </c>
      <c r="AW449" s="94">
        <f t="shared" si="2421"/>
        <v>29260.66</v>
      </c>
      <c r="AX449" s="94">
        <f t="shared" si="2422"/>
        <v>29260.66</v>
      </c>
      <c r="AY449" s="94">
        <f t="shared" si="2423"/>
        <v>29260.66</v>
      </c>
      <c r="AZ449" s="94">
        <f t="shared" si="2424"/>
        <v>29260.66</v>
      </c>
      <c r="BA449" s="94">
        <f t="shared" si="2425"/>
        <v>29260.66</v>
      </c>
      <c r="BB449" s="94">
        <f t="shared" si="2426"/>
        <v>29260.66</v>
      </c>
    </row>
    <row r="450" spans="1:54" ht="30" x14ac:dyDescent="0.25">
      <c r="A450" s="80"/>
      <c r="B450" s="95" t="s">
        <v>2930</v>
      </c>
      <c r="C450" s="201" t="s">
        <v>621</v>
      </c>
      <c r="D450" s="80" t="s">
        <v>20</v>
      </c>
      <c r="E450" s="94" t="str">
        <f>IFERROR(VLOOKUP(A450,Estimate!A:Q,17,FALSE)," ")</f>
        <v xml:space="preserve"> </v>
      </c>
      <c r="F450" s="202">
        <v>1</v>
      </c>
      <c r="G450" s="202">
        <v>1</v>
      </c>
      <c r="H450" s="203"/>
      <c r="I450" s="203"/>
      <c r="J450" s="203"/>
      <c r="K450" s="203"/>
      <c r="L450" s="202"/>
      <c r="M450" s="204">
        <f t="shared" si="2408"/>
        <v>0</v>
      </c>
      <c r="N450" s="95"/>
      <c r="O450" s="204">
        <f t="shared" si="2408"/>
        <v>0</v>
      </c>
      <c r="P450" s="95"/>
      <c r="Q450" s="204">
        <f t="shared" ref="Q450:S450" si="2764">IFERROR(P450/$G450," ")</f>
        <v>0</v>
      </c>
      <c r="R450" s="95"/>
      <c r="S450" s="204">
        <f t="shared" si="2764"/>
        <v>0</v>
      </c>
      <c r="T450" s="95"/>
      <c r="U450" s="204">
        <f t="shared" ref="U450:W450" si="2765">IFERROR(T450/$G450," ")</f>
        <v>0</v>
      </c>
      <c r="V450" s="95"/>
      <c r="W450" s="204">
        <f t="shared" si="2765"/>
        <v>0</v>
      </c>
      <c r="X450" s="95"/>
      <c r="Y450" s="204">
        <f t="shared" ref="Y450:AA450" si="2766">IFERROR(X450/$G450," ")</f>
        <v>0</v>
      </c>
      <c r="Z450" s="95"/>
      <c r="AA450" s="204">
        <f t="shared" si="2766"/>
        <v>0</v>
      </c>
      <c r="AB450" s="95"/>
      <c r="AC450" s="204">
        <f t="shared" ref="AC450:AE450" si="2767">IFERROR(AB450/$G450," ")</f>
        <v>0</v>
      </c>
      <c r="AD450" s="95"/>
      <c r="AE450" s="204">
        <f t="shared" si="2767"/>
        <v>0</v>
      </c>
      <c r="AF450" s="95"/>
      <c r="AG450" s="204">
        <f t="shared" ref="AG450:AI450" si="2768">IFERROR(AF450/$G450," ")</f>
        <v>0</v>
      </c>
      <c r="AH450" s="95"/>
      <c r="AI450" s="204">
        <f t="shared" si="2768"/>
        <v>0</v>
      </c>
      <c r="AJ450" s="95"/>
      <c r="AK450" s="204">
        <f t="shared" ref="AK450:AM450" si="2769">IFERROR(AJ450/$G450," ")</f>
        <v>0</v>
      </c>
      <c r="AL450" s="95"/>
      <c r="AM450" s="204">
        <f t="shared" si="2769"/>
        <v>0</v>
      </c>
      <c r="AN450" s="95"/>
      <c r="AO450" s="94">
        <f t="shared" si="2415"/>
        <v>0</v>
      </c>
      <c r="AP450" s="94">
        <f t="shared" si="2405"/>
        <v>0</v>
      </c>
      <c r="AQ450" s="94">
        <f t="shared" si="2406"/>
        <v>0</v>
      </c>
      <c r="AR450" s="94">
        <f t="shared" si="2619"/>
        <v>0</v>
      </c>
      <c r="AS450" s="94">
        <f t="shared" si="2417"/>
        <v>0</v>
      </c>
      <c r="AT450" s="94">
        <f t="shared" si="2418"/>
        <v>0</v>
      </c>
      <c r="AU450" s="94">
        <f t="shared" si="2419"/>
        <v>0</v>
      </c>
      <c r="AV450" s="94">
        <f t="shared" si="2420"/>
        <v>0</v>
      </c>
      <c r="AW450" s="94">
        <f t="shared" si="2421"/>
        <v>0</v>
      </c>
      <c r="AX450" s="94">
        <f t="shared" si="2422"/>
        <v>0</v>
      </c>
      <c r="AY450" s="94">
        <f t="shared" si="2423"/>
        <v>0</v>
      </c>
      <c r="AZ450" s="94">
        <f t="shared" si="2424"/>
        <v>0</v>
      </c>
      <c r="BA450" s="94">
        <f t="shared" si="2425"/>
        <v>0</v>
      </c>
      <c r="BB450" s="94">
        <f t="shared" si="2426"/>
        <v>0</v>
      </c>
    </row>
    <row r="451" spans="1:54" x14ac:dyDescent="0.25">
      <c r="A451" s="80"/>
      <c r="B451" s="95" t="s">
        <v>2866</v>
      </c>
      <c r="C451" s="201" t="s">
        <v>161</v>
      </c>
      <c r="D451" s="80" t="s">
        <v>783</v>
      </c>
      <c r="E451" s="94" t="str">
        <f>IFERROR(VLOOKUP(A451,Estimate!A:Q,17,FALSE)," ")</f>
        <v xml:space="preserve"> </v>
      </c>
      <c r="F451" s="202" t="s">
        <v>781</v>
      </c>
      <c r="G451" s="202" t="s">
        <v>781</v>
      </c>
      <c r="H451" s="203" t="s">
        <v>781</v>
      </c>
      <c r="I451" s="203" t="s">
        <v>781</v>
      </c>
      <c r="J451" s="203" t="s">
        <v>781</v>
      </c>
      <c r="K451" s="203"/>
      <c r="L451" s="202" t="s">
        <v>781</v>
      </c>
      <c r="M451" s="204" t="str">
        <f t="shared" si="2408"/>
        <v xml:space="preserve"> </v>
      </c>
      <c r="N451" s="95" t="s">
        <v>781</v>
      </c>
      <c r="O451" s="204" t="str">
        <f t="shared" si="2408"/>
        <v xml:space="preserve"> </v>
      </c>
      <c r="P451" s="95" t="s">
        <v>781</v>
      </c>
      <c r="Q451" s="204" t="str">
        <f t="shared" ref="Q451:S451" si="2770">IFERROR(P451/$G451," ")</f>
        <v xml:space="preserve"> </v>
      </c>
      <c r="R451" s="95" t="s">
        <v>781</v>
      </c>
      <c r="S451" s="204" t="str">
        <f t="shared" si="2770"/>
        <v xml:space="preserve"> </v>
      </c>
      <c r="T451" s="95" t="s">
        <v>781</v>
      </c>
      <c r="U451" s="204" t="str">
        <f t="shared" ref="U451:W451" si="2771">IFERROR(T451/$G451," ")</f>
        <v xml:space="preserve"> </v>
      </c>
      <c r="V451" s="95" t="s">
        <v>781</v>
      </c>
      <c r="W451" s="204" t="str">
        <f t="shared" si="2771"/>
        <v xml:space="preserve"> </v>
      </c>
      <c r="X451" s="95" t="s">
        <v>781</v>
      </c>
      <c r="Y451" s="204" t="str">
        <f t="shared" ref="Y451:AA451" si="2772">IFERROR(X451/$G451," ")</f>
        <v xml:space="preserve"> </v>
      </c>
      <c r="Z451" s="95" t="s">
        <v>781</v>
      </c>
      <c r="AA451" s="204" t="str">
        <f t="shared" si="2772"/>
        <v xml:space="preserve"> </v>
      </c>
      <c r="AB451" s="95" t="s">
        <v>781</v>
      </c>
      <c r="AC451" s="204" t="str">
        <f t="shared" ref="AC451:AE451" si="2773">IFERROR(AB451/$G451," ")</f>
        <v xml:space="preserve"> </v>
      </c>
      <c r="AD451" s="95" t="s">
        <v>781</v>
      </c>
      <c r="AE451" s="204" t="str">
        <f t="shared" si="2773"/>
        <v xml:space="preserve"> </v>
      </c>
      <c r="AF451" s="95" t="s">
        <v>781</v>
      </c>
      <c r="AG451" s="204" t="str">
        <f t="shared" ref="AG451:AI451" si="2774">IFERROR(AF451/$G451," ")</f>
        <v xml:space="preserve"> </v>
      </c>
      <c r="AH451" s="95" t="s">
        <v>781</v>
      </c>
      <c r="AI451" s="204" t="str">
        <f t="shared" si="2774"/>
        <v xml:space="preserve"> </v>
      </c>
      <c r="AJ451" s="95" t="s">
        <v>781</v>
      </c>
      <c r="AK451" s="204" t="str">
        <f t="shared" ref="AK451:AM451" si="2775">IFERROR(AJ451/$G451," ")</f>
        <v xml:space="preserve"> </v>
      </c>
      <c r="AL451" s="95" t="s">
        <v>781</v>
      </c>
      <c r="AM451" s="204" t="str">
        <f t="shared" si="2775"/>
        <v xml:space="preserve"> </v>
      </c>
      <c r="AN451" s="95"/>
      <c r="AO451" s="94" t="str">
        <f t="shared" si="2415"/>
        <v xml:space="preserve"> </v>
      </c>
      <c r="AP451" s="94" t="str">
        <f t="shared" si="2405"/>
        <v xml:space="preserve"> </v>
      </c>
      <c r="AQ451" s="94" t="str">
        <f t="shared" si="2406"/>
        <v xml:space="preserve"> </v>
      </c>
      <c r="AR451" s="94" t="str">
        <f t="shared" si="2619"/>
        <v xml:space="preserve"> </v>
      </c>
      <c r="AS451" s="94" t="str">
        <f t="shared" si="2417"/>
        <v xml:space="preserve"> </v>
      </c>
      <c r="AT451" s="94" t="str">
        <f t="shared" si="2418"/>
        <v xml:space="preserve"> </v>
      </c>
      <c r="AU451" s="94" t="str">
        <f t="shared" si="2419"/>
        <v xml:space="preserve"> </v>
      </c>
      <c r="AV451" s="94" t="str">
        <f t="shared" si="2420"/>
        <v xml:space="preserve"> </v>
      </c>
      <c r="AW451" s="94" t="str">
        <f t="shared" si="2421"/>
        <v xml:space="preserve"> </v>
      </c>
      <c r="AX451" s="94" t="str">
        <f t="shared" si="2422"/>
        <v xml:space="preserve"> </v>
      </c>
      <c r="AY451" s="94" t="str">
        <f t="shared" si="2423"/>
        <v xml:space="preserve"> </v>
      </c>
      <c r="AZ451" s="94" t="str">
        <f t="shared" si="2424"/>
        <v xml:space="preserve"> </v>
      </c>
      <c r="BA451" s="94" t="str">
        <f t="shared" si="2425"/>
        <v xml:space="preserve"> </v>
      </c>
      <c r="BB451" s="94" t="str">
        <f t="shared" si="2426"/>
        <v xml:space="preserve"> </v>
      </c>
    </row>
    <row r="452" spans="1:54" ht="30" x14ac:dyDescent="0.25">
      <c r="A452" s="80">
        <v>178</v>
      </c>
      <c r="B452" s="95" t="s">
        <v>2867</v>
      </c>
      <c r="C452" s="201" t="s">
        <v>163</v>
      </c>
      <c r="D452" s="80" t="s">
        <v>20</v>
      </c>
      <c r="E452" s="94">
        <f>IFERROR(VLOOKUP(A452,Estimate!A:Q,17,FALSE)," ")</f>
        <v>11050</v>
      </c>
      <c r="F452" s="202">
        <v>1</v>
      </c>
      <c r="G452" s="202">
        <v>1</v>
      </c>
      <c r="H452" s="203">
        <v>13881.32</v>
      </c>
      <c r="I452" s="203">
        <v>13881.32</v>
      </c>
      <c r="J452" s="203">
        <v>13881.32</v>
      </c>
      <c r="K452" s="203"/>
      <c r="L452" s="202">
        <v>0.2</v>
      </c>
      <c r="M452" s="204">
        <f t="shared" si="2408"/>
        <v>0.2</v>
      </c>
      <c r="N452" s="95">
        <v>0.6</v>
      </c>
      <c r="O452" s="204">
        <f t="shared" si="2408"/>
        <v>0.6</v>
      </c>
      <c r="P452" s="95">
        <v>0.6</v>
      </c>
      <c r="Q452" s="204">
        <f t="shared" ref="Q452:S452" si="2776">IFERROR(P452/$G452," ")</f>
        <v>0.6</v>
      </c>
      <c r="R452" s="95">
        <v>0.7</v>
      </c>
      <c r="S452" s="204">
        <f t="shared" si="2776"/>
        <v>0.7</v>
      </c>
      <c r="T452" s="95">
        <v>0.75</v>
      </c>
      <c r="U452" s="204">
        <f t="shared" ref="U452:W452" si="2777">IFERROR(T452/$G452," ")</f>
        <v>0.75</v>
      </c>
      <c r="V452" s="95">
        <v>0.8</v>
      </c>
      <c r="W452" s="204">
        <f t="shared" si="2777"/>
        <v>0.8</v>
      </c>
      <c r="X452" s="95">
        <v>0.9</v>
      </c>
      <c r="Y452" s="204">
        <f t="shared" ref="Y452:AA452" si="2778">IFERROR(X452/$G452," ")</f>
        <v>0.9</v>
      </c>
      <c r="Z452" s="95">
        <v>1</v>
      </c>
      <c r="AA452" s="204">
        <f t="shared" si="2778"/>
        <v>1</v>
      </c>
      <c r="AB452" s="95">
        <v>1</v>
      </c>
      <c r="AC452" s="204">
        <f t="shared" ref="AC452:AE452" si="2779">IFERROR(AB452/$G452," ")</f>
        <v>1</v>
      </c>
      <c r="AD452" s="95">
        <v>1</v>
      </c>
      <c r="AE452" s="204">
        <f t="shared" si="2779"/>
        <v>1</v>
      </c>
      <c r="AF452" s="95">
        <v>1</v>
      </c>
      <c r="AG452" s="204">
        <f t="shared" ref="AG452:AI452" si="2780">IFERROR(AF452/$G452," ")</f>
        <v>1</v>
      </c>
      <c r="AH452" s="95">
        <v>1</v>
      </c>
      <c r="AI452" s="204">
        <f t="shared" si="2780"/>
        <v>1</v>
      </c>
      <c r="AJ452" s="95">
        <v>1</v>
      </c>
      <c r="AK452" s="204">
        <f t="shared" ref="AK452:AM452" si="2781">IFERROR(AJ452/$G452," ")</f>
        <v>1</v>
      </c>
      <c r="AL452" s="95">
        <v>1</v>
      </c>
      <c r="AM452" s="204">
        <f t="shared" si="2781"/>
        <v>1</v>
      </c>
      <c r="AN452" s="95"/>
      <c r="AO452" s="94">
        <f t="shared" si="2415"/>
        <v>2776.2640000000001</v>
      </c>
      <c r="AP452" s="94">
        <f t="shared" si="2405"/>
        <v>8328.7919999999995</v>
      </c>
      <c r="AQ452" s="94">
        <f t="shared" si="2406"/>
        <v>8328.7919999999995</v>
      </c>
      <c r="AR452" s="94">
        <f t="shared" si="2619"/>
        <v>9716.9239999999991</v>
      </c>
      <c r="AS452" s="94">
        <f t="shared" si="2417"/>
        <v>10410.99</v>
      </c>
      <c r="AT452" s="94">
        <f t="shared" si="2418"/>
        <v>11105.056</v>
      </c>
      <c r="AU452" s="94">
        <f t="shared" si="2419"/>
        <v>12493.188</v>
      </c>
      <c r="AV452" s="94">
        <f t="shared" si="2420"/>
        <v>13881.32</v>
      </c>
      <c r="AW452" s="94">
        <f t="shared" si="2421"/>
        <v>13881.32</v>
      </c>
      <c r="AX452" s="94">
        <f t="shared" si="2422"/>
        <v>13881.32</v>
      </c>
      <c r="AY452" s="94">
        <f t="shared" si="2423"/>
        <v>13881.32</v>
      </c>
      <c r="AZ452" s="94">
        <f t="shared" si="2424"/>
        <v>13881.32</v>
      </c>
      <c r="BA452" s="94">
        <f t="shared" si="2425"/>
        <v>13881.32</v>
      </c>
      <c r="BB452" s="94">
        <f t="shared" si="2426"/>
        <v>13881.32</v>
      </c>
    </row>
    <row r="453" spans="1:54" x14ac:dyDescent="0.25">
      <c r="A453" s="80"/>
      <c r="B453" s="95" t="s">
        <v>2893</v>
      </c>
      <c r="C453" s="201" t="s">
        <v>362</v>
      </c>
      <c r="D453" s="80" t="s">
        <v>783</v>
      </c>
      <c r="E453" s="94" t="str">
        <f>IFERROR(VLOOKUP(A453,Estimate!A:Q,17,FALSE)," ")</f>
        <v xml:space="preserve"> </v>
      </c>
      <c r="F453" s="202" t="s">
        <v>781</v>
      </c>
      <c r="G453" s="202" t="s">
        <v>781</v>
      </c>
      <c r="H453" s="203" t="s">
        <v>781</v>
      </c>
      <c r="I453" s="203" t="s">
        <v>781</v>
      </c>
      <c r="J453" s="203" t="s">
        <v>781</v>
      </c>
      <c r="K453" s="203"/>
      <c r="L453" s="202" t="s">
        <v>781</v>
      </c>
      <c r="M453" s="204" t="str">
        <f t="shared" si="2408"/>
        <v xml:space="preserve"> </v>
      </c>
      <c r="N453" s="95" t="s">
        <v>781</v>
      </c>
      <c r="O453" s="204" t="str">
        <f t="shared" si="2408"/>
        <v xml:space="preserve"> </v>
      </c>
      <c r="P453" s="95" t="s">
        <v>781</v>
      </c>
      <c r="Q453" s="204" t="str">
        <f t="shared" ref="Q453:S453" si="2782">IFERROR(P453/$G453," ")</f>
        <v xml:space="preserve"> </v>
      </c>
      <c r="R453" s="95" t="s">
        <v>781</v>
      </c>
      <c r="S453" s="204" t="str">
        <f t="shared" si="2782"/>
        <v xml:space="preserve"> </v>
      </c>
      <c r="T453" s="95" t="s">
        <v>781</v>
      </c>
      <c r="U453" s="204" t="str">
        <f t="shared" ref="U453:W453" si="2783">IFERROR(T453/$G453," ")</f>
        <v xml:space="preserve"> </v>
      </c>
      <c r="V453" s="95" t="s">
        <v>781</v>
      </c>
      <c r="W453" s="204" t="str">
        <f t="shared" si="2783"/>
        <v xml:space="preserve"> </v>
      </c>
      <c r="X453" s="95" t="s">
        <v>781</v>
      </c>
      <c r="Y453" s="204" t="str">
        <f t="shared" ref="Y453:AA453" si="2784">IFERROR(X453/$G453," ")</f>
        <v xml:space="preserve"> </v>
      </c>
      <c r="Z453" s="95" t="s">
        <v>781</v>
      </c>
      <c r="AA453" s="204" t="str">
        <f t="shared" si="2784"/>
        <v xml:space="preserve"> </v>
      </c>
      <c r="AB453" s="95" t="s">
        <v>781</v>
      </c>
      <c r="AC453" s="204" t="str">
        <f t="shared" ref="AC453:AE453" si="2785">IFERROR(AB453/$G453," ")</f>
        <v xml:space="preserve"> </v>
      </c>
      <c r="AD453" s="95" t="s">
        <v>781</v>
      </c>
      <c r="AE453" s="204" t="str">
        <f t="shared" si="2785"/>
        <v xml:space="preserve"> </v>
      </c>
      <c r="AF453" s="95" t="s">
        <v>781</v>
      </c>
      <c r="AG453" s="204" t="str">
        <f t="shared" ref="AG453:AI453" si="2786">IFERROR(AF453/$G453," ")</f>
        <v xml:space="preserve"> </v>
      </c>
      <c r="AH453" s="95" t="s">
        <v>781</v>
      </c>
      <c r="AI453" s="204" t="str">
        <f t="shared" si="2786"/>
        <v xml:space="preserve"> </v>
      </c>
      <c r="AJ453" s="95" t="s">
        <v>781</v>
      </c>
      <c r="AK453" s="204" t="str">
        <f t="shared" ref="AK453:AM453" si="2787">IFERROR(AJ453/$G453," ")</f>
        <v xml:space="preserve"> </v>
      </c>
      <c r="AL453" s="95" t="s">
        <v>781</v>
      </c>
      <c r="AM453" s="204" t="str">
        <f t="shared" si="2787"/>
        <v xml:space="preserve"> </v>
      </c>
      <c r="AN453" s="95"/>
      <c r="AO453" s="94" t="str">
        <f t="shared" si="2415"/>
        <v xml:space="preserve"> </v>
      </c>
      <c r="AP453" s="94" t="str">
        <f t="shared" si="2405"/>
        <v xml:space="preserve"> </v>
      </c>
      <c r="AQ453" s="94" t="str">
        <f t="shared" si="2406"/>
        <v xml:space="preserve"> </v>
      </c>
      <c r="AR453" s="94" t="str">
        <f t="shared" si="2619"/>
        <v xml:space="preserve"> </v>
      </c>
      <c r="AS453" s="94" t="str">
        <f t="shared" si="2417"/>
        <v xml:space="preserve"> </v>
      </c>
      <c r="AT453" s="94" t="str">
        <f t="shared" si="2418"/>
        <v xml:space="preserve"> </v>
      </c>
      <c r="AU453" s="94" t="str">
        <f t="shared" si="2419"/>
        <v xml:space="preserve"> </v>
      </c>
      <c r="AV453" s="94" t="str">
        <f t="shared" si="2420"/>
        <v xml:space="preserve"> </v>
      </c>
      <c r="AW453" s="94" t="str">
        <f t="shared" si="2421"/>
        <v xml:space="preserve"> </v>
      </c>
      <c r="AX453" s="94" t="str">
        <f t="shared" si="2422"/>
        <v xml:space="preserve"> </v>
      </c>
      <c r="AY453" s="94" t="str">
        <f t="shared" si="2423"/>
        <v xml:space="preserve"> </v>
      </c>
      <c r="AZ453" s="94" t="str">
        <f t="shared" si="2424"/>
        <v xml:space="preserve"> </v>
      </c>
      <c r="BA453" s="94" t="str">
        <f t="shared" si="2425"/>
        <v xml:space="preserve"> </v>
      </c>
      <c r="BB453" s="94" t="str">
        <f t="shared" si="2426"/>
        <v xml:space="preserve"> </v>
      </c>
    </row>
    <row r="454" spans="1:54" ht="30" x14ac:dyDescent="0.25">
      <c r="A454" s="80">
        <v>179</v>
      </c>
      <c r="B454" s="95">
        <v>113</v>
      </c>
      <c r="C454" s="201" t="s">
        <v>364</v>
      </c>
      <c r="D454" s="80" t="s">
        <v>20</v>
      </c>
      <c r="E454" s="94">
        <f>IFERROR(VLOOKUP(A454,Estimate!A:Q,17,FALSE)," ")</f>
        <v>10066.666666666666</v>
      </c>
      <c r="F454" s="202">
        <v>1</v>
      </c>
      <c r="G454" s="202">
        <v>1</v>
      </c>
      <c r="H454" s="203">
        <v>13646.79</v>
      </c>
      <c r="I454" s="203">
        <v>13646.79</v>
      </c>
      <c r="J454" s="203">
        <v>13646.79</v>
      </c>
      <c r="K454" s="203"/>
      <c r="L454" s="202">
        <v>0.6</v>
      </c>
      <c r="M454" s="204">
        <f t="shared" si="2408"/>
        <v>0.6</v>
      </c>
      <c r="N454" s="95">
        <v>0.6</v>
      </c>
      <c r="O454" s="204">
        <f t="shared" si="2408"/>
        <v>0.6</v>
      </c>
      <c r="P454" s="95">
        <v>0.6</v>
      </c>
      <c r="Q454" s="204">
        <f t="shared" ref="Q454:S454" si="2788">IFERROR(P454/$G454," ")</f>
        <v>0.6</v>
      </c>
      <c r="R454" s="95">
        <v>0.8</v>
      </c>
      <c r="S454" s="204">
        <f t="shared" si="2788"/>
        <v>0.8</v>
      </c>
      <c r="T454" s="95">
        <v>1</v>
      </c>
      <c r="U454" s="204">
        <f t="shared" ref="U454:W454" si="2789">IFERROR(T454/$G454," ")</f>
        <v>1</v>
      </c>
      <c r="V454" s="95">
        <v>1</v>
      </c>
      <c r="W454" s="204">
        <f t="shared" si="2789"/>
        <v>1</v>
      </c>
      <c r="X454" s="95">
        <v>1</v>
      </c>
      <c r="Y454" s="204">
        <f t="shared" ref="Y454:AA454" si="2790">IFERROR(X454/$G454," ")</f>
        <v>1</v>
      </c>
      <c r="Z454" s="95">
        <v>1</v>
      </c>
      <c r="AA454" s="204">
        <f t="shared" si="2790"/>
        <v>1</v>
      </c>
      <c r="AB454" s="95">
        <v>1</v>
      </c>
      <c r="AC454" s="204">
        <f t="shared" ref="AC454:AE454" si="2791">IFERROR(AB454/$G454," ")</f>
        <v>1</v>
      </c>
      <c r="AD454" s="95">
        <v>1</v>
      </c>
      <c r="AE454" s="204">
        <f t="shared" si="2791"/>
        <v>1</v>
      </c>
      <c r="AF454" s="95">
        <v>1</v>
      </c>
      <c r="AG454" s="204">
        <f t="shared" ref="AG454:AI454" si="2792">IFERROR(AF454/$G454," ")</f>
        <v>1</v>
      </c>
      <c r="AH454" s="95">
        <v>1</v>
      </c>
      <c r="AI454" s="204">
        <f t="shared" si="2792"/>
        <v>1</v>
      </c>
      <c r="AJ454" s="95">
        <v>1</v>
      </c>
      <c r="AK454" s="204">
        <f t="shared" ref="AK454:AM454" si="2793">IFERROR(AJ454/$G454," ")</f>
        <v>1</v>
      </c>
      <c r="AL454" s="95">
        <v>1</v>
      </c>
      <c r="AM454" s="204">
        <f t="shared" si="2793"/>
        <v>1</v>
      </c>
      <c r="AN454" s="95"/>
      <c r="AO454" s="94">
        <f t="shared" si="2415"/>
        <v>8188.0740000000005</v>
      </c>
      <c r="AP454" s="94">
        <f t="shared" si="2405"/>
        <v>8188.0740000000005</v>
      </c>
      <c r="AQ454" s="94">
        <f t="shared" si="2406"/>
        <v>8188.0740000000005</v>
      </c>
      <c r="AR454" s="94">
        <f t="shared" si="2619"/>
        <v>10917.432000000001</v>
      </c>
      <c r="AS454" s="94">
        <f t="shared" si="2417"/>
        <v>13646.79</v>
      </c>
      <c r="AT454" s="94">
        <f t="shared" si="2418"/>
        <v>13646.79</v>
      </c>
      <c r="AU454" s="94">
        <f t="shared" si="2419"/>
        <v>13646.79</v>
      </c>
      <c r="AV454" s="94">
        <f t="shared" si="2420"/>
        <v>13646.79</v>
      </c>
      <c r="AW454" s="94">
        <f t="shared" si="2421"/>
        <v>13646.79</v>
      </c>
      <c r="AX454" s="94">
        <f t="shared" si="2422"/>
        <v>13646.79</v>
      </c>
      <c r="AY454" s="94">
        <f t="shared" si="2423"/>
        <v>13646.79</v>
      </c>
      <c r="AZ454" s="94">
        <f t="shared" si="2424"/>
        <v>13646.79</v>
      </c>
      <c r="BA454" s="94">
        <f t="shared" si="2425"/>
        <v>13646.79</v>
      </c>
      <c r="BB454" s="94">
        <f t="shared" si="2426"/>
        <v>13646.79</v>
      </c>
    </row>
    <row r="455" spans="1:54" x14ac:dyDescent="0.25">
      <c r="A455" s="80"/>
      <c r="B455" s="95" t="s">
        <v>2417</v>
      </c>
      <c r="C455" s="201" t="s">
        <v>781</v>
      </c>
      <c r="D455" s="80" t="s">
        <v>783</v>
      </c>
      <c r="E455" s="94" t="str">
        <f>IFERROR(VLOOKUP(A455,Estimate!A:Q,17,FALSE)," ")</f>
        <v xml:space="preserve"> </v>
      </c>
      <c r="F455" s="202" t="s">
        <v>781</v>
      </c>
      <c r="G455" s="202" t="s">
        <v>781</v>
      </c>
      <c r="H455" s="203" t="s">
        <v>781</v>
      </c>
      <c r="I455" s="203" t="s">
        <v>781</v>
      </c>
      <c r="J455" s="203" t="s">
        <v>781</v>
      </c>
      <c r="K455" s="203"/>
      <c r="L455" s="202" t="s">
        <v>781</v>
      </c>
      <c r="M455" s="204" t="str">
        <f t="shared" si="2408"/>
        <v xml:space="preserve"> </v>
      </c>
      <c r="N455" s="95" t="s">
        <v>781</v>
      </c>
      <c r="O455" s="204" t="str">
        <f t="shared" si="2408"/>
        <v xml:space="preserve"> </v>
      </c>
      <c r="P455" s="95" t="s">
        <v>781</v>
      </c>
      <c r="Q455" s="204" t="str">
        <f t="shared" ref="Q455:S455" si="2794">IFERROR(P455/$G455," ")</f>
        <v xml:space="preserve"> </v>
      </c>
      <c r="R455" s="95" t="s">
        <v>781</v>
      </c>
      <c r="S455" s="204" t="str">
        <f t="shared" si="2794"/>
        <v xml:space="preserve"> </v>
      </c>
      <c r="T455" s="95" t="s">
        <v>781</v>
      </c>
      <c r="U455" s="204" t="str">
        <f t="shared" ref="U455:W455" si="2795">IFERROR(T455/$G455," ")</f>
        <v xml:space="preserve"> </v>
      </c>
      <c r="V455" s="95" t="s">
        <v>781</v>
      </c>
      <c r="W455" s="204" t="str">
        <f t="shared" si="2795"/>
        <v xml:space="preserve"> </v>
      </c>
      <c r="X455" s="95" t="s">
        <v>781</v>
      </c>
      <c r="Y455" s="204" t="str">
        <f t="shared" ref="Y455:AA455" si="2796">IFERROR(X455/$G455," ")</f>
        <v xml:space="preserve"> </v>
      </c>
      <c r="Z455" s="95" t="s">
        <v>781</v>
      </c>
      <c r="AA455" s="204" t="str">
        <f t="shared" si="2796"/>
        <v xml:space="preserve"> </v>
      </c>
      <c r="AB455" s="95" t="s">
        <v>781</v>
      </c>
      <c r="AC455" s="204" t="str">
        <f t="shared" ref="AC455:AE455" si="2797">IFERROR(AB455/$G455," ")</f>
        <v xml:space="preserve"> </v>
      </c>
      <c r="AD455" s="95" t="s">
        <v>781</v>
      </c>
      <c r="AE455" s="204" t="str">
        <f t="shared" si="2797"/>
        <v xml:space="preserve"> </v>
      </c>
      <c r="AF455" s="95" t="s">
        <v>781</v>
      </c>
      <c r="AG455" s="204" t="str">
        <f t="shared" ref="AG455:AI455" si="2798">IFERROR(AF455/$G455," ")</f>
        <v xml:space="preserve"> </v>
      </c>
      <c r="AH455" s="95" t="s">
        <v>781</v>
      </c>
      <c r="AI455" s="204" t="str">
        <f t="shared" si="2798"/>
        <v xml:space="preserve"> </v>
      </c>
      <c r="AJ455" s="95" t="s">
        <v>781</v>
      </c>
      <c r="AK455" s="204" t="str">
        <f t="shared" ref="AK455:AM455" si="2799">IFERROR(AJ455/$G455," ")</f>
        <v xml:space="preserve"> </v>
      </c>
      <c r="AL455" s="95" t="s">
        <v>781</v>
      </c>
      <c r="AM455" s="204" t="str">
        <f t="shared" si="2799"/>
        <v xml:space="preserve"> </v>
      </c>
      <c r="AN455" s="95"/>
      <c r="AO455" s="94" t="str">
        <f t="shared" si="2415"/>
        <v xml:space="preserve"> </v>
      </c>
      <c r="AP455" s="94" t="str">
        <f t="shared" si="2405"/>
        <v xml:space="preserve"> </v>
      </c>
      <c r="AQ455" s="94" t="str">
        <f t="shared" si="2406"/>
        <v xml:space="preserve"> </v>
      </c>
      <c r="AR455" s="94" t="str">
        <f t="shared" si="2619"/>
        <v xml:space="preserve"> </v>
      </c>
      <c r="AS455" s="94" t="str">
        <f t="shared" si="2417"/>
        <v xml:space="preserve"> </v>
      </c>
      <c r="AT455" s="94" t="str">
        <f t="shared" si="2418"/>
        <v xml:space="preserve"> </v>
      </c>
      <c r="AU455" s="94" t="str">
        <f t="shared" si="2419"/>
        <v xml:space="preserve"> </v>
      </c>
      <c r="AV455" s="94" t="str">
        <f t="shared" si="2420"/>
        <v xml:space="preserve"> </v>
      </c>
      <c r="AW455" s="94" t="str">
        <f t="shared" si="2421"/>
        <v xml:space="preserve"> </v>
      </c>
      <c r="AX455" s="94" t="str">
        <f t="shared" si="2422"/>
        <v xml:space="preserve"> </v>
      </c>
      <c r="AY455" s="94" t="str">
        <f t="shared" si="2423"/>
        <v xml:space="preserve"> </v>
      </c>
      <c r="AZ455" s="94" t="str">
        <f t="shared" si="2424"/>
        <v xml:space="preserve"> </v>
      </c>
      <c r="BA455" s="94" t="str">
        <f t="shared" si="2425"/>
        <v xml:space="preserve"> </v>
      </c>
      <c r="BB455" s="94" t="str">
        <f t="shared" si="2426"/>
        <v xml:space="preserve"> </v>
      </c>
    </row>
    <row r="456" spans="1:54" x14ac:dyDescent="0.25">
      <c r="A456" s="80"/>
      <c r="B456" s="95" t="s">
        <v>2843</v>
      </c>
      <c r="C456" s="201" t="s">
        <v>59</v>
      </c>
      <c r="D456" s="80" t="s">
        <v>783</v>
      </c>
      <c r="E456" s="94" t="str">
        <f>IFERROR(VLOOKUP(A456,Estimate!A:Q,17,FALSE)," ")</f>
        <v xml:space="preserve"> </v>
      </c>
      <c r="F456" s="202" t="s">
        <v>781</v>
      </c>
      <c r="G456" s="202" t="s">
        <v>781</v>
      </c>
      <c r="H456" s="203" t="s">
        <v>781</v>
      </c>
      <c r="I456" s="203" t="s">
        <v>781</v>
      </c>
      <c r="J456" s="203" t="s">
        <v>781</v>
      </c>
      <c r="K456" s="203"/>
      <c r="L456" s="202" t="s">
        <v>781</v>
      </c>
      <c r="M456" s="204" t="str">
        <f t="shared" si="2408"/>
        <v xml:space="preserve"> </v>
      </c>
      <c r="N456" s="95" t="s">
        <v>781</v>
      </c>
      <c r="O456" s="204" t="str">
        <f t="shared" si="2408"/>
        <v xml:space="preserve"> </v>
      </c>
      <c r="P456" s="95" t="s">
        <v>781</v>
      </c>
      <c r="Q456" s="204" t="str">
        <f t="shared" ref="Q456:S456" si="2800">IFERROR(P456/$G456," ")</f>
        <v xml:space="preserve"> </v>
      </c>
      <c r="R456" s="95" t="s">
        <v>781</v>
      </c>
      <c r="S456" s="204" t="str">
        <f t="shared" si="2800"/>
        <v xml:space="preserve"> </v>
      </c>
      <c r="T456" s="95" t="s">
        <v>781</v>
      </c>
      <c r="U456" s="204" t="str">
        <f t="shared" ref="U456:W456" si="2801">IFERROR(T456/$G456," ")</f>
        <v xml:space="preserve"> </v>
      </c>
      <c r="V456" s="95" t="s">
        <v>781</v>
      </c>
      <c r="W456" s="204" t="str">
        <f t="shared" si="2801"/>
        <v xml:space="preserve"> </v>
      </c>
      <c r="X456" s="95" t="s">
        <v>781</v>
      </c>
      <c r="Y456" s="204" t="str">
        <f t="shared" ref="Y456:AA456" si="2802">IFERROR(X456/$G456," ")</f>
        <v xml:space="preserve"> </v>
      </c>
      <c r="Z456" s="95" t="s">
        <v>781</v>
      </c>
      <c r="AA456" s="204" t="str">
        <f t="shared" si="2802"/>
        <v xml:space="preserve"> </v>
      </c>
      <c r="AB456" s="95" t="s">
        <v>781</v>
      </c>
      <c r="AC456" s="204" t="str">
        <f t="shared" ref="AC456:AE456" si="2803">IFERROR(AB456/$G456," ")</f>
        <v xml:space="preserve"> </v>
      </c>
      <c r="AD456" s="95" t="s">
        <v>781</v>
      </c>
      <c r="AE456" s="204" t="str">
        <f t="shared" si="2803"/>
        <v xml:space="preserve"> </v>
      </c>
      <c r="AF456" s="95" t="s">
        <v>781</v>
      </c>
      <c r="AG456" s="204" t="str">
        <f t="shared" ref="AG456:AI456" si="2804">IFERROR(AF456/$G456," ")</f>
        <v xml:space="preserve"> </v>
      </c>
      <c r="AH456" s="95" t="s">
        <v>781</v>
      </c>
      <c r="AI456" s="204" t="str">
        <f t="shared" si="2804"/>
        <v xml:space="preserve"> </v>
      </c>
      <c r="AJ456" s="95" t="s">
        <v>781</v>
      </c>
      <c r="AK456" s="204" t="str">
        <f t="shared" ref="AK456:AM456" si="2805">IFERROR(AJ456/$G456," ")</f>
        <v xml:space="preserve"> </v>
      </c>
      <c r="AL456" s="95" t="s">
        <v>781</v>
      </c>
      <c r="AM456" s="204" t="str">
        <f t="shared" si="2805"/>
        <v xml:space="preserve"> </v>
      </c>
      <c r="AN456" s="95"/>
      <c r="AO456" s="94" t="str">
        <f t="shared" si="2415"/>
        <v xml:space="preserve"> </v>
      </c>
      <c r="AP456" s="94" t="str">
        <f t="shared" ref="AP456:AP519" si="2806">IFERROR(O456*$J456," ")</f>
        <v xml:space="preserve"> </v>
      </c>
      <c r="AQ456" s="94" t="str">
        <f t="shared" ref="AQ456:AQ519" si="2807">IFERROR(Q456*$J456," ")</f>
        <v xml:space="preserve"> </v>
      </c>
      <c r="AR456" s="94" t="str">
        <f t="shared" ref="AR456" si="2808">IFERROR(S456*$J456," ")</f>
        <v xml:space="preserve"> </v>
      </c>
      <c r="AS456" s="94" t="str">
        <f t="shared" si="2417"/>
        <v xml:space="preserve"> </v>
      </c>
      <c r="AT456" s="94" t="str">
        <f t="shared" si="2418"/>
        <v xml:space="preserve"> </v>
      </c>
      <c r="AU456" s="94" t="str">
        <f t="shared" si="2419"/>
        <v xml:space="preserve"> </v>
      </c>
      <c r="AV456" s="94" t="str">
        <f t="shared" si="2420"/>
        <v xml:space="preserve"> </v>
      </c>
      <c r="AW456" s="94" t="str">
        <f t="shared" si="2421"/>
        <v xml:space="preserve"> </v>
      </c>
      <c r="AX456" s="94" t="str">
        <f t="shared" si="2422"/>
        <v xml:space="preserve"> </v>
      </c>
      <c r="AY456" s="94" t="str">
        <f t="shared" si="2423"/>
        <v xml:space="preserve"> </v>
      </c>
      <c r="AZ456" s="94" t="str">
        <f t="shared" si="2424"/>
        <v xml:space="preserve"> </v>
      </c>
      <c r="BA456" s="94" t="str">
        <f t="shared" si="2425"/>
        <v xml:space="preserve"> </v>
      </c>
      <c r="BB456" s="94" t="str">
        <f t="shared" si="2426"/>
        <v xml:space="preserve"> </v>
      </c>
    </row>
    <row r="457" spans="1:54" ht="30" x14ac:dyDescent="0.25">
      <c r="A457" s="80">
        <v>180</v>
      </c>
      <c r="B457" s="95" t="s">
        <v>2931</v>
      </c>
      <c r="C457" s="201" t="s">
        <v>628</v>
      </c>
      <c r="D457" s="80" t="s">
        <v>62</v>
      </c>
      <c r="E457" s="94">
        <f>IFERROR(VLOOKUP(A457,Estimate!A:Q,17,FALSE)," ")</f>
        <v>2613.5613561356136</v>
      </c>
      <c r="F457" s="202">
        <v>155</v>
      </c>
      <c r="G457" s="202">
        <v>155</v>
      </c>
      <c r="H457" s="203">
        <v>21.18</v>
      </c>
      <c r="I457" s="203">
        <v>3282.9</v>
      </c>
      <c r="J457" s="203">
        <v>3282.9</v>
      </c>
      <c r="K457" s="203"/>
      <c r="L457" s="202"/>
      <c r="M457" s="204">
        <f t="shared" ref="M457:O520" si="2809">IFERROR(L457/$G457," ")</f>
        <v>0</v>
      </c>
      <c r="N457" s="95">
        <v>38</v>
      </c>
      <c r="O457" s="204">
        <f t="shared" si="2809"/>
        <v>0.24516129032258063</v>
      </c>
      <c r="P457" s="95">
        <v>38</v>
      </c>
      <c r="Q457" s="204">
        <f t="shared" ref="Q457:S457" si="2810">IFERROR(P457/$G457," ")</f>
        <v>0.24516129032258063</v>
      </c>
      <c r="R457" s="95">
        <v>138</v>
      </c>
      <c r="S457" s="204">
        <f t="shared" si="2810"/>
        <v>0.89032258064516134</v>
      </c>
      <c r="T457" s="95">
        <v>155</v>
      </c>
      <c r="U457" s="204">
        <f t="shared" ref="U457:W457" si="2811">IFERROR(T457/$G457," ")</f>
        <v>1</v>
      </c>
      <c r="V457" s="95">
        <v>155</v>
      </c>
      <c r="W457" s="204">
        <f t="shared" si="2811"/>
        <v>1</v>
      </c>
      <c r="X457" s="95">
        <v>155</v>
      </c>
      <c r="Y457" s="204">
        <f t="shared" ref="Y457:AA457" si="2812">IFERROR(X457/$G457," ")</f>
        <v>1</v>
      </c>
      <c r="Z457" s="95">
        <v>155</v>
      </c>
      <c r="AA457" s="204">
        <f t="shared" si="2812"/>
        <v>1</v>
      </c>
      <c r="AB457" s="95">
        <v>155</v>
      </c>
      <c r="AC457" s="204">
        <f t="shared" ref="AC457:AE457" si="2813">IFERROR(AB457/$G457," ")</f>
        <v>1</v>
      </c>
      <c r="AD457" s="95">
        <v>155</v>
      </c>
      <c r="AE457" s="204">
        <f t="shared" si="2813"/>
        <v>1</v>
      </c>
      <c r="AF457" s="95">
        <v>155</v>
      </c>
      <c r="AG457" s="204">
        <f t="shared" ref="AG457:AI457" si="2814">IFERROR(AF457/$G457," ")</f>
        <v>1</v>
      </c>
      <c r="AH457" s="95">
        <v>155</v>
      </c>
      <c r="AI457" s="204">
        <f t="shared" si="2814"/>
        <v>1</v>
      </c>
      <c r="AJ457" s="95">
        <v>155</v>
      </c>
      <c r="AK457" s="204">
        <f t="shared" ref="AK457:AM457" si="2815">IFERROR(AJ457/$G457," ")</f>
        <v>1</v>
      </c>
      <c r="AL457" s="95">
        <v>155</v>
      </c>
      <c r="AM457" s="204">
        <f t="shared" si="2815"/>
        <v>1</v>
      </c>
      <c r="AN457" s="95"/>
      <c r="AO457" s="94">
        <f t="shared" ref="AO457:AO520" si="2816">IFERROR(M457*$J457," ")</f>
        <v>0</v>
      </c>
      <c r="AP457" s="94">
        <f t="shared" si="2806"/>
        <v>804.84</v>
      </c>
      <c r="AQ457" s="94">
        <f t="shared" si="2807"/>
        <v>804.84</v>
      </c>
      <c r="AR457" s="94">
        <f t="shared" ref="AR457:AR488" si="2817">IFERROR(S457*$J457," ")</f>
        <v>2922.84</v>
      </c>
      <c r="AS457" s="94">
        <f t="shared" ref="AS457:AS520" si="2818">IFERROR(U457*$J457," ")</f>
        <v>3282.9</v>
      </c>
      <c r="AT457" s="94">
        <f t="shared" ref="AT457:AT520" si="2819">IFERROR(W457*$J457," ")</f>
        <v>3282.9</v>
      </c>
      <c r="AU457" s="94">
        <f t="shared" ref="AU457:AU520" si="2820">IFERROR(Y457*$J457," ")</f>
        <v>3282.9</v>
      </c>
      <c r="AV457" s="94">
        <f t="shared" ref="AV457:AV520" si="2821">IFERROR(AA457*$J457," ")</f>
        <v>3282.9</v>
      </c>
      <c r="AW457" s="94">
        <f t="shared" ref="AW457:AW520" si="2822">IFERROR(AC457*$J457," ")</f>
        <v>3282.9</v>
      </c>
      <c r="AX457" s="94">
        <f t="shared" ref="AX457:AX520" si="2823">IFERROR(AE457*$J457," ")</f>
        <v>3282.9</v>
      </c>
      <c r="AY457" s="94">
        <f t="shared" ref="AY457:AY520" si="2824">IFERROR(AG457*$J457," ")</f>
        <v>3282.9</v>
      </c>
      <c r="AZ457" s="94">
        <f t="shared" ref="AZ457:AZ520" si="2825">IFERROR(AI457*$J457," ")</f>
        <v>3282.9</v>
      </c>
      <c r="BA457" s="94">
        <f t="shared" ref="BA457:BA520" si="2826">IFERROR(AK457*$J457," ")</f>
        <v>3282.9</v>
      </c>
      <c r="BB457" s="94">
        <f t="shared" ref="BB457:BB520" si="2827">IFERROR(AM457*$J457," ")</f>
        <v>3282.9</v>
      </c>
    </row>
    <row r="458" spans="1:54" x14ac:dyDescent="0.25">
      <c r="A458" s="80">
        <v>181</v>
      </c>
      <c r="B458" s="95" t="s">
        <v>2844</v>
      </c>
      <c r="C458" s="201" t="s">
        <v>61</v>
      </c>
      <c r="D458" s="80" t="s">
        <v>62</v>
      </c>
      <c r="E458" s="94">
        <f>IFERROR(VLOOKUP(A458,Estimate!A:Q,17,FALSE)," ")</f>
        <v>15596.637107776265</v>
      </c>
      <c r="F458" s="202">
        <v>775</v>
      </c>
      <c r="G458" s="202">
        <v>775</v>
      </c>
      <c r="H458" s="203">
        <v>25.28</v>
      </c>
      <c r="I458" s="203">
        <v>19592</v>
      </c>
      <c r="J458" s="203">
        <v>19592</v>
      </c>
      <c r="K458" s="203"/>
      <c r="L458" s="202">
        <v>324</v>
      </c>
      <c r="M458" s="204">
        <f t="shared" si="2809"/>
        <v>0.41806451612903228</v>
      </c>
      <c r="N458" s="95">
        <v>324</v>
      </c>
      <c r="O458" s="204">
        <f t="shared" si="2809"/>
        <v>0.41806451612903228</v>
      </c>
      <c r="P458" s="95">
        <v>324</v>
      </c>
      <c r="Q458" s="204">
        <f t="shared" ref="Q458:S458" si="2828">IFERROR(P458/$G458," ")</f>
        <v>0.41806451612903228</v>
      </c>
      <c r="R458" s="95">
        <v>724</v>
      </c>
      <c r="S458" s="204">
        <f t="shared" si="2828"/>
        <v>0.93419354838709678</v>
      </c>
      <c r="T458" s="95">
        <v>775</v>
      </c>
      <c r="U458" s="204">
        <f t="shared" ref="U458:W458" si="2829">IFERROR(T458/$G458," ")</f>
        <v>1</v>
      </c>
      <c r="V458" s="95">
        <v>775</v>
      </c>
      <c r="W458" s="204">
        <f t="shared" si="2829"/>
        <v>1</v>
      </c>
      <c r="X458" s="95">
        <v>775</v>
      </c>
      <c r="Y458" s="204">
        <f t="shared" ref="Y458:AA458" si="2830">IFERROR(X458/$G458," ")</f>
        <v>1</v>
      </c>
      <c r="Z458" s="95">
        <v>775</v>
      </c>
      <c r="AA458" s="204">
        <f t="shared" si="2830"/>
        <v>1</v>
      </c>
      <c r="AB458" s="95">
        <v>775</v>
      </c>
      <c r="AC458" s="204">
        <f t="shared" ref="AC458:AE458" si="2831">IFERROR(AB458/$G458," ")</f>
        <v>1</v>
      </c>
      <c r="AD458" s="95">
        <v>775</v>
      </c>
      <c r="AE458" s="204">
        <f t="shared" si="2831"/>
        <v>1</v>
      </c>
      <c r="AF458" s="95">
        <v>775</v>
      </c>
      <c r="AG458" s="204">
        <f t="shared" ref="AG458:AI458" si="2832">IFERROR(AF458/$G458," ")</f>
        <v>1</v>
      </c>
      <c r="AH458" s="95">
        <v>775</v>
      </c>
      <c r="AI458" s="204">
        <f t="shared" si="2832"/>
        <v>1</v>
      </c>
      <c r="AJ458" s="95">
        <v>775</v>
      </c>
      <c r="AK458" s="204">
        <f t="shared" ref="AK458:AM458" si="2833">IFERROR(AJ458/$G458," ")</f>
        <v>1</v>
      </c>
      <c r="AL458" s="95">
        <v>775</v>
      </c>
      <c r="AM458" s="204">
        <f t="shared" si="2833"/>
        <v>1</v>
      </c>
      <c r="AN458" s="95"/>
      <c r="AO458" s="94">
        <f t="shared" si="2816"/>
        <v>8190.72</v>
      </c>
      <c r="AP458" s="94">
        <f t="shared" si="2806"/>
        <v>8190.72</v>
      </c>
      <c r="AQ458" s="94">
        <f t="shared" si="2807"/>
        <v>8190.72</v>
      </c>
      <c r="AR458" s="94">
        <f t="shared" si="2817"/>
        <v>18302.72</v>
      </c>
      <c r="AS458" s="94">
        <f t="shared" si="2818"/>
        <v>19592</v>
      </c>
      <c r="AT458" s="94">
        <f t="shared" si="2819"/>
        <v>19592</v>
      </c>
      <c r="AU458" s="94">
        <f t="shared" si="2820"/>
        <v>19592</v>
      </c>
      <c r="AV458" s="94">
        <f t="shared" si="2821"/>
        <v>19592</v>
      </c>
      <c r="AW458" s="94">
        <f t="shared" si="2822"/>
        <v>19592</v>
      </c>
      <c r="AX458" s="94">
        <f t="shared" si="2823"/>
        <v>19592</v>
      </c>
      <c r="AY458" s="94">
        <f t="shared" si="2824"/>
        <v>19592</v>
      </c>
      <c r="AZ458" s="94">
        <f t="shared" si="2825"/>
        <v>19592</v>
      </c>
      <c r="BA458" s="94">
        <f t="shared" si="2826"/>
        <v>19592</v>
      </c>
      <c r="BB458" s="94">
        <f t="shared" si="2827"/>
        <v>19592</v>
      </c>
    </row>
    <row r="459" spans="1:54" x14ac:dyDescent="0.25">
      <c r="A459" s="80">
        <v>182</v>
      </c>
      <c r="B459" s="95" t="s">
        <v>2885</v>
      </c>
      <c r="C459" s="201" t="s">
        <v>258</v>
      </c>
      <c r="D459" s="80" t="s">
        <v>62</v>
      </c>
      <c r="E459" s="94">
        <f>IFERROR(VLOOKUP(A459,Estimate!A:Q,17,FALSE)," ")</f>
        <v>757.35</v>
      </c>
      <c r="F459" s="202">
        <v>27</v>
      </c>
      <c r="G459" s="202">
        <v>27</v>
      </c>
      <c r="H459" s="203">
        <v>35.24</v>
      </c>
      <c r="I459" s="203">
        <v>951.48</v>
      </c>
      <c r="J459" s="203">
        <v>951.48</v>
      </c>
      <c r="K459" s="203"/>
      <c r="L459" s="202"/>
      <c r="M459" s="204">
        <f t="shared" si="2809"/>
        <v>0</v>
      </c>
      <c r="N459" s="95"/>
      <c r="O459" s="204">
        <f t="shared" si="2809"/>
        <v>0</v>
      </c>
      <c r="P459" s="95"/>
      <c r="Q459" s="204">
        <f t="shared" ref="Q459:S459" si="2834">IFERROR(P459/$G459," ")</f>
        <v>0</v>
      </c>
      <c r="R459" s="95">
        <v>20</v>
      </c>
      <c r="S459" s="204">
        <f t="shared" si="2834"/>
        <v>0.7407407407407407</v>
      </c>
      <c r="T459" s="95">
        <v>27</v>
      </c>
      <c r="U459" s="204">
        <f t="shared" ref="U459:W459" si="2835">IFERROR(T459/$G459," ")</f>
        <v>1</v>
      </c>
      <c r="V459" s="95">
        <v>27</v>
      </c>
      <c r="W459" s="204">
        <f t="shared" si="2835"/>
        <v>1</v>
      </c>
      <c r="X459" s="95">
        <v>27</v>
      </c>
      <c r="Y459" s="204">
        <f t="shared" ref="Y459:AA459" si="2836">IFERROR(X459/$G459," ")</f>
        <v>1</v>
      </c>
      <c r="Z459" s="95">
        <v>27</v>
      </c>
      <c r="AA459" s="204">
        <f t="shared" si="2836"/>
        <v>1</v>
      </c>
      <c r="AB459" s="95">
        <v>27</v>
      </c>
      <c r="AC459" s="204">
        <f t="shared" ref="AC459:AE459" si="2837">IFERROR(AB459/$G459," ")</f>
        <v>1</v>
      </c>
      <c r="AD459" s="95">
        <v>27</v>
      </c>
      <c r="AE459" s="204">
        <f t="shared" si="2837"/>
        <v>1</v>
      </c>
      <c r="AF459" s="95">
        <v>27</v>
      </c>
      <c r="AG459" s="204">
        <f t="shared" ref="AG459:AI459" si="2838">IFERROR(AF459/$G459," ")</f>
        <v>1</v>
      </c>
      <c r="AH459" s="95">
        <v>27</v>
      </c>
      <c r="AI459" s="204">
        <f t="shared" si="2838"/>
        <v>1</v>
      </c>
      <c r="AJ459" s="95">
        <v>27</v>
      </c>
      <c r="AK459" s="204">
        <f t="shared" ref="AK459:AM459" si="2839">IFERROR(AJ459/$G459," ")</f>
        <v>1</v>
      </c>
      <c r="AL459" s="95">
        <v>27</v>
      </c>
      <c r="AM459" s="204">
        <f t="shared" si="2839"/>
        <v>1</v>
      </c>
      <c r="AN459" s="95"/>
      <c r="AO459" s="94">
        <f t="shared" si="2816"/>
        <v>0</v>
      </c>
      <c r="AP459" s="94">
        <f t="shared" si="2806"/>
        <v>0</v>
      </c>
      <c r="AQ459" s="94">
        <f t="shared" si="2807"/>
        <v>0</v>
      </c>
      <c r="AR459" s="94">
        <f t="shared" si="2817"/>
        <v>704.8</v>
      </c>
      <c r="AS459" s="94">
        <f t="shared" si="2818"/>
        <v>951.48</v>
      </c>
      <c r="AT459" s="94">
        <f t="shared" si="2819"/>
        <v>951.48</v>
      </c>
      <c r="AU459" s="94">
        <f t="shared" si="2820"/>
        <v>951.48</v>
      </c>
      <c r="AV459" s="94">
        <f t="shared" si="2821"/>
        <v>951.48</v>
      </c>
      <c r="AW459" s="94">
        <f t="shared" si="2822"/>
        <v>951.48</v>
      </c>
      <c r="AX459" s="94">
        <f t="shared" si="2823"/>
        <v>951.48</v>
      </c>
      <c r="AY459" s="94">
        <f t="shared" si="2824"/>
        <v>951.48</v>
      </c>
      <c r="AZ459" s="94">
        <f t="shared" si="2825"/>
        <v>951.48</v>
      </c>
      <c r="BA459" s="94">
        <f t="shared" si="2826"/>
        <v>951.48</v>
      </c>
      <c r="BB459" s="94">
        <f t="shared" si="2827"/>
        <v>951.48</v>
      </c>
    </row>
    <row r="460" spans="1:54" ht="30" x14ac:dyDescent="0.25">
      <c r="A460" s="80">
        <v>183</v>
      </c>
      <c r="B460" s="95" t="s">
        <v>2845</v>
      </c>
      <c r="C460" s="201" t="s">
        <v>167</v>
      </c>
      <c r="D460" s="80" t="s">
        <v>62</v>
      </c>
      <c r="E460" s="94">
        <f>IFERROR(VLOOKUP(A460,Estimate!A:Q,17,FALSE)," ")</f>
        <v>1310.6666666666667</v>
      </c>
      <c r="F460" s="202">
        <v>20</v>
      </c>
      <c r="G460" s="202">
        <v>20</v>
      </c>
      <c r="H460" s="203">
        <v>65.53</v>
      </c>
      <c r="I460" s="203">
        <v>1310.5999999999999</v>
      </c>
      <c r="J460" s="203">
        <v>1310.5999999999999</v>
      </c>
      <c r="K460" s="203"/>
      <c r="L460" s="202"/>
      <c r="M460" s="204">
        <f t="shared" si="2809"/>
        <v>0</v>
      </c>
      <c r="N460" s="95"/>
      <c r="O460" s="204">
        <f t="shared" si="2809"/>
        <v>0</v>
      </c>
      <c r="P460" s="95"/>
      <c r="Q460" s="204">
        <f t="shared" ref="Q460:S460" si="2840">IFERROR(P460/$G460," ")</f>
        <v>0</v>
      </c>
      <c r="R460" s="95"/>
      <c r="S460" s="204">
        <f t="shared" si="2840"/>
        <v>0</v>
      </c>
      <c r="T460" s="95">
        <v>20</v>
      </c>
      <c r="U460" s="204">
        <f t="shared" ref="U460:W460" si="2841">IFERROR(T460/$G460," ")</f>
        <v>1</v>
      </c>
      <c r="V460" s="95">
        <v>20</v>
      </c>
      <c r="W460" s="204">
        <f t="shared" si="2841"/>
        <v>1</v>
      </c>
      <c r="X460" s="95">
        <v>20</v>
      </c>
      <c r="Y460" s="204">
        <f t="shared" ref="Y460:AA460" si="2842">IFERROR(X460/$G460," ")</f>
        <v>1</v>
      </c>
      <c r="Z460" s="95">
        <v>20</v>
      </c>
      <c r="AA460" s="204">
        <f t="shared" si="2842"/>
        <v>1</v>
      </c>
      <c r="AB460" s="95">
        <v>20</v>
      </c>
      <c r="AC460" s="204">
        <f t="shared" ref="AC460:AE460" si="2843">IFERROR(AB460/$G460," ")</f>
        <v>1</v>
      </c>
      <c r="AD460" s="95">
        <v>20</v>
      </c>
      <c r="AE460" s="204">
        <f t="shared" si="2843"/>
        <v>1</v>
      </c>
      <c r="AF460" s="95">
        <v>20</v>
      </c>
      <c r="AG460" s="204">
        <f t="shared" ref="AG460:AI460" si="2844">IFERROR(AF460/$G460," ")</f>
        <v>1</v>
      </c>
      <c r="AH460" s="95">
        <v>20</v>
      </c>
      <c r="AI460" s="204">
        <f t="shared" si="2844"/>
        <v>1</v>
      </c>
      <c r="AJ460" s="95">
        <v>20</v>
      </c>
      <c r="AK460" s="204">
        <f t="shared" ref="AK460:AM460" si="2845">IFERROR(AJ460/$G460," ")</f>
        <v>1</v>
      </c>
      <c r="AL460" s="95">
        <v>20</v>
      </c>
      <c r="AM460" s="204">
        <f t="shared" si="2845"/>
        <v>1</v>
      </c>
      <c r="AN460" s="95"/>
      <c r="AO460" s="94">
        <f t="shared" si="2816"/>
        <v>0</v>
      </c>
      <c r="AP460" s="94">
        <f t="shared" si="2806"/>
        <v>0</v>
      </c>
      <c r="AQ460" s="94">
        <f t="shared" si="2807"/>
        <v>0</v>
      </c>
      <c r="AR460" s="94">
        <f t="shared" si="2817"/>
        <v>0</v>
      </c>
      <c r="AS460" s="94">
        <f t="shared" si="2818"/>
        <v>1310.5999999999999</v>
      </c>
      <c r="AT460" s="94">
        <f t="shared" si="2819"/>
        <v>1310.5999999999999</v>
      </c>
      <c r="AU460" s="94">
        <f t="shared" si="2820"/>
        <v>1310.5999999999999</v>
      </c>
      <c r="AV460" s="94">
        <f t="shared" si="2821"/>
        <v>1310.5999999999999</v>
      </c>
      <c r="AW460" s="94">
        <f t="shared" si="2822"/>
        <v>1310.5999999999999</v>
      </c>
      <c r="AX460" s="94">
        <f t="shared" si="2823"/>
        <v>1310.5999999999999</v>
      </c>
      <c r="AY460" s="94">
        <f t="shared" si="2824"/>
        <v>1310.5999999999999</v>
      </c>
      <c r="AZ460" s="94">
        <f t="shared" si="2825"/>
        <v>1310.5999999999999</v>
      </c>
      <c r="BA460" s="94">
        <f t="shared" si="2826"/>
        <v>1310.5999999999999</v>
      </c>
      <c r="BB460" s="94">
        <f t="shared" si="2827"/>
        <v>1310.5999999999999</v>
      </c>
    </row>
    <row r="461" spans="1:54" x14ac:dyDescent="0.25">
      <c r="A461" s="80"/>
      <c r="B461" s="95" t="s">
        <v>2417</v>
      </c>
      <c r="C461" s="201" t="s">
        <v>2837</v>
      </c>
      <c r="D461" s="80" t="s">
        <v>783</v>
      </c>
      <c r="E461" s="94" t="str">
        <f>IFERROR(VLOOKUP(A461,Estimate!A:Q,17,FALSE)," ")</f>
        <v xml:space="preserve"> </v>
      </c>
      <c r="F461" s="202" t="s">
        <v>781</v>
      </c>
      <c r="G461" s="202" t="s">
        <v>781</v>
      </c>
      <c r="H461" s="203" t="s">
        <v>781</v>
      </c>
      <c r="I461" s="203" t="s">
        <v>781</v>
      </c>
      <c r="J461" s="203" t="s">
        <v>781</v>
      </c>
      <c r="K461" s="203"/>
      <c r="L461" s="202" t="s">
        <v>781</v>
      </c>
      <c r="M461" s="204" t="str">
        <f t="shared" si="2809"/>
        <v xml:space="preserve"> </v>
      </c>
      <c r="N461" s="95" t="s">
        <v>781</v>
      </c>
      <c r="O461" s="204" t="str">
        <f t="shared" si="2809"/>
        <v xml:space="preserve"> </v>
      </c>
      <c r="P461" s="95" t="s">
        <v>781</v>
      </c>
      <c r="Q461" s="204" t="str">
        <f t="shared" ref="Q461:S461" si="2846">IFERROR(P461/$G461," ")</f>
        <v xml:space="preserve"> </v>
      </c>
      <c r="R461" s="95" t="s">
        <v>781</v>
      </c>
      <c r="S461" s="204" t="str">
        <f t="shared" si="2846"/>
        <v xml:space="preserve"> </v>
      </c>
      <c r="T461" s="95" t="s">
        <v>781</v>
      </c>
      <c r="U461" s="204" t="str">
        <f t="shared" ref="U461:W461" si="2847">IFERROR(T461/$G461," ")</f>
        <v xml:space="preserve"> </v>
      </c>
      <c r="V461" s="95" t="s">
        <v>781</v>
      </c>
      <c r="W461" s="204" t="str">
        <f t="shared" si="2847"/>
        <v xml:space="preserve"> </v>
      </c>
      <c r="X461" s="95" t="s">
        <v>781</v>
      </c>
      <c r="Y461" s="204" t="str">
        <f t="shared" ref="Y461:AA461" si="2848">IFERROR(X461/$G461," ")</f>
        <v xml:space="preserve"> </v>
      </c>
      <c r="Z461" s="95" t="s">
        <v>781</v>
      </c>
      <c r="AA461" s="204" t="str">
        <f t="shared" si="2848"/>
        <v xml:space="preserve"> </v>
      </c>
      <c r="AB461" s="95" t="s">
        <v>781</v>
      </c>
      <c r="AC461" s="204" t="str">
        <f t="shared" ref="AC461:AE461" si="2849">IFERROR(AB461/$G461," ")</f>
        <v xml:space="preserve"> </v>
      </c>
      <c r="AD461" s="95" t="s">
        <v>781</v>
      </c>
      <c r="AE461" s="204" t="str">
        <f t="shared" si="2849"/>
        <v xml:space="preserve"> </v>
      </c>
      <c r="AF461" s="95" t="s">
        <v>781</v>
      </c>
      <c r="AG461" s="204" t="str">
        <f t="shared" ref="AG461:AI461" si="2850">IFERROR(AF461/$G461," ")</f>
        <v xml:space="preserve"> </v>
      </c>
      <c r="AH461" s="95" t="s">
        <v>781</v>
      </c>
      <c r="AI461" s="204" t="str">
        <f t="shared" si="2850"/>
        <v xml:space="preserve"> </v>
      </c>
      <c r="AJ461" s="95" t="s">
        <v>781</v>
      </c>
      <c r="AK461" s="204" t="str">
        <f t="shared" ref="AK461:AM461" si="2851">IFERROR(AJ461/$G461," ")</f>
        <v xml:space="preserve"> </v>
      </c>
      <c r="AL461" s="95" t="s">
        <v>781</v>
      </c>
      <c r="AM461" s="204" t="str">
        <f t="shared" si="2851"/>
        <v xml:space="preserve"> </v>
      </c>
      <c r="AN461" s="95"/>
      <c r="AO461" s="94" t="str">
        <f t="shared" si="2816"/>
        <v xml:space="preserve"> </v>
      </c>
      <c r="AP461" s="94" t="str">
        <f t="shared" si="2806"/>
        <v xml:space="preserve"> </v>
      </c>
      <c r="AQ461" s="94" t="str">
        <f t="shared" si="2807"/>
        <v xml:space="preserve"> </v>
      </c>
      <c r="AR461" s="94" t="str">
        <f t="shared" si="2817"/>
        <v xml:space="preserve"> </v>
      </c>
      <c r="AS461" s="94" t="str">
        <f t="shared" si="2818"/>
        <v xml:space="preserve"> </v>
      </c>
      <c r="AT461" s="94" t="str">
        <f t="shared" si="2819"/>
        <v xml:space="preserve"> </v>
      </c>
      <c r="AU461" s="94" t="str">
        <f t="shared" si="2820"/>
        <v xml:space="preserve"> </v>
      </c>
      <c r="AV461" s="94" t="str">
        <f t="shared" si="2821"/>
        <v xml:space="preserve"> </v>
      </c>
      <c r="AW461" s="94" t="str">
        <f t="shared" si="2822"/>
        <v xml:space="preserve"> </v>
      </c>
      <c r="AX461" s="94" t="str">
        <f t="shared" si="2823"/>
        <v xml:space="preserve"> </v>
      </c>
      <c r="AY461" s="94" t="str">
        <f t="shared" si="2824"/>
        <v xml:space="preserve"> </v>
      </c>
      <c r="AZ461" s="94" t="str">
        <f t="shared" si="2825"/>
        <v xml:space="preserve"> </v>
      </c>
      <c r="BA461" s="94" t="str">
        <f t="shared" si="2826"/>
        <v xml:space="preserve"> </v>
      </c>
      <c r="BB461" s="94" t="str">
        <f t="shared" si="2827"/>
        <v xml:space="preserve"> </v>
      </c>
    </row>
    <row r="462" spans="1:54" x14ac:dyDescent="0.25">
      <c r="A462" s="80"/>
      <c r="B462" s="95" t="s">
        <v>2417</v>
      </c>
      <c r="C462" s="201" t="s">
        <v>71</v>
      </c>
      <c r="D462" s="80" t="s">
        <v>783</v>
      </c>
      <c r="E462" s="94" t="str">
        <f>IFERROR(VLOOKUP(A462,Estimate!A:Q,17,FALSE)," ")</f>
        <v xml:space="preserve"> </v>
      </c>
      <c r="F462" s="202" t="s">
        <v>781</v>
      </c>
      <c r="G462" s="202" t="s">
        <v>781</v>
      </c>
      <c r="H462" s="203" t="s">
        <v>781</v>
      </c>
      <c r="I462" s="203" t="s">
        <v>781</v>
      </c>
      <c r="J462" s="203" t="s">
        <v>781</v>
      </c>
      <c r="K462" s="203"/>
      <c r="L462" s="202" t="s">
        <v>781</v>
      </c>
      <c r="M462" s="204" t="str">
        <f t="shared" si="2809"/>
        <v xml:space="preserve"> </v>
      </c>
      <c r="N462" s="95" t="s">
        <v>781</v>
      </c>
      <c r="O462" s="204" t="str">
        <f t="shared" si="2809"/>
        <v xml:space="preserve"> </v>
      </c>
      <c r="P462" s="95" t="s">
        <v>781</v>
      </c>
      <c r="Q462" s="204" t="str">
        <f t="shared" ref="Q462:S462" si="2852">IFERROR(P462/$G462," ")</f>
        <v xml:space="preserve"> </v>
      </c>
      <c r="R462" s="95" t="s">
        <v>781</v>
      </c>
      <c r="S462" s="204" t="str">
        <f t="shared" si="2852"/>
        <v xml:space="preserve"> </v>
      </c>
      <c r="T462" s="95" t="s">
        <v>781</v>
      </c>
      <c r="U462" s="204" t="str">
        <f t="shared" ref="U462:W462" si="2853">IFERROR(T462/$G462," ")</f>
        <v xml:space="preserve"> </v>
      </c>
      <c r="V462" s="95" t="s">
        <v>781</v>
      </c>
      <c r="W462" s="204" t="str">
        <f t="shared" si="2853"/>
        <v xml:space="preserve"> </v>
      </c>
      <c r="X462" s="95" t="s">
        <v>781</v>
      </c>
      <c r="Y462" s="204" t="str">
        <f t="shared" ref="Y462:AA462" si="2854">IFERROR(X462/$G462," ")</f>
        <v xml:space="preserve"> </v>
      </c>
      <c r="Z462" s="95" t="s">
        <v>781</v>
      </c>
      <c r="AA462" s="204" t="str">
        <f t="shared" si="2854"/>
        <v xml:space="preserve"> </v>
      </c>
      <c r="AB462" s="95" t="s">
        <v>781</v>
      </c>
      <c r="AC462" s="204" t="str">
        <f t="shared" ref="AC462:AE462" si="2855">IFERROR(AB462/$G462," ")</f>
        <v xml:space="preserve"> </v>
      </c>
      <c r="AD462" s="95" t="s">
        <v>781</v>
      </c>
      <c r="AE462" s="204" t="str">
        <f t="shared" si="2855"/>
        <v xml:space="preserve"> </v>
      </c>
      <c r="AF462" s="95" t="s">
        <v>781</v>
      </c>
      <c r="AG462" s="204" t="str">
        <f t="shared" ref="AG462:AI462" si="2856">IFERROR(AF462/$G462," ")</f>
        <v xml:space="preserve"> </v>
      </c>
      <c r="AH462" s="95" t="s">
        <v>781</v>
      </c>
      <c r="AI462" s="204" t="str">
        <f t="shared" si="2856"/>
        <v xml:space="preserve"> </v>
      </c>
      <c r="AJ462" s="95" t="s">
        <v>781</v>
      </c>
      <c r="AK462" s="204" t="str">
        <f t="shared" ref="AK462:AM462" si="2857">IFERROR(AJ462/$G462," ")</f>
        <v xml:space="preserve"> </v>
      </c>
      <c r="AL462" s="95" t="s">
        <v>781</v>
      </c>
      <c r="AM462" s="204" t="str">
        <f t="shared" si="2857"/>
        <v xml:space="preserve"> </v>
      </c>
      <c r="AN462" s="95"/>
      <c r="AO462" s="94" t="str">
        <f t="shared" si="2816"/>
        <v xml:space="preserve"> </v>
      </c>
      <c r="AP462" s="94" t="str">
        <f t="shared" si="2806"/>
        <v xml:space="preserve"> </v>
      </c>
      <c r="AQ462" s="94" t="str">
        <f t="shared" si="2807"/>
        <v xml:space="preserve"> </v>
      </c>
      <c r="AR462" s="94" t="str">
        <f t="shared" si="2817"/>
        <v xml:space="preserve"> </v>
      </c>
      <c r="AS462" s="94" t="str">
        <f t="shared" si="2818"/>
        <v xml:space="preserve"> </v>
      </c>
      <c r="AT462" s="94" t="str">
        <f t="shared" si="2819"/>
        <v xml:space="preserve"> </v>
      </c>
      <c r="AU462" s="94" t="str">
        <f t="shared" si="2820"/>
        <v xml:space="preserve"> </v>
      </c>
      <c r="AV462" s="94" t="str">
        <f t="shared" si="2821"/>
        <v xml:space="preserve"> </v>
      </c>
      <c r="AW462" s="94" t="str">
        <f t="shared" si="2822"/>
        <v xml:space="preserve"> </v>
      </c>
      <c r="AX462" s="94" t="str">
        <f t="shared" si="2823"/>
        <v xml:space="preserve"> </v>
      </c>
      <c r="AY462" s="94" t="str">
        <f t="shared" si="2824"/>
        <v xml:space="preserve"> </v>
      </c>
      <c r="AZ462" s="94" t="str">
        <f t="shared" si="2825"/>
        <v xml:space="preserve"> </v>
      </c>
      <c r="BA462" s="94" t="str">
        <f t="shared" si="2826"/>
        <v xml:space="preserve"> </v>
      </c>
      <c r="BB462" s="94" t="str">
        <f t="shared" si="2827"/>
        <v xml:space="preserve"> </v>
      </c>
    </row>
    <row r="463" spans="1:54" x14ac:dyDescent="0.25">
      <c r="A463" s="80"/>
      <c r="B463" s="95" t="s">
        <v>2868</v>
      </c>
      <c r="C463" s="201" t="s">
        <v>170</v>
      </c>
      <c r="D463" s="80" t="s">
        <v>783</v>
      </c>
      <c r="E463" s="94" t="str">
        <f>IFERROR(VLOOKUP(A463,Estimate!A:Q,17,FALSE)," ")</f>
        <v xml:space="preserve"> </v>
      </c>
      <c r="F463" s="202" t="s">
        <v>781</v>
      </c>
      <c r="G463" s="202" t="s">
        <v>781</v>
      </c>
      <c r="H463" s="203" t="s">
        <v>781</v>
      </c>
      <c r="I463" s="203" t="s">
        <v>781</v>
      </c>
      <c r="J463" s="203" t="s">
        <v>781</v>
      </c>
      <c r="K463" s="203"/>
      <c r="L463" s="202" t="s">
        <v>781</v>
      </c>
      <c r="M463" s="204" t="str">
        <f t="shared" si="2809"/>
        <v xml:space="preserve"> </v>
      </c>
      <c r="N463" s="95" t="s">
        <v>781</v>
      </c>
      <c r="O463" s="204" t="str">
        <f t="shared" si="2809"/>
        <v xml:space="preserve"> </v>
      </c>
      <c r="P463" s="95" t="s">
        <v>781</v>
      </c>
      <c r="Q463" s="204" t="str">
        <f t="shared" ref="Q463:S463" si="2858">IFERROR(P463/$G463," ")</f>
        <v xml:space="preserve"> </v>
      </c>
      <c r="R463" s="95" t="s">
        <v>781</v>
      </c>
      <c r="S463" s="204" t="str">
        <f t="shared" si="2858"/>
        <v xml:space="preserve"> </v>
      </c>
      <c r="T463" s="95" t="s">
        <v>781</v>
      </c>
      <c r="U463" s="204" t="str">
        <f t="shared" ref="U463:W463" si="2859">IFERROR(T463/$G463," ")</f>
        <v xml:space="preserve"> </v>
      </c>
      <c r="V463" s="95" t="s">
        <v>781</v>
      </c>
      <c r="W463" s="204" t="str">
        <f t="shared" si="2859"/>
        <v xml:space="preserve"> </v>
      </c>
      <c r="X463" s="95" t="s">
        <v>781</v>
      </c>
      <c r="Y463" s="204" t="str">
        <f t="shared" ref="Y463:AA463" si="2860">IFERROR(X463/$G463," ")</f>
        <v xml:space="preserve"> </v>
      </c>
      <c r="Z463" s="95" t="s">
        <v>781</v>
      </c>
      <c r="AA463" s="204" t="str">
        <f t="shared" si="2860"/>
        <v xml:space="preserve"> </v>
      </c>
      <c r="AB463" s="95" t="s">
        <v>781</v>
      </c>
      <c r="AC463" s="204" t="str">
        <f t="shared" ref="AC463:AE463" si="2861">IFERROR(AB463/$G463," ")</f>
        <v xml:space="preserve"> </v>
      </c>
      <c r="AD463" s="95" t="s">
        <v>781</v>
      </c>
      <c r="AE463" s="204" t="str">
        <f t="shared" si="2861"/>
        <v xml:space="preserve"> </v>
      </c>
      <c r="AF463" s="95" t="s">
        <v>781</v>
      </c>
      <c r="AG463" s="204" t="str">
        <f t="shared" ref="AG463:AI463" si="2862">IFERROR(AF463/$G463," ")</f>
        <v xml:space="preserve"> </v>
      </c>
      <c r="AH463" s="95" t="s">
        <v>781</v>
      </c>
      <c r="AI463" s="204" t="str">
        <f t="shared" si="2862"/>
        <v xml:space="preserve"> </v>
      </c>
      <c r="AJ463" s="95" t="s">
        <v>781</v>
      </c>
      <c r="AK463" s="204" t="str">
        <f t="shared" ref="AK463:AM463" si="2863">IFERROR(AJ463/$G463," ")</f>
        <v xml:space="preserve"> </v>
      </c>
      <c r="AL463" s="95" t="s">
        <v>781</v>
      </c>
      <c r="AM463" s="204" t="str">
        <f t="shared" si="2863"/>
        <v xml:space="preserve"> </v>
      </c>
      <c r="AN463" s="95"/>
      <c r="AO463" s="94" t="str">
        <f t="shared" si="2816"/>
        <v xml:space="preserve"> </v>
      </c>
      <c r="AP463" s="94" t="str">
        <f t="shared" si="2806"/>
        <v xml:space="preserve"> </v>
      </c>
      <c r="AQ463" s="94" t="str">
        <f t="shared" si="2807"/>
        <v xml:space="preserve"> </v>
      </c>
      <c r="AR463" s="94" t="str">
        <f t="shared" si="2817"/>
        <v xml:space="preserve"> </v>
      </c>
      <c r="AS463" s="94" t="str">
        <f t="shared" si="2818"/>
        <v xml:space="preserve"> </v>
      </c>
      <c r="AT463" s="94" t="str">
        <f t="shared" si="2819"/>
        <v xml:space="preserve"> </v>
      </c>
      <c r="AU463" s="94" t="str">
        <f t="shared" si="2820"/>
        <v xml:space="preserve"> </v>
      </c>
      <c r="AV463" s="94" t="str">
        <f t="shared" si="2821"/>
        <v xml:space="preserve"> </v>
      </c>
      <c r="AW463" s="94" t="str">
        <f t="shared" si="2822"/>
        <v xml:space="preserve"> </v>
      </c>
      <c r="AX463" s="94" t="str">
        <f t="shared" si="2823"/>
        <v xml:space="preserve"> </v>
      </c>
      <c r="AY463" s="94" t="str">
        <f t="shared" si="2824"/>
        <v xml:space="preserve"> </v>
      </c>
      <c r="AZ463" s="94" t="str">
        <f t="shared" si="2825"/>
        <v xml:space="preserve"> </v>
      </c>
      <c r="BA463" s="94" t="str">
        <f t="shared" si="2826"/>
        <v xml:space="preserve"> </v>
      </c>
      <c r="BB463" s="94" t="str">
        <f t="shared" si="2827"/>
        <v xml:space="preserve"> </v>
      </c>
    </row>
    <row r="464" spans="1:54" ht="30" x14ac:dyDescent="0.25">
      <c r="A464" s="80">
        <v>184</v>
      </c>
      <c r="B464" s="95">
        <v>137</v>
      </c>
      <c r="C464" s="201" t="s">
        <v>172</v>
      </c>
      <c r="D464" s="80" t="s">
        <v>20</v>
      </c>
      <c r="E464" s="94">
        <f>IFERROR(VLOOKUP(A464,Estimate!A:Q,17,FALSE)," ")</f>
        <v>5490.9090909090919</v>
      </c>
      <c r="F464" s="202">
        <v>1</v>
      </c>
      <c r="G464" s="202">
        <v>1</v>
      </c>
      <c r="H464" s="203">
        <v>6829.54</v>
      </c>
      <c r="I464" s="203">
        <v>6829.54</v>
      </c>
      <c r="J464" s="203">
        <v>6829.54</v>
      </c>
      <c r="K464" s="203"/>
      <c r="L464" s="202">
        <v>0.8</v>
      </c>
      <c r="M464" s="204">
        <f t="shared" si="2809"/>
        <v>0.8</v>
      </c>
      <c r="N464" s="95">
        <v>0.8</v>
      </c>
      <c r="O464" s="204">
        <f t="shared" si="2809"/>
        <v>0.8</v>
      </c>
      <c r="P464" s="95">
        <v>0.8</v>
      </c>
      <c r="Q464" s="204">
        <f t="shared" ref="Q464:S464" si="2864">IFERROR(P464/$G464," ")</f>
        <v>0.8</v>
      </c>
      <c r="R464" s="95">
        <v>0.9</v>
      </c>
      <c r="S464" s="204">
        <f t="shared" si="2864"/>
        <v>0.9</v>
      </c>
      <c r="T464" s="95">
        <v>1</v>
      </c>
      <c r="U464" s="204">
        <f t="shared" ref="U464:W464" si="2865">IFERROR(T464/$G464," ")</f>
        <v>1</v>
      </c>
      <c r="V464" s="95">
        <v>1</v>
      </c>
      <c r="W464" s="204">
        <f t="shared" si="2865"/>
        <v>1</v>
      </c>
      <c r="X464" s="95">
        <v>1</v>
      </c>
      <c r="Y464" s="204">
        <f t="shared" ref="Y464:AA464" si="2866">IFERROR(X464/$G464," ")</f>
        <v>1</v>
      </c>
      <c r="Z464" s="95">
        <v>1</v>
      </c>
      <c r="AA464" s="204">
        <f t="shared" si="2866"/>
        <v>1</v>
      </c>
      <c r="AB464" s="95">
        <v>1</v>
      </c>
      <c r="AC464" s="204">
        <f t="shared" ref="AC464:AE464" si="2867">IFERROR(AB464/$G464," ")</f>
        <v>1</v>
      </c>
      <c r="AD464" s="95">
        <v>1</v>
      </c>
      <c r="AE464" s="204">
        <f t="shared" si="2867"/>
        <v>1</v>
      </c>
      <c r="AF464" s="95">
        <v>1</v>
      </c>
      <c r="AG464" s="204">
        <f t="shared" ref="AG464:AI464" si="2868">IFERROR(AF464/$G464," ")</f>
        <v>1</v>
      </c>
      <c r="AH464" s="95">
        <v>1</v>
      </c>
      <c r="AI464" s="204">
        <f t="shared" si="2868"/>
        <v>1</v>
      </c>
      <c r="AJ464" s="95">
        <v>1</v>
      </c>
      <c r="AK464" s="204">
        <f t="shared" ref="AK464:AM464" si="2869">IFERROR(AJ464/$G464," ")</f>
        <v>1</v>
      </c>
      <c r="AL464" s="95">
        <v>1</v>
      </c>
      <c r="AM464" s="204">
        <f t="shared" si="2869"/>
        <v>1</v>
      </c>
      <c r="AN464" s="95"/>
      <c r="AO464" s="94">
        <f t="shared" si="2816"/>
        <v>5463.6320000000005</v>
      </c>
      <c r="AP464" s="94">
        <f t="shared" si="2806"/>
        <v>5463.6320000000005</v>
      </c>
      <c r="AQ464" s="94">
        <f t="shared" si="2807"/>
        <v>5463.6320000000005</v>
      </c>
      <c r="AR464" s="94">
        <f t="shared" si="2817"/>
        <v>6146.5860000000002</v>
      </c>
      <c r="AS464" s="94">
        <f t="shared" si="2818"/>
        <v>6829.54</v>
      </c>
      <c r="AT464" s="94">
        <f t="shared" si="2819"/>
        <v>6829.54</v>
      </c>
      <c r="AU464" s="94">
        <f t="shared" si="2820"/>
        <v>6829.54</v>
      </c>
      <c r="AV464" s="94">
        <f t="shared" si="2821"/>
        <v>6829.54</v>
      </c>
      <c r="AW464" s="94">
        <f t="shared" si="2822"/>
        <v>6829.54</v>
      </c>
      <c r="AX464" s="94">
        <f t="shared" si="2823"/>
        <v>6829.54</v>
      </c>
      <c r="AY464" s="94">
        <f t="shared" si="2824"/>
        <v>6829.54</v>
      </c>
      <c r="AZ464" s="94">
        <f t="shared" si="2825"/>
        <v>6829.54</v>
      </c>
      <c r="BA464" s="94">
        <f t="shared" si="2826"/>
        <v>6829.54</v>
      </c>
      <c r="BB464" s="94">
        <f t="shared" si="2827"/>
        <v>6829.54</v>
      </c>
    </row>
    <row r="465" spans="1:54" x14ac:dyDescent="0.25">
      <c r="A465" s="80"/>
      <c r="B465" s="95" t="s">
        <v>2846</v>
      </c>
      <c r="C465" s="201" t="s">
        <v>73</v>
      </c>
      <c r="D465" s="80" t="s">
        <v>783</v>
      </c>
      <c r="E465" s="94" t="str">
        <f>IFERROR(VLOOKUP(A465,Estimate!A:Q,17,FALSE)," ")</f>
        <v xml:space="preserve"> </v>
      </c>
      <c r="F465" s="202" t="s">
        <v>781</v>
      </c>
      <c r="G465" s="202" t="s">
        <v>781</v>
      </c>
      <c r="H465" s="203" t="s">
        <v>781</v>
      </c>
      <c r="I465" s="203" t="s">
        <v>781</v>
      </c>
      <c r="J465" s="203" t="s">
        <v>781</v>
      </c>
      <c r="K465" s="203"/>
      <c r="L465" s="202" t="s">
        <v>781</v>
      </c>
      <c r="M465" s="204" t="str">
        <f t="shared" si="2809"/>
        <v xml:space="preserve"> </v>
      </c>
      <c r="N465" s="95" t="s">
        <v>781</v>
      </c>
      <c r="O465" s="204" t="str">
        <f t="shared" si="2809"/>
        <v xml:space="preserve"> </v>
      </c>
      <c r="P465" s="95" t="s">
        <v>781</v>
      </c>
      <c r="Q465" s="204" t="str">
        <f t="shared" ref="Q465:S465" si="2870">IFERROR(P465/$G465," ")</f>
        <v xml:space="preserve"> </v>
      </c>
      <c r="R465" s="95" t="s">
        <v>781</v>
      </c>
      <c r="S465" s="204" t="str">
        <f t="shared" si="2870"/>
        <v xml:space="preserve"> </v>
      </c>
      <c r="T465" s="95" t="s">
        <v>781</v>
      </c>
      <c r="U465" s="204" t="str">
        <f t="shared" ref="U465:W465" si="2871">IFERROR(T465/$G465," ")</f>
        <v xml:space="preserve"> </v>
      </c>
      <c r="V465" s="95" t="s">
        <v>781</v>
      </c>
      <c r="W465" s="204" t="str">
        <f t="shared" si="2871"/>
        <v xml:space="preserve"> </v>
      </c>
      <c r="X465" s="95" t="s">
        <v>781</v>
      </c>
      <c r="Y465" s="204" t="str">
        <f t="shared" ref="Y465:AA465" si="2872">IFERROR(X465/$G465," ")</f>
        <v xml:space="preserve"> </v>
      </c>
      <c r="Z465" s="95" t="s">
        <v>781</v>
      </c>
      <c r="AA465" s="204" t="str">
        <f t="shared" si="2872"/>
        <v xml:space="preserve"> </v>
      </c>
      <c r="AB465" s="95" t="s">
        <v>781</v>
      </c>
      <c r="AC465" s="204" t="str">
        <f t="shared" ref="AC465:AE465" si="2873">IFERROR(AB465/$G465," ")</f>
        <v xml:space="preserve"> </v>
      </c>
      <c r="AD465" s="95" t="s">
        <v>781</v>
      </c>
      <c r="AE465" s="204" t="str">
        <f t="shared" si="2873"/>
        <v xml:space="preserve"> </v>
      </c>
      <c r="AF465" s="95" t="s">
        <v>781</v>
      </c>
      <c r="AG465" s="204" t="str">
        <f t="shared" ref="AG465:AI465" si="2874">IFERROR(AF465/$G465," ")</f>
        <v xml:space="preserve"> </v>
      </c>
      <c r="AH465" s="95" t="s">
        <v>781</v>
      </c>
      <c r="AI465" s="204" t="str">
        <f t="shared" si="2874"/>
        <v xml:space="preserve"> </v>
      </c>
      <c r="AJ465" s="95" t="s">
        <v>781</v>
      </c>
      <c r="AK465" s="204" t="str">
        <f t="shared" ref="AK465:AM465" si="2875">IFERROR(AJ465/$G465," ")</f>
        <v xml:space="preserve"> </v>
      </c>
      <c r="AL465" s="95" t="s">
        <v>781</v>
      </c>
      <c r="AM465" s="204" t="str">
        <f t="shared" si="2875"/>
        <v xml:space="preserve"> </v>
      </c>
      <c r="AN465" s="95"/>
      <c r="AO465" s="94" t="str">
        <f t="shared" si="2816"/>
        <v xml:space="preserve"> </v>
      </c>
      <c r="AP465" s="94" t="str">
        <f t="shared" si="2806"/>
        <v xml:space="preserve"> </v>
      </c>
      <c r="AQ465" s="94" t="str">
        <f t="shared" si="2807"/>
        <v xml:space="preserve"> </v>
      </c>
      <c r="AR465" s="94" t="str">
        <f t="shared" si="2817"/>
        <v xml:space="preserve"> </v>
      </c>
      <c r="AS465" s="94" t="str">
        <f t="shared" si="2818"/>
        <v xml:space="preserve"> </v>
      </c>
      <c r="AT465" s="94" t="str">
        <f t="shared" si="2819"/>
        <v xml:space="preserve"> </v>
      </c>
      <c r="AU465" s="94" t="str">
        <f t="shared" si="2820"/>
        <v xml:space="preserve"> </v>
      </c>
      <c r="AV465" s="94" t="str">
        <f t="shared" si="2821"/>
        <v xml:space="preserve"> </v>
      </c>
      <c r="AW465" s="94" t="str">
        <f t="shared" si="2822"/>
        <v xml:space="preserve"> </v>
      </c>
      <c r="AX465" s="94" t="str">
        <f t="shared" si="2823"/>
        <v xml:space="preserve"> </v>
      </c>
      <c r="AY465" s="94" t="str">
        <f t="shared" si="2824"/>
        <v xml:space="preserve"> </v>
      </c>
      <c r="AZ465" s="94" t="str">
        <f t="shared" si="2825"/>
        <v xml:space="preserve"> </v>
      </c>
      <c r="BA465" s="94" t="str">
        <f t="shared" si="2826"/>
        <v xml:space="preserve"> </v>
      </c>
      <c r="BB465" s="94" t="str">
        <f t="shared" si="2827"/>
        <v xml:space="preserve"> </v>
      </c>
    </row>
    <row r="466" spans="1:54" x14ac:dyDescent="0.25">
      <c r="A466" s="80">
        <v>185</v>
      </c>
      <c r="B466" s="95" t="s">
        <v>2847</v>
      </c>
      <c r="C466" s="201" t="s">
        <v>638</v>
      </c>
      <c r="D466" s="80" t="s">
        <v>20</v>
      </c>
      <c r="E466" s="94">
        <f>IFERROR(VLOOKUP(A466,Estimate!A:Q,17,FALSE)," ")</f>
        <v>2765</v>
      </c>
      <c r="F466" s="202">
        <v>1</v>
      </c>
      <c r="G466" s="202">
        <v>1</v>
      </c>
      <c r="H466" s="203">
        <v>3473.47</v>
      </c>
      <c r="I466" s="203">
        <v>3473.47</v>
      </c>
      <c r="J466" s="203">
        <v>3473.47</v>
      </c>
      <c r="K466" s="203"/>
      <c r="L466" s="202"/>
      <c r="M466" s="204">
        <f t="shared" si="2809"/>
        <v>0</v>
      </c>
      <c r="N466" s="95">
        <v>0.7</v>
      </c>
      <c r="O466" s="204">
        <f t="shared" si="2809"/>
        <v>0.7</v>
      </c>
      <c r="P466" s="95">
        <v>1</v>
      </c>
      <c r="Q466" s="204">
        <f t="shared" ref="Q466:S466" si="2876">IFERROR(P466/$G466," ")</f>
        <v>1</v>
      </c>
      <c r="R466" s="95">
        <v>1</v>
      </c>
      <c r="S466" s="204">
        <f t="shared" si="2876"/>
        <v>1</v>
      </c>
      <c r="T466" s="95">
        <v>1</v>
      </c>
      <c r="U466" s="204">
        <f t="shared" ref="U466:W466" si="2877">IFERROR(T466/$G466," ")</f>
        <v>1</v>
      </c>
      <c r="V466" s="95">
        <v>1</v>
      </c>
      <c r="W466" s="204">
        <f t="shared" si="2877"/>
        <v>1</v>
      </c>
      <c r="X466" s="95">
        <v>1</v>
      </c>
      <c r="Y466" s="204">
        <f t="shared" ref="Y466:AA466" si="2878">IFERROR(X466/$G466," ")</f>
        <v>1</v>
      </c>
      <c r="Z466" s="95">
        <v>1</v>
      </c>
      <c r="AA466" s="204">
        <f t="shared" si="2878"/>
        <v>1</v>
      </c>
      <c r="AB466" s="95">
        <v>1</v>
      </c>
      <c r="AC466" s="204">
        <f t="shared" ref="AC466:AE466" si="2879">IFERROR(AB466/$G466," ")</f>
        <v>1</v>
      </c>
      <c r="AD466" s="95">
        <v>1</v>
      </c>
      <c r="AE466" s="204">
        <f t="shared" si="2879"/>
        <v>1</v>
      </c>
      <c r="AF466" s="95">
        <v>1</v>
      </c>
      <c r="AG466" s="204">
        <f t="shared" ref="AG466:AI466" si="2880">IFERROR(AF466/$G466," ")</f>
        <v>1</v>
      </c>
      <c r="AH466" s="95">
        <v>1</v>
      </c>
      <c r="AI466" s="204">
        <f t="shared" si="2880"/>
        <v>1</v>
      </c>
      <c r="AJ466" s="95">
        <v>1</v>
      </c>
      <c r="AK466" s="204">
        <f t="shared" ref="AK466:AM466" si="2881">IFERROR(AJ466/$G466," ")</f>
        <v>1</v>
      </c>
      <c r="AL466" s="95">
        <v>1</v>
      </c>
      <c r="AM466" s="204">
        <f t="shared" si="2881"/>
        <v>1</v>
      </c>
      <c r="AN466" s="95"/>
      <c r="AO466" s="94">
        <f t="shared" si="2816"/>
        <v>0</v>
      </c>
      <c r="AP466" s="94">
        <f t="shared" si="2806"/>
        <v>2431.4289999999996</v>
      </c>
      <c r="AQ466" s="94">
        <f t="shared" si="2807"/>
        <v>3473.47</v>
      </c>
      <c r="AR466" s="94">
        <f t="shared" si="2817"/>
        <v>3473.47</v>
      </c>
      <c r="AS466" s="94">
        <f t="shared" si="2818"/>
        <v>3473.47</v>
      </c>
      <c r="AT466" s="94">
        <f t="shared" si="2819"/>
        <v>3473.47</v>
      </c>
      <c r="AU466" s="94">
        <f t="shared" si="2820"/>
        <v>3473.47</v>
      </c>
      <c r="AV466" s="94">
        <f t="shared" si="2821"/>
        <v>3473.47</v>
      </c>
      <c r="AW466" s="94">
        <f t="shared" si="2822"/>
        <v>3473.47</v>
      </c>
      <c r="AX466" s="94">
        <f t="shared" si="2823"/>
        <v>3473.47</v>
      </c>
      <c r="AY466" s="94">
        <f t="shared" si="2824"/>
        <v>3473.47</v>
      </c>
      <c r="AZ466" s="94">
        <f t="shared" si="2825"/>
        <v>3473.47</v>
      </c>
      <c r="BA466" s="94">
        <f t="shared" si="2826"/>
        <v>3473.47</v>
      </c>
      <c r="BB466" s="94">
        <f t="shared" si="2827"/>
        <v>3473.47</v>
      </c>
    </row>
    <row r="467" spans="1:54" x14ac:dyDescent="0.25">
      <c r="A467" s="80"/>
      <c r="B467" s="95" t="s">
        <v>2848</v>
      </c>
      <c r="C467" s="201" t="s">
        <v>77</v>
      </c>
      <c r="D467" s="80" t="s">
        <v>783</v>
      </c>
      <c r="E467" s="94" t="str">
        <f>IFERROR(VLOOKUP(A467,Estimate!A:Q,17,FALSE)," ")</f>
        <v xml:space="preserve"> </v>
      </c>
      <c r="F467" s="202" t="s">
        <v>781</v>
      </c>
      <c r="G467" s="202" t="s">
        <v>781</v>
      </c>
      <c r="H467" s="203" t="s">
        <v>781</v>
      </c>
      <c r="I467" s="203" t="s">
        <v>781</v>
      </c>
      <c r="J467" s="203" t="s">
        <v>781</v>
      </c>
      <c r="K467" s="203"/>
      <c r="L467" s="202" t="s">
        <v>781</v>
      </c>
      <c r="M467" s="204" t="str">
        <f t="shared" si="2809"/>
        <v xml:space="preserve"> </v>
      </c>
      <c r="N467" s="95" t="s">
        <v>781</v>
      </c>
      <c r="O467" s="204" t="str">
        <f t="shared" si="2809"/>
        <v xml:space="preserve"> </v>
      </c>
      <c r="P467" s="95" t="s">
        <v>781</v>
      </c>
      <c r="Q467" s="204" t="str">
        <f t="shared" ref="Q467:S467" si="2882">IFERROR(P467/$G467," ")</f>
        <v xml:space="preserve"> </v>
      </c>
      <c r="R467" s="95" t="s">
        <v>781</v>
      </c>
      <c r="S467" s="204" t="str">
        <f t="shared" si="2882"/>
        <v xml:space="preserve"> </v>
      </c>
      <c r="T467" s="95" t="s">
        <v>781</v>
      </c>
      <c r="U467" s="204" t="str">
        <f t="shared" ref="U467:W467" si="2883">IFERROR(T467/$G467," ")</f>
        <v xml:space="preserve"> </v>
      </c>
      <c r="V467" s="95" t="s">
        <v>781</v>
      </c>
      <c r="W467" s="204" t="str">
        <f t="shared" si="2883"/>
        <v xml:space="preserve"> </v>
      </c>
      <c r="X467" s="95" t="s">
        <v>781</v>
      </c>
      <c r="Y467" s="204" t="str">
        <f t="shared" ref="Y467:AA467" si="2884">IFERROR(X467/$G467," ")</f>
        <v xml:space="preserve"> </v>
      </c>
      <c r="Z467" s="95" t="s">
        <v>781</v>
      </c>
      <c r="AA467" s="204" t="str">
        <f t="shared" si="2884"/>
        <v xml:space="preserve"> </v>
      </c>
      <c r="AB467" s="95" t="s">
        <v>781</v>
      </c>
      <c r="AC467" s="204" t="str">
        <f t="shared" ref="AC467:AE467" si="2885">IFERROR(AB467/$G467," ")</f>
        <v xml:space="preserve"> </v>
      </c>
      <c r="AD467" s="95" t="s">
        <v>781</v>
      </c>
      <c r="AE467" s="204" t="str">
        <f t="shared" si="2885"/>
        <v xml:space="preserve"> </v>
      </c>
      <c r="AF467" s="95" t="s">
        <v>781</v>
      </c>
      <c r="AG467" s="204" t="str">
        <f t="shared" ref="AG467:AI467" si="2886">IFERROR(AF467/$G467," ")</f>
        <v xml:space="preserve"> </v>
      </c>
      <c r="AH467" s="95" t="s">
        <v>781</v>
      </c>
      <c r="AI467" s="204" t="str">
        <f t="shared" si="2886"/>
        <v xml:space="preserve"> </v>
      </c>
      <c r="AJ467" s="95" t="s">
        <v>781</v>
      </c>
      <c r="AK467" s="204" t="str">
        <f t="shared" ref="AK467:AM467" si="2887">IFERROR(AJ467/$G467," ")</f>
        <v xml:space="preserve"> </v>
      </c>
      <c r="AL467" s="95" t="s">
        <v>781</v>
      </c>
      <c r="AM467" s="204" t="str">
        <f t="shared" si="2887"/>
        <v xml:space="preserve"> </v>
      </c>
      <c r="AN467" s="95"/>
      <c r="AO467" s="94" t="str">
        <f t="shared" si="2816"/>
        <v xml:space="preserve"> </v>
      </c>
      <c r="AP467" s="94" t="str">
        <f t="shared" si="2806"/>
        <v xml:space="preserve"> </v>
      </c>
      <c r="AQ467" s="94" t="str">
        <f t="shared" si="2807"/>
        <v xml:space="preserve"> </v>
      </c>
      <c r="AR467" s="94" t="str">
        <f t="shared" si="2817"/>
        <v xml:space="preserve"> </v>
      </c>
      <c r="AS467" s="94" t="str">
        <f t="shared" si="2818"/>
        <v xml:space="preserve"> </v>
      </c>
      <c r="AT467" s="94" t="str">
        <f t="shared" si="2819"/>
        <v xml:space="preserve"> </v>
      </c>
      <c r="AU467" s="94" t="str">
        <f t="shared" si="2820"/>
        <v xml:space="preserve"> </v>
      </c>
      <c r="AV467" s="94" t="str">
        <f t="shared" si="2821"/>
        <v xml:space="preserve"> </v>
      </c>
      <c r="AW467" s="94" t="str">
        <f t="shared" si="2822"/>
        <v xml:space="preserve"> </v>
      </c>
      <c r="AX467" s="94" t="str">
        <f t="shared" si="2823"/>
        <v xml:space="preserve"> </v>
      </c>
      <c r="AY467" s="94" t="str">
        <f t="shared" si="2824"/>
        <v xml:space="preserve"> </v>
      </c>
      <c r="AZ467" s="94" t="str">
        <f t="shared" si="2825"/>
        <v xml:space="preserve"> </v>
      </c>
      <c r="BA467" s="94" t="str">
        <f t="shared" si="2826"/>
        <v xml:space="preserve"> </v>
      </c>
      <c r="BB467" s="94" t="str">
        <f t="shared" si="2827"/>
        <v xml:space="preserve"> </v>
      </c>
    </row>
    <row r="468" spans="1:54" ht="30" x14ac:dyDescent="0.25">
      <c r="A468" s="80">
        <v>186</v>
      </c>
      <c r="B468" s="95" t="s">
        <v>2849</v>
      </c>
      <c r="C468" s="201" t="s">
        <v>79</v>
      </c>
      <c r="D468" s="80" t="s">
        <v>62</v>
      </c>
      <c r="E468" s="94">
        <f>IFERROR(VLOOKUP(A468,Estimate!A:Q,17,FALSE)," ")</f>
        <v>1692.7155555555555</v>
      </c>
      <c r="F468" s="202">
        <v>2.6</v>
      </c>
      <c r="G468" s="202">
        <v>2.6</v>
      </c>
      <c r="H468" s="203">
        <v>817.86</v>
      </c>
      <c r="I468" s="203">
        <v>2126.44</v>
      </c>
      <c r="J468" s="203">
        <v>2126.4360000000001</v>
      </c>
      <c r="K468" s="203"/>
      <c r="L468" s="202"/>
      <c r="M468" s="204">
        <f t="shared" si="2809"/>
        <v>0</v>
      </c>
      <c r="N468" s="95">
        <v>1.3</v>
      </c>
      <c r="O468" s="204">
        <f t="shared" si="2809"/>
        <v>0.5</v>
      </c>
      <c r="P468" s="95">
        <v>2.6</v>
      </c>
      <c r="Q468" s="204">
        <f t="shared" ref="Q468:S468" si="2888">IFERROR(P468/$G468," ")</f>
        <v>1</v>
      </c>
      <c r="R468" s="95">
        <v>2.6</v>
      </c>
      <c r="S468" s="204">
        <f t="shared" si="2888"/>
        <v>1</v>
      </c>
      <c r="T468" s="95">
        <v>2.6</v>
      </c>
      <c r="U468" s="204">
        <f t="shared" ref="U468:W468" si="2889">IFERROR(T468/$G468," ")</f>
        <v>1</v>
      </c>
      <c r="V468" s="95">
        <v>2.6</v>
      </c>
      <c r="W468" s="204">
        <f t="shared" si="2889"/>
        <v>1</v>
      </c>
      <c r="X468" s="95">
        <v>2.6</v>
      </c>
      <c r="Y468" s="204">
        <f t="shared" ref="Y468:AA468" si="2890">IFERROR(X468/$G468," ")</f>
        <v>1</v>
      </c>
      <c r="Z468" s="95">
        <v>2.6</v>
      </c>
      <c r="AA468" s="204">
        <f t="shared" si="2890"/>
        <v>1</v>
      </c>
      <c r="AB468" s="95">
        <v>2.6</v>
      </c>
      <c r="AC468" s="204">
        <f t="shared" ref="AC468:AE468" si="2891">IFERROR(AB468/$G468," ")</f>
        <v>1</v>
      </c>
      <c r="AD468" s="95">
        <v>2.6</v>
      </c>
      <c r="AE468" s="204">
        <f t="shared" si="2891"/>
        <v>1</v>
      </c>
      <c r="AF468" s="95">
        <v>2.6</v>
      </c>
      <c r="AG468" s="204">
        <f t="shared" ref="AG468:AI468" si="2892">IFERROR(AF468/$G468," ")</f>
        <v>1</v>
      </c>
      <c r="AH468" s="95">
        <v>2.6</v>
      </c>
      <c r="AI468" s="204">
        <f t="shared" si="2892"/>
        <v>1</v>
      </c>
      <c r="AJ468" s="95">
        <v>2.6</v>
      </c>
      <c r="AK468" s="204">
        <f t="shared" ref="AK468:AM468" si="2893">IFERROR(AJ468/$G468," ")</f>
        <v>1</v>
      </c>
      <c r="AL468" s="95">
        <v>2.6</v>
      </c>
      <c r="AM468" s="204">
        <f t="shared" si="2893"/>
        <v>1</v>
      </c>
      <c r="AN468" s="95"/>
      <c r="AO468" s="94">
        <f t="shared" si="2816"/>
        <v>0</v>
      </c>
      <c r="AP468" s="94">
        <f t="shared" si="2806"/>
        <v>1063.2180000000001</v>
      </c>
      <c r="AQ468" s="94">
        <f t="shared" si="2807"/>
        <v>2126.4360000000001</v>
      </c>
      <c r="AR468" s="94">
        <f t="shared" si="2817"/>
        <v>2126.4360000000001</v>
      </c>
      <c r="AS468" s="94">
        <f t="shared" si="2818"/>
        <v>2126.4360000000001</v>
      </c>
      <c r="AT468" s="94">
        <f t="shared" si="2819"/>
        <v>2126.4360000000001</v>
      </c>
      <c r="AU468" s="94">
        <f t="shared" si="2820"/>
        <v>2126.4360000000001</v>
      </c>
      <c r="AV468" s="94">
        <f t="shared" si="2821"/>
        <v>2126.4360000000001</v>
      </c>
      <c r="AW468" s="94">
        <f t="shared" si="2822"/>
        <v>2126.4360000000001</v>
      </c>
      <c r="AX468" s="94">
        <f t="shared" si="2823"/>
        <v>2126.4360000000001</v>
      </c>
      <c r="AY468" s="94">
        <f t="shared" si="2824"/>
        <v>2126.4360000000001</v>
      </c>
      <c r="AZ468" s="94">
        <f t="shared" si="2825"/>
        <v>2126.4360000000001</v>
      </c>
      <c r="BA468" s="94">
        <f t="shared" si="2826"/>
        <v>2126.4360000000001</v>
      </c>
      <c r="BB468" s="94">
        <f t="shared" si="2827"/>
        <v>2126.4360000000001</v>
      </c>
    </row>
    <row r="469" spans="1:54" x14ac:dyDescent="0.25">
      <c r="A469" s="80">
        <v>187</v>
      </c>
      <c r="B469" s="95" t="s">
        <v>2850</v>
      </c>
      <c r="C469" s="201" t="s">
        <v>643</v>
      </c>
      <c r="D469" s="80" t="s">
        <v>89</v>
      </c>
      <c r="E469" s="94">
        <f>IFERROR(VLOOKUP(A469,Estimate!A:Q,17,FALSE)," ")</f>
        <v>8530.5</v>
      </c>
      <c r="F469" s="202">
        <v>13.2</v>
      </c>
      <c r="G469" s="202">
        <v>13.2</v>
      </c>
      <c r="H469" s="203">
        <v>811.84</v>
      </c>
      <c r="I469" s="203">
        <v>10716.29</v>
      </c>
      <c r="J469" s="203">
        <v>10716.288</v>
      </c>
      <c r="K469" s="203"/>
      <c r="L469" s="202"/>
      <c r="M469" s="204">
        <f t="shared" si="2809"/>
        <v>0</v>
      </c>
      <c r="N469" s="95">
        <v>6.6</v>
      </c>
      <c r="O469" s="204">
        <f t="shared" si="2809"/>
        <v>0.5</v>
      </c>
      <c r="P469" s="95">
        <v>13.2</v>
      </c>
      <c r="Q469" s="204">
        <f t="shared" ref="Q469:S469" si="2894">IFERROR(P469/$G469," ")</f>
        <v>1</v>
      </c>
      <c r="R469" s="95">
        <v>13.2</v>
      </c>
      <c r="S469" s="204">
        <f t="shared" si="2894"/>
        <v>1</v>
      </c>
      <c r="T469" s="95">
        <v>13.2</v>
      </c>
      <c r="U469" s="204">
        <f t="shared" ref="U469:W469" si="2895">IFERROR(T469/$G469," ")</f>
        <v>1</v>
      </c>
      <c r="V469" s="95">
        <v>13.2</v>
      </c>
      <c r="W469" s="204">
        <f t="shared" si="2895"/>
        <v>1</v>
      </c>
      <c r="X469" s="95">
        <v>13.2</v>
      </c>
      <c r="Y469" s="204">
        <f t="shared" ref="Y469:AA469" si="2896">IFERROR(X469/$G469," ")</f>
        <v>1</v>
      </c>
      <c r="Z469" s="95">
        <v>13.2</v>
      </c>
      <c r="AA469" s="204">
        <f t="shared" si="2896"/>
        <v>1</v>
      </c>
      <c r="AB469" s="95">
        <v>13.2</v>
      </c>
      <c r="AC469" s="204">
        <f t="shared" ref="AC469:AE469" si="2897">IFERROR(AB469/$G469," ")</f>
        <v>1</v>
      </c>
      <c r="AD469" s="95">
        <v>13.2</v>
      </c>
      <c r="AE469" s="204">
        <f t="shared" si="2897"/>
        <v>1</v>
      </c>
      <c r="AF469" s="95">
        <v>13.2</v>
      </c>
      <c r="AG469" s="204">
        <f t="shared" ref="AG469:AI469" si="2898">IFERROR(AF469/$G469," ")</f>
        <v>1</v>
      </c>
      <c r="AH469" s="95">
        <v>13.2</v>
      </c>
      <c r="AI469" s="204">
        <f t="shared" si="2898"/>
        <v>1</v>
      </c>
      <c r="AJ469" s="95">
        <v>13.2</v>
      </c>
      <c r="AK469" s="204">
        <f t="shared" ref="AK469:AM469" si="2899">IFERROR(AJ469/$G469," ")</f>
        <v>1</v>
      </c>
      <c r="AL469" s="95">
        <v>13.2</v>
      </c>
      <c r="AM469" s="204">
        <f t="shared" si="2899"/>
        <v>1</v>
      </c>
      <c r="AN469" s="95"/>
      <c r="AO469" s="94">
        <f t="shared" si="2816"/>
        <v>0</v>
      </c>
      <c r="AP469" s="94">
        <f t="shared" si="2806"/>
        <v>5358.1440000000002</v>
      </c>
      <c r="AQ469" s="94">
        <f t="shared" si="2807"/>
        <v>10716.288</v>
      </c>
      <c r="AR469" s="94">
        <f t="shared" si="2817"/>
        <v>10716.288</v>
      </c>
      <c r="AS469" s="94">
        <f t="shared" si="2818"/>
        <v>10716.288</v>
      </c>
      <c r="AT469" s="94">
        <f t="shared" si="2819"/>
        <v>10716.288</v>
      </c>
      <c r="AU469" s="94">
        <f t="shared" si="2820"/>
        <v>10716.288</v>
      </c>
      <c r="AV469" s="94">
        <f t="shared" si="2821"/>
        <v>10716.288</v>
      </c>
      <c r="AW469" s="94">
        <f t="shared" si="2822"/>
        <v>10716.288</v>
      </c>
      <c r="AX469" s="94">
        <f t="shared" si="2823"/>
        <v>10716.288</v>
      </c>
      <c r="AY469" s="94">
        <f t="shared" si="2824"/>
        <v>10716.288</v>
      </c>
      <c r="AZ469" s="94">
        <f t="shared" si="2825"/>
        <v>10716.288</v>
      </c>
      <c r="BA469" s="94">
        <f t="shared" si="2826"/>
        <v>10716.288</v>
      </c>
      <c r="BB469" s="94">
        <f t="shared" si="2827"/>
        <v>10716.288</v>
      </c>
    </row>
    <row r="470" spans="1:54" x14ac:dyDescent="0.25">
      <c r="A470" s="80"/>
      <c r="B470" s="95" t="s">
        <v>2851</v>
      </c>
      <c r="C470" s="201" t="s">
        <v>94</v>
      </c>
      <c r="D470" s="80" t="s">
        <v>783</v>
      </c>
      <c r="E470" s="94" t="str">
        <f>IFERROR(VLOOKUP(A470,Estimate!A:Q,17,FALSE)," ")</f>
        <v xml:space="preserve"> </v>
      </c>
      <c r="F470" s="202" t="s">
        <v>781</v>
      </c>
      <c r="G470" s="202" t="s">
        <v>781</v>
      </c>
      <c r="H470" s="203" t="s">
        <v>781</v>
      </c>
      <c r="I470" s="203" t="s">
        <v>781</v>
      </c>
      <c r="J470" s="203" t="s">
        <v>781</v>
      </c>
      <c r="K470" s="203"/>
      <c r="L470" s="202" t="s">
        <v>781</v>
      </c>
      <c r="M470" s="204" t="str">
        <f t="shared" si="2809"/>
        <v xml:space="preserve"> </v>
      </c>
      <c r="N470" s="95" t="s">
        <v>781</v>
      </c>
      <c r="O470" s="204" t="str">
        <f t="shared" si="2809"/>
        <v xml:space="preserve"> </v>
      </c>
      <c r="P470" s="95" t="s">
        <v>781</v>
      </c>
      <c r="Q470" s="204" t="str">
        <f t="shared" ref="Q470:S470" si="2900">IFERROR(P470/$G470," ")</f>
        <v xml:space="preserve"> </v>
      </c>
      <c r="R470" s="95" t="s">
        <v>781</v>
      </c>
      <c r="S470" s="204" t="str">
        <f t="shared" si="2900"/>
        <v xml:space="preserve"> </v>
      </c>
      <c r="T470" s="95" t="s">
        <v>781</v>
      </c>
      <c r="U470" s="204" t="str">
        <f t="shared" ref="U470:W470" si="2901">IFERROR(T470/$G470," ")</f>
        <v xml:space="preserve"> </v>
      </c>
      <c r="V470" s="95" t="s">
        <v>781</v>
      </c>
      <c r="W470" s="204" t="str">
        <f t="shared" si="2901"/>
        <v xml:space="preserve"> </v>
      </c>
      <c r="X470" s="95" t="s">
        <v>781</v>
      </c>
      <c r="Y470" s="204" t="str">
        <f t="shared" ref="Y470:AA470" si="2902">IFERROR(X470/$G470," ")</f>
        <v xml:space="preserve"> </v>
      </c>
      <c r="Z470" s="95" t="s">
        <v>781</v>
      </c>
      <c r="AA470" s="204" t="str">
        <f t="shared" si="2902"/>
        <v xml:space="preserve"> </v>
      </c>
      <c r="AB470" s="95" t="s">
        <v>781</v>
      </c>
      <c r="AC470" s="204" t="str">
        <f t="shared" ref="AC470:AE470" si="2903">IFERROR(AB470/$G470," ")</f>
        <v xml:space="preserve"> </v>
      </c>
      <c r="AD470" s="95" t="s">
        <v>781</v>
      </c>
      <c r="AE470" s="204" t="str">
        <f t="shared" si="2903"/>
        <v xml:space="preserve"> </v>
      </c>
      <c r="AF470" s="95" t="s">
        <v>781</v>
      </c>
      <c r="AG470" s="204" t="str">
        <f t="shared" ref="AG470:AI470" si="2904">IFERROR(AF470/$G470," ")</f>
        <v xml:space="preserve"> </v>
      </c>
      <c r="AH470" s="95" t="s">
        <v>781</v>
      </c>
      <c r="AI470" s="204" t="str">
        <f t="shared" si="2904"/>
        <v xml:space="preserve"> </v>
      </c>
      <c r="AJ470" s="95" t="s">
        <v>781</v>
      </c>
      <c r="AK470" s="204" t="str">
        <f t="shared" ref="AK470:AM470" si="2905">IFERROR(AJ470/$G470," ")</f>
        <v xml:space="preserve"> </v>
      </c>
      <c r="AL470" s="95" t="s">
        <v>781</v>
      </c>
      <c r="AM470" s="204" t="str">
        <f t="shared" si="2905"/>
        <v xml:space="preserve"> </v>
      </c>
      <c r="AN470" s="95"/>
      <c r="AO470" s="94" t="str">
        <f t="shared" si="2816"/>
        <v xml:space="preserve"> </v>
      </c>
      <c r="AP470" s="94" t="str">
        <f t="shared" si="2806"/>
        <v xml:space="preserve"> </v>
      </c>
      <c r="AQ470" s="94" t="str">
        <f t="shared" si="2807"/>
        <v xml:space="preserve"> </v>
      </c>
      <c r="AR470" s="94" t="str">
        <f t="shared" si="2817"/>
        <v xml:space="preserve"> </v>
      </c>
      <c r="AS470" s="94" t="str">
        <f t="shared" si="2818"/>
        <v xml:space="preserve"> </v>
      </c>
      <c r="AT470" s="94" t="str">
        <f t="shared" si="2819"/>
        <v xml:space="preserve"> </v>
      </c>
      <c r="AU470" s="94" t="str">
        <f t="shared" si="2820"/>
        <v xml:space="preserve"> </v>
      </c>
      <c r="AV470" s="94" t="str">
        <f t="shared" si="2821"/>
        <v xml:space="preserve"> </v>
      </c>
      <c r="AW470" s="94" t="str">
        <f t="shared" si="2822"/>
        <v xml:space="preserve"> </v>
      </c>
      <c r="AX470" s="94" t="str">
        <f t="shared" si="2823"/>
        <v xml:space="preserve"> </v>
      </c>
      <c r="AY470" s="94" t="str">
        <f t="shared" si="2824"/>
        <v xml:space="preserve"> </v>
      </c>
      <c r="AZ470" s="94" t="str">
        <f t="shared" si="2825"/>
        <v xml:space="preserve"> </v>
      </c>
      <c r="BA470" s="94" t="str">
        <f t="shared" si="2826"/>
        <v xml:space="preserve"> </v>
      </c>
      <c r="BB470" s="94" t="str">
        <f t="shared" si="2827"/>
        <v xml:space="preserve"> </v>
      </c>
    </row>
    <row r="471" spans="1:54" x14ac:dyDescent="0.25">
      <c r="A471" s="80">
        <v>188</v>
      </c>
      <c r="B471" s="95" t="s">
        <v>2932</v>
      </c>
      <c r="C471" s="201" t="s">
        <v>646</v>
      </c>
      <c r="D471" s="80" t="s">
        <v>29</v>
      </c>
      <c r="E471" s="94">
        <f>IFERROR(VLOOKUP(A471,Estimate!A:Q,17,FALSE)," ")</f>
        <v>3505</v>
      </c>
      <c r="F471" s="202">
        <v>1</v>
      </c>
      <c r="G471" s="202">
        <v>1</v>
      </c>
      <c r="H471" s="203">
        <v>4403.08</v>
      </c>
      <c r="I471" s="203">
        <v>4403.08</v>
      </c>
      <c r="J471" s="203">
        <v>4403.08</v>
      </c>
      <c r="K471" s="203"/>
      <c r="L471" s="202"/>
      <c r="M471" s="204">
        <f t="shared" si="2809"/>
        <v>0</v>
      </c>
      <c r="N471" s="95"/>
      <c r="O471" s="204">
        <f t="shared" si="2809"/>
        <v>0</v>
      </c>
      <c r="P471" s="95">
        <v>0.9</v>
      </c>
      <c r="Q471" s="204">
        <f t="shared" ref="Q471:S471" si="2906">IFERROR(P471/$G471," ")</f>
        <v>0.9</v>
      </c>
      <c r="R471" s="95">
        <v>0.9</v>
      </c>
      <c r="S471" s="204">
        <f t="shared" si="2906"/>
        <v>0.9</v>
      </c>
      <c r="T471" s="95">
        <v>0.9</v>
      </c>
      <c r="U471" s="204">
        <f t="shared" ref="U471:W471" si="2907">IFERROR(T471/$G471," ")</f>
        <v>0.9</v>
      </c>
      <c r="V471" s="95">
        <v>0.9</v>
      </c>
      <c r="W471" s="204">
        <f t="shared" si="2907"/>
        <v>0.9</v>
      </c>
      <c r="X471" s="95">
        <v>1</v>
      </c>
      <c r="Y471" s="204">
        <f t="shared" ref="Y471:AA471" si="2908">IFERROR(X471/$G471," ")</f>
        <v>1</v>
      </c>
      <c r="Z471" s="95">
        <v>1</v>
      </c>
      <c r="AA471" s="204">
        <f t="shared" si="2908"/>
        <v>1</v>
      </c>
      <c r="AB471" s="95">
        <v>1</v>
      </c>
      <c r="AC471" s="204">
        <f t="shared" ref="AC471:AE471" si="2909">IFERROR(AB471/$G471," ")</f>
        <v>1</v>
      </c>
      <c r="AD471" s="95">
        <v>1</v>
      </c>
      <c r="AE471" s="204">
        <f t="shared" si="2909"/>
        <v>1</v>
      </c>
      <c r="AF471" s="95">
        <v>1</v>
      </c>
      <c r="AG471" s="204">
        <f t="shared" ref="AG471:AI471" si="2910">IFERROR(AF471/$G471," ")</f>
        <v>1</v>
      </c>
      <c r="AH471" s="95">
        <v>1</v>
      </c>
      <c r="AI471" s="204">
        <f t="shared" si="2910"/>
        <v>1</v>
      </c>
      <c r="AJ471" s="95">
        <v>1</v>
      </c>
      <c r="AK471" s="204">
        <f t="shared" ref="AK471:AM471" si="2911">IFERROR(AJ471/$G471," ")</f>
        <v>1</v>
      </c>
      <c r="AL471" s="95">
        <v>1</v>
      </c>
      <c r="AM471" s="204">
        <f t="shared" si="2911"/>
        <v>1</v>
      </c>
      <c r="AN471" s="95"/>
      <c r="AO471" s="94">
        <f t="shared" si="2816"/>
        <v>0</v>
      </c>
      <c r="AP471" s="94">
        <f t="shared" si="2806"/>
        <v>0</v>
      </c>
      <c r="AQ471" s="94">
        <f t="shared" si="2807"/>
        <v>3962.7719999999999</v>
      </c>
      <c r="AR471" s="94">
        <f t="shared" si="2817"/>
        <v>3962.7719999999999</v>
      </c>
      <c r="AS471" s="94">
        <f t="shared" si="2818"/>
        <v>3962.7719999999999</v>
      </c>
      <c r="AT471" s="94">
        <f t="shared" si="2819"/>
        <v>3962.7719999999999</v>
      </c>
      <c r="AU471" s="94">
        <f t="shared" si="2820"/>
        <v>4403.08</v>
      </c>
      <c r="AV471" s="94">
        <f t="shared" si="2821"/>
        <v>4403.08</v>
      </c>
      <c r="AW471" s="94">
        <f t="shared" si="2822"/>
        <v>4403.08</v>
      </c>
      <c r="AX471" s="94">
        <f t="shared" si="2823"/>
        <v>4403.08</v>
      </c>
      <c r="AY471" s="94">
        <f t="shared" si="2824"/>
        <v>4403.08</v>
      </c>
      <c r="AZ471" s="94">
        <f t="shared" si="2825"/>
        <v>4403.08</v>
      </c>
      <c r="BA471" s="94">
        <f t="shared" si="2826"/>
        <v>4403.08</v>
      </c>
      <c r="BB471" s="94">
        <f t="shared" si="2827"/>
        <v>4403.08</v>
      </c>
    </row>
    <row r="472" spans="1:54" x14ac:dyDescent="0.25">
      <c r="A472" s="80"/>
      <c r="B472" s="95" t="s">
        <v>2853</v>
      </c>
      <c r="C472" s="201" t="s">
        <v>98</v>
      </c>
      <c r="D472" s="80" t="s">
        <v>783</v>
      </c>
      <c r="E472" s="94" t="str">
        <f>IFERROR(VLOOKUP(A472,Estimate!A:Q,17,FALSE)," ")</f>
        <v xml:space="preserve"> </v>
      </c>
      <c r="F472" s="202" t="s">
        <v>781</v>
      </c>
      <c r="G472" s="202" t="s">
        <v>781</v>
      </c>
      <c r="H472" s="203" t="s">
        <v>781</v>
      </c>
      <c r="I472" s="203" t="s">
        <v>781</v>
      </c>
      <c r="J472" s="203" t="s">
        <v>781</v>
      </c>
      <c r="K472" s="203"/>
      <c r="L472" s="202" t="s">
        <v>781</v>
      </c>
      <c r="M472" s="204" t="str">
        <f t="shared" si="2809"/>
        <v xml:space="preserve"> </v>
      </c>
      <c r="N472" s="95" t="s">
        <v>781</v>
      </c>
      <c r="O472" s="204" t="str">
        <f t="shared" si="2809"/>
        <v xml:space="preserve"> </v>
      </c>
      <c r="P472" s="95" t="s">
        <v>781</v>
      </c>
      <c r="Q472" s="204" t="str">
        <f t="shared" ref="Q472:S472" si="2912">IFERROR(P472/$G472," ")</f>
        <v xml:space="preserve"> </v>
      </c>
      <c r="R472" s="95" t="s">
        <v>781</v>
      </c>
      <c r="S472" s="204" t="str">
        <f t="shared" si="2912"/>
        <v xml:space="preserve"> </v>
      </c>
      <c r="T472" s="95" t="s">
        <v>781</v>
      </c>
      <c r="U472" s="204" t="str">
        <f t="shared" ref="U472:W472" si="2913">IFERROR(T472/$G472," ")</f>
        <v xml:space="preserve"> </v>
      </c>
      <c r="V472" s="95" t="s">
        <v>781</v>
      </c>
      <c r="W472" s="204" t="str">
        <f t="shared" si="2913"/>
        <v xml:space="preserve"> </v>
      </c>
      <c r="X472" s="95" t="s">
        <v>781</v>
      </c>
      <c r="Y472" s="204" t="str">
        <f t="shared" ref="Y472:AA472" si="2914">IFERROR(X472/$G472," ")</f>
        <v xml:space="preserve"> </v>
      </c>
      <c r="Z472" s="95" t="s">
        <v>781</v>
      </c>
      <c r="AA472" s="204" t="str">
        <f t="shared" si="2914"/>
        <v xml:space="preserve"> </v>
      </c>
      <c r="AB472" s="95" t="s">
        <v>781</v>
      </c>
      <c r="AC472" s="204" t="str">
        <f t="shared" ref="AC472:AE472" si="2915">IFERROR(AB472/$G472," ")</f>
        <v xml:space="preserve"> </v>
      </c>
      <c r="AD472" s="95" t="s">
        <v>781</v>
      </c>
      <c r="AE472" s="204" t="str">
        <f t="shared" si="2915"/>
        <v xml:space="preserve"> </v>
      </c>
      <c r="AF472" s="95" t="s">
        <v>781</v>
      </c>
      <c r="AG472" s="204" t="str">
        <f t="shared" ref="AG472:AI472" si="2916">IFERROR(AF472/$G472," ")</f>
        <v xml:space="preserve"> </v>
      </c>
      <c r="AH472" s="95" t="s">
        <v>781</v>
      </c>
      <c r="AI472" s="204" t="str">
        <f t="shared" si="2916"/>
        <v xml:space="preserve"> </v>
      </c>
      <c r="AJ472" s="95" t="s">
        <v>781</v>
      </c>
      <c r="AK472" s="204" t="str">
        <f t="shared" ref="AK472:AM472" si="2917">IFERROR(AJ472/$G472," ")</f>
        <v xml:space="preserve"> </v>
      </c>
      <c r="AL472" s="95" t="s">
        <v>781</v>
      </c>
      <c r="AM472" s="204" t="str">
        <f t="shared" si="2917"/>
        <v xml:space="preserve"> </v>
      </c>
      <c r="AN472" s="95"/>
      <c r="AO472" s="94" t="str">
        <f t="shared" si="2816"/>
        <v xml:space="preserve"> </v>
      </c>
      <c r="AP472" s="94" t="str">
        <f t="shared" si="2806"/>
        <v xml:space="preserve"> </v>
      </c>
      <c r="AQ472" s="94" t="str">
        <f t="shared" si="2807"/>
        <v xml:space="preserve"> </v>
      </c>
      <c r="AR472" s="94" t="str">
        <f t="shared" si="2817"/>
        <v xml:space="preserve"> </v>
      </c>
      <c r="AS472" s="94" t="str">
        <f t="shared" si="2818"/>
        <v xml:space="preserve"> </v>
      </c>
      <c r="AT472" s="94" t="str">
        <f t="shared" si="2819"/>
        <v xml:space="preserve"> </v>
      </c>
      <c r="AU472" s="94" t="str">
        <f t="shared" si="2820"/>
        <v xml:space="preserve"> </v>
      </c>
      <c r="AV472" s="94" t="str">
        <f t="shared" si="2821"/>
        <v xml:space="preserve"> </v>
      </c>
      <c r="AW472" s="94" t="str">
        <f t="shared" si="2822"/>
        <v xml:space="preserve"> </v>
      </c>
      <c r="AX472" s="94" t="str">
        <f t="shared" si="2823"/>
        <v xml:space="preserve"> </v>
      </c>
      <c r="AY472" s="94" t="str">
        <f t="shared" si="2824"/>
        <v xml:space="preserve"> </v>
      </c>
      <c r="AZ472" s="94" t="str">
        <f t="shared" si="2825"/>
        <v xml:space="preserve"> </v>
      </c>
      <c r="BA472" s="94" t="str">
        <f t="shared" si="2826"/>
        <v xml:space="preserve"> </v>
      </c>
      <c r="BB472" s="94" t="str">
        <f t="shared" si="2827"/>
        <v xml:space="preserve"> </v>
      </c>
    </row>
    <row r="473" spans="1:54" x14ac:dyDescent="0.25">
      <c r="A473" s="80">
        <v>189</v>
      </c>
      <c r="B473" s="95" t="s">
        <v>2872</v>
      </c>
      <c r="C473" s="201" t="s">
        <v>195</v>
      </c>
      <c r="D473" s="80" t="s">
        <v>89</v>
      </c>
      <c r="E473" s="94">
        <f>IFERROR(VLOOKUP(A473,Estimate!A:Q,17,FALSE)," ")</f>
        <v>16640.026279069767</v>
      </c>
      <c r="F473" s="202">
        <v>313</v>
      </c>
      <c r="G473" s="202">
        <v>313</v>
      </c>
      <c r="H473" s="203">
        <v>66.78</v>
      </c>
      <c r="I473" s="203">
        <v>20902.14</v>
      </c>
      <c r="J473" s="203">
        <v>20902.14</v>
      </c>
      <c r="K473" s="203"/>
      <c r="L473" s="202"/>
      <c r="M473" s="204">
        <f t="shared" si="2809"/>
        <v>0</v>
      </c>
      <c r="N473" s="95">
        <v>250</v>
      </c>
      <c r="O473" s="204">
        <f t="shared" si="2809"/>
        <v>0.79872204472843455</v>
      </c>
      <c r="P473" s="95">
        <v>250</v>
      </c>
      <c r="Q473" s="204">
        <f t="shared" ref="Q473:S473" si="2918">IFERROR(P473/$G473," ")</f>
        <v>0.79872204472843455</v>
      </c>
      <c r="R473" s="95">
        <v>250</v>
      </c>
      <c r="S473" s="204">
        <f t="shared" si="2918"/>
        <v>0.79872204472843455</v>
      </c>
      <c r="T473" s="95">
        <v>250</v>
      </c>
      <c r="U473" s="204">
        <f t="shared" ref="U473:W473" si="2919">IFERROR(T473/$G473," ")</f>
        <v>0.79872204472843455</v>
      </c>
      <c r="V473" s="95">
        <v>313</v>
      </c>
      <c r="W473" s="204">
        <f t="shared" si="2919"/>
        <v>1</v>
      </c>
      <c r="X473" s="95">
        <v>313</v>
      </c>
      <c r="Y473" s="204">
        <f t="shared" ref="Y473:AA473" si="2920">IFERROR(X473/$G473," ")</f>
        <v>1</v>
      </c>
      <c r="Z473" s="95">
        <v>313</v>
      </c>
      <c r="AA473" s="204">
        <f t="shared" si="2920"/>
        <v>1</v>
      </c>
      <c r="AB473" s="95">
        <v>313</v>
      </c>
      <c r="AC473" s="204">
        <f t="shared" ref="AC473:AE473" si="2921">IFERROR(AB473/$G473," ")</f>
        <v>1</v>
      </c>
      <c r="AD473" s="95">
        <v>313</v>
      </c>
      <c r="AE473" s="204">
        <f t="shared" si="2921"/>
        <v>1</v>
      </c>
      <c r="AF473" s="95">
        <v>313</v>
      </c>
      <c r="AG473" s="204">
        <f t="shared" ref="AG473:AI473" si="2922">IFERROR(AF473/$G473," ")</f>
        <v>1</v>
      </c>
      <c r="AH473" s="95">
        <v>313</v>
      </c>
      <c r="AI473" s="204">
        <f t="shared" si="2922"/>
        <v>1</v>
      </c>
      <c r="AJ473" s="95">
        <v>313</v>
      </c>
      <c r="AK473" s="204">
        <f t="shared" ref="AK473:AM473" si="2923">IFERROR(AJ473/$G473," ")</f>
        <v>1</v>
      </c>
      <c r="AL473" s="95">
        <v>313</v>
      </c>
      <c r="AM473" s="204">
        <f t="shared" si="2923"/>
        <v>1</v>
      </c>
      <c r="AN473" s="95"/>
      <c r="AO473" s="94">
        <f t="shared" si="2816"/>
        <v>0</v>
      </c>
      <c r="AP473" s="94">
        <f t="shared" si="2806"/>
        <v>16695</v>
      </c>
      <c r="AQ473" s="94">
        <f t="shared" si="2807"/>
        <v>16695</v>
      </c>
      <c r="AR473" s="94">
        <f t="shared" si="2817"/>
        <v>16695</v>
      </c>
      <c r="AS473" s="94">
        <f t="shared" si="2818"/>
        <v>16695</v>
      </c>
      <c r="AT473" s="94">
        <f t="shared" si="2819"/>
        <v>20902.14</v>
      </c>
      <c r="AU473" s="94">
        <f t="shared" si="2820"/>
        <v>20902.14</v>
      </c>
      <c r="AV473" s="94">
        <f t="shared" si="2821"/>
        <v>20902.14</v>
      </c>
      <c r="AW473" s="94">
        <f t="shared" si="2822"/>
        <v>20902.14</v>
      </c>
      <c r="AX473" s="94">
        <f t="shared" si="2823"/>
        <v>20902.14</v>
      </c>
      <c r="AY473" s="94">
        <f t="shared" si="2824"/>
        <v>20902.14</v>
      </c>
      <c r="AZ473" s="94">
        <f t="shared" si="2825"/>
        <v>20902.14</v>
      </c>
      <c r="BA473" s="94">
        <f t="shared" si="2826"/>
        <v>20902.14</v>
      </c>
      <c r="BB473" s="94">
        <f t="shared" si="2827"/>
        <v>20902.14</v>
      </c>
    </row>
    <row r="474" spans="1:54" x14ac:dyDescent="0.25">
      <c r="A474" s="80">
        <v>190</v>
      </c>
      <c r="B474" s="95" t="s">
        <v>2873</v>
      </c>
      <c r="C474" s="201" t="s">
        <v>650</v>
      </c>
      <c r="D474" s="80" t="s">
        <v>89</v>
      </c>
      <c r="E474" s="94">
        <f>IFERROR(VLOOKUP(A474,Estimate!A:Q,17,FALSE)," ")</f>
        <v>1690.9099999999999</v>
      </c>
      <c r="F474" s="202">
        <v>13</v>
      </c>
      <c r="G474" s="202">
        <v>13</v>
      </c>
      <c r="H474" s="203">
        <v>163.4</v>
      </c>
      <c r="I474" s="203">
        <v>2124.1999999999998</v>
      </c>
      <c r="J474" s="203">
        <v>2124.1999999999998</v>
      </c>
      <c r="K474" s="203"/>
      <c r="L474" s="202"/>
      <c r="M474" s="204">
        <f t="shared" si="2809"/>
        <v>0</v>
      </c>
      <c r="N474" s="95"/>
      <c r="O474" s="204">
        <f t="shared" si="2809"/>
        <v>0</v>
      </c>
      <c r="P474" s="95"/>
      <c r="Q474" s="204">
        <f t="shared" ref="Q474:S474" si="2924">IFERROR(P474/$G474," ")</f>
        <v>0</v>
      </c>
      <c r="R474" s="95"/>
      <c r="S474" s="204">
        <f t="shared" si="2924"/>
        <v>0</v>
      </c>
      <c r="T474" s="95"/>
      <c r="U474" s="204">
        <f t="shared" ref="U474:W474" si="2925">IFERROR(T474/$G474," ")</f>
        <v>0</v>
      </c>
      <c r="V474" s="95">
        <v>13</v>
      </c>
      <c r="W474" s="204">
        <f t="shared" si="2925"/>
        <v>1</v>
      </c>
      <c r="X474" s="95">
        <v>13</v>
      </c>
      <c r="Y474" s="204">
        <f t="shared" ref="Y474:AA474" si="2926">IFERROR(X474/$G474," ")</f>
        <v>1</v>
      </c>
      <c r="Z474" s="95">
        <v>13</v>
      </c>
      <c r="AA474" s="204">
        <f t="shared" si="2926"/>
        <v>1</v>
      </c>
      <c r="AB474" s="95">
        <v>13</v>
      </c>
      <c r="AC474" s="204">
        <f t="shared" ref="AC474:AE474" si="2927">IFERROR(AB474/$G474," ")</f>
        <v>1</v>
      </c>
      <c r="AD474" s="95">
        <v>13</v>
      </c>
      <c r="AE474" s="204">
        <f t="shared" si="2927"/>
        <v>1</v>
      </c>
      <c r="AF474" s="95">
        <v>13</v>
      </c>
      <c r="AG474" s="204">
        <f t="shared" ref="AG474:AI474" si="2928">IFERROR(AF474/$G474," ")</f>
        <v>1</v>
      </c>
      <c r="AH474" s="95">
        <v>13</v>
      </c>
      <c r="AI474" s="204">
        <f t="shared" si="2928"/>
        <v>1</v>
      </c>
      <c r="AJ474" s="95">
        <v>13</v>
      </c>
      <c r="AK474" s="204">
        <f t="shared" ref="AK474:AM474" si="2929">IFERROR(AJ474/$G474," ")</f>
        <v>1</v>
      </c>
      <c r="AL474" s="95">
        <v>13</v>
      </c>
      <c r="AM474" s="204">
        <f t="shared" si="2929"/>
        <v>1</v>
      </c>
      <c r="AN474" s="95"/>
      <c r="AO474" s="94">
        <f t="shared" si="2816"/>
        <v>0</v>
      </c>
      <c r="AP474" s="94">
        <f t="shared" si="2806"/>
        <v>0</v>
      </c>
      <c r="AQ474" s="94">
        <f t="shared" si="2807"/>
        <v>0</v>
      </c>
      <c r="AR474" s="94">
        <f t="shared" si="2817"/>
        <v>0</v>
      </c>
      <c r="AS474" s="94">
        <f t="shared" si="2818"/>
        <v>0</v>
      </c>
      <c r="AT474" s="94">
        <f t="shared" si="2819"/>
        <v>2124.1999999999998</v>
      </c>
      <c r="AU474" s="94">
        <f t="shared" si="2820"/>
        <v>2124.1999999999998</v>
      </c>
      <c r="AV474" s="94">
        <f t="shared" si="2821"/>
        <v>2124.1999999999998</v>
      </c>
      <c r="AW474" s="94">
        <f t="shared" si="2822"/>
        <v>2124.1999999999998</v>
      </c>
      <c r="AX474" s="94">
        <f t="shared" si="2823"/>
        <v>2124.1999999999998</v>
      </c>
      <c r="AY474" s="94">
        <f t="shared" si="2824"/>
        <v>2124.1999999999998</v>
      </c>
      <c r="AZ474" s="94">
        <f t="shared" si="2825"/>
        <v>2124.1999999999998</v>
      </c>
      <c r="BA474" s="94">
        <f t="shared" si="2826"/>
        <v>2124.1999999999998</v>
      </c>
      <c r="BB474" s="94">
        <f t="shared" si="2827"/>
        <v>2124.1999999999998</v>
      </c>
    </row>
    <row r="475" spans="1:54" x14ac:dyDescent="0.25">
      <c r="A475" s="80"/>
      <c r="B475" s="95" t="s">
        <v>2417</v>
      </c>
      <c r="C475" s="201" t="s">
        <v>2837</v>
      </c>
      <c r="D475" s="80" t="s">
        <v>783</v>
      </c>
      <c r="E475" s="94" t="str">
        <f>IFERROR(VLOOKUP(A475,Estimate!A:Q,17,FALSE)," ")</f>
        <v xml:space="preserve"> </v>
      </c>
      <c r="F475" s="202" t="s">
        <v>781</v>
      </c>
      <c r="G475" s="202" t="s">
        <v>781</v>
      </c>
      <c r="H475" s="203" t="s">
        <v>781</v>
      </c>
      <c r="I475" s="203" t="s">
        <v>781</v>
      </c>
      <c r="J475" s="203" t="s">
        <v>781</v>
      </c>
      <c r="K475" s="203"/>
      <c r="L475" s="202" t="s">
        <v>781</v>
      </c>
      <c r="M475" s="204" t="str">
        <f t="shared" si="2809"/>
        <v xml:space="preserve"> </v>
      </c>
      <c r="N475" s="95" t="s">
        <v>781</v>
      </c>
      <c r="O475" s="204" t="str">
        <f t="shared" si="2809"/>
        <v xml:space="preserve"> </v>
      </c>
      <c r="P475" s="95" t="s">
        <v>781</v>
      </c>
      <c r="Q475" s="204" t="str">
        <f t="shared" ref="Q475:S475" si="2930">IFERROR(P475/$G475," ")</f>
        <v xml:space="preserve"> </v>
      </c>
      <c r="R475" s="95" t="s">
        <v>781</v>
      </c>
      <c r="S475" s="204" t="str">
        <f t="shared" si="2930"/>
        <v xml:space="preserve"> </v>
      </c>
      <c r="T475" s="95" t="s">
        <v>781</v>
      </c>
      <c r="U475" s="204" t="str">
        <f t="shared" ref="U475:W475" si="2931">IFERROR(T475/$G475," ")</f>
        <v xml:space="preserve"> </v>
      </c>
      <c r="V475" s="95" t="s">
        <v>781</v>
      </c>
      <c r="W475" s="204" t="str">
        <f t="shared" si="2931"/>
        <v xml:space="preserve"> </v>
      </c>
      <c r="X475" s="95" t="s">
        <v>781</v>
      </c>
      <c r="Y475" s="204" t="str">
        <f t="shared" ref="Y475:AA475" si="2932">IFERROR(X475/$G475," ")</f>
        <v xml:space="preserve"> </v>
      </c>
      <c r="Z475" s="95" t="s">
        <v>781</v>
      </c>
      <c r="AA475" s="204" t="str">
        <f t="shared" si="2932"/>
        <v xml:space="preserve"> </v>
      </c>
      <c r="AB475" s="95" t="s">
        <v>781</v>
      </c>
      <c r="AC475" s="204" t="str">
        <f t="shared" ref="AC475:AE475" si="2933">IFERROR(AB475/$G475," ")</f>
        <v xml:space="preserve"> </v>
      </c>
      <c r="AD475" s="95" t="s">
        <v>781</v>
      </c>
      <c r="AE475" s="204" t="str">
        <f t="shared" si="2933"/>
        <v xml:space="preserve"> </v>
      </c>
      <c r="AF475" s="95" t="s">
        <v>781</v>
      </c>
      <c r="AG475" s="204" t="str">
        <f t="shared" ref="AG475:AI475" si="2934">IFERROR(AF475/$G475," ")</f>
        <v xml:space="preserve"> </v>
      </c>
      <c r="AH475" s="95" t="s">
        <v>781</v>
      </c>
      <c r="AI475" s="204" t="str">
        <f t="shared" si="2934"/>
        <v xml:space="preserve"> </v>
      </c>
      <c r="AJ475" s="95" t="s">
        <v>781</v>
      </c>
      <c r="AK475" s="204" t="str">
        <f t="shared" ref="AK475:AM475" si="2935">IFERROR(AJ475/$G475," ")</f>
        <v xml:space="preserve"> </v>
      </c>
      <c r="AL475" s="95" t="s">
        <v>781</v>
      </c>
      <c r="AM475" s="204" t="str">
        <f t="shared" si="2935"/>
        <v xml:space="preserve"> </v>
      </c>
      <c r="AN475" s="95"/>
      <c r="AO475" s="94" t="str">
        <f t="shared" si="2816"/>
        <v xml:space="preserve"> </v>
      </c>
      <c r="AP475" s="94" t="str">
        <f t="shared" si="2806"/>
        <v xml:space="preserve"> </v>
      </c>
      <c r="AQ475" s="94" t="str">
        <f t="shared" si="2807"/>
        <v xml:space="preserve"> </v>
      </c>
      <c r="AR475" s="94" t="str">
        <f t="shared" si="2817"/>
        <v xml:space="preserve"> </v>
      </c>
      <c r="AS475" s="94" t="str">
        <f t="shared" si="2818"/>
        <v xml:space="preserve"> </v>
      </c>
      <c r="AT475" s="94" t="str">
        <f t="shared" si="2819"/>
        <v xml:space="preserve"> </v>
      </c>
      <c r="AU475" s="94" t="str">
        <f t="shared" si="2820"/>
        <v xml:space="preserve"> </v>
      </c>
      <c r="AV475" s="94" t="str">
        <f t="shared" si="2821"/>
        <v xml:space="preserve"> </v>
      </c>
      <c r="AW475" s="94" t="str">
        <f t="shared" si="2822"/>
        <v xml:space="preserve"> </v>
      </c>
      <c r="AX475" s="94" t="str">
        <f t="shared" si="2823"/>
        <v xml:space="preserve"> </v>
      </c>
      <c r="AY475" s="94" t="str">
        <f t="shared" si="2824"/>
        <v xml:space="preserve"> </v>
      </c>
      <c r="AZ475" s="94" t="str">
        <f t="shared" si="2825"/>
        <v xml:space="preserve"> </v>
      </c>
      <c r="BA475" s="94" t="str">
        <f t="shared" si="2826"/>
        <v xml:space="preserve"> </v>
      </c>
      <c r="BB475" s="94" t="str">
        <f t="shared" si="2827"/>
        <v xml:space="preserve"> </v>
      </c>
    </row>
    <row r="476" spans="1:54" x14ac:dyDescent="0.25">
      <c r="A476" s="80"/>
      <c r="B476" s="95" t="s">
        <v>2417</v>
      </c>
      <c r="C476" s="201" t="s">
        <v>204</v>
      </c>
      <c r="D476" s="80" t="s">
        <v>783</v>
      </c>
      <c r="E476" s="94" t="str">
        <f>IFERROR(VLOOKUP(A476,Estimate!A:Q,17,FALSE)," ")</f>
        <v xml:space="preserve"> </v>
      </c>
      <c r="F476" s="202" t="s">
        <v>781</v>
      </c>
      <c r="G476" s="202" t="s">
        <v>781</v>
      </c>
      <c r="H476" s="203" t="s">
        <v>781</v>
      </c>
      <c r="I476" s="203" t="s">
        <v>781</v>
      </c>
      <c r="J476" s="203" t="s">
        <v>781</v>
      </c>
      <c r="K476" s="203"/>
      <c r="L476" s="202" t="s">
        <v>781</v>
      </c>
      <c r="M476" s="204" t="str">
        <f t="shared" si="2809"/>
        <v xml:space="preserve"> </v>
      </c>
      <c r="N476" s="95" t="s">
        <v>781</v>
      </c>
      <c r="O476" s="204" t="str">
        <f t="shared" si="2809"/>
        <v xml:space="preserve"> </v>
      </c>
      <c r="P476" s="95" t="s">
        <v>781</v>
      </c>
      <c r="Q476" s="204" t="str">
        <f t="shared" ref="Q476:S476" si="2936">IFERROR(P476/$G476," ")</f>
        <v xml:space="preserve"> </v>
      </c>
      <c r="R476" s="95" t="s">
        <v>781</v>
      </c>
      <c r="S476" s="204" t="str">
        <f t="shared" si="2936"/>
        <v xml:space="preserve"> </v>
      </c>
      <c r="T476" s="95" t="s">
        <v>781</v>
      </c>
      <c r="U476" s="204" t="str">
        <f t="shared" ref="U476:W476" si="2937">IFERROR(T476/$G476," ")</f>
        <v xml:space="preserve"> </v>
      </c>
      <c r="V476" s="95" t="s">
        <v>781</v>
      </c>
      <c r="W476" s="204" t="str">
        <f t="shared" si="2937"/>
        <v xml:space="preserve"> </v>
      </c>
      <c r="X476" s="95" t="s">
        <v>781</v>
      </c>
      <c r="Y476" s="204" t="str">
        <f t="shared" ref="Y476:AA476" si="2938">IFERROR(X476/$G476," ")</f>
        <v xml:space="preserve"> </v>
      </c>
      <c r="Z476" s="95" t="s">
        <v>781</v>
      </c>
      <c r="AA476" s="204" t="str">
        <f t="shared" si="2938"/>
        <v xml:space="preserve"> </v>
      </c>
      <c r="AB476" s="95" t="s">
        <v>781</v>
      </c>
      <c r="AC476" s="204" t="str">
        <f t="shared" ref="AC476:AE476" si="2939">IFERROR(AB476/$G476," ")</f>
        <v xml:space="preserve"> </v>
      </c>
      <c r="AD476" s="95" t="s">
        <v>781</v>
      </c>
      <c r="AE476" s="204" t="str">
        <f t="shared" si="2939"/>
        <v xml:space="preserve"> </v>
      </c>
      <c r="AF476" s="95" t="s">
        <v>781</v>
      </c>
      <c r="AG476" s="204" t="str">
        <f t="shared" ref="AG476:AI476" si="2940">IFERROR(AF476/$G476," ")</f>
        <v xml:space="preserve"> </v>
      </c>
      <c r="AH476" s="95" t="s">
        <v>781</v>
      </c>
      <c r="AI476" s="204" t="str">
        <f t="shared" si="2940"/>
        <v xml:space="preserve"> </v>
      </c>
      <c r="AJ476" s="95" t="s">
        <v>781</v>
      </c>
      <c r="AK476" s="204" t="str">
        <f t="shared" ref="AK476:AM476" si="2941">IFERROR(AJ476/$G476," ")</f>
        <v xml:space="preserve"> </v>
      </c>
      <c r="AL476" s="95" t="s">
        <v>781</v>
      </c>
      <c r="AM476" s="204" t="str">
        <f t="shared" si="2941"/>
        <v xml:space="preserve"> </v>
      </c>
      <c r="AN476" s="95"/>
      <c r="AO476" s="94" t="str">
        <f t="shared" si="2816"/>
        <v xml:space="preserve"> </v>
      </c>
      <c r="AP476" s="94" t="str">
        <f t="shared" si="2806"/>
        <v xml:space="preserve"> </v>
      </c>
      <c r="AQ476" s="94" t="str">
        <f t="shared" si="2807"/>
        <v xml:space="preserve"> </v>
      </c>
      <c r="AR476" s="94" t="str">
        <f t="shared" si="2817"/>
        <v xml:space="preserve"> </v>
      </c>
      <c r="AS476" s="94" t="str">
        <f t="shared" si="2818"/>
        <v xml:space="preserve"> </v>
      </c>
      <c r="AT476" s="94" t="str">
        <f t="shared" si="2819"/>
        <v xml:space="preserve"> </v>
      </c>
      <c r="AU476" s="94" t="str">
        <f t="shared" si="2820"/>
        <v xml:space="preserve"> </v>
      </c>
      <c r="AV476" s="94" t="str">
        <f t="shared" si="2821"/>
        <v xml:space="preserve"> </v>
      </c>
      <c r="AW476" s="94" t="str">
        <f t="shared" si="2822"/>
        <v xml:space="preserve"> </v>
      </c>
      <c r="AX476" s="94" t="str">
        <f t="shared" si="2823"/>
        <v xml:space="preserve"> </v>
      </c>
      <c r="AY476" s="94" t="str">
        <f t="shared" si="2824"/>
        <v xml:space="preserve"> </v>
      </c>
      <c r="AZ476" s="94" t="str">
        <f t="shared" si="2825"/>
        <v xml:space="preserve"> </v>
      </c>
      <c r="BA476" s="94" t="str">
        <f t="shared" si="2826"/>
        <v xml:space="preserve"> </v>
      </c>
      <c r="BB476" s="94" t="str">
        <f t="shared" si="2827"/>
        <v xml:space="preserve"> </v>
      </c>
    </row>
    <row r="477" spans="1:54" x14ac:dyDescent="0.25">
      <c r="A477" s="80"/>
      <c r="B477" s="95" t="s">
        <v>2896</v>
      </c>
      <c r="C477" s="201" t="s">
        <v>391</v>
      </c>
      <c r="D477" s="80" t="s">
        <v>783</v>
      </c>
      <c r="E477" s="94" t="str">
        <f>IFERROR(VLOOKUP(A477,Estimate!A:Q,17,FALSE)," ")</f>
        <v xml:space="preserve"> </v>
      </c>
      <c r="F477" s="202" t="s">
        <v>781</v>
      </c>
      <c r="G477" s="202" t="s">
        <v>781</v>
      </c>
      <c r="H477" s="203" t="s">
        <v>781</v>
      </c>
      <c r="I477" s="203" t="s">
        <v>781</v>
      </c>
      <c r="J477" s="203" t="s">
        <v>781</v>
      </c>
      <c r="K477" s="203"/>
      <c r="L477" s="202" t="s">
        <v>781</v>
      </c>
      <c r="M477" s="204" t="str">
        <f t="shared" si="2809"/>
        <v xml:space="preserve"> </v>
      </c>
      <c r="N477" s="95" t="s">
        <v>781</v>
      </c>
      <c r="O477" s="204" t="str">
        <f t="shared" si="2809"/>
        <v xml:space="preserve"> </v>
      </c>
      <c r="P477" s="95" t="s">
        <v>781</v>
      </c>
      <c r="Q477" s="204" t="str">
        <f t="shared" ref="Q477:S477" si="2942">IFERROR(P477/$G477," ")</f>
        <v xml:space="preserve"> </v>
      </c>
      <c r="R477" s="95" t="s">
        <v>781</v>
      </c>
      <c r="S477" s="204" t="str">
        <f t="shared" si="2942"/>
        <v xml:space="preserve"> </v>
      </c>
      <c r="T477" s="95" t="s">
        <v>781</v>
      </c>
      <c r="U477" s="204" t="str">
        <f t="shared" ref="U477:W477" si="2943">IFERROR(T477/$G477," ")</f>
        <v xml:space="preserve"> </v>
      </c>
      <c r="V477" s="95" t="s">
        <v>781</v>
      </c>
      <c r="W477" s="204" t="str">
        <f t="shared" si="2943"/>
        <v xml:space="preserve"> </v>
      </c>
      <c r="X477" s="95" t="s">
        <v>781</v>
      </c>
      <c r="Y477" s="204" t="str">
        <f t="shared" ref="Y477:AA477" si="2944">IFERROR(X477/$G477," ")</f>
        <v xml:space="preserve"> </v>
      </c>
      <c r="Z477" s="95" t="s">
        <v>781</v>
      </c>
      <c r="AA477" s="204" t="str">
        <f t="shared" si="2944"/>
        <v xml:space="preserve"> </v>
      </c>
      <c r="AB477" s="95" t="s">
        <v>781</v>
      </c>
      <c r="AC477" s="204" t="str">
        <f t="shared" ref="AC477:AE477" si="2945">IFERROR(AB477/$G477," ")</f>
        <v xml:space="preserve"> </v>
      </c>
      <c r="AD477" s="95" t="s">
        <v>781</v>
      </c>
      <c r="AE477" s="204" t="str">
        <f t="shared" si="2945"/>
        <v xml:space="preserve"> </v>
      </c>
      <c r="AF477" s="95" t="s">
        <v>781</v>
      </c>
      <c r="AG477" s="204" t="str">
        <f t="shared" ref="AG477:AI477" si="2946">IFERROR(AF477/$G477," ")</f>
        <v xml:space="preserve"> </v>
      </c>
      <c r="AH477" s="95" t="s">
        <v>781</v>
      </c>
      <c r="AI477" s="204" t="str">
        <f t="shared" si="2946"/>
        <v xml:space="preserve"> </v>
      </c>
      <c r="AJ477" s="95" t="s">
        <v>781</v>
      </c>
      <c r="AK477" s="204" t="str">
        <f t="shared" ref="AK477:AM477" si="2947">IFERROR(AJ477/$G477," ")</f>
        <v xml:space="preserve"> </v>
      </c>
      <c r="AL477" s="95" t="s">
        <v>781</v>
      </c>
      <c r="AM477" s="204" t="str">
        <f t="shared" si="2947"/>
        <v xml:space="preserve"> </v>
      </c>
      <c r="AN477" s="95"/>
      <c r="AO477" s="94" t="str">
        <f t="shared" si="2816"/>
        <v xml:space="preserve"> </v>
      </c>
      <c r="AP477" s="94" t="str">
        <f t="shared" si="2806"/>
        <v xml:space="preserve"> </v>
      </c>
      <c r="AQ477" s="94" t="str">
        <f t="shared" si="2807"/>
        <v xml:space="preserve"> </v>
      </c>
      <c r="AR477" s="94" t="str">
        <f t="shared" si="2817"/>
        <v xml:space="preserve"> </v>
      </c>
      <c r="AS477" s="94" t="str">
        <f t="shared" si="2818"/>
        <v xml:space="preserve"> </v>
      </c>
      <c r="AT477" s="94" t="str">
        <f t="shared" si="2819"/>
        <v xml:space="preserve"> </v>
      </c>
      <c r="AU477" s="94" t="str">
        <f t="shared" si="2820"/>
        <v xml:space="preserve"> </v>
      </c>
      <c r="AV477" s="94" t="str">
        <f t="shared" si="2821"/>
        <v xml:space="preserve"> </v>
      </c>
      <c r="AW477" s="94" t="str">
        <f t="shared" si="2822"/>
        <v xml:space="preserve"> </v>
      </c>
      <c r="AX477" s="94" t="str">
        <f t="shared" si="2823"/>
        <v xml:space="preserve"> </v>
      </c>
      <c r="AY477" s="94" t="str">
        <f t="shared" si="2824"/>
        <v xml:space="preserve"> </v>
      </c>
      <c r="AZ477" s="94" t="str">
        <f t="shared" si="2825"/>
        <v xml:space="preserve"> </v>
      </c>
      <c r="BA477" s="94" t="str">
        <f t="shared" si="2826"/>
        <v xml:space="preserve"> </v>
      </c>
      <c r="BB477" s="94" t="str">
        <f t="shared" si="2827"/>
        <v xml:space="preserve"> </v>
      </c>
    </row>
    <row r="478" spans="1:54" ht="30" x14ac:dyDescent="0.25">
      <c r="A478" s="80">
        <v>191</v>
      </c>
      <c r="B478" s="95" t="s">
        <v>2923</v>
      </c>
      <c r="C478" s="201" t="s">
        <v>654</v>
      </c>
      <c r="D478" s="80" t="s">
        <v>89</v>
      </c>
      <c r="E478" s="94">
        <f>IFERROR(VLOOKUP(A478,Estimate!A:Q,17,FALSE)," ")</f>
        <v>11600.308266426644</v>
      </c>
      <c r="F478" s="202">
        <v>281</v>
      </c>
      <c r="G478" s="202">
        <v>281</v>
      </c>
      <c r="H478" s="203">
        <v>51.86</v>
      </c>
      <c r="I478" s="203">
        <v>14572.66</v>
      </c>
      <c r="J478" s="203">
        <v>14572.66</v>
      </c>
      <c r="K478" s="203"/>
      <c r="L478" s="202"/>
      <c r="M478" s="204">
        <f t="shared" si="2809"/>
        <v>0</v>
      </c>
      <c r="N478" s="95">
        <v>245</v>
      </c>
      <c r="O478" s="204">
        <f t="shared" si="2809"/>
        <v>0.87188612099644125</v>
      </c>
      <c r="P478" s="95">
        <v>245</v>
      </c>
      <c r="Q478" s="204">
        <f t="shared" ref="Q478:S478" si="2948">IFERROR(P478/$G478," ")</f>
        <v>0.87188612099644125</v>
      </c>
      <c r="R478" s="95">
        <v>281</v>
      </c>
      <c r="S478" s="204">
        <f t="shared" si="2948"/>
        <v>1</v>
      </c>
      <c r="T478" s="95">
        <v>281</v>
      </c>
      <c r="U478" s="204">
        <f t="shared" ref="U478:W478" si="2949">IFERROR(T478/$G478," ")</f>
        <v>1</v>
      </c>
      <c r="V478" s="95">
        <v>281</v>
      </c>
      <c r="W478" s="204">
        <f t="shared" si="2949"/>
        <v>1</v>
      </c>
      <c r="X478" s="95">
        <v>281</v>
      </c>
      <c r="Y478" s="204">
        <f t="shared" ref="Y478:AA478" si="2950">IFERROR(X478/$G478," ")</f>
        <v>1</v>
      </c>
      <c r="Z478" s="95">
        <v>281</v>
      </c>
      <c r="AA478" s="204">
        <f t="shared" si="2950"/>
        <v>1</v>
      </c>
      <c r="AB478" s="95">
        <v>281</v>
      </c>
      <c r="AC478" s="204">
        <f t="shared" ref="AC478:AE478" si="2951">IFERROR(AB478/$G478," ")</f>
        <v>1</v>
      </c>
      <c r="AD478" s="95">
        <v>281</v>
      </c>
      <c r="AE478" s="204">
        <f t="shared" si="2951"/>
        <v>1</v>
      </c>
      <c r="AF478" s="95">
        <v>281</v>
      </c>
      <c r="AG478" s="204">
        <f t="shared" ref="AG478:AI478" si="2952">IFERROR(AF478/$G478," ")</f>
        <v>1</v>
      </c>
      <c r="AH478" s="95">
        <v>281</v>
      </c>
      <c r="AI478" s="204">
        <f t="shared" si="2952"/>
        <v>1</v>
      </c>
      <c r="AJ478" s="95">
        <v>281</v>
      </c>
      <c r="AK478" s="204">
        <f t="shared" ref="AK478:AM478" si="2953">IFERROR(AJ478/$G478," ")</f>
        <v>1</v>
      </c>
      <c r="AL478" s="95">
        <v>281</v>
      </c>
      <c r="AM478" s="204">
        <f t="shared" si="2953"/>
        <v>1</v>
      </c>
      <c r="AN478" s="95"/>
      <c r="AO478" s="94">
        <f t="shared" si="2816"/>
        <v>0</v>
      </c>
      <c r="AP478" s="94">
        <f t="shared" si="2806"/>
        <v>12705.699999999999</v>
      </c>
      <c r="AQ478" s="94">
        <f t="shared" si="2807"/>
        <v>12705.699999999999</v>
      </c>
      <c r="AR478" s="94">
        <f t="shared" si="2817"/>
        <v>14572.66</v>
      </c>
      <c r="AS478" s="94">
        <f t="shared" si="2818"/>
        <v>14572.66</v>
      </c>
      <c r="AT478" s="94">
        <f t="shared" si="2819"/>
        <v>14572.66</v>
      </c>
      <c r="AU478" s="94">
        <f t="shared" si="2820"/>
        <v>14572.66</v>
      </c>
      <c r="AV478" s="94">
        <f t="shared" si="2821"/>
        <v>14572.66</v>
      </c>
      <c r="AW478" s="94">
        <f t="shared" si="2822"/>
        <v>14572.66</v>
      </c>
      <c r="AX478" s="94">
        <f t="shared" si="2823"/>
        <v>14572.66</v>
      </c>
      <c r="AY478" s="94">
        <f t="shared" si="2824"/>
        <v>14572.66</v>
      </c>
      <c r="AZ478" s="94">
        <f t="shared" si="2825"/>
        <v>14572.66</v>
      </c>
      <c r="BA478" s="94">
        <f t="shared" si="2826"/>
        <v>14572.66</v>
      </c>
      <c r="BB478" s="94">
        <f t="shared" si="2827"/>
        <v>14572.66</v>
      </c>
    </row>
    <row r="479" spans="1:54" ht="45" x14ac:dyDescent="0.25">
      <c r="A479" s="80">
        <v>192</v>
      </c>
      <c r="B479" s="95" t="s">
        <v>2417</v>
      </c>
      <c r="C479" s="201" t="s">
        <v>656</v>
      </c>
      <c r="D479" s="80" t="s">
        <v>89</v>
      </c>
      <c r="E479" s="94">
        <f>IFERROR(VLOOKUP(A479,Estimate!A:Q,17,FALSE)," ")</f>
        <v>16027.717069306931</v>
      </c>
      <c r="F479" s="202">
        <v>242</v>
      </c>
      <c r="G479" s="202">
        <v>242</v>
      </c>
      <c r="H479" s="203">
        <v>83.2</v>
      </c>
      <c r="I479" s="203">
        <v>20134.400000000001</v>
      </c>
      <c r="J479" s="203">
        <v>20134.400000000001</v>
      </c>
      <c r="K479" s="203"/>
      <c r="L479" s="202"/>
      <c r="M479" s="204">
        <f t="shared" si="2809"/>
        <v>0</v>
      </c>
      <c r="N479" s="95">
        <v>242</v>
      </c>
      <c r="O479" s="204">
        <f t="shared" si="2809"/>
        <v>1</v>
      </c>
      <c r="P479" s="95">
        <v>242</v>
      </c>
      <c r="Q479" s="204">
        <f t="shared" ref="Q479:S479" si="2954">IFERROR(P479/$G479," ")</f>
        <v>1</v>
      </c>
      <c r="R479" s="95">
        <v>242</v>
      </c>
      <c r="S479" s="204">
        <f t="shared" si="2954"/>
        <v>1</v>
      </c>
      <c r="T479" s="95">
        <v>242</v>
      </c>
      <c r="U479" s="204">
        <f t="shared" ref="U479:W479" si="2955">IFERROR(T479/$G479," ")</f>
        <v>1</v>
      </c>
      <c r="V479" s="95">
        <v>242</v>
      </c>
      <c r="W479" s="204">
        <f t="shared" si="2955"/>
        <v>1</v>
      </c>
      <c r="X479" s="95">
        <v>242</v>
      </c>
      <c r="Y479" s="204">
        <f t="shared" ref="Y479:AA479" si="2956">IFERROR(X479/$G479," ")</f>
        <v>1</v>
      </c>
      <c r="Z479" s="95">
        <v>242</v>
      </c>
      <c r="AA479" s="204">
        <f t="shared" si="2956"/>
        <v>1</v>
      </c>
      <c r="AB479" s="95">
        <v>242</v>
      </c>
      <c r="AC479" s="204">
        <f t="shared" ref="AC479:AE479" si="2957">IFERROR(AB479/$G479," ")</f>
        <v>1</v>
      </c>
      <c r="AD479" s="95">
        <v>242</v>
      </c>
      <c r="AE479" s="204">
        <f t="shared" si="2957"/>
        <v>1</v>
      </c>
      <c r="AF479" s="95">
        <v>242</v>
      </c>
      <c r="AG479" s="204">
        <f t="shared" ref="AG479:AI479" si="2958">IFERROR(AF479/$G479," ")</f>
        <v>1</v>
      </c>
      <c r="AH479" s="95">
        <v>242</v>
      </c>
      <c r="AI479" s="204">
        <f t="shared" si="2958"/>
        <v>1</v>
      </c>
      <c r="AJ479" s="95">
        <v>242</v>
      </c>
      <c r="AK479" s="204">
        <f t="shared" ref="AK479:AM479" si="2959">IFERROR(AJ479/$G479," ")</f>
        <v>1</v>
      </c>
      <c r="AL479" s="95">
        <v>242</v>
      </c>
      <c r="AM479" s="204">
        <f t="shared" si="2959"/>
        <v>1</v>
      </c>
      <c r="AN479" s="95"/>
      <c r="AO479" s="94">
        <f t="shared" si="2816"/>
        <v>0</v>
      </c>
      <c r="AP479" s="94">
        <f t="shared" si="2806"/>
        <v>20134.400000000001</v>
      </c>
      <c r="AQ479" s="94">
        <f t="shared" si="2807"/>
        <v>20134.400000000001</v>
      </c>
      <c r="AR479" s="94">
        <f t="shared" si="2817"/>
        <v>20134.400000000001</v>
      </c>
      <c r="AS479" s="94">
        <f t="shared" si="2818"/>
        <v>20134.400000000001</v>
      </c>
      <c r="AT479" s="94">
        <f t="shared" si="2819"/>
        <v>20134.400000000001</v>
      </c>
      <c r="AU479" s="94">
        <f t="shared" si="2820"/>
        <v>20134.400000000001</v>
      </c>
      <c r="AV479" s="94">
        <f t="shared" si="2821"/>
        <v>20134.400000000001</v>
      </c>
      <c r="AW479" s="94">
        <f t="shared" si="2822"/>
        <v>20134.400000000001</v>
      </c>
      <c r="AX479" s="94">
        <f t="shared" si="2823"/>
        <v>20134.400000000001</v>
      </c>
      <c r="AY479" s="94">
        <f t="shared" si="2824"/>
        <v>20134.400000000001</v>
      </c>
      <c r="AZ479" s="94">
        <f t="shared" si="2825"/>
        <v>20134.400000000001</v>
      </c>
      <c r="BA479" s="94">
        <f t="shared" si="2826"/>
        <v>20134.400000000001</v>
      </c>
      <c r="BB479" s="94">
        <f t="shared" si="2827"/>
        <v>20134.400000000001</v>
      </c>
    </row>
    <row r="480" spans="1:54" x14ac:dyDescent="0.25">
      <c r="A480" s="80">
        <v>193</v>
      </c>
      <c r="B480" s="95" t="s">
        <v>2877</v>
      </c>
      <c r="C480" s="201" t="s">
        <v>213</v>
      </c>
      <c r="D480" s="80" t="s">
        <v>29</v>
      </c>
      <c r="E480" s="94">
        <f>IFERROR(VLOOKUP(A480,Estimate!A:Q,17,FALSE)," ")</f>
        <v>1859</v>
      </c>
      <c r="F480" s="202">
        <v>13</v>
      </c>
      <c r="G480" s="202">
        <v>13</v>
      </c>
      <c r="H480" s="203">
        <v>179.64</v>
      </c>
      <c r="I480" s="203">
        <v>2335.3200000000002</v>
      </c>
      <c r="J480" s="203">
        <v>2335.3200000000002</v>
      </c>
      <c r="K480" s="203"/>
      <c r="L480" s="202"/>
      <c r="M480" s="204">
        <f t="shared" si="2809"/>
        <v>0</v>
      </c>
      <c r="N480" s="95">
        <v>6.5</v>
      </c>
      <c r="O480" s="204">
        <f t="shared" si="2809"/>
        <v>0.5</v>
      </c>
      <c r="P480" s="95">
        <v>6.5</v>
      </c>
      <c r="Q480" s="204">
        <f t="shared" ref="Q480:S480" si="2960">IFERROR(P480/$G480," ")</f>
        <v>0.5</v>
      </c>
      <c r="R480" s="95">
        <v>10</v>
      </c>
      <c r="S480" s="204">
        <f t="shared" si="2960"/>
        <v>0.76923076923076927</v>
      </c>
      <c r="T480" s="95">
        <v>10</v>
      </c>
      <c r="U480" s="204">
        <f t="shared" ref="U480:W480" si="2961">IFERROR(T480/$G480," ")</f>
        <v>0.76923076923076927</v>
      </c>
      <c r="V480" s="95">
        <v>13</v>
      </c>
      <c r="W480" s="204">
        <f t="shared" si="2961"/>
        <v>1</v>
      </c>
      <c r="X480" s="95">
        <v>13</v>
      </c>
      <c r="Y480" s="204">
        <f t="shared" ref="Y480:AA480" si="2962">IFERROR(X480/$G480," ")</f>
        <v>1</v>
      </c>
      <c r="Z480" s="95">
        <v>13</v>
      </c>
      <c r="AA480" s="204">
        <f t="shared" si="2962"/>
        <v>1</v>
      </c>
      <c r="AB480" s="95">
        <v>13</v>
      </c>
      <c r="AC480" s="204">
        <f t="shared" ref="AC480:AE480" si="2963">IFERROR(AB480/$G480," ")</f>
        <v>1</v>
      </c>
      <c r="AD480" s="95">
        <v>13</v>
      </c>
      <c r="AE480" s="204">
        <f t="shared" si="2963"/>
        <v>1</v>
      </c>
      <c r="AF480" s="95">
        <v>13</v>
      </c>
      <c r="AG480" s="204">
        <f t="shared" ref="AG480:AI480" si="2964">IFERROR(AF480/$G480," ")</f>
        <v>1</v>
      </c>
      <c r="AH480" s="95">
        <v>13</v>
      </c>
      <c r="AI480" s="204">
        <f t="shared" si="2964"/>
        <v>1</v>
      </c>
      <c r="AJ480" s="95">
        <v>13</v>
      </c>
      <c r="AK480" s="204">
        <f t="shared" ref="AK480:AM480" si="2965">IFERROR(AJ480/$G480," ")</f>
        <v>1</v>
      </c>
      <c r="AL480" s="95">
        <v>13</v>
      </c>
      <c r="AM480" s="204">
        <f t="shared" si="2965"/>
        <v>1</v>
      </c>
      <c r="AN480" s="95"/>
      <c r="AO480" s="94">
        <f t="shared" si="2816"/>
        <v>0</v>
      </c>
      <c r="AP480" s="94">
        <f t="shared" si="2806"/>
        <v>1167.6600000000001</v>
      </c>
      <c r="AQ480" s="94">
        <f t="shared" si="2807"/>
        <v>1167.6600000000001</v>
      </c>
      <c r="AR480" s="94">
        <f t="shared" si="2817"/>
        <v>1796.4000000000003</v>
      </c>
      <c r="AS480" s="94">
        <f t="shared" si="2818"/>
        <v>1796.4000000000003</v>
      </c>
      <c r="AT480" s="94">
        <f t="shared" si="2819"/>
        <v>2335.3200000000002</v>
      </c>
      <c r="AU480" s="94">
        <f t="shared" si="2820"/>
        <v>2335.3200000000002</v>
      </c>
      <c r="AV480" s="94">
        <f t="shared" si="2821"/>
        <v>2335.3200000000002</v>
      </c>
      <c r="AW480" s="94">
        <f t="shared" si="2822"/>
        <v>2335.3200000000002</v>
      </c>
      <c r="AX480" s="94">
        <f t="shared" si="2823"/>
        <v>2335.3200000000002</v>
      </c>
      <c r="AY480" s="94">
        <f t="shared" si="2824"/>
        <v>2335.3200000000002</v>
      </c>
      <c r="AZ480" s="94">
        <f t="shared" si="2825"/>
        <v>2335.3200000000002</v>
      </c>
      <c r="BA480" s="94">
        <f t="shared" si="2826"/>
        <v>2335.3200000000002</v>
      </c>
      <c r="BB480" s="94">
        <f t="shared" si="2827"/>
        <v>2335.3200000000002</v>
      </c>
    </row>
    <row r="481" spans="1:54" x14ac:dyDescent="0.25">
      <c r="A481" s="80"/>
      <c r="B481" s="95" t="s">
        <v>2417</v>
      </c>
      <c r="C481" s="201" t="s">
        <v>2837</v>
      </c>
      <c r="D481" s="80" t="s">
        <v>783</v>
      </c>
      <c r="E481" s="94" t="str">
        <f>IFERROR(VLOOKUP(A481,Estimate!A:Q,17,FALSE)," ")</f>
        <v xml:space="preserve"> </v>
      </c>
      <c r="F481" s="202" t="s">
        <v>781</v>
      </c>
      <c r="G481" s="202" t="s">
        <v>781</v>
      </c>
      <c r="H481" s="203" t="s">
        <v>781</v>
      </c>
      <c r="I481" s="203" t="s">
        <v>781</v>
      </c>
      <c r="J481" s="203" t="s">
        <v>781</v>
      </c>
      <c r="K481" s="203"/>
      <c r="L481" s="202" t="s">
        <v>781</v>
      </c>
      <c r="M481" s="204" t="str">
        <f t="shared" si="2809"/>
        <v xml:space="preserve"> </v>
      </c>
      <c r="N481" s="95" t="s">
        <v>781</v>
      </c>
      <c r="O481" s="204" t="str">
        <f t="shared" si="2809"/>
        <v xml:space="preserve"> </v>
      </c>
      <c r="P481" s="95" t="s">
        <v>781</v>
      </c>
      <c r="Q481" s="204" t="str">
        <f t="shared" ref="Q481:S481" si="2966">IFERROR(P481/$G481," ")</f>
        <v xml:space="preserve"> </v>
      </c>
      <c r="R481" s="95" t="s">
        <v>781</v>
      </c>
      <c r="S481" s="204" t="str">
        <f t="shared" si="2966"/>
        <v xml:space="preserve"> </v>
      </c>
      <c r="T481" s="95" t="s">
        <v>781</v>
      </c>
      <c r="U481" s="204" t="str">
        <f t="shared" ref="U481:W481" si="2967">IFERROR(T481/$G481," ")</f>
        <v xml:space="preserve"> </v>
      </c>
      <c r="V481" s="95" t="s">
        <v>781</v>
      </c>
      <c r="W481" s="204" t="str">
        <f t="shared" si="2967"/>
        <v xml:space="preserve"> </v>
      </c>
      <c r="X481" s="95" t="s">
        <v>781</v>
      </c>
      <c r="Y481" s="204" t="str">
        <f t="shared" ref="Y481:AA481" si="2968">IFERROR(X481/$G481," ")</f>
        <v xml:space="preserve"> </v>
      </c>
      <c r="Z481" s="95" t="s">
        <v>781</v>
      </c>
      <c r="AA481" s="204" t="str">
        <f t="shared" si="2968"/>
        <v xml:space="preserve"> </v>
      </c>
      <c r="AB481" s="95" t="s">
        <v>781</v>
      </c>
      <c r="AC481" s="204" t="str">
        <f t="shared" ref="AC481:AE481" si="2969">IFERROR(AB481/$G481," ")</f>
        <v xml:space="preserve"> </v>
      </c>
      <c r="AD481" s="95" t="s">
        <v>781</v>
      </c>
      <c r="AE481" s="204" t="str">
        <f t="shared" si="2969"/>
        <v xml:space="preserve"> </v>
      </c>
      <c r="AF481" s="95" t="s">
        <v>781</v>
      </c>
      <c r="AG481" s="204" t="str">
        <f t="shared" ref="AG481:AI481" si="2970">IFERROR(AF481/$G481," ")</f>
        <v xml:space="preserve"> </v>
      </c>
      <c r="AH481" s="95" t="s">
        <v>781</v>
      </c>
      <c r="AI481" s="204" t="str">
        <f t="shared" si="2970"/>
        <v xml:space="preserve"> </v>
      </c>
      <c r="AJ481" s="95" t="s">
        <v>781</v>
      </c>
      <c r="AK481" s="204" t="str">
        <f t="shared" ref="AK481:AM481" si="2971">IFERROR(AJ481/$G481," ")</f>
        <v xml:space="preserve"> </v>
      </c>
      <c r="AL481" s="95" t="s">
        <v>781</v>
      </c>
      <c r="AM481" s="204" t="str">
        <f t="shared" si="2971"/>
        <v xml:space="preserve"> </v>
      </c>
      <c r="AN481" s="95"/>
      <c r="AO481" s="94" t="str">
        <f t="shared" si="2816"/>
        <v xml:space="preserve"> </v>
      </c>
      <c r="AP481" s="94" t="str">
        <f t="shared" si="2806"/>
        <v xml:space="preserve"> </v>
      </c>
      <c r="AQ481" s="94" t="str">
        <f t="shared" si="2807"/>
        <v xml:space="preserve"> </v>
      </c>
      <c r="AR481" s="94" t="str">
        <f t="shared" si="2817"/>
        <v xml:space="preserve"> </v>
      </c>
      <c r="AS481" s="94" t="str">
        <f t="shared" si="2818"/>
        <v xml:space="preserve"> </v>
      </c>
      <c r="AT481" s="94" t="str">
        <f t="shared" si="2819"/>
        <v xml:space="preserve"> </v>
      </c>
      <c r="AU481" s="94" t="str">
        <f t="shared" si="2820"/>
        <v xml:space="preserve"> </v>
      </c>
      <c r="AV481" s="94" t="str">
        <f t="shared" si="2821"/>
        <v xml:space="preserve"> </v>
      </c>
      <c r="AW481" s="94" t="str">
        <f t="shared" si="2822"/>
        <v xml:space="preserve"> </v>
      </c>
      <c r="AX481" s="94" t="str">
        <f t="shared" si="2823"/>
        <v xml:space="preserve"> </v>
      </c>
      <c r="AY481" s="94" t="str">
        <f t="shared" si="2824"/>
        <v xml:space="preserve"> </v>
      </c>
      <c r="AZ481" s="94" t="str">
        <f t="shared" si="2825"/>
        <v xml:space="preserve"> </v>
      </c>
      <c r="BA481" s="94" t="str">
        <f t="shared" si="2826"/>
        <v xml:space="preserve"> </v>
      </c>
      <c r="BB481" s="94" t="str">
        <f t="shared" si="2827"/>
        <v xml:space="preserve"> </v>
      </c>
    </row>
    <row r="482" spans="1:54" x14ac:dyDescent="0.25">
      <c r="A482" s="80"/>
      <c r="B482" s="95" t="s">
        <v>2417</v>
      </c>
      <c r="C482" s="201" t="s">
        <v>102</v>
      </c>
      <c r="D482" s="80" t="s">
        <v>783</v>
      </c>
      <c r="E482" s="94" t="str">
        <f>IFERROR(VLOOKUP(A482,Estimate!A:Q,17,FALSE)," ")</f>
        <v xml:space="preserve"> </v>
      </c>
      <c r="F482" s="202" t="s">
        <v>781</v>
      </c>
      <c r="G482" s="202" t="s">
        <v>781</v>
      </c>
      <c r="H482" s="203" t="s">
        <v>781</v>
      </c>
      <c r="I482" s="203" t="s">
        <v>781</v>
      </c>
      <c r="J482" s="203" t="s">
        <v>781</v>
      </c>
      <c r="K482" s="203"/>
      <c r="L482" s="202" t="s">
        <v>781</v>
      </c>
      <c r="M482" s="204" t="str">
        <f t="shared" si="2809"/>
        <v xml:space="preserve"> </v>
      </c>
      <c r="N482" s="95" t="s">
        <v>781</v>
      </c>
      <c r="O482" s="204" t="str">
        <f t="shared" si="2809"/>
        <v xml:space="preserve"> </v>
      </c>
      <c r="P482" s="95" t="s">
        <v>781</v>
      </c>
      <c r="Q482" s="204" t="str">
        <f t="shared" ref="Q482:S482" si="2972">IFERROR(P482/$G482," ")</f>
        <v xml:space="preserve"> </v>
      </c>
      <c r="R482" s="95" t="s">
        <v>781</v>
      </c>
      <c r="S482" s="204" t="str">
        <f t="shared" si="2972"/>
        <v xml:space="preserve"> </v>
      </c>
      <c r="T482" s="95" t="s">
        <v>781</v>
      </c>
      <c r="U482" s="204" t="str">
        <f t="shared" ref="U482:W482" si="2973">IFERROR(T482/$G482," ")</f>
        <v xml:space="preserve"> </v>
      </c>
      <c r="V482" s="95" t="s">
        <v>781</v>
      </c>
      <c r="W482" s="204" t="str">
        <f t="shared" si="2973"/>
        <v xml:space="preserve"> </v>
      </c>
      <c r="X482" s="95" t="s">
        <v>781</v>
      </c>
      <c r="Y482" s="204" t="str">
        <f t="shared" ref="Y482:AA482" si="2974">IFERROR(X482/$G482," ")</f>
        <v xml:space="preserve"> </v>
      </c>
      <c r="Z482" s="95" t="s">
        <v>781</v>
      </c>
      <c r="AA482" s="204" t="str">
        <f t="shared" si="2974"/>
        <v xml:space="preserve"> </v>
      </c>
      <c r="AB482" s="95" t="s">
        <v>781</v>
      </c>
      <c r="AC482" s="204" t="str">
        <f t="shared" ref="AC482:AE482" si="2975">IFERROR(AB482/$G482," ")</f>
        <v xml:space="preserve"> </v>
      </c>
      <c r="AD482" s="95" t="s">
        <v>781</v>
      </c>
      <c r="AE482" s="204" t="str">
        <f t="shared" si="2975"/>
        <v xml:space="preserve"> </v>
      </c>
      <c r="AF482" s="95" t="s">
        <v>781</v>
      </c>
      <c r="AG482" s="204" t="str">
        <f t="shared" ref="AG482:AI482" si="2976">IFERROR(AF482/$G482," ")</f>
        <v xml:space="preserve"> </v>
      </c>
      <c r="AH482" s="95" t="s">
        <v>781</v>
      </c>
      <c r="AI482" s="204" t="str">
        <f t="shared" si="2976"/>
        <v xml:space="preserve"> </v>
      </c>
      <c r="AJ482" s="95" t="s">
        <v>781</v>
      </c>
      <c r="AK482" s="204" t="str">
        <f t="shared" ref="AK482:AM482" si="2977">IFERROR(AJ482/$G482," ")</f>
        <v xml:space="preserve"> </v>
      </c>
      <c r="AL482" s="95" t="s">
        <v>781</v>
      </c>
      <c r="AM482" s="204" t="str">
        <f t="shared" si="2977"/>
        <v xml:space="preserve"> </v>
      </c>
      <c r="AN482" s="95"/>
      <c r="AO482" s="94" t="str">
        <f t="shared" si="2816"/>
        <v xml:space="preserve"> </v>
      </c>
      <c r="AP482" s="94" t="str">
        <f t="shared" si="2806"/>
        <v xml:space="preserve"> </v>
      </c>
      <c r="AQ482" s="94" t="str">
        <f t="shared" si="2807"/>
        <v xml:space="preserve"> </v>
      </c>
      <c r="AR482" s="94" t="str">
        <f t="shared" si="2817"/>
        <v xml:space="preserve"> </v>
      </c>
      <c r="AS482" s="94" t="str">
        <f t="shared" si="2818"/>
        <v xml:space="preserve"> </v>
      </c>
      <c r="AT482" s="94" t="str">
        <f t="shared" si="2819"/>
        <v xml:space="preserve"> </v>
      </c>
      <c r="AU482" s="94" t="str">
        <f t="shared" si="2820"/>
        <v xml:space="preserve"> </v>
      </c>
      <c r="AV482" s="94" t="str">
        <f t="shared" si="2821"/>
        <v xml:space="preserve"> </v>
      </c>
      <c r="AW482" s="94" t="str">
        <f t="shared" si="2822"/>
        <v xml:space="preserve"> </v>
      </c>
      <c r="AX482" s="94" t="str">
        <f t="shared" si="2823"/>
        <v xml:space="preserve"> </v>
      </c>
      <c r="AY482" s="94" t="str">
        <f t="shared" si="2824"/>
        <v xml:space="preserve"> </v>
      </c>
      <c r="AZ482" s="94" t="str">
        <f t="shared" si="2825"/>
        <v xml:space="preserve"> </v>
      </c>
      <c r="BA482" s="94" t="str">
        <f t="shared" si="2826"/>
        <v xml:space="preserve"> </v>
      </c>
      <c r="BB482" s="94" t="str">
        <f t="shared" si="2827"/>
        <v xml:space="preserve"> </v>
      </c>
    </row>
    <row r="483" spans="1:54" x14ac:dyDescent="0.25">
      <c r="A483" s="80"/>
      <c r="B483" s="95" t="s">
        <v>2856</v>
      </c>
      <c r="C483" s="201" t="s">
        <v>111</v>
      </c>
      <c r="D483" s="80" t="s">
        <v>783</v>
      </c>
      <c r="E483" s="94" t="str">
        <f>IFERROR(VLOOKUP(A483,Estimate!A:Q,17,FALSE)," ")</f>
        <v xml:space="preserve"> </v>
      </c>
      <c r="F483" s="202" t="s">
        <v>781</v>
      </c>
      <c r="G483" s="202" t="s">
        <v>781</v>
      </c>
      <c r="H483" s="203" t="s">
        <v>781</v>
      </c>
      <c r="I483" s="203" t="s">
        <v>781</v>
      </c>
      <c r="J483" s="203" t="s">
        <v>781</v>
      </c>
      <c r="K483" s="203"/>
      <c r="L483" s="202" t="s">
        <v>781</v>
      </c>
      <c r="M483" s="204" t="str">
        <f t="shared" si="2809"/>
        <v xml:space="preserve"> </v>
      </c>
      <c r="N483" s="95" t="s">
        <v>781</v>
      </c>
      <c r="O483" s="204" t="str">
        <f t="shared" si="2809"/>
        <v xml:space="preserve"> </v>
      </c>
      <c r="P483" s="95" t="s">
        <v>781</v>
      </c>
      <c r="Q483" s="204" t="str">
        <f t="shared" ref="Q483:S483" si="2978">IFERROR(P483/$G483," ")</f>
        <v xml:space="preserve"> </v>
      </c>
      <c r="R483" s="95" t="s">
        <v>781</v>
      </c>
      <c r="S483" s="204" t="str">
        <f t="shared" si="2978"/>
        <v xml:space="preserve"> </v>
      </c>
      <c r="T483" s="95" t="s">
        <v>781</v>
      </c>
      <c r="U483" s="204" t="str">
        <f t="shared" ref="U483:W483" si="2979">IFERROR(T483/$G483," ")</f>
        <v xml:space="preserve"> </v>
      </c>
      <c r="V483" s="95" t="s">
        <v>781</v>
      </c>
      <c r="W483" s="204" t="str">
        <f t="shared" si="2979"/>
        <v xml:space="preserve"> </v>
      </c>
      <c r="X483" s="95" t="s">
        <v>781</v>
      </c>
      <c r="Y483" s="204" t="str">
        <f t="shared" ref="Y483:AA483" si="2980">IFERROR(X483/$G483," ")</f>
        <v xml:space="preserve"> </v>
      </c>
      <c r="Z483" s="95" t="s">
        <v>781</v>
      </c>
      <c r="AA483" s="204" t="str">
        <f t="shared" si="2980"/>
        <v xml:space="preserve"> </v>
      </c>
      <c r="AB483" s="95" t="s">
        <v>781</v>
      </c>
      <c r="AC483" s="204" t="str">
        <f t="shared" ref="AC483:AE483" si="2981">IFERROR(AB483/$G483," ")</f>
        <v xml:space="preserve"> </v>
      </c>
      <c r="AD483" s="95" t="s">
        <v>781</v>
      </c>
      <c r="AE483" s="204" t="str">
        <f t="shared" si="2981"/>
        <v xml:space="preserve"> </v>
      </c>
      <c r="AF483" s="95" t="s">
        <v>781</v>
      </c>
      <c r="AG483" s="204" t="str">
        <f t="shared" ref="AG483:AI483" si="2982">IFERROR(AF483/$G483," ")</f>
        <v xml:space="preserve"> </v>
      </c>
      <c r="AH483" s="95" t="s">
        <v>781</v>
      </c>
      <c r="AI483" s="204" t="str">
        <f t="shared" si="2982"/>
        <v xml:space="preserve"> </v>
      </c>
      <c r="AJ483" s="95" t="s">
        <v>781</v>
      </c>
      <c r="AK483" s="204" t="str">
        <f t="shared" ref="AK483:AM483" si="2983">IFERROR(AJ483/$G483," ")</f>
        <v xml:space="preserve"> </v>
      </c>
      <c r="AL483" s="95" t="s">
        <v>781</v>
      </c>
      <c r="AM483" s="204" t="str">
        <f t="shared" si="2983"/>
        <v xml:space="preserve"> </v>
      </c>
      <c r="AN483" s="95"/>
      <c r="AO483" s="94" t="str">
        <f t="shared" si="2816"/>
        <v xml:space="preserve"> </v>
      </c>
      <c r="AP483" s="94" t="str">
        <f t="shared" si="2806"/>
        <v xml:space="preserve"> </v>
      </c>
      <c r="AQ483" s="94" t="str">
        <f t="shared" si="2807"/>
        <v xml:space="preserve"> </v>
      </c>
      <c r="AR483" s="94" t="str">
        <f t="shared" si="2817"/>
        <v xml:space="preserve"> </v>
      </c>
      <c r="AS483" s="94" t="str">
        <f t="shared" si="2818"/>
        <v xml:space="preserve"> </v>
      </c>
      <c r="AT483" s="94" t="str">
        <f t="shared" si="2819"/>
        <v xml:space="preserve"> </v>
      </c>
      <c r="AU483" s="94" t="str">
        <f t="shared" si="2820"/>
        <v xml:space="preserve"> </v>
      </c>
      <c r="AV483" s="94" t="str">
        <f t="shared" si="2821"/>
        <v xml:space="preserve"> </v>
      </c>
      <c r="AW483" s="94" t="str">
        <f t="shared" si="2822"/>
        <v xml:space="preserve"> </v>
      </c>
      <c r="AX483" s="94" t="str">
        <f t="shared" si="2823"/>
        <v xml:space="preserve"> </v>
      </c>
      <c r="AY483" s="94" t="str">
        <f t="shared" si="2824"/>
        <v xml:space="preserve"> </v>
      </c>
      <c r="AZ483" s="94" t="str">
        <f t="shared" si="2825"/>
        <v xml:space="preserve"> </v>
      </c>
      <c r="BA483" s="94" t="str">
        <f t="shared" si="2826"/>
        <v xml:space="preserve"> </v>
      </c>
      <c r="BB483" s="94" t="str">
        <f t="shared" si="2827"/>
        <v xml:space="preserve"> </v>
      </c>
    </row>
    <row r="484" spans="1:54" x14ac:dyDescent="0.25">
      <c r="A484" s="80">
        <v>194</v>
      </c>
      <c r="B484" s="95">
        <v>491</v>
      </c>
      <c r="C484" s="201" t="s">
        <v>118</v>
      </c>
      <c r="D484" s="80" t="s">
        <v>62</v>
      </c>
      <c r="E484" s="94">
        <f>IFERROR(VLOOKUP(A484,Estimate!A:Q,17,FALSE)," ")</f>
        <v>21403.515508307584</v>
      </c>
      <c r="F484" s="202">
        <v>378</v>
      </c>
      <c r="G484" s="202">
        <v>378</v>
      </c>
      <c r="H484" s="203">
        <v>71.13</v>
      </c>
      <c r="I484" s="203">
        <v>26887.14</v>
      </c>
      <c r="J484" s="203">
        <v>26887.14</v>
      </c>
      <c r="K484" s="203"/>
      <c r="L484" s="202">
        <v>104</v>
      </c>
      <c r="M484" s="204">
        <f t="shared" si="2809"/>
        <v>0.27513227513227512</v>
      </c>
      <c r="N484" s="95">
        <v>250</v>
      </c>
      <c r="O484" s="204">
        <f t="shared" si="2809"/>
        <v>0.66137566137566139</v>
      </c>
      <c r="P484" s="95">
        <v>250</v>
      </c>
      <c r="Q484" s="204">
        <f t="shared" ref="Q484:S484" si="2984">IFERROR(P484/$G484," ")</f>
        <v>0.66137566137566139</v>
      </c>
      <c r="R484" s="95">
        <v>354</v>
      </c>
      <c r="S484" s="204">
        <f t="shared" si="2984"/>
        <v>0.93650793650793651</v>
      </c>
      <c r="T484" s="95">
        <v>354</v>
      </c>
      <c r="U484" s="204">
        <f t="shared" ref="U484:W484" si="2985">IFERROR(T484/$G484," ")</f>
        <v>0.93650793650793651</v>
      </c>
      <c r="V484" s="95">
        <v>359</v>
      </c>
      <c r="W484" s="204">
        <f t="shared" si="2985"/>
        <v>0.94973544973544977</v>
      </c>
      <c r="X484" s="95">
        <v>378</v>
      </c>
      <c r="Y484" s="204">
        <f t="shared" ref="Y484:AA484" si="2986">IFERROR(X484/$G484," ")</f>
        <v>1</v>
      </c>
      <c r="Z484" s="95">
        <v>378</v>
      </c>
      <c r="AA484" s="204">
        <f t="shared" si="2986"/>
        <v>1</v>
      </c>
      <c r="AB484" s="95">
        <v>378</v>
      </c>
      <c r="AC484" s="204">
        <f t="shared" ref="AC484:AE484" si="2987">IFERROR(AB484/$G484," ")</f>
        <v>1</v>
      </c>
      <c r="AD484" s="95">
        <v>378</v>
      </c>
      <c r="AE484" s="204">
        <f t="shared" si="2987"/>
        <v>1</v>
      </c>
      <c r="AF484" s="95">
        <v>378</v>
      </c>
      <c r="AG484" s="204">
        <f t="shared" ref="AG484:AI484" si="2988">IFERROR(AF484/$G484," ")</f>
        <v>1</v>
      </c>
      <c r="AH484" s="95">
        <v>378</v>
      </c>
      <c r="AI484" s="204">
        <f t="shared" si="2988"/>
        <v>1</v>
      </c>
      <c r="AJ484" s="95">
        <v>378</v>
      </c>
      <c r="AK484" s="204">
        <f t="shared" ref="AK484:AM484" si="2989">IFERROR(AJ484/$G484," ")</f>
        <v>1</v>
      </c>
      <c r="AL484" s="95">
        <v>378</v>
      </c>
      <c r="AM484" s="204">
        <f t="shared" si="2989"/>
        <v>1</v>
      </c>
      <c r="AN484" s="95"/>
      <c r="AO484" s="94">
        <f t="shared" si="2816"/>
        <v>7397.5199999999995</v>
      </c>
      <c r="AP484" s="94">
        <f t="shared" si="2806"/>
        <v>17782.5</v>
      </c>
      <c r="AQ484" s="94">
        <f t="shared" si="2807"/>
        <v>17782.5</v>
      </c>
      <c r="AR484" s="94">
        <f t="shared" si="2817"/>
        <v>25180.02</v>
      </c>
      <c r="AS484" s="94">
        <f t="shared" si="2818"/>
        <v>25180.02</v>
      </c>
      <c r="AT484" s="94">
        <f t="shared" si="2819"/>
        <v>25535.670000000002</v>
      </c>
      <c r="AU484" s="94">
        <f t="shared" si="2820"/>
        <v>26887.14</v>
      </c>
      <c r="AV484" s="94">
        <f t="shared" si="2821"/>
        <v>26887.14</v>
      </c>
      <c r="AW484" s="94">
        <f t="shared" si="2822"/>
        <v>26887.14</v>
      </c>
      <c r="AX484" s="94">
        <f t="shared" si="2823"/>
        <v>26887.14</v>
      </c>
      <c r="AY484" s="94">
        <f t="shared" si="2824"/>
        <v>26887.14</v>
      </c>
      <c r="AZ484" s="94">
        <f t="shared" si="2825"/>
        <v>26887.14</v>
      </c>
      <c r="BA484" s="94">
        <f t="shared" si="2826"/>
        <v>26887.14</v>
      </c>
      <c r="BB484" s="94">
        <f t="shared" si="2827"/>
        <v>26887.14</v>
      </c>
    </row>
    <row r="485" spans="1:54" x14ac:dyDescent="0.25">
      <c r="A485" s="80">
        <v>195</v>
      </c>
      <c r="B485" s="95">
        <v>490</v>
      </c>
      <c r="C485" s="201" t="s">
        <v>113</v>
      </c>
      <c r="D485" s="80" t="s">
        <v>62</v>
      </c>
      <c r="E485" s="94">
        <f>IFERROR(VLOOKUP(A485,Estimate!A:Q,17,FALSE)," ")</f>
        <v>10584.850448558371</v>
      </c>
      <c r="F485" s="202">
        <v>127</v>
      </c>
      <c r="G485" s="202">
        <v>127</v>
      </c>
      <c r="H485" s="203">
        <v>104.65</v>
      </c>
      <c r="I485" s="203">
        <v>13290.55</v>
      </c>
      <c r="J485" s="203">
        <v>13290.55</v>
      </c>
      <c r="K485" s="203"/>
      <c r="L485" s="202"/>
      <c r="M485" s="204">
        <f t="shared" si="2809"/>
        <v>0</v>
      </c>
      <c r="N485" s="95">
        <v>78</v>
      </c>
      <c r="O485" s="204">
        <f t="shared" si="2809"/>
        <v>0.61417322834645671</v>
      </c>
      <c r="P485" s="95">
        <v>78</v>
      </c>
      <c r="Q485" s="204">
        <f t="shared" ref="Q485:S485" si="2990">IFERROR(P485/$G485," ")</f>
        <v>0.61417322834645671</v>
      </c>
      <c r="R485" s="95">
        <v>78</v>
      </c>
      <c r="S485" s="204">
        <f t="shared" si="2990"/>
        <v>0.61417322834645671</v>
      </c>
      <c r="T485" s="95">
        <v>78</v>
      </c>
      <c r="U485" s="204">
        <f t="shared" ref="U485:W485" si="2991">IFERROR(T485/$G485," ")</f>
        <v>0.61417322834645671</v>
      </c>
      <c r="V485" s="95">
        <v>108</v>
      </c>
      <c r="W485" s="204">
        <f t="shared" si="2991"/>
        <v>0.85039370078740162</v>
      </c>
      <c r="X485" s="95">
        <v>127</v>
      </c>
      <c r="Y485" s="204">
        <f t="shared" ref="Y485:AA485" si="2992">IFERROR(X485/$G485," ")</f>
        <v>1</v>
      </c>
      <c r="Z485" s="95">
        <v>127</v>
      </c>
      <c r="AA485" s="204">
        <f t="shared" si="2992"/>
        <v>1</v>
      </c>
      <c r="AB485" s="95">
        <v>127</v>
      </c>
      <c r="AC485" s="204">
        <f t="shared" ref="AC485:AE485" si="2993">IFERROR(AB485/$G485," ")</f>
        <v>1</v>
      </c>
      <c r="AD485" s="95">
        <v>127</v>
      </c>
      <c r="AE485" s="204">
        <f t="shared" si="2993"/>
        <v>1</v>
      </c>
      <c r="AF485" s="95">
        <v>127</v>
      </c>
      <c r="AG485" s="204">
        <f t="shared" ref="AG485:AI485" si="2994">IFERROR(AF485/$G485," ")</f>
        <v>1</v>
      </c>
      <c r="AH485" s="95">
        <v>127</v>
      </c>
      <c r="AI485" s="204">
        <f t="shared" si="2994"/>
        <v>1</v>
      </c>
      <c r="AJ485" s="95">
        <v>127</v>
      </c>
      <c r="AK485" s="204">
        <f t="shared" ref="AK485:AM485" si="2995">IFERROR(AJ485/$G485," ")</f>
        <v>1</v>
      </c>
      <c r="AL485" s="95">
        <v>127</v>
      </c>
      <c r="AM485" s="204">
        <f t="shared" si="2995"/>
        <v>1</v>
      </c>
      <c r="AN485" s="95"/>
      <c r="AO485" s="94">
        <f t="shared" si="2816"/>
        <v>0</v>
      </c>
      <c r="AP485" s="94">
        <f t="shared" si="2806"/>
        <v>8162.7</v>
      </c>
      <c r="AQ485" s="94">
        <f t="shared" si="2807"/>
        <v>8162.7</v>
      </c>
      <c r="AR485" s="94">
        <f t="shared" si="2817"/>
        <v>8162.7</v>
      </c>
      <c r="AS485" s="94">
        <f t="shared" si="2818"/>
        <v>8162.7</v>
      </c>
      <c r="AT485" s="94">
        <f t="shared" si="2819"/>
        <v>11302.2</v>
      </c>
      <c r="AU485" s="94">
        <f t="shared" si="2820"/>
        <v>13290.55</v>
      </c>
      <c r="AV485" s="94">
        <f t="shared" si="2821"/>
        <v>13290.55</v>
      </c>
      <c r="AW485" s="94">
        <f t="shared" si="2822"/>
        <v>13290.55</v>
      </c>
      <c r="AX485" s="94">
        <f t="shared" si="2823"/>
        <v>13290.55</v>
      </c>
      <c r="AY485" s="94">
        <f t="shared" si="2824"/>
        <v>13290.55</v>
      </c>
      <c r="AZ485" s="94">
        <f t="shared" si="2825"/>
        <v>13290.55</v>
      </c>
      <c r="BA485" s="94">
        <f t="shared" si="2826"/>
        <v>13290.55</v>
      </c>
      <c r="BB485" s="94">
        <f t="shared" si="2827"/>
        <v>13290.55</v>
      </c>
    </row>
    <row r="486" spans="1:54" x14ac:dyDescent="0.25">
      <c r="A486" s="80">
        <v>196</v>
      </c>
      <c r="B486" s="95">
        <v>538</v>
      </c>
      <c r="C486" s="201" t="s">
        <v>663</v>
      </c>
      <c r="D486" s="80" t="s">
        <v>107</v>
      </c>
      <c r="E486" s="94">
        <f>IFERROR(VLOOKUP(A486,Estimate!A:Q,17,FALSE)," ")</f>
        <v>7508.9589473684209</v>
      </c>
      <c r="F486" s="202">
        <v>1260</v>
      </c>
      <c r="G486" s="202">
        <v>1260</v>
      </c>
      <c r="H486" s="203">
        <v>7.49</v>
      </c>
      <c r="I486" s="203">
        <v>9437.4</v>
      </c>
      <c r="J486" s="203">
        <v>9437.4</v>
      </c>
      <c r="K486" s="203"/>
      <c r="L486" s="202">
        <v>705</v>
      </c>
      <c r="M486" s="204">
        <f t="shared" si="2809"/>
        <v>0.55952380952380953</v>
      </c>
      <c r="N486" s="95">
        <v>705</v>
      </c>
      <c r="O486" s="204">
        <f t="shared" si="2809"/>
        <v>0.55952380952380953</v>
      </c>
      <c r="P486" s="95">
        <v>705</v>
      </c>
      <c r="Q486" s="204">
        <f t="shared" ref="Q486:S486" si="2996">IFERROR(P486/$G486," ")</f>
        <v>0.55952380952380953</v>
      </c>
      <c r="R486" s="95">
        <v>905</v>
      </c>
      <c r="S486" s="204">
        <f t="shared" si="2996"/>
        <v>0.71825396825396826</v>
      </c>
      <c r="T486" s="95">
        <v>1071</v>
      </c>
      <c r="U486" s="204">
        <f t="shared" ref="U486:W486" si="2997">IFERROR(T486/$G486," ")</f>
        <v>0.85</v>
      </c>
      <c r="V486" s="95">
        <v>1134</v>
      </c>
      <c r="W486" s="204">
        <f t="shared" si="2997"/>
        <v>0.9</v>
      </c>
      <c r="X486" s="95">
        <v>1260</v>
      </c>
      <c r="Y486" s="204">
        <f t="shared" ref="Y486:AA486" si="2998">IFERROR(X486/$G486," ")</f>
        <v>1</v>
      </c>
      <c r="Z486" s="95">
        <v>1260</v>
      </c>
      <c r="AA486" s="204">
        <f t="shared" si="2998"/>
        <v>1</v>
      </c>
      <c r="AB486" s="95">
        <v>1260</v>
      </c>
      <c r="AC486" s="204">
        <f t="shared" ref="AC486:AE486" si="2999">IFERROR(AB486/$G486," ")</f>
        <v>1</v>
      </c>
      <c r="AD486" s="95">
        <v>1260</v>
      </c>
      <c r="AE486" s="204">
        <f t="shared" si="2999"/>
        <v>1</v>
      </c>
      <c r="AF486" s="95">
        <v>1260</v>
      </c>
      <c r="AG486" s="204">
        <f t="shared" ref="AG486:AI486" si="3000">IFERROR(AF486/$G486," ")</f>
        <v>1</v>
      </c>
      <c r="AH486" s="95">
        <v>1260</v>
      </c>
      <c r="AI486" s="204">
        <f t="shared" si="3000"/>
        <v>1</v>
      </c>
      <c r="AJ486" s="95">
        <v>1260</v>
      </c>
      <c r="AK486" s="204">
        <f t="shared" ref="AK486:AM486" si="3001">IFERROR(AJ486/$G486," ")</f>
        <v>1</v>
      </c>
      <c r="AL486" s="95">
        <v>1260</v>
      </c>
      <c r="AM486" s="204">
        <f t="shared" si="3001"/>
        <v>1</v>
      </c>
      <c r="AN486" s="95"/>
      <c r="AO486" s="94">
        <f t="shared" si="2816"/>
        <v>5280.45</v>
      </c>
      <c r="AP486" s="94">
        <f t="shared" si="2806"/>
        <v>5280.45</v>
      </c>
      <c r="AQ486" s="94">
        <f t="shared" si="2807"/>
        <v>5280.45</v>
      </c>
      <c r="AR486" s="94">
        <f t="shared" si="2817"/>
        <v>6778.45</v>
      </c>
      <c r="AS486" s="94">
        <f t="shared" si="2818"/>
        <v>8021.7899999999991</v>
      </c>
      <c r="AT486" s="94">
        <f t="shared" si="2819"/>
        <v>8493.66</v>
      </c>
      <c r="AU486" s="94">
        <f t="shared" si="2820"/>
        <v>9437.4</v>
      </c>
      <c r="AV486" s="94">
        <f t="shared" si="2821"/>
        <v>9437.4</v>
      </c>
      <c r="AW486" s="94">
        <f t="shared" si="2822"/>
        <v>9437.4</v>
      </c>
      <c r="AX486" s="94">
        <f t="shared" si="2823"/>
        <v>9437.4</v>
      </c>
      <c r="AY486" s="94">
        <f t="shared" si="2824"/>
        <v>9437.4</v>
      </c>
      <c r="AZ486" s="94">
        <f t="shared" si="2825"/>
        <v>9437.4</v>
      </c>
      <c r="BA486" s="94">
        <f t="shared" si="2826"/>
        <v>9437.4</v>
      </c>
      <c r="BB486" s="94">
        <f t="shared" si="2827"/>
        <v>9437.4</v>
      </c>
    </row>
    <row r="487" spans="1:54" x14ac:dyDescent="0.25">
      <c r="A487" s="80">
        <v>197</v>
      </c>
      <c r="B487" s="95">
        <v>539</v>
      </c>
      <c r="C487" s="201" t="s">
        <v>665</v>
      </c>
      <c r="D487" s="80" t="s">
        <v>107</v>
      </c>
      <c r="E487" s="94">
        <f>IFERROR(VLOOKUP(A487,Estimate!A:Q,17,FALSE)," ")</f>
        <v>1992.6789473684209</v>
      </c>
      <c r="F487" s="202">
        <v>1260</v>
      </c>
      <c r="G487" s="202">
        <v>1260</v>
      </c>
      <c r="H487" s="203">
        <v>1.99</v>
      </c>
      <c r="I487" s="203">
        <v>2507.4</v>
      </c>
      <c r="J487" s="203">
        <v>2507.4</v>
      </c>
      <c r="K487" s="203"/>
      <c r="L487" s="202">
        <v>705</v>
      </c>
      <c r="M487" s="204">
        <f t="shared" si="2809"/>
        <v>0.55952380952380953</v>
      </c>
      <c r="N487" s="95">
        <v>705</v>
      </c>
      <c r="O487" s="204">
        <f t="shared" si="2809"/>
        <v>0.55952380952380953</v>
      </c>
      <c r="P487" s="95">
        <v>705</v>
      </c>
      <c r="Q487" s="204">
        <f t="shared" ref="Q487:S487" si="3002">IFERROR(P487/$G487," ")</f>
        <v>0.55952380952380953</v>
      </c>
      <c r="R487" s="95">
        <v>905</v>
      </c>
      <c r="S487" s="204">
        <f t="shared" si="3002"/>
        <v>0.71825396825396826</v>
      </c>
      <c r="T487" s="95">
        <v>1071</v>
      </c>
      <c r="U487" s="204">
        <f t="shared" ref="U487:W487" si="3003">IFERROR(T487/$G487," ")</f>
        <v>0.85</v>
      </c>
      <c r="V487" s="95">
        <v>1134</v>
      </c>
      <c r="W487" s="204">
        <f t="shared" si="3003"/>
        <v>0.9</v>
      </c>
      <c r="X487" s="95">
        <v>1260</v>
      </c>
      <c r="Y487" s="204">
        <f t="shared" ref="Y487:AA487" si="3004">IFERROR(X487/$G487," ")</f>
        <v>1</v>
      </c>
      <c r="Z487" s="95">
        <v>1260</v>
      </c>
      <c r="AA487" s="204">
        <f t="shared" si="3004"/>
        <v>1</v>
      </c>
      <c r="AB487" s="95">
        <v>1260</v>
      </c>
      <c r="AC487" s="204">
        <f t="shared" ref="AC487:AE487" si="3005">IFERROR(AB487/$G487," ")</f>
        <v>1</v>
      </c>
      <c r="AD487" s="95">
        <v>1260</v>
      </c>
      <c r="AE487" s="204">
        <f t="shared" si="3005"/>
        <v>1</v>
      </c>
      <c r="AF487" s="95">
        <v>1260</v>
      </c>
      <c r="AG487" s="204">
        <f t="shared" ref="AG487:AI487" si="3006">IFERROR(AF487/$G487," ")</f>
        <v>1</v>
      </c>
      <c r="AH487" s="95">
        <v>1260</v>
      </c>
      <c r="AI487" s="204">
        <f t="shared" si="3006"/>
        <v>1</v>
      </c>
      <c r="AJ487" s="95">
        <v>1260</v>
      </c>
      <c r="AK487" s="204">
        <f t="shared" ref="AK487:AM487" si="3007">IFERROR(AJ487/$G487," ")</f>
        <v>1</v>
      </c>
      <c r="AL487" s="95">
        <v>1260</v>
      </c>
      <c r="AM487" s="204">
        <f t="shared" si="3007"/>
        <v>1</v>
      </c>
      <c r="AN487" s="95"/>
      <c r="AO487" s="94">
        <f t="shared" si="2816"/>
        <v>1402.95</v>
      </c>
      <c r="AP487" s="94">
        <f t="shared" si="2806"/>
        <v>1402.95</v>
      </c>
      <c r="AQ487" s="94">
        <f t="shared" si="2807"/>
        <v>1402.95</v>
      </c>
      <c r="AR487" s="94">
        <f t="shared" si="2817"/>
        <v>1800.95</v>
      </c>
      <c r="AS487" s="94">
        <f t="shared" si="2818"/>
        <v>2131.29</v>
      </c>
      <c r="AT487" s="94">
        <f t="shared" si="2819"/>
        <v>2256.6600000000003</v>
      </c>
      <c r="AU487" s="94">
        <f t="shared" si="2820"/>
        <v>2507.4</v>
      </c>
      <c r="AV487" s="94">
        <f t="shared" si="2821"/>
        <v>2507.4</v>
      </c>
      <c r="AW487" s="94">
        <f t="shared" si="2822"/>
        <v>2507.4</v>
      </c>
      <c r="AX487" s="94">
        <f t="shared" si="2823"/>
        <v>2507.4</v>
      </c>
      <c r="AY487" s="94">
        <f t="shared" si="2824"/>
        <v>2507.4</v>
      </c>
      <c r="AZ487" s="94">
        <f t="shared" si="2825"/>
        <v>2507.4</v>
      </c>
      <c r="BA487" s="94">
        <f t="shared" si="2826"/>
        <v>2507.4</v>
      </c>
      <c r="BB487" s="94">
        <f t="shared" si="2827"/>
        <v>2507.4</v>
      </c>
    </row>
    <row r="488" spans="1:54" x14ac:dyDescent="0.25">
      <c r="A488" s="80"/>
      <c r="B488" s="95" t="s">
        <v>2857</v>
      </c>
      <c r="C488" s="201" t="s">
        <v>120</v>
      </c>
      <c r="D488" s="80" t="s">
        <v>783</v>
      </c>
      <c r="E488" s="94" t="str">
        <f>IFERROR(VLOOKUP(A488,Estimate!A:Q,17,FALSE)," ")</f>
        <v xml:space="preserve"> </v>
      </c>
      <c r="F488" s="202" t="s">
        <v>781</v>
      </c>
      <c r="G488" s="202" t="s">
        <v>781</v>
      </c>
      <c r="H488" s="203" t="s">
        <v>781</v>
      </c>
      <c r="I488" s="203" t="s">
        <v>781</v>
      </c>
      <c r="J488" s="203" t="s">
        <v>781</v>
      </c>
      <c r="K488" s="203"/>
      <c r="L488" s="202" t="s">
        <v>781</v>
      </c>
      <c r="M488" s="204" t="str">
        <f t="shared" si="2809"/>
        <v xml:space="preserve"> </v>
      </c>
      <c r="N488" s="95" t="s">
        <v>781</v>
      </c>
      <c r="O488" s="204" t="str">
        <f t="shared" si="2809"/>
        <v xml:space="preserve"> </v>
      </c>
      <c r="P488" s="95" t="s">
        <v>781</v>
      </c>
      <c r="Q488" s="204" t="str">
        <f t="shared" ref="Q488:S488" si="3008">IFERROR(P488/$G488," ")</f>
        <v xml:space="preserve"> </v>
      </c>
      <c r="R488" s="95" t="s">
        <v>781</v>
      </c>
      <c r="S488" s="204" t="str">
        <f t="shared" si="3008"/>
        <v xml:space="preserve"> </v>
      </c>
      <c r="T488" s="95" t="s">
        <v>781</v>
      </c>
      <c r="U488" s="204" t="str">
        <f t="shared" ref="U488:W488" si="3009">IFERROR(T488/$G488," ")</f>
        <v xml:space="preserve"> </v>
      </c>
      <c r="V488" s="95" t="s">
        <v>781</v>
      </c>
      <c r="W488" s="204" t="str">
        <f t="shared" si="3009"/>
        <v xml:space="preserve"> </v>
      </c>
      <c r="X488" s="95" t="s">
        <v>781</v>
      </c>
      <c r="Y488" s="204" t="str">
        <f t="shared" ref="Y488:AA488" si="3010">IFERROR(X488/$G488," ")</f>
        <v xml:space="preserve"> </v>
      </c>
      <c r="Z488" s="95" t="s">
        <v>781</v>
      </c>
      <c r="AA488" s="204" t="str">
        <f t="shared" si="3010"/>
        <v xml:space="preserve"> </v>
      </c>
      <c r="AB488" s="95" t="s">
        <v>781</v>
      </c>
      <c r="AC488" s="204" t="str">
        <f t="shared" ref="AC488:AE488" si="3011">IFERROR(AB488/$G488," ")</f>
        <v xml:space="preserve"> </v>
      </c>
      <c r="AD488" s="95" t="s">
        <v>781</v>
      </c>
      <c r="AE488" s="204" t="str">
        <f t="shared" si="3011"/>
        <v xml:space="preserve"> </v>
      </c>
      <c r="AF488" s="95" t="s">
        <v>781</v>
      </c>
      <c r="AG488" s="204" t="str">
        <f t="shared" ref="AG488:AI488" si="3012">IFERROR(AF488/$G488," ")</f>
        <v xml:space="preserve"> </v>
      </c>
      <c r="AH488" s="95" t="s">
        <v>781</v>
      </c>
      <c r="AI488" s="204" t="str">
        <f t="shared" si="3012"/>
        <v xml:space="preserve"> </v>
      </c>
      <c r="AJ488" s="95" t="s">
        <v>781</v>
      </c>
      <c r="AK488" s="204" t="str">
        <f t="shared" ref="AK488:AM488" si="3013">IFERROR(AJ488/$G488," ")</f>
        <v xml:space="preserve"> </v>
      </c>
      <c r="AL488" s="95" t="s">
        <v>781</v>
      </c>
      <c r="AM488" s="204" t="str">
        <f t="shared" si="3013"/>
        <v xml:space="preserve"> </v>
      </c>
      <c r="AN488" s="95"/>
      <c r="AO488" s="94" t="str">
        <f t="shared" si="2816"/>
        <v xml:space="preserve"> </v>
      </c>
      <c r="AP488" s="94" t="str">
        <f t="shared" si="2806"/>
        <v xml:space="preserve"> </v>
      </c>
      <c r="AQ488" s="94" t="str">
        <f t="shared" si="2807"/>
        <v xml:space="preserve"> </v>
      </c>
      <c r="AR488" s="94" t="str">
        <f t="shared" si="2817"/>
        <v xml:space="preserve"> </v>
      </c>
      <c r="AS488" s="94" t="str">
        <f t="shared" si="2818"/>
        <v xml:space="preserve"> </v>
      </c>
      <c r="AT488" s="94" t="str">
        <f t="shared" si="2819"/>
        <v xml:space="preserve"> </v>
      </c>
      <c r="AU488" s="94" t="str">
        <f t="shared" si="2820"/>
        <v xml:space="preserve"> </v>
      </c>
      <c r="AV488" s="94" t="str">
        <f t="shared" si="2821"/>
        <v xml:space="preserve"> </v>
      </c>
      <c r="AW488" s="94" t="str">
        <f t="shared" si="2822"/>
        <v xml:space="preserve"> </v>
      </c>
      <c r="AX488" s="94" t="str">
        <f t="shared" si="2823"/>
        <v xml:space="preserve"> </v>
      </c>
      <c r="AY488" s="94" t="str">
        <f t="shared" si="2824"/>
        <v xml:space="preserve"> </v>
      </c>
      <c r="AZ488" s="94" t="str">
        <f t="shared" si="2825"/>
        <v xml:space="preserve"> </v>
      </c>
      <c r="BA488" s="94" t="str">
        <f t="shared" si="2826"/>
        <v xml:space="preserve"> </v>
      </c>
      <c r="BB488" s="94" t="str">
        <f t="shared" si="2827"/>
        <v xml:space="preserve"> </v>
      </c>
    </row>
    <row r="489" spans="1:54" ht="45" x14ac:dyDescent="0.25">
      <c r="A489" s="80"/>
      <c r="B489" s="95" t="s">
        <v>2858</v>
      </c>
      <c r="C489" s="201" t="s">
        <v>122</v>
      </c>
      <c r="D489" s="80" t="s">
        <v>783</v>
      </c>
      <c r="E489" s="94" t="str">
        <f>IFERROR(VLOOKUP(A489,Estimate!A:Q,17,FALSE)," ")</f>
        <v xml:space="preserve"> </v>
      </c>
      <c r="F489" s="202" t="s">
        <v>781</v>
      </c>
      <c r="G489" s="202" t="s">
        <v>781</v>
      </c>
      <c r="H489" s="203" t="s">
        <v>781</v>
      </c>
      <c r="I489" s="203" t="s">
        <v>781</v>
      </c>
      <c r="J489" s="203" t="s">
        <v>781</v>
      </c>
      <c r="K489" s="203"/>
      <c r="L489" s="202" t="s">
        <v>781</v>
      </c>
      <c r="M489" s="204" t="str">
        <f t="shared" si="2809"/>
        <v xml:space="preserve"> </v>
      </c>
      <c r="N489" s="95" t="s">
        <v>781</v>
      </c>
      <c r="O489" s="204" t="str">
        <f t="shared" si="2809"/>
        <v xml:space="preserve"> </v>
      </c>
      <c r="P489" s="95" t="s">
        <v>781</v>
      </c>
      <c r="Q489" s="204" t="str">
        <f t="shared" ref="Q489:S489" si="3014">IFERROR(P489/$G489," ")</f>
        <v xml:space="preserve"> </v>
      </c>
      <c r="R489" s="95" t="s">
        <v>781</v>
      </c>
      <c r="S489" s="204" t="str">
        <f t="shared" si="3014"/>
        <v xml:space="preserve"> </v>
      </c>
      <c r="T489" s="95" t="s">
        <v>781</v>
      </c>
      <c r="U489" s="204" t="str">
        <f t="shared" ref="U489:W489" si="3015">IFERROR(T489/$G489," ")</f>
        <v xml:space="preserve"> </v>
      </c>
      <c r="V489" s="95" t="s">
        <v>781</v>
      </c>
      <c r="W489" s="204" t="str">
        <f t="shared" si="3015"/>
        <v xml:space="preserve"> </v>
      </c>
      <c r="X489" s="95" t="s">
        <v>781</v>
      </c>
      <c r="Y489" s="204" t="str">
        <f t="shared" ref="Y489:AA489" si="3016">IFERROR(X489/$G489," ")</f>
        <v xml:space="preserve"> </v>
      </c>
      <c r="Z489" s="95" t="s">
        <v>781</v>
      </c>
      <c r="AA489" s="204" t="str">
        <f t="shared" si="3016"/>
        <v xml:space="preserve"> </v>
      </c>
      <c r="AB489" s="95" t="s">
        <v>781</v>
      </c>
      <c r="AC489" s="204" t="str">
        <f t="shared" ref="AC489:AE489" si="3017">IFERROR(AB489/$G489," ")</f>
        <v xml:space="preserve"> </v>
      </c>
      <c r="AD489" s="95" t="s">
        <v>781</v>
      </c>
      <c r="AE489" s="204" t="str">
        <f t="shared" si="3017"/>
        <v xml:space="preserve"> </v>
      </c>
      <c r="AF489" s="95" t="s">
        <v>781</v>
      </c>
      <c r="AG489" s="204" t="str">
        <f t="shared" ref="AG489:AI489" si="3018">IFERROR(AF489/$G489," ")</f>
        <v xml:space="preserve"> </v>
      </c>
      <c r="AH489" s="95" t="s">
        <v>781</v>
      </c>
      <c r="AI489" s="204" t="str">
        <f t="shared" si="3018"/>
        <v xml:space="preserve"> </v>
      </c>
      <c r="AJ489" s="95" t="s">
        <v>781</v>
      </c>
      <c r="AK489" s="204" t="str">
        <f t="shared" ref="AK489:AM489" si="3019">IFERROR(AJ489/$G489," ")</f>
        <v xml:space="preserve"> </v>
      </c>
      <c r="AL489" s="95" t="s">
        <v>781</v>
      </c>
      <c r="AM489" s="204" t="str">
        <f t="shared" si="3019"/>
        <v xml:space="preserve"> </v>
      </c>
      <c r="AN489" s="95"/>
      <c r="AO489" s="94" t="str">
        <f t="shared" si="2816"/>
        <v xml:space="preserve"> </v>
      </c>
      <c r="AP489" s="94" t="str">
        <f t="shared" si="2806"/>
        <v xml:space="preserve"> </v>
      </c>
      <c r="AQ489" s="94" t="str">
        <f t="shared" si="2807"/>
        <v xml:space="preserve"> </v>
      </c>
      <c r="AR489" s="94" t="str">
        <f t="shared" ref="AR489:AR519" si="3020">IFERROR(S489*$J489," ")</f>
        <v xml:space="preserve"> </v>
      </c>
      <c r="AS489" s="94" t="str">
        <f t="shared" si="2818"/>
        <v xml:space="preserve"> </v>
      </c>
      <c r="AT489" s="94" t="str">
        <f t="shared" si="2819"/>
        <v xml:space="preserve"> </v>
      </c>
      <c r="AU489" s="94" t="str">
        <f t="shared" si="2820"/>
        <v xml:space="preserve"> </v>
      </c>
      <c r="AV489" s="94" t="str">
        <f t="shared" si="2821"/>
        <v xml:space="preserve"> </v>
      </c>
      <c r="AW489" s="94" t="str">
        <f t="shared" si="2822"/>
        <v xml:space="preserve"> </v>
      </c>
      <c r="AX489" s="94" t="str">
        <f t="shared" si="2823"/>
        <v xml:space="preserve"> </v>
      </c>
      <c r="AY489" s="94" t="str">
        <f t="shared" si="2824"/>
        <v xml:space="preserve"> </v>
      </c>
      <c r="AZ489" s="94" t="str">
        <f t="shared" si="2825"/>
        <v xml:space="preserve"> </v>
      </c>
      <c r="BA489" s="94" t="str">
        <f t="shared" si="2826"/>
        <v xml:space="preserve"> </v>
      </c>
      <c r="BB489" s="94" t="str">
        <f t="shared" si="2827"/>
        <v xml:space="preserve"> </v>
      </c>
    </row>
    <row r="490" spans="1:54" x14ac:dyDescent="0.25">
      <c r="A490" s="80">
        <v>198</v>
      </c>
      <c r="B490" s="95" t="s">
        <v>2933</v>
      </c>
      <c r="C490" s="201" t="s">
        <v>669</v>
      </c>
      <c r="D490" s="80" t="s">
        <v>107</v>
      </c>
      <c r="E490" s="94">
        <f>IFERROR(VLOOKUP(A490,Estimate!A:Q,17,FALSE)," ")</f>
        <v>14172.784500000002</v>
      </c>
      <c r="F490" s="202">
        <v>1057</v>
      </c>
      <c r="G490" s="202">
        <v>1057</v>
      </c>
      <c r="H490" s="203">
        <v>13.74</v>
      </c>
      <c r="I490" s="203">
        <v>14523.18</v>
      </c>
      <c r="J490" s="203">
        <v>14523.18</v>
      </c>
      <c r="K490" s="203"/>
      <c r="L490" s="202"/>
      <c r="M490" s="204">
        <f t="shared" si="2809"/>
        <v>0</v>
      </c>
      <c r="N490" s="95"/>
      <c r="O490" s="204">
        <f t="shared" si="2809"/>
        <v>0</v>
      </c>
      <c r="P490" s="95">
        <v>735</v>
      </c>
      <c r="Q490" s="204">
        <f t="shared" ref="Q490:S490" si="3021">IFERROR(P490/$G490," ")</f>
        <v>0.69536423841059603</v>
      </c>
      <c r="R490" s="95">
        <v>735</v>
      </c>
      <c r="S490" s="204">
        <f t="shared" si="3021"/>
        <v>0.69536423841059603</v>
      </c>
      <c r="T490" s="95">
        <v>735</v>
      </c>
      <c r="U490" s="204">
        <f t="shared" ref="U490:W490" si="3022">IFERROR(T490/$G490," ")</f>
        <v>0.69536423841059603</v>
      </c>
      <c r="V490" s="95">
        <v>735</v>
      </c>
      <c r="W490" s="204">
        <f t="shared" si="3022"/>
        <v>0.69536423841059603</v>
      </c>
      <c r="X490" s="95">
        <v>1057</v>
      </c>
      <c r="Y490" s="204">
        <f t="shared" ref="Y490:AA490" si="3023">IFERROR(X490/$G490," ")</f>
        <v>1</v>
      </c>
      <c r="Z490" s="95">
        <v>1057</v>
      </c>
      <c r="AA490" s="204">
        <f t="shared" si="3023"/>
        <v>1</v>
      </c>
      <c r="AB490" s="95">
        <v>1057</v>
      </c>
      <c r="AC490" s="204">
        <f t="shared" ref="AC490:AE490" si="3024">IFERROR(AB490/$G490," ")</f>
        <v>1</v>
      </c>
      <c r="AD490" s="95">
        <v>1057</v>
      </c>
      <c r="AE490" s="204">
        <f t="shared" si="3024"/>
        <v>1</v>
      </c>
      <c r="AF490" s="95">
        <v>1057</v>
      </c>
      <c r="AG490" s="204">
        <f t="shared" ref="AG490:AI490" si="3025">IFERROR(AF490/$G490," ")</f>
        <v>1</v>
      </c>
      <c r="AH490" s="95">
        <v>1057</v>
      </c>
      <c r="AI490" s="204">
        <f t="shared" si="3025"/>
        <v>1</v>
      </c>
      <c r="AJ490" s="95">
        <v>1057</v>
      </c>
      <c r="AK490" s="204">
        <f t="shared" ref="AK490:AM490" si="3026">IFERROR(AJ490/$G490," ")</f>
        <v>1</v>
      </c>
      <c r="AL490" s="95">
        <v>1057</v>
      </c>
      <c r="AM490" s="204">
        <f t="shared" si="3026"/>
        <v>1</v>
      </c>
      <c r="AN490" s="95"/>
      <c r="AO490" s="94">
        <f t="shared" si="2816"/>
        <v>0</v>
      </c>
      <c r="AP490" s="94">
        <f t="shared" si="2806"/>
        <v>0</v>
      </c>
      <c r="AQ490" s="94">
        <f t="shared" si="2807"/>
        <v>10098.9</v>
      </c>
      <c r="AR490" s="94">
        <f t="shared" si="3020"/>
        <v>10098.9</v>
      </c>
      <c r="AS490" s="94">
        <f t="shared" si="2818"/>
        <v>10098.9</v>
      </c>
      <c r="AT490" s="94">
        <f t="shared" si="2819"/>
        <v>10098.9</v>
      </c>
      <c r="AU490" s="94">
        <f t="shared" si="2820"/>
        <v>14523.18</v>
      </c>
      <c r="AV490" s="94">
        <f t="shared" si="2821"/>
        <v>14523.18</v>
      </c>
      <c r="AW490" s="94">
        <f t="shared" si="2822"/>
        <v>14523.18</v>
      </c>
      <c r="AX490" s="94">
        <f t="shared" si="2823"/>
        <v>14523.18</v>
      </c>
      <c r="AY490" s="94">
        <f t="shared" si="2824"/>
        <v>14523.18</v>
      </c>
      <c r="AZ490" s="94">
        <f t="shared" si="2825"/>
        <v>14523.18</v>
      </c>
      <c r="BA490" s="94">
        <f t="shared" si="2826"/>
        <v>14523.18</v>
      </c>
      <c r="BB490" s="94">
        <f t="shared" si="2827"/>
        <v>14523.18</v>
      </c>
    </row>
    <row r="491" spans="1:54" x14ac:dyDescent="0.25">
      <c r="A491" s="80"/>
      <c r="B491" s="95" t="s">
        <v>2897</v>
      </c>
      <c r="C491" s="201" t="s">
        <v>403</v>
      </c>
      <c r="D491" s="80" t="s">
        <v>783</v>
      </c>
      <c r="E491" s="94" t="str">
        <f>IFERROR(VLOOKUP(A491,Estimate!A:Q,17,FALSE)," ")</f>
        <v xml:space="preserve"> </v>
      </c>
      <c r="F491" s="202" t="s">
        <v>781</v>
      </c>
      <c r="G491" s="202" t="s">
        <v>781</v>
      </c>
      <c r="H491" s="203" t="s">
        <v>781</v>
      </c>
      <c r="I491" s="203" t="s">
        <v>781</v>
      </c>
      <c r="J491" s="203" t="s">
        <v>781</v>
      </c>
      <c r="K491" s="203"/>
      <c r="L491" s="202" t="s">
        <v>781</v>
      </c>
      <c r="M491" s="204" t="str">
        <f t="shared" si="2809"/>
        <v xml:space="preserve"> </v>
      </c>
      <c r="N491" s="95" t="s">
        <v>781</v>
      </c>
      <c r="O491" s="204" t="str">
        <f t="shared" si="2809"/>
        <v xml:space="preserve"> </v>
      </c>
      <c r="P491" s="95" t="s">
        <v>781</v>
      </c>
      <c r="Q491" s="204" t="str">
        <f t="shared" ref="Q491:S491" si="3027">IFERROR(P491/$G491," ")</f>
        <v xml:space="preserve"> </v>
      </c>
      <c r="R491" s="95" t="s">
        <v>781</v>
      </c>
      <c r="S491" s="204" t="str">
        <f t="shared" si="3027"/>
        <v xml:space="preserve"> </v>
      </c>
      <c r="T491" s="95" t="s">
        <v>781</v>
      </c>
      <c r="U491" s="204" t="str">
        <f t="shared" ref="U491:W491" si="3028">IFERROR(T491/$G491," ")</f>
        <v xml:space="preserve"> </v>
      </c>
      <c r="V491" s="95" t="s">
        <v>781</v>
      </c>
      <c r="W491" s="204" t="str">
        <f t="shared" si="3028"/>
        <v xml:space="preserve"> </v>
      </c>
      <c r="X491" s="95" t="s">
        <v>781</v>
      </c>
      <c r="Y491" s="204" t="str">
        <f t="shared" ref="Y491:AA491" si="3029">IFERROR(X491/$G491," ")</f>
        <v xml:space="preserve"> </v>
      </c>
      <c r="Z491" s="95" t="s">
        <v>781</v>
      </c>
      <c r="AA491" s="204" t="str">
        <f t="shared" si="3029"/>
        <v xml:space="preserve"> </v>
      </c>
      <c r="AB491" s="95" t="s">
        <v>781</v>
      </c>
      <c r="AC491" s="204" t="str">
        <f t="shared" ref="AC491:AE491" si="3030">IFERROR(AB491/$G491," ")</f>
        <v xml:space="preserve"> </v>
      </c>
      <c r="AD491" s="95" t="s">
        <v>781</v>
      </c>
      <c r="AE491" s="204" t="str">
        <f t="shared" si="3030"/>
        <v xml:space="preserve"> </v>
      </c>
      <c r="AF491" s="95" t="s">
        <v>781</v>
      </c>
      <c r="AG491" s="204" t="str">
        <f t="shared" ref="AG491:AI491" si="3031">IFERROR(AF491/$G491," ")</f>
        <v xml:space="preserve"> </v>
      </c>
      <c r="AH491" s="95" t="s">
        <v>781</v>
      </c>
      <c r="AI491" s="204" t="str">
        <f t="shared" si="3031"/>
        <v xml:space="preserve"> </v>
      </c>
      <c r="AJ491" s="95" t="s">
        <v>781</v>
      </c>
      <c r="AK491" s="204" t="str">
        <f t="shared" ref="AK491:AM491" si="3032">IFERROR(AJ491/$G491," ")</f>
        <v xml:space="preserve"> </v>
      </c>
      <c r="AL491" s="95" t="s">
        <v>781</v>
      </c>
      <c r="AM491" s="204" t="str">
        <f t="shared" si="3032"/>
        <v xml:space="preserve"> </v>
      </c>
      <c r="AN491" s="95"/>
      <c r="AO491" s="94" t="str">
        <f t="shared" si="2816"/>
        <v xml:space="preserve"> </v>
      </c>
      <c r="AP491" s="94" t="str">
        <f t="shared" si="2806"/>
        <v xml:space="preserve"> </v>
      </c>
      <c r="AQ491" s="94" t="str">
        <f t="shared" si="2807"/>
        <v xml:space="preserve"> </v>
      </c>
      <c r="AR491" s="94" t="str">
        <f t="shared" si="3020"/>
        <v xml:space="preserve"> </v>
      </c>
      <c r="AS491" s="94" t="str">
        <f t="shared" si="2818"/>
        <v xml:space="preserve"> </v>
      </c>
      <c r="AT491" s="94" t="str">
        <f t="shared" si="2819"/>
        <v xml:space="preserve"> </v>
      </c>
      <c r="AU491" s="94" t="str">
        <f t="shared" si="2820"/>
        <v xml:space="preserve"> </v>
      </c>
      <c r="AV491" s="94" t="str">
        <f t="shared" si="2821"/>
        <v xml:space="preserve"> </v>
      </c>
      <c r="AW491" s="94" t="str">
        <f t="shared" si="2822"/>
        <v xml:space="preserve"> </v>
      </c>
      <c r="AX491" s="94" t="str">
        <f t="shared" si="2823"/>
        <v xml:space="preserve"> </v>
      </c>
      <c r="AY491" s="94" t="str">
        <f t="shared" si="2824"/>
        <v xml:space="preserve"> </v>
      </c>
      <c r="AZ491" s="94" t="str">
        <f t="shared" si="2825"/>
        <v xml:space="preserve"> </v>
      </c>
      <c r="BA491" s="94" t="str">
        <f t="shared" si="2826"/>
        <v xml:space="preserve"> </v>
      </c>
      <c r="BB491" s="94" t="str">
        <f t="shared" si="2827"/>
        <v xml:space="preserve"> </v>
      </c>
    </row>
    <row r="492" spans="1:54" x14ac:dyDescent="0.25">
      <c r="A492" s="80"/>
      <c r="B492" s="95" t="s">
        <v>2878</v>
      </c>
      <c r="C492" s="201" t="s">
        <v>226</v>
      </c>
      <c r="D492" s="80" t="s">
        <v>783</v>
      </c>
      <c r="E492" s="94" t="str">
        <f>IFERROR(VLOOKUP(A492,Estimate!A:Q,17,FALSE)," ")</f>
        <v xml:space="preserve"> </v>
      </c>
      <c r="F492" s="202" t="s">
        <v>781</v>
      </c>
      <c r="G492" s="202" t="s">
        <v>781</v>
      </c>
      <c r="H492" s="203" t="s">
        <v>781</v>
      </c>
      <c r="I492" s="203" t="s">
        <v>781</v>
      </c>
      <c r="J492" s="203" t="s">
        <v>781</v>
      </c>
      <c r="K492" s="203"/>
      <c r="L492" s="202" t="s">
        <v>781</v>
      </c>
      <c r="M492" s="204" t="str">
        <f t="shared" si="2809"/>
        <v xml:space="preserve"> </v>
      </c>
      <c r="N492" s="95" t="s">
        <v>781</v>
      </c>
      <c r="O492" s="204" t="str">
        <f t="shared" si="2809"/>
        <v xml:space="preserve"> </v>
      </c>
      <c r="P492" s="95" t="s">
        <v>781</v>
      </c>
      <c r="Q492" s="204" t="str">
        <f t="shared" ref="Q492:S492" si="3033">IFERROR(P492/$G492," ")</f>
        <v xml:space="preserve"> </v>
      </c>
      <c r="R492" s="95" t="s">
        <v>781</v>
      </c>
      <c r="S492" s="204" t="str">
        <f t="shared" si="3033"/>
        <v xml:space="preserve"> </v>
      </c>
      <c r="T492" s="95" t="s">
        <v>781</v>
      </c>
      <c r="U492" s="204" t="str">
        <f t="shared" ref="U492:W492" si="3034">IFERROR(T492/$G492," ")</f>
        <v xml:space="preserve"> </v>
      </c>
      <c r="V492" s="95" t="s">
        <v>781</v>
      </c>
      <c r="W492" s="204" t="str">
        <f t="shared" si="3034"/>
        <v xml:space="preserve"> </v>
      </c>
      <c r="X492" s="95" t="s">
        <v>781</v>
      </c>
      <c r="Y492" s="204" t="str">
        <f t="shared" ref="Y492:AA492" si="3035">IFERROR(X492/$G492," ")</f>
        <v xml:space="preserve"> </v>
      </c>
      <c r="Z492" s="95" t="s">
        <v>781</v>
      </c>
      <c r="AA492" s="204" t="str">
        <f t="shared" si="3035"/>
        <v xml:space="preserve"> </v>
      </c>
      <c r="AB492" s="95" t="s">
        <v>781</v>
      </c>
      <c r="AC492" s="204" t="str">
        <f t="shared" ref="AC492:AE492" si="3036">IFERROR(AB492/$G492," ")</f>
        <v xml:space="preserve"> </v>
      </c>
      <c r="AD492" s="95" t="s">
        <v>781</v>
      </c>
      <c r="AE492" s="204" t="str">
        <f t="shared" si="3036"/>
        <v xml:space="preserve"> </v>
      </c>
      <c r="AF492" s="95" t="s">
        <v>781</v>
      </c>
      <c r="AG492" s="204" t="str">
        <f t="shared" ref="AG492:AI492" si="3037">IFERROR(AF492/$G492," ")</f>
        <v xml:space="preserve"> </v>
      </c>
      <c r="AH492" s="95" t="s">
        <v>781</v>
      </c>
      <c r="AI492" s="204" t="str">
        <f t="shared" si="3037"/>
        <v xml:space="preserve"> </v>
      </c>
      <c r="AJ492" s="95" t="s">
        <v>781</v>
      </c>
      <c r="AK492" s="204" t="str">
        <f t="shared" ref="AK492:AM492" si="3038">IFERROR(AJ492/$G492," ")</f>
        <v xml:space="preserve"> </v>
      </c>
      <c r="AL492" s="95" t="s">
        <v>781</v>
      </c>
      <c r="AM492" s="204" t="str">
        <f t="shared" si="3038"/>
        <v xml:space="preserve"> </v>
      </c>
      <c r="AN492" s="95"/>
      <c r="AO492" s="94" t="str">
        <f t="shared" si="2816"/>
        <v xml:space="preserve"> </v>
      </c>
      <c r="AP492" s="94" t="str">
        <f t="shared" si="2806"/>
        <v xml:space="preserve"> </v>
      </c>
      <c r="AQ492" s="94" t="str">
        <f t="shared" si="2807"/>
        <v xml:space="preserve"> </v>
      </c>
      <c r="AR492" s="94" t="str">
        <f t="shared" si="3020"/>
        <v xml:space="preserve"> </v>
      </c>
      <c r="AS492" s="94" t="str">
        <f t="shared" si="2818"/>
        <v xml:space="preserve"> </v>
      </c>
      <c r="AT492" s="94" t="str">
        <f t="shared" si="2819"/>
        <v xml:space="preserve"> </v>
      </c>
      <c r="AU492" s="94" t="str">
        <f t="shared" si="2820"/>
        <v xml:space="preserve"> </v>
      </c>
      <c r="AV492" s="94" t="str">
        <f t="shared" si="2821"/>
        <v xml:space="preserve"> </v>
      </c>
      <c r="AW492" s="94" t="str">
        <f t="shared" si="2822"/>
        <v xml:space="preserve"> </v>
      </c>
      <c r="AX492" s="94" t="str">
        <f t="shared" si="2823"/>
        <v xml:space="preserve"> </v>
      </c>
      <c r="AY492" s="94" t="str">
        <f t="shared" si="2824"/>
        <v xml:space="preserve"> </v>
      </c>
      <c r="AZ492" s="94" t="str">
        <f t="shared" si="2825"/>
        <v xml:space="preserve"> </v>
      </c>
      <c r="BA492" s="94" t="str">
        <f t="shared" si="2826"/>
        <v xml:space="preserve"> </v>
      </c>
      <c r="BB492" s="94" t="str">
        <f t="shared" si="2827"/>
        <v xml:space="preserve"> </v>
      </c>
    </row>
    <row r="493" spans="1:54" x14ac:dyDescent="0.25">
      <c r="A493" s="80">
        <v>199</v>
      </c>
      <c r="B493" s="95" t="s">
        <v>2879</v>
      </c>
      <c r="C493" s="201" t="s">
        <v>228</v>
      </c>
      <c r="D493" s="80" t="s">
        <v>82</v>
      </c>
      <c r="E493" s="94">
        <f>IFERROR(VLOOKUP(A493,Estimate!A:Q,17,FALSE)," ")</f>
        <v>34057.800000000003</v>
      </c>
      <c r="F493" s="202">
        <v>102</v>
      </c>
      <c r="G493" s="202">
        <v>102</v>
      </c>
      <c r="H493" s="203">
        <v>342.25</v>
      </c>
      <c r="I493" s="203">
        <v>34909.5</v>
      </c>
      <c r="J493" s="203">
        <v>34909.5</v>
      </c>
      <c r="K493" s="203"/>
      <c r="L493" s="202"/>
      <c r="M493" s="204">
        <f t="shared" si="2809"/>
        <v>0</v>
      </c>
      <c r="N493" s="95"/>
      <c r="O493" s="204">
        <f t="shared" si="2809"/>
        <v>0</v>
      </c>
      <c r="P493" s="95"/>
      <c r="Q493" s="204">
        <f t="shared" ref="Q493:S493" si="3039">IFERROR(P493/$G493," ")</f>
        <v>0</v>
      </c>
      <c r="R493" s="95"/>
      <c r="S493" s="204">
        <f t="shared" si="3039"/>
        <v>0</v>
      </c>
      <c r="T493" s="95"/>
      <c r="U493" s="204">
        <f t="shared" ref="U493:W493" si="3040">IFERROR(T493/$G493," ")</f>
        <v>0</v>
      </c>
      <c r="V493" s="95"/>
      <c r="W493" s="204">
        <f t="shared" si="3040"/>
        <v>0</v>
      </c>
      <c r="X493" s="95"/>
      <c r="Y493" s="204">
        <f t="shared" ref="Y493:AA493" si="3041">IFERROR(X493/$G493," ")</f>
        <v>0</v>
      </c>
      <c r="Z493" s="95">
        <v>102</v>
      </c>
      <c r="AA493" s="204">
        <f t="shared" si="3041"/>
        <v>1</v>
      </c>
      <c r="AB493" s="95">
        <v>102</v>
      </c>
      <c r="AC493" s="204">
        <f t="shared" ref="AC493:AE493" si="3042">IFERROR(AB493/$G493," ")</f>
        <v>1</v>
      </c>
      <c r="AD493" s="95">
        <v>102</v>
      </c>
      <c r="AE493" s="204">
        <f t="shared" si="3042"/>
        <v>1</v>
      </c>
      <c r="AF493" s="95">
        <v>102</v>
      </c>
      <c r="AG493" s="204">
        <f t="shared" ref="AG493:AI493" si="3043">IFERROR(AF493/$G493," ")</f>
        <v>1</v>
      </c>
      <c r="AH493" s="95">
        <v>102</v>
      </c>
      <c r="AI493" s="204">
        <f t="shared" si="3043"/>
        <v>1</v>
      </c>
      <c r="AJ493" s="95">
        <v>102</v>
      </c>
      <c r="AK493" s="204">
        <f t="shared" ref="AK493:AM493" si="3044">IFERROR(AJ493/$G493," ")</f>
        <v>1</v>
      </c>
      <c r="AL493" s="95">
        <v>102</v>
      </c>
      <c r="AM493" s="204">
        <f t="shared" si="3044"/>
        <v>1</v>
      </c>
      <c r="AN493" s="95"/>
      <c r="AO493" s="94">
        <f t="shared" si="2816"/>
        <v>0</v>
      </c>
      <c r="AP493" s="94">
        <f t="shared" si="2806"/>
        <v>0</v>
      </c>
      <c r="AQ493" s="94">
        <f t="shared" si="2807"/>
        <v>0</v>
      </c>
      <c r="AR493" s="94">
        <f t="shared" si="3020"/>
        <v>0</v>
      </c>
      <c r="AS493" s="94">
        <f t="shared" si="2818"/>
        <v>0</v>
      </c>
      <c r="AT493" s="94">
        <f t="shared" si="2819"/>
        <v>0</v>
      </c>
      <c r="AU493" s="94">
        <f t="shared" si="2820"/>
        <v>0</v>
      </c>
      <c r="AV493" s="94">
        <f t="shared" si="2821"/>
        <v>34909.5</v>
      </c>
      <c r="AW493" s="94">
        <f t="shared" si="2822"/>
        <v>34909.5</v>
      </c>
      <c r="AX493" s="94">
        <f t="shared" si="2823"/>
        <v>34909.5</v>
      </c>
      <c r="AY493" s="94">
        <f t="shared" si="2824"/>
        <v>34909.5</v>
      </c>
      <c r="AZ493" s="94">
        <f t="shared" si="2825"/>
        <v>34909.5</v>
      </c>
      <c r="BA493" s="94">
        <f t="shared" si="2826"/>
        <v>34909.5</v>
      </c>
      <c r="BB493" s="94">
        <f t="shared" si="2827"/>
        <v>34909.5</v>
      </c>
    </row>
    <row r="494" spans="1:54" x14ac:dyDescent="0.25">
      <c r="A494" s="80"/>
      <c r="B494" s="95" t="s">
        <v>2417</v>
      </c>
      <c r="C494" s="201" t="s">
        <v>2837</v>
      </c>
      <c r="D494" s="80" t="s">
        <v>783</v>
      </c>
      <c r="E494" s="94" t="str">
        <f>IFERROR(VLOOKUP(A494,Estimate!A:Q,17,FALSE)," ")</f>
        <v xml:space="preserve"> </v>
      </c>
      <c r="F494" s="202" t="s">
        <v>781</v>
      </c>
      <c r="G494" s="202" t="s">
        <v>781</v>
      </c>
      <c r="H494" s="203" t="s">
        <v>781</v>
      </c>
      <c r="I494" s="203" t="s">
        <v>781</v>
      </c>
      <c r="J494" s="203" t="s">
        <v>781</v>
      </c>
      <c r="K494" s="203"/>
      <c r="L494" s="202" t="s">
        <v>781</v>
      </c>
      <c r="M494" s="204" t="str">
        <f t="shared" si="2809"/>
        <v xml:space="preserve"> </v>
      </c>
      <c r="N494" s="95" t="s">
        <v>781</v>
      </c>
      <c r="O494" s="204" t="str">
        <f t="shared" si="2809"/>
        <v xml:space="preserve"> </v>
      </c>
      <c r="P494" s="95" t="s">
        <v>781</v>
      </c>
      <c r="Q494" s="204" t="str">
        <f t="shared" ref="Q494:S494" si="3045">IFERROR(P494/$G494," ")</f>
        <v xml:space="preserve"> </v>
      </c>
      <c r="R494" s="95" t="s">
        <v>781</v>
      </c>
      <c r="S494" s="204" t="str">
        <f t="shared" si="3045"/>
        <v xml:space="preserve"> </v>
      </c>
      <c r="T494" s="95" t="s">
        <v>781</v>
      </c>
      <c r="U494" s="204" t="str">
        <f t="shared" ref="U494:W494" si="3046">IFERROR(T494/$G494," ")</f>
        <v xml:space="preserve"> </v>
      </c>
      <c r="V494" s="95" t="s">
        <v>781</v>
      </c>
      <c r="W494" s="204" t="str">
        <f t="shared" si="3046"/>
        <v xml:space="preserve"> </v>
      </c>
      <c r="X494" s="95" t="s">
        <v>781</v>
      </c>
      <c r="Y494" s="204" t="str">
        <f t="shared" ref="Y494:AA494" si="3047">IFERROR(X494/$G494," ")</f>
        <v xml:space="preserve"> </v>
      </c>
      <c r="Z494" s="95" t="s">
        <v>781</v>
      </c>
      <c r="AA494" s="204" t="str">
        <f t="shared" si="3047"/>
        <v xml:space="preserve"> </v>
      </c>
      <c r="AB494" s="95" t="s">
        <v>781</v>
      </c>
      <c r="AC494" s="204" t="str">
        <f t="shared" ref="AC494:AE494" si="3048">IFERROR(AB494/$G494," ")</f>
        <v xml:space="preserve"> </v>
      </c>
      <c r="AD494" s="95" t="s">
        <v>781</v>
      </c>
      <c r="AE494" s="204" t="str">
        <f t="shared" si="3048"/>
        <v xml:space="preserve"> </v>
      </c>
      <c r="AF494" s="95" t="s">
        <v>781</v>
      </c>
      <c r="AG494" s="204" t="str">
        <f t="shared" ref="AG494:AI494" si="3049">IFERROR(AF494/$G494," ")</f>
        <v xml:space="preserve"> </v>
      </c>
      <c r="AH494" s="95" t="s">
        <v>781</v>
      </c>
      <c r="AI494" s="204" t="str">
        <f t="shared" si="3049"/>
        <v xml:space="preserve"> </v>
      </c>
      <c r="AJ494" s="95" t="s">
        <v>781</v>
      </c>
      <c r="AK494" s="204" t="str">
        <f t="shared" ref="AK494:AM494" si="3050">IFERROR(AJ494/$G494," ")</f>
        <v xml:space="preserve"> </v>
      </c>
      <c r="AL494" s="95" t="s">
        <v>781</v>
      </c>
      <c r="AM494" s="204" t="str">
        <f t="shared" si="3050"/>
        <v xml:space="preserve"> </v>
      </c>
      <c r="AN494" s="95"/>
      <c r="AO494" s="94" t="str">
        <f t="shared" si="2816"/>
        <v xml:space="preserve"> </v>
      </c>
      <c r="AP494" s="94" t="str">
        <f t="shared" si="2806"/>
        <v xml:space="preserve"> </v>
      </c>
      <c r="AQ494" s="94" t="str">
        <f t="shared" si="2807"/>
        <v xml:space="preserve"> </v>
      </c>
      <c r="AR494" s="94" t="str">
        <f t="shared" si="3020"/>
        <v xml:space="preserve"> </v>
      </c>
      <c r="AS494" s="94" t="str">
        <f t="shared" si="2818"/>
        <v xml:space="preserve"> </v>
      </c>
      <c r="AT494" s="94" t="str">
        <f t="shared" si="2819"/>
        <v xml:space="preserve"> </v>
      </c>
      <c r="AU494" s="94" t="str">
        <f t="shared" si="2820"/>
        <v xml:space="preserve"> </v>
      </c>
      <c r="AV494" s="94" t="str">
        <f t="shared" si="2821"/>
        <v xml:space="preserve"> </v>
      </c>
      <c r="AW494" s="94" t="str">
        <f t="shared" si="2822"/>
        <v xml:space="preserve"> </v>
      </c>
      <c r="AX494" s="94" t="str">
        <f t="shared" si="2823"/>
        <v xml:space="preserve"> </v>
      </c>
      <c r="AY494" s="94" t="str">
        <f t="shared" si="2824"/>
        <v xml:space="preserve"> </v>
      </c>
      <c r="AZ494" s="94" t="str">
        <f t="shared" si="2825"/>
        <v xml:space="preserve"> </v>
      </c>
      <c r="BA494" s="94" t="str">
        <f t="shared" si="2826"/>
        <v xml:space="preserve"> </v>
      </c>
      <c r="BB494" s="94" t="str">
        <f t="shared" si="2827"/>
        <v xml:space="preserve"> </v>
      </c>
    </row>
    <row r="495" spans="1:54" x14ac:dyDescent="0.25">
      <c r="A495" s="80"/>
      <c r="B495" s="95" t="s">
        <v>2417</v>
      </c>
      <c r="C495" s="201" t="s">
        <v>136</v>
      </c>
      <c r="D495" s="80" t="s">
        <v>783</v>
      </c>
      <c r="E495" s="94" t="str">
        <f>IFERROR(VLOOKUP(A495,Estimate!A:Q,17,FALSE)," ")</f>
        <v xml:space="preserve"> </v>
      </c>
      <c r="F495" s="202" t="s">
        <v>781</v>
      </c>
      <c r="G495" s="202" t="s">
        <v>781</v>
      </c>
      <c r="H495" s="203" t="s">
        <v>781</v>
      </c>
      <c r="I495" s="203" t="s">
        <v>781</v>
      </c>
      <c r="J495" s="203" t="s">
        <v>781</v>
      </c>
      <c r="K495" s="203"/>
      <c r="L495" s="202" t="s">
        <v>781</v>
      </c>
      <c r="M495" s="204" t="str">
        <f t="shared" si="2809"/>
        <v xml:space="preserve"> </v>
      </c>
      <c r="N495" s="95" t="s">
        <v>781</v>
      </c>
      <c r="O495" s="204" t="str">
        <f t="shared" si="2809"/>
        <v xml:space="preserve"> </v>
      </c>
      <c r="P495" s="95" t="s">
        <v>781</v>
      </c>
      <c r="Q495" s="204" t="str">
        <f t="shared" ref="Q495:S495" si="3051">IFERROR(P495/$G495," ")</f>
        <v xml:space="preserve"> </v>
      </c>
      <c r="R495" s="95" t="s">
        <v>781</v>
      </c>
      <c r="S495" s="204" t="str">
        <f t="shared" si="3051"/>
        <v xml:space="preserve"> </v>
      </c>
      <c r="T495" s="95" t="s">
        <v>781</v>
      </c>
      <c r="U495" s="204" t="str">
        <f t="shared" ref="U495:W495" si="3052">IFERROR(T495/$G495," ")</f>
        <v xml:space="preserve"> </v>
      </c>
      <c r="V495" s="95" t="s">
        <v>781</v>
      </c>
      <c r="W495" s="204" t="str">
        <f t="shared" si="3052"/>
        <v xml:space="preserve"> </v>
      </c>
      <c r="X495" s="95" t="s">
        <v>781</v>
      </c>
      <c r="Y495" s="204" t="str">
        <f t="shared" ref="Y495:AA495" si="3053">IFERROR(X495/$G495," ")</f>
        <v xml:space="preserve"> </v>
      </c>
      <c r="Z495" s="95" t="s">
        <v>781</v>
      </c>
      <c r="AA495" s="204" t="str">
        <f t="shared" si="3053"/>
        <v xml:space="preserve"> </v>
      </c>
      <c r="AB495" s="95" t="s">
        <v>781</v>
      </c>
      <c r="AC495" s="204" t="str">
        <f t="shared" ref="AC495:AE495" si="3054">IFERROR(AB495/$G495," ")</f>
        <v xml:space="preserve"> </v>
      </c>
      <c r="AD495" s="95" t="s">
        <v>781</v>
      </c>
      <c r="AE495" s="204" t="str">
        <f t="shared" si="3054"/>
        <v xml:space="preserve"> </v>
      </c>
      <c r="AF495" s="95" t="s">
        <v>781</v>
      </c>
      <c r="AG495" s="204" t="str">
        <f t="shared" ref="AG495:AI495" si="3055">IFERROR(AF495/$G495," ")</f>
        <v xml:space="preserve"> </v>
      </c>
      <c r="AH495" s="95" t="s">
        <v>781</v>
      </c>
      <c r="AI495" s="204" t="str">
        <f t="shared" si="3055"/>
        <v xml:space="preserve"> </v>
      </c>
      <c r="AJ495" s="95" t="s">
        <v>781</v>
      </c>
      <c r="AK495" s="204" t="str">
        <f t="shared" ref="AK495:AM495" si="3056">IFERROR(AJ495/$G495," ")</f>
        <v xml:space="preserve"> </v>
      </c>
      <c r="AL495" s="95" t="s">
        <v>781</v>
      </c>
      <c r="AM495" s="204" t="str">
        <f t="shared" si="3056"/>
        <v xml:space="preserve"> </v>
      </c>
      <c r="AN495" s="95"/>
      <c r="AO495" s="94" t="str">
        <f t="shared" si="2816"/>
        <v xml:space="preserve"> </v>
      </c>
      <c r="AP495" s="94" t="str">
        <f t="shared" si="2806"/>
        <v xml:space="preserve"> </v>
      </c>
      <c r="AQ495" s="94" t="str">
        <f t="shared" si="2807"/>
        <v xml:space="preserve"> </v>
      </c>
      <c r="AR495" s="94" t="str">
        <f t="shared" si="3020"/>
        <v xml:space="preserve"> </v>
      </c>
      <c r="AS495" s="94" t="str">
        <f t="shared" si="2818"/>
        <v xml:space="preserve"> </v>
      </c>
      <c r="AT495" s="94" t="str">
        <f t="shared" si="2819"/>
        <v xml:space="preserve"> </v>
      </c>
      <c r="AU495" s="94" t="str">
        <f t="shared" si="2820"/>
        <v xml:space="preserve"> </v>
      </c>
      <c r="AV495" s="94" t="str">
        <f t="shared" si="2821"/>
        <v xml:space="preserve"> </v>
      </c>
      <c r="AW495" s="94" t="str">
        <f t="shared" si="2822"/>
        <v xml:space="preserve"> </v>
      </c>
      <c r="AX495" s="94" t="str">
        <f t="shared" si="2823"/>
        <v xml:space="preserve"> </v>
      </c>
      <c r="AY495" s="94" t="str">
        <f t="shared" si="2824"/>
        <v xml:space="preserve"> </v>
      </c>
      <c r="AZ495" s="94" t="str">
        <f t="shared" si="2825"/>
        <v xml:space="preserve"> </v>
      </c>
      <c r="BA495" s="94" t="str">
        <f t="shared" si="2826"/>
        <v xml:space="preserve"> </v>
      </c>
      <c r="BB495" s="94" t="str">
        <f t="shared" si="2827"/>
        <v xml:space="preserve"> </v>
      </c>
    </row>
    <row r="496" spans="1:54" x14ac:dyDescent="0.25">
      <c r="A496" s="80"/>
      <c r="B496" s="95" t="s">
        <v>2880</v>
      </c>
      <c r="C496" s="201" t="s">
        <v>231</v>
      </c>
      <c r="D496" s="80" t="s">
        <v>783</v>
      </c>
      <c r="E496" s="94" t="str">
        <f>IFERROR(VLOOKUP(A496,Estimate!A:Q,17,FALSE)," ")</f>
        <v xml:space="preserve"> </v>
      </c>
      <c r="F496" s="202" t="s">
        <v>781</v>
      </c>
      <c r="G496" s="202" t="s">
        <v>781</v>
      </c>
      <c r="H496" s="203" t="s">
        <v>781</v>
      </c>
      <c r="I496" s="203" t="s">
        <v>781</v>
      </c>
      <c r="J496" s="203" t="s">
        <v>781</v>
      </c>
      <c r="K496" s="203"/>
      <c r="L496" s="202" t="s">
        <v>781</v>
      </c>
      <c r="M496" s="204" t="str">
        <f t="shared" si="2809"/>
        <v xml:space="preserve"> </v>
      </c>
      <c r="N496" s="95" t="s">
        <v>781</v>
      </c>
      <c r="O496" s="204" t="str">
        <f t="shared" si="2809"/>
        <v xml:space="preserve"> </v>
      </c>
      <c r="P496" s="95" t="s">
        <v>781</v>
      </c>
      <c r="Q496" s="204" t="str">
        <f t="shared" ref="Q496:S496" si="3057">IFERROR(P496/$G496," ")</f>
        <v xml:space="preserve"> </v>
      </c>
      <c r="R496" s="95" t="s">
        <v>781</v>
      </c>
      <c r="S496" s="204" t="str">
        <f t="shared" si="3057"/>
        <v xml:space="preserve"> </v>
      </c>
      <c r="T496" s="95" t="s">
        <v>781</v>
      </c>
      <c r="U496" s="204" t="str">
        <f t="shared" ref="U496:W496" si="3058">IFERROR(T496/$G496," ")</f>
        <v xml:space="preserve"> </v>
      </c>
      <c r="V496" s="95" t="s">
        <v>781</v>
      </c>
      <c r="W496" s="204" t="str">
        <f t="shared" si="3058"/>
        <v xml:space="preserve"> </v>
      </c>
      <c r="X496" s="95" t="s">
        <v>781</v>
      </c>
      <c r="Y496" s="204" t="str">
        <f t="shared" ref="Y496:AA496" si="3059">IFERROR(X496/$G496," ")</f>
        <v xml:space="preserve"> </v>
      </c>
      <c r="Z496" s="95" t="s">
        <v>781</v>
      </c>
      <c r="AA496" s="204" t="str">
        <f t="shared" si="3059"/>
        <v xml:space="preserve"> </v>
      </c>
      <c r="AB496" s="95" t="s">
        <v>781</v>
      </c>
      <c r="AC496" s="204" t="str">
        <f t="shared" ref="AC496:AE496" si="3060">IFERROR(AB496/$G496," ")</f>
        <v xml:space="preserve"> </v>
      </c>
      <c r="AD496" s="95" t="s">
        <v>781</v>
      </c>
      <c r="AE496" s="204" t="str">
        <f t="shared" si="3060"/>
        <v xml:space="preserve"> </v>
      </c>
      <c r="AF496" s="95" t="s">
        <v>781</v>
      </c>
      <c r="AG496" s="204" t="str">
        <f t="shared" ref="AG496:AI496" si="3061">IFERROR(AF496/$G496," ")</f>
        <v xml:space="preserve"> </v>
      </c>
      <c r="AH496" s="95" t="s">
        <v>781</v>
      </c>
      <c r="AI496" s="204" t="str">
        <f t="shared" si="3061"/>
        <v xml:space="preserve"> </v>
      </c>
      <c r="AJ496" s="95" t="s">
        <v>781</v>
      </c>
      <c r="AK496" s="204" t="str">
        <f t="shared" ref="AK496:AM496" si="3062">IFERROR(AJ496/$G496," ")</f>
        <v xml:space="preserve"> </v>
      </c>
      <c r="AL496" s="95" t="s">
        <v>781</v>
      </c>
      <c r="AM496" s="204" t="str">
        <f t="shared" si="3062"/>
        <v xml:space="preserve"> </v>
      </c>
      <c r="AN496" s="95"/>
      <c r="AO496" s="94" t="str">
        <f t="shared" si="2816"/>
        <v xml:space="preserve"> </v>
      </c>
      <c r="AP496" s="94" t="str">
        <f t="shared" si="2806"/>
        <v xml:space="preserve"> </v>
      </c>
      <c r="AQ496" s="94" t="str">
        <f t="shared" si="2807"/>
        <v xml:space="preserve"> </v>
      </c>
      <c r="AR496" s="94" t="str">
        <f t="shared" si="3020"/>
        <v xml:space="preserve"> </v>
      </c>
      <c r="AS496" s="94" t="str">
        <f t="shared" si="2818"/>
        <v xml:space="preserve"> </v>
      </c>
      <c r="AT496" s="94" t="str">
        <f t="shared" si="2819"/>
        <v xml:space="preserve"> </v>
      </c>
      <c r="AU496" s="94" t="str">
        <f t="shared" si="2820"/>
        <v xml:space="preserve"> </v>
      </c>
      <c r="AV496" s="94" t="str">
        <f t="shared" si="2821"/>
        <v xml:space="preserve"> </v>
      </c>
      <c r="AW496" s="94" t="str">
        <f t="shared" si="2822"/>
        <v xml:space="preserve"> </v>
      </c>
      <c r="AX496" s="94" t="str">
        <f t="shared" si="2823"/>
        <v xml:space="preserve"> </v>
      </c>
      <c r="AY496" s="94" t="str">
        <f t="shared" si="2824"/>
        <v xml:space="preserve"> </v>
      </c>
      <c r="AZ496" s="94" t="str">
        <f t="shared" si="2825"/>
        <v xml:space="preserve"> </v>
      </c>
      <c r="BA496" s="94" t="str">
        <f t="shared" si="2826"/>
        <v xml:space="preserve"> </v>
      </c>
      <c r="BB496" s="94" t="str">
        <f t="shared" si="2827"/>
        <v xml:space="preserve"> </v>
      </c>
    </row>
    <row r="497" spans="1:54" ht="30" x14ac:dyDescent="0.25">
      <c r="A497" s="80"/>
      <c r="B497" s="95" t="s">
        <v>2899</v>
      </c>
      <c r="C497" s="201" t="s">
        <v>415</v>
      </c>
      <c r="D497" s="80" t="s">
        <v>783</v>
      </c>
      <c r="E497" s="94" t="str">
        <f>IFERROR(VLOOKUP(A497,Estimate!A:Q,17,FALSE)," ")</f>
        <v xml:space="preserve"> </v>
      </c>
      <c r="F497" s="202" t="s">
        <v>781</v>
      </c>
      <c r="G497" s="202" t="s">
        <v>781</v>
      </c>
      <c r="H497" s="203" t="s">
        <v>781</v>
      </c>
      <c r="I497" s="203" t="s">
        <v>781</v>
      </c>
      <c r="J497" s="203" t="s">
        <v>781</v>
      </c>
      <c r="K497" s="203"/>
      <c r="L497" s="202" t="s">
        <v>781</v>
      </c>
      <c r="M497" s="204" t="str">
        <f t="shared" si="2809"/>
        <v xml:space="preserve"> </v>
      </c>
      <c r="N497" s="95" t="s">
        <v>781</v>
      </c>
      <c r="O497" s="204" t="str">
        <f t="shared" si="2809"/>
        <v xml:space="preserve"> </v>
      </c>
      <c r="P497" s="95" t="s">
        <v>781</v>
      </c>
      <c r="Q497" s="204" t="str">
        <f t="shared" ref="Q497:S497" si="3063">IFERROR(P497/$G497," ")</f>
        <v xml:space="preserve"> </v>
      </c>
      <c r="R497" s="95" t="s">
        <v>781</v>
      </c>
      <c r="S497" s="204" t="str">
        <f t="shared" si="3063"/>
        <v xml:space="preserve"> </v>
      </c>
      <c r="T497" s="95" t="s">
        <v>781</v>
      </c>
      <c r="U497" s="204" t="str">
        <f t="shared" ref="U497:W497" si="3064">IFERROR(T497/$G497," ")</f>
        <v xml:space="preserve"> </v>
      </c>
      <c r="V497" s="95" t="s">
        <v>781</v>
      </c>
      <c r="W497" s="204" t="str">
        <f t="shared" si="3064"/>
        <v xml:space="preserve"> </v>
      </c>
      <c r="X497" s="95" t="s">
        <v>781</v>
      </c>
      <c r="Y497" s="204" t="str">
        <f t="shared" ref="Y497:AA497" si="3065">IFERROR(X497/$G497," ")</f>
        <v xml:space="preserve"> </v>
      </c>
      <c r="Z497" s="95" t="s">
        <v>781</v>
      </c>
      <c r="AA497" s="204" t="str">
        <f t="shared" si="3065"/>
        <v xml:space="preserve"> </v>
      </c>
      <c r="AB497" s="95" t="s">
        <v>781</v>
      </c>
      <c r="AC497" s="204" t="str">
        <f t="shared" ref="AC497:AE497" si="3066">IFERROR(AB497/$G497," ")</f>
        <v xml:space="preserve"> </v>
      </c>
      <c r="AD497" s="95" t="s">
        <v>781</v>
      </c>
      <c r="AE497" s="204" t="str">
        <f t="shared" si="3066"/>
        <v xml:space="preserve"> </v>
      </c>
      <c r="AF497" s="95" t="s">
        <v>781</v>
      </c>
      <c r="AG497" s="204" t="str">
        <f t="shared" ref="AG497:AI497" si="3067">IFERROR(AF497/$G497," ")</f>
        <v xml:space="preserve"> </v>
      </c>
      <c r="AH497" s="95" t="s">
        <v>781</v>
      </c>
      <c r="AI497" s="204" t="str">
        <f t="shared" si="3067"/>
        <v xml:space="preserve"> </v>
      </c>
      <c r="AJ497" s="95" t="s">
        <v>781</v>
      </c>
      <c r="AK497" s="204" t="str">
        <f t="shared" ref="AK497:AM497" si="3068">IFERROR(AJ497/$G497," ")</f>
        <v xml:space="preserve"> </v>
      </c>
      <c r="AL497" s="95" t="s">
        <v>781</v>
      </c>
      <c r="AM497" s="204" t="str">
        <f t="shared" si="3068"/>
        <v xml:space="preserve"> </v>
      </c>
      <c r="AN497" s="95"/>
      <c r="AO497" s="94" t="str">
        <f t="shared" si="2816"/>
        <v xml:space="preserve"> </v>
      </c>
      <c r="AP497" s="94" t="str">
        <f t="shared" si="2806"/>
        <v xml:space="preserve"> </v>
      </c>
      <c r="AQ497" s="94" t="str">
        <f t="shared" si="2807"/>
        <v xml:space="preserve"> </v>
      </c>
      <c r="AR497" s="94" t="str">
        <f t="shared" si="3020"/>
        <v xml:space="preserve"> </v>
      </c>
      <c r="AS497" s="94" t="str">
        <f t="shared" si="2818"/>
        <v xml:space="preserve"> </v>
      </c>
      <c r="AT497" s="94" t="str">
        <f t="shared" si="2819"/>
        <v xml:space="preserve"> </v>
      </c>
      <c r="AU497" s="94" t="str">
        <f t="shared" si="2820"/>
        <v xml:space="preserve"> </v>
      </c>
      <c r="AV497" s="94" t="str">
        <f t="shared" si="2821"/>
        <v xml:space="preserve"> </v>
      </c>
      <c r="AW497" s="94" t="str">
        <f t="shared" si="2822"/>
        <v xml:space="preserve"> </v>
      </c>
      <c r="AX497" s="94" t="str">
        <f t="shared" si="2823"/>
        <v xml:space="preserve"> </v>
      </c>
      <c r="AY497" s="94" t="str">
        <f t="shared" si="2824"/>
        <v xml:space="preserve"> </v>
      </c>
      <c r="AZ497" s="94" t="str">
        <f t="shared" si="2825"/>
        <v xml:space="preserve"> </v>
      </c>
      <c r="BA497" s="94" t="str">
        <f t="shared" si="2826"/>
        <v xml:space="preserve"> </v>
      </c>
      <c r="BB497" s="94" t="str">
        <f t="shared" si="2827"/>
        <v xml:space="preserve"> </v>
      </c>
    </row>
    <row r="498" spans="1:54" x14ac:dyDescent="0.25">
      <c r="A498" s="80">
        <v>200</v>
      </c>
      <c r="B498" s="95" t="s">
        <v>2934</v>
      </c>
      <c r="C498" s="201" t="s">
        <v>677</v>
      </c>
      <c r="D498" s="80" t="s">
        <v>29</v>
      </c>
      <c r="E498" s="94">
        <f>IFERROR(VLOOKUP(A498,Estimate!A:Q,17,FALSE)," ")</f>
        <v>5192.9866666666667</v>
      </c>
      <c r="F498" s="202">
        <v>11</v>
      </c>
      <c r="G498" s="202">
        <v>11</v>
      </c>
      <c r="H498" s="203">
        <v>593.04999999999995</v>
      </c>
      <c r="I498" s="203">
        <v>6523.55</v>
      </c>
      <c r="J498" s="203">
        <v>6523.55</v>
      </c>
      <c r="K498" s="203"/>
      <c r="L498" s="202"/>
      <c r="M498" s="204">
        <f t="shared" si="2809"/>
        <v>0</v>
      </c>
      <c r="N498" s="95">
        <v>8</v>
      </c>
      <c r="O498" s="204">
        <f t="shared" si="2809"/>
        <v>0.72727272727272729</v>
      </c>
      <c r="P498" s="95">
        <v>11</v>
      </c>
      <c r="Q498" s="204">
        <f t="shared" ref="Q498:S498" si="3069">IFERROR(P498/$G498," ")</f>
        <v>1</v>
      </c>
      <c r="R498" s="95">
        <v>11</v>
      </c>
      <c r="S498" s="204">
        <f t="shared" si="3069"/>
        <v>1</v>
      </c>
      <c r="T498" s="95">
        <v>11</v>
      </c>
      <c r="U498" s="204">
        <f t="shared" ref="U498:W498" si="3070">IFERROR(T498/$G498," ")</f>
        <v>1</v>
      </c>
      <c r="V498" s="95">
        <v>11</v>
      </c>
      <c r="W498" s="204">
        <f t="shared" si="3070"/>
        <v>1</v>
      </c>
      <c r="X498" s="95">
        <v>11</v>
      </c>
      <c r="Y498" s="204">
        <f t="shared" ref="Y498:AA498" si="3071">IFERROR(X498/$G498," ")</f>
        <v>1</v>
      </c>
      <c r="Z498" s="95">
        <v>11</v>
      </c>
      <c r="AA498" s="204">
        <f t="shared" si="3071"/>
        <v>1</v>
      </c>
      <c r="AB498" s="95">
        <v>11</v>
      </c>
      <c r="AC498" s="204">
        <f t="shared" ref="AC498:AE498" si="3072">IFERROR(AB498/$G498," ")</f>
        <v>1</v>
      </c>
      <c r="AD498" s="95">
        <v>11</v>
      </c>
      <c r="AE498" s="204">
        <f t="shared" si="3072"/>
        <v>1</v>
      </c>
      <c r="AF498" s="95">
        <v>11</v>
      </c>
      <c r="AG498" s="204">
        <f t="shared" ref="AG498:AI498" si="3073">IFERROR(AF498/$G498," ")</f>
        <v>1</v>
      </c>
      <c r="AH498" s="95">
        <v>11</v>
      </c>
      <c r="AI498" s="204">
        <f t="shared" si="3073"/>
        <v>1</v>
      </c>
      <c r="AJ498" s="95">
        <v>11</v>
      </c>
      <c r="AK498" s="204">
        <f t="shared" ref="AK498:AM498" si="3074">IFERROR(AJ498/$G498," ")</f>
        <v>1</v>
      </c>
      <c r="AL498" s="95">
        <v>11</v>
      </c>
      <c r="AM498" s="204">
        <f t="shared" si="3074"/>
        <v>1</v>
      </c>
      <c r="AN498" s="95"/>
      <c r="AO498" s="94">
        <f t="shared" si="2816"/>
        <v>0</v>
      </c>
      <c r="AP498" s="94">
        <f t="shared" si="2806"/>
        <v>4744.4000000000005</v>
      </c>
      <c r="AQ498" s="94">
        <f t="shared" si="2807"/>
        <v>6523.55</v>
      </c>
      <c r="AR498" s="94">
        <f t="shared" si="3020"/>
        <v>6523.55</v>
      </c>
      <c r="AS498" s="94">
        <f t="shared" si="2818"/>
        <v>6523.55</v>
      </c>
      <c r="AT498" s="94">
        <f t="shared" si="2819"/>
        <v>6523.55</v>
      </c>
      <c r="AU498" s="94">
        <f t="shared" si="2820"/>
        <v>6523.55</v>
      </c>
      <c r="AV498" s="94">
        <f t="shared" si="2821"/>
        <v>6523.55</v>
      </c>
      <c r="AW498" s="94">
        <f t="shared" si="2822"/>
        <v>6523.55</v>
      </c>
      <c r="AX498" s="94">
        <f t="shared" si="2823"/>
        <v>6523.55</v>
      </c>
      <c r="AY498" s="94">
        <f t="shared" si="2824"/>
        <v>6523.55</v>
      </c>
      <c r="AZ498" s="94">
        <f t="shared" si="2825"/>
        <v>6523.55</v>
      </c>
      <c r="BA498" s="94">
        <f t="shared" si="2826"/>
        <v>6523.55</v>
      </c>
      <c r="BB498" s="94">
        <f t="shared" si="2827"/>
        <v>6523.55</v>
      </c>
    </row>
    <row r="499" spans="1:54" x14ac:dyDescent="0.25">
      <c r="A499" s="80">
        <v>201</v>
      </c>
      <c r="B499" s="95" t="s">
        <v>2935</v>
      </c>
      <c r="C499" s="201" t="s">
        <v>679</v>
      </c>
      <c r="D499" s="80" t="s">
        <v>107</v>
      </c>
      <c r="E499" s="94">
        <f>IFERROR(VLOOKUP(A499,Estimate!A:Q,17,FALSE)," ")</f>
        <v>6624.2866666666669</v>
      </c>
      <c r="F499" s="202">
        <v>93</v>
      </c>
      <c r="G499" s="202">
        <v>93</v>
      </c>
      <c r="H499" s="203">
        <v>89.48</v>
      </c>
      <c r="I499" s="203">
        <v>8321.64</v>
      </c>
      <c r="J499" s="203">
        <v>8321.64</v>
      </c>
      <c r="K499" s="203"/>
      <c r="L499" s="202"/>
      <c r="M499" s="204">
        <f t="shared" si="2809"/>
        <v>0</v>
      </c>
      <c r="N499" s="95"/>
      <c r="O499" s="204">
        <f t="shared" si="2809"/>
        <v>0</v>
      </c>
      <c r="P499" s="95"/>
      <c r="Q499" s="204">
        <f t="shared" ref="Q499:S499" si="3075">IFERROR(P499/$G499," ")</f>
        <v>0</v>
      </c>
      <c r="R499" s="95">
        <v>93</v>
      </c>
      <c r="S499" s="204">
        <f t="shared" si="3075"/>
        <v>1</v>
      </c>
      <c r="T499" s="95">
        <v>93</v>
      </c>
      <c r="U499" s="204">
        <f t="shared" ref="U499:W499" si="3076">IFERROR(T499/$G499," ")</f>
        <v>1</v>
      </c>
      <c r="V499" s="95">
        <v>93</v>
      </c>
      <c r="W499" s="204">
        <f t="shared" si="3076"/>
        <v>1</v>
      </c>
      <c r="X499" s="95">
        <v>93</v>
      </c>
      <c r="Y499" s="204">
        <f t="shared" ref="Y499:AA499" si="3077">IFERROR(X499/$G499," ")</f>
        <v>1</v>
      </c>
      <c r="Z499" s="95">
        <v>93</v>
      </c>
      <c r="AA499" s="204">
        <f t="shared" si="3077"/>
        <v>1</v>
      </c>
      <c r="AB499" s="95">
        <v>93</v>
      </c>
      <c r="AC499" s="204">
        <f t="shared" ref="AC499:AE499" si="3078">IFERROR(AB499/$G499," ")</f>
        <v>1</v>
      </c>
      <c r="AD499" s="95">
        <v>93</v>
      </c>
      <c r="AE499" s="204">
        <f t="shared" si="3078"/>
        <v>1</v>
      </c>
      <c r="AF499" s="95">
        <v>93</v>
      </c>
      <c r="AG499" s="204">
        <f t="shared" ref="AG499:AI499" si="3079">IFERROR(AF499/$G499," ")</f>
        <v>1</v>
      </c>
      <c r="AH499" s="95">
        <v>93</v>
      </c>
      <c r="AI499" s="204">
        <f t="shared" si="3079"/>
        <v>1</v>
      </c>
      <c r="AJ499" s="95">
        <v>93</v>
      </c>
      <c r="AK499" s="204">
        <f t="shared" ref="AK499:AM499" si="3080">IFERROR(AJ499/$G499," ")</f>
        <v>1</v>
      </c>
      <c r="AL499" s="95">
        <v>93</v>
      </c>
      <c r="AM499" s="204">
        <f t="shared" si="3080"/>
        <v>1</v>
      </c>
      <c r="AN499" s="95"/>
      <c r="AO499" s="94">
        <f t="shared" si="2816"/>
        <v>0</v>
      </c>
      <c r="AP499" s="94">
        <f t="shared" si="2806"/>
        <v>0</v>
      </c>
      <c r="AQ499" s="94">
        <f t="shared" si="2807"/>
        <v>0</v>
      </c>
      <c r="AR499" s="94">
        <f t="shared" si="3020"/>
        <v>8321.64</v>
      </c>
      <c r="AS499" s="94">
        <f t="shared" si="2818"/>
        <v>8321.64</v>
      </c>
      <c r="AT499" s="94">
        <f t="shared" si="2819"/>
        <v>8321.64</v>
      </c>
      <c r="AU499" s="94">
        <f t="shared" si="2820"/>
        <v>8321.64</v>
      </c>
      <c r="AV499" s="94">
        <f t="shared" si="2821"/>
        <v>8321.64</v>
      </c>
      <c r="AW499" s="94">
        <f t="shared" si="2822"/>
        <v>8321.64</v>
      </c>
      <c r="AX499" s="94">
        <f t="shared" si="2823"/>
        <v>8321.64</v>
      </c>
      <c r="AY499" s="94">
        <f t="shared" si="2824"/>
        <v>8321.64</v>
      </c>
      <c r="AZ499" s="94">
        <f t="shared" si="2825"/>
        <v>8321.64</v>
      </c>
      <c r="BA499" s="94">
        <f t="shared" si="2826"/>
        <v>8321.64</v>
      </c>
      <c r="BB499" s="94">
        <f t="shared" si="2827"/>
        <v>8321.64</v>
      </c>
    </row>
    <row r="500" spans="1:54" x14ac:dyDescent="0.25">
      <c r="A500" s="80"/>
      <c r="B500" s="95" t="s">
        <v>2863</v>
      </c>
      <c r="C500" s="201" t="s">
        <v>138</v>
      </c>
      <c r="D500" s="80" t="s">
        <v>783</v>
      </c>
      <c r="E500" s="94" t="str">
        <f>IFERROR(VLOOKUP(A500,Estimate!A:Q,17,FALSE)," ")</f>
        <v xml:space="preserve"> </v>
      </c>
      <c r="F500" s="202" t="s">
        <v>781</v>
      </c>
      <c r="G500" s="202" t="s">
        <v>781</v>
      </c>
      <c r="H500" s="203" t="s">
        <v>781</v>
      </c>
      <c r="I500" s="203" t="s">
        <v>781</v>
      </c>
      <c r="J500" s="203" t="s">
        <v>781</v>
      </c>
      <c r="K500" s="203"/>
      <c r="L500" s="202" t="s">
        <v>781</v>
      </c>
      <c r="M500" s="204" t="str">
        <f t="shared" si="2809"/>
        <v xml:space="preserve"> </v>
      </c>
      <c r="N500" s="95" t="s">
        <v>781</v>
      </c>
      <c r="O500" s="204" t="str">
        <f t="shared" si="2809"/>
        <v xml:space="preserve"> </v>
      </c>
      <c r="P500" s="95" t="s">
        <v>781</v>
      </c>
      <c r="Q500" s="204" t="str">
        <f t="shared" ref="Q500:S500" si="3081">IFERROR(P500/$G500," ")</f>
        <v xml:space="preserve"> </v>
      </c>
      <c r="R500" s="95" t="s">
        <v>781</v>
      </c>
      <c r="S500" s="204" t="str">
        <f t="shared" si="3081"/>
        <v xml:space="preserve"> </v>
      </c>
      <c r="T500" s="95" t="s">
        <v>781</v>
      </c>
      <c r="U500" s="204" t="str">
        <f t="shared" ref="U500:W500" si="3082">IFERROR(T500/$G500," ")</f>
        <v xml:space="preserve"> </v>
      </c>
      <c r="V500" s="95" t="s">
        <v>781</v>
      </c>
      <c r="W500" s="204" t="str">
        <f t="shared" si="3082"/>
        <v xml:space="preserve"> </v>
      </c>
      <c r="X500" s="95" t="s">
        <v>781</v>
      </c>
      <c r="Y500" s="204" t="str">
        <f t="shared" ref="Y500:AA500" si="3083">IFERROR(X500/$G500," ")</f>
        <v xml:space="preserve"> </v>
      </c>
      <c r="Z500" s="95" t="s">
        <v>781</v>
      </c>
      <c r="AA500" s="204" t="str">
        <f t="shared" si="3083"/>
        <v xml:space="preserve"> </v>
      </c>
      <c r="AB500" s="95" t="s">
        <v>781</v>
      </c>
      <c r="AC500" s="204" t="str">
        <f t="shared" ref="AC500:AE500" si="3084">IFERROR(AB500/$G500," ")</f>
        <v xml:space="preserve"> </v>
      </c>
      <c r="AD500" s="95" t="s">
        <v>781</v>
      </c>
      <c r="AE500" s="204" t="str">
        <f t="shared" si="3084"/>
        <v xml:space="preserve"> </v>
      </c>
      <c r="AF500" s="95" t="s">
        <v>781</v>
      </c>
      <c r="AG500" s="204" t="str">
        <f t="shared" ref="AG500:AI500" si="3085">IFERROR(AF500/$G500," ")</f>
        <v xml:space="preserve"> </v>
      </c>
      <c r="AH500" s="95" t="s">
        <v>781</v>
      </c>
      <c r="AI500" s="204" t="str">
        <f t="shared" si="3085"/>
        <v xml:space="preserve"> </v>
      </c>
      <c r="AJ500" s="95" t="s">
        <v>781</v>
      </c>
      <c r="AK500" s="204" t="str">
        <f t="shared" ref="AK500:AM500" si="3086">IFERROR(AJ500/$G500," ")</f>
        <v xml:space="preserve"> </v>
      </c>
      <c r="AL500" s="95" t="s">
        <v>781</v>
      </c>
      <c r="AM500" s="204" t="str">
        <f t="shared" si="3086"/>
        <v xml:space="preserve"> </v>
      </c>
      <c r="AN500" s="95"/>
      <c r="AO500" s="94" t="str">
        <f t="shared" si="2816"/>
        <v xml:space="preserve"> </v>
      </c>
      <c r="AP500" s="94" t="str">
        <f t="shared" si="2806"/>
        <v xml:space="preserve"> </v>
      </c>
      <c r="AQ500" s="94" t="str">
        <f t="shared" si="2807"/>
        <v xml:space="preserve"> </v>
      </c>
      <c r="AR500" s="94" t="str">
        <f t="shared" si="3020"/>
        <v xml:space="preserve"> </v>
      </c>
      <c r="AS500" s="94" t="str">
        <f t="shared" si="2818"/>
        <v xml:space="preserve"> </v>
      </c>
      <c r="AT500" s="94" t="str">
        <f t="shared" si="2819"/>
        <v xml:space="preserve"> </v>
      </c>
      <c r="AU500" s="94" t="str">
        <f t="shared" si="2820"/>
        <v xml:space="preserve"> </v>
      </c>
      <c r="AV500" s="94" t="str">
        <f t="shared" si="2821"/>
        <v xml:space="preserve"> </v>
      </c>
      <c r="AW500" s="94" t="str">
        <f t="shared" si="2822"/>
        <v xml:space="preserve"> </v>
      </c>
      <c r="AX500" s="94" t="str">
        <f t="shared" si="2823"/>
        <v xml:space="preserve"> </v>
      </c>
      <c r="AY500" s="94" t="str">
        <f t="shared" si="2824"/>
        <v xml:space="preserve"> </v>
      </c>
      <c r="AZ500" s="94" t="str">
        <f t="shared" si="2825"/>
        <v xml:space="preserve"> </v>
      </c>
      <c r="BA500" s="94" t="str">
        <f t="shared" si="2826"/>
        <v xml:space="preserve"> </v>
      </c>
      <c r="BB500" s="94" t="str">
        <f t="shared" si="2827"/>
        <v xml:space="preserve"> </v>
      </c>
    </row>
    <row r="501" spans="1:54" x14ac:dyDescent="0.25">
      <c r="A501" s="80"/>
      <c r="B501" s="95" t="s">
        <v>2864</v>
      </c>
      <c r="C501" s="201" t="s">
        <v>140</v>
      </c>
      <c r="D501" s="80" t="s">
        <v>783</v>
      </c>
      <c r="E501" s="94" t="str">
        <f>IFERROR(VLOOKUP(A501,Estimate!A:Q,17,FALSE)," ")</f>
        <v xml:space="preserve"> </v>
      </c>
      <c r="F501" s="202" t="s">
        <v>781</v>
      </c>
      <c r="G501" s="202" t="s">
        <v>781</v>
      </c>
      <c r="H501" s="203" t="s">
        <v>781</v>
      </c>
      <c r="I501" s="203" t="s">
        <v>781</v>
      </c>
      <c r="J501" s="203" t="s">
        <v>781</v>
      </c>
      <c r="K501" s="203"/>
      <c r="L501" s="202" t="s">
        <v>781</v>
      </c>
      <c r="M501" s="204" t="str">
        <f t="shared" si="2809"/>
        <v xml:space="preserve"> </v>
      </c>
      <c r="N501" s="95" t="s">
        <v>781</v>
      </c>
      <c r="O501" s="204" t="str">
        <f t="shared" si="2809"/>
        <v xml:space="preserve"> </v>
      </c>
      <c r="P501" s="95" t="s">
        <v>781</v>
      </c>
      <c r="Q501" s="204" t="str">
        <f t="shared" ref="Q501:S501" si="3087">IFERROR(P501/$G501," ")</f>
        <v xml:space="preserve"> </v>
      </c>
      <c r="R501" s="95" t="s">
        <v>781</v>
      </c>
      <c r="S501" s="204" t="str">
        <f t="shared" si="3087"/>
        <v xml:space="preserve"> </v>
      </c>
      <c r="T501" s="95" t="s">
        <v>781</v>
      </c>
      <c r="U501" s="204" t="str">
        <f t="shared" ref="U501:W501" si="3088">IFERROR(T501/$G501," ")</f>
        <v xml:space="preserve"> </v>
      </c>
      <c r="V501" s="95" t="s">
        <v>781</v>
      </c>
      <c r="W501" s="204" t="str">
        <f t="shared" si="3088"/>
        <v xml:space="preserve"> </v>
      </c>
      <c r="X501" s="95" t="s">
        <v>781</v>
      </c>
      <c r="Y501" s="204" t="str">
        <f t="shared" ref="Y501:AA501" si="3089">IFERROR(X501/$G501," ")</f>
        <v xml:space="preserve"> </v>
      </c>
      <c r="Z501" s="95" t="s">
        <v>781</v>
      </c>
      <c r="AA501" s="204" t="str">
        <f t="shared" si="3089"/>
        <v xml:space="preserve"> </v>
      </c>
      <c r="AB501" s="95" t="s">
        <v>781</v>
      </c>
      <c r="AC501" s="204" t="str">
        <f t="shared" ref="AC501:AE501" si="3090">IFERROR(AB501/$G501," ")</f>
        <v xml:space="preserve"> </v>
      </c>
      <c r="AD501" s="95" t="s">
        <v>781</v>
      </c>
      <c r="AE501" s="204" t="str">
        <f t="shared" si="3090"/>
        <v xml:space="preserve"> </v>
      </c>
      <c r="AF501" s="95" t="s">
        <v>781</v>
      </c>
      <c r="AG501" s="204" t="str">
        <f t="shared" ref="AG501:AI501" si="3091">IFERROR(AF501/$G501," ")</f>
        <v xml:space="preserve"> </v>
      </c>
      <c r="AH501" s="95" t="s">
        <v>781</v>
      </c>
      <c r="AI501" s="204" t="str">
        <f t="shared" si="3091"/>
        <v xml:space="preserve"> </v>
      </c>
      <c r="AJ501" s="95" t="s">
        <v>781</v>
      </c>
      <c r="AK501" s="204" t="str">
        <f t="shared" ref="AK501:AM501" si="3092">IFERROR(AJ501/$G501," ")</f>
        <v xml:space="preserve"> </v>
      </c>
      <c r="AL501" s="95" t="s">
        <v>781</v>
      </c>
      <c r="AM501" s="204" t="str">
        <f t="shared" si="3092"/>
        <v xml:space="preserve"> </v>
      </c>
      <c r="AN501" s="95"/>
      <c r="AO501" s="94" t="str">
        <f t="shared" si="2816"/>
        <v xml:space="preserve"> </v>
      </c>
      <c r="AP501" s="94" t="str">
        <f t="shared" si="2806"/>
        <v xml:space="preserve"> </v>
      </c>
      <c r="AQ501" s="94" t="str">
        <f t="shared" si="2807"/>
        <v xml:space="preserve"> </v>
      </c>
      <c r="AR501" s="94" t="str">
        <f t="shared" si="3020"/>
        <v xml:space="preserve"> </v>
      </c>
      <c r="AS501" s="94" t="str">
        <f t="shared" si="2818"/>
        <v xml:space="preserve"> </v>
      </c>
      <c r="AT501" s="94" t="str">
        <f t="shared" si="2819"/>
        <v xml:space="preserve"> </v>
      </c>
      <c r="AU501" s="94" t="str">
        <f t="shared" si="2820"/>
        <v xml:space="preserve"> </v>
      </c>
      <c r="AV501" s="94" t="str">
        <f t="shared" si="2821"/>
        <v xml:space="preserve"> </v>
      </c>
      <c r="AW501" s="94" t="str">
        <f t="shared" si="2822"/>
        <v xml:space="preserve"> </v>
      </c>
      <c r="AX501" s="94" t="str">
        <f t="shared" si="2823"/>
        <v xml:space="preserve"> </v>
      </c>
      <c r="AY501" s="94" t="str">
        <f t="shared" si="2824"/>
        <v xml:space="preserve"> </v>
      </c>
      <c r="AZ501" s="94" t="str">
        <f t="shared" si="2825"/>
        <v xml:space="preserve"> </v>
      </c>
      <c r="BA501" s="94" t="str">
        <f t="shared" si="2826"/>
        <v xml:space="preserve"> </v>
      </c>
      <c r="BB501" s="94" t="str">
        <f t="shared" si="2827"/>
        <v xml:space="preserve"> </v>
      </c>
    </row>
    <row r="502" spans="1:54" x14ac:dyDescent="0.25">
      <c r="A502" s="80">
        <v>202</v>
      </c>
      <c r="B502" s="95" t="s">
        <v>2865</v>
      </c>
      <c r="C502" s="201" t="s">
        <v>142</v>
      </c>
      <c r="D502" s="80" t="s">
        <v>107</v>
      </c>
      <c r="E502" s="94">
        <f>IFERROR(VLOOKUP(A502,Estimate!A:Q,17,FALSE)," ")</f>
        <v>2438.9750000000004</v>
      </c>
      <c r="F502" s="202">
        <v>905</v>
      </c>
      <c r="G502" s="202">
        <v>905</v>
      </c>
      <c r="H502" s="203">
        <v>3.39</v>
      </c>
      <c r="I502" s="203">
        <v>3067.95</v>
      </c>
      <c r="J502" s="203">
        <v>3067.95</v>
      </c>
      <c r="K502" s="203"/>
      <c r="L502" s="202"/>
      <c r="M502" s="204">
        <f t="shared" si="2809"/>
        <v>0</v>
      </c>
      <c r="N502" s="95"/>
      <c r="O502" s="204">
        <f t="shared" si="2809"/>
        <v>0</v>
      </c>
      <c r="P502" s="95"/>
      <c r="Q502" s="204">
        <f t="shared" ref="Q502:S502" si="3093">IFERROR(P502/$G502," ")</f>
        <v>0</v>
      </c>
      <c r="R502" s="95">
        <v>905</v>
      </c>
      <c r="S502" s="204">
        <f t="shared" si="3093"/>
        <v>1</v>
      </c>
      <c r="T502" s="95">
        <v>90.5</v>
      </c>
      <c r="U502" s="204">
        <f t="shared" ref="U502:W502" si="3094">IFERROR(T502/$G502," ")</f>
        <v>0.1</v>
      </c>
      <c r="V502" s="95">
        <v>452.5</v>
      </c>
      <c r="W502" s="204">
        <f t="shared" si="3094"/>
        <v>0.5</v>
      </c>
      <c r="X502" s="95">
        <v>678.5</v>
      </c>
      <c r="Y502" s="204">
        <f t="shared" ref="Y502:AA502" si="3095">IFERROR(X502/$G502," ")</f>
        <v>0.7497237569060774</v>
      </c>
      <c r="Z502" s="95">
        <v>905</v>
      </c>
      <c r="AA502" s="204">
        <f t="shared" si="3095"/>
        <v>1</v>
      </c>
      <c r="AB502" s="95">
        <v>905</v>
      </c>
      <c r="AC502" s="204">
        <f t="shared" ref="AC502:AE502" si="3096">IFERROR(AB502/$G502," ")</f>
        <v>1</v>
      </c>
      <c r="AD502" s="95">
        <v>905</v>
      </c>
      <c r="AE502" s="204">
        <f t="shared" si="3096"/>
        <v>1</v>
      </c>
      <c r="AF502" s="95">
        <v>905</v>
      </c>
      <c r="AG502" s="204">
        <f t="shared" ref="AG502:AI502" si="3097">IFERROR(AF502/$G502," ")</f>
        <v>1</v>
      </c>
      <c r="AH502" s="95">
        <v>905</v>
      </c>
      <c r="AI502" s="204">
        <f t="shared" si="3097"/>
        <v>1</v>
      </c>
      <c r="AJ502" s="95">
        <v>905</v>
      </c>
      <c r="AK502" s="204">
        <f t="shared" ref="AK502:AM502" si="3098">IFERROR(AJ502/$G502," ")</f>
        <v>1</v>
      </c>
      <c r="AL502" s="95">
        <v>905</v>
      </c>
      <c r="AM502" s="204">
        <f t="shared" si="3098"/>
        <v>1</v>
      </c>
      <c r="AN502" s="95"/>
      <c r="AO502" s="94">
        <f t="shared" si="2816"/>
        <v>0</v>
      </c>
      <c r="AP502" s="94">
        <f t="shared" si="2806"/>
        <v>0</v>
      </c>
      <c r="AQ502" s="94">
        <f t="shared" si="2807"/>
        <v>0</v>
      </c>
      <c r="AR502" s="94">
        <f t="shared" si="3020"/>
        <v>3067.95</v>
      </c>
      <c r="AS502" s="94">
        <f t="shared" si="2818"/>
        <v>306.79500000000002</v>
      </c>
      <c r="AT502" s="94">
        <f t="shared" si="2819"/>
        <v>1533.9749999999999</v>
      </c>
      <c r="AU502" s="94">
        <f t="shared" si="2820"/>
        <v>2300.1150000000002</v>
      </c>
      <c r="AV502" s="94">
        <f t="shared" si="2821"/>
        <v>3067.95</v>
      </c>
      <c r="AW502" s="94">
        <f t="shared" si="2822"/>
        <v>3067.95</v>
      </c>
      <c r="AX502" s="94">
        <f t="shared" si="2823"/>
        <v>3067.95</v>
      </c>
      <c r="AY502" s="94">
        <f t="shared" si="2824"/>
        <v>3067.95</v>
      </c>
      <c r="AZ502" s="94">
        <f t="shared" si="2825"/>
        <v>3067.95</v>
      </c>
      <c r="BA502" s="94">
        <f t="shared" si="2826"/>
        <v>3067.95</v>
      </c>
      <c r="BB502" s="94">
        <f t="shared" si="2827"/>
        <v>3067.95</v>
      </c>
    </row>
    <row r="503" spans="1:54" x14ac:dyDescent="0.25">
      <c r="A503" s="80"/>
      <c r="B503" s="95" t="s">
        <v>2417</v>
      </c>
      <c r="C503" s="201" t="s">
        <v>2837</v>
      </c>
      <c r="D503" s="80" t="s">
        <v>783</v>
      </c>
      <c r="E503" s="94" t="str">
        <f>IFERROR(VLOOKUP(A503,Estimate!A:Q,17,FALSE)," ")</f>
        <v xml:space="preserve"> </v>
      </c>
      <c r="F503" s="202" t="s">
        <v>781</v>
      </c>
      <c r="G503" s="202" t="s">
        <v>781</v>
      </c>
      <c r="H503" s="203" t="s">
        <v>781</v>
      </c>
      <c r="I503" s="203" t="s">
        <v>781</v>
      </c>
      <c r="J503" s="203" t="s">
        <v>781</v>
      </c>
      <c r="K503" s="203"/>
      <c r="L503" s="202" t="s">
        <v>781</v>
      </c>
      <c r="M503" s="204" t="str">
        <f t="shared" si="2809"/>
        <v xml:space="preserve"> </v>
      </c>
      <c r="N503" s="95" t="s">
        <v>781</v>
      </c>
      <c r="O503" s="204" t="str">
        <f t="shared" si="2809"/>
        <v xml:space="preserve"> </v>
      </c>
      <c r="P503" s="95" t="s">
        <v>781</v>
      </c>
      <c r="Q503" s="204" t="str">
        <f t="shared" ref="Q503:S503" si="3099">IFERROR(P503/$G503," ")</f>
        <v xml:space="preserve"> </v>
      </c>
      <c r="R503" s="95" t="s">
        <v>781</v>
      </c>
      <c r="S503" s="204" t="str">
        <f t="shared" si="3099"/>
        <v xml:space="preserve"> </v>
      </c>
      <c r="T503" s="95" t="s">
        <v>781</v>
      </c>
      <c r="U503" s="204" t="str">
        <f t="shared" ref="U503:W503" si="3100">IFERROR(T503/$G503," ")</f>
        <v xml:space="preserve"> </v>
      </c>
      <c r="V503" s="95" t="s">
        <v>781</v>
      </c>
      <c r="W503" s="204" t="str">
        <f t="shared" si="3100"/>
        <v xml:space="preserve"> </v>
      </c>
      <c r="X503" s="95" t="s">
        <v>781</v>
      </c>
      <c r="Y503" s="204" t="str">
        <f t="shared" ref="Y503:AA503" si="3101">IFERROR(X503/$G503," ")</f>
        <v xml:space="preserve"> </v>
      </c>
      <c r="Z503" s="95" t="s">
        <v>781</v>
      </c>
      <c r="AA503" s="204" t="str">
        <f t="shared" si="3101"/>
        <v xml:space="preserve"> </v>
      </c>
      <c r="AB503" s="95" t="s">
        <v>781</v>
      </c>
      <c r="AC503" s="204" t="str">
        <f t="shared" ref="AC503:AE503" si="3102">IFERROR(AB503/$G503," ")</f>
        <v xml:space="preserve"> </v>
      </c>
      <c r="AD503" s="95" t="s">
        <v>781</v>
      </c>
      <c r="AE503" s="204" t="str">
        <f t="shared" si="3102"/>
        <v xml:space="preserve"> </v>
      </c>
      <c r="AF503" s="95" t="s">
        <v>781</v>
      </c>
      <c r="AG503" s="204" t="str">
        <f t="shared" ref="AG503:AI503" si="3103">IFERROR(AF503/$G503," ")</f>
        <v xml:space="preserve"> </v>
      </c>
      <c r="AH503" s="95" t="s">
        <v>781</v>
      </c>
      <c r="AI503" s="204" t="str">
        <f t="shared" si="3103"/>
        <v xml:space="preserve"> </v>
      </c>
      <c r="AJ503" s="95" t="s">
        <v>781</v>
      </c>
      <c r="AK503" s="204" t="str">
        <f t="shared" ref="AK503:AM503" si="3104">IFERROR(AJ503/$G503," ")</f>
        <v xml:space="preserve"> </v>
      </c>
      <c r="AL503" s="95" t="s">
        <v>781</v>
      </c>
      <c r="AM503" s="204" t="str">
        <f t="shared" si="3104"/>
        <v xml:space="preserve"> </v>
      </c>
      <c r="AN503" s="95"/>
      <c r="AO503" s="94" t="str">
        <f t="shared" si="2816"/>
        <v xml:space="preserve"> </v>
      </c>
      <c r="AP503" s="94" t="str">
        <f t="shared" si="2806"/>
        <v xml:space="preserve"> </v>
      </c>
      <c r="AQ503" s="94" t="str">
        <f t="shared" si="2807"/>
        <v xml:space="preserve"> </v>
      </c>
      <c r="AR503" s="94" t="str">
        <f t="shared" si="3020"/>
        <v xml:space="preserve"> </v>
      </c>
      <c r="AS503" s="94" t="str">
        <f t="shared" si="2818"/>
        <v xml:space="preserve"> </v>
      </c>
      <c r="AT503" s="94" t="str">
        <f t="shared" si="2819"/>
        <v xml:space="preserve"> </v>
      </c>
      <c r="AU503" s="94" t="str">
        <f t="shared" si="2820"/>
        <v xml:space="preserve"> </v>
      </c>
      <c r="AV503" s="94" t="str">
        <f t="shared" si="2821"/>
        <v xml:space="preserve"> </v>
      </c>
      <c r="AW503" s="94" t="str">
        <f t="shared" si="2822"/>
        <v xml:space="preserve"> </v>
      </c>
      <c r="AX503" s="94" t="str">
        <f t="shared" si="2823"/>
        <v xml:space="preserve"> </v>
      </c>
      <c r="AY503" s="94" t="str">
        <f t="shared" si="2824"/>
        <v xml:space="preserve"> </v>
      </c>
      <c r="AZ503" s="94" t="str">
        <f t="shared" si="2825"/>
        <v xml:space="preserve"> </v>
      </c>
      <c r="BA503" s="94" t="str">
        <f t="shared" si="2826"/>
        <v xml:space="preserve"> </v>
      </c>
      <c r="BB503" s="94" t="str">
        <f t="shared" si="2827"/>
        <v xml:space="preserve"> </v>
      </c>
    </row>
    <row r="504" spans="1:54" x14ac:dyDescent="0.25">
      <c r="A504" s="80"/>
      <c r="B504" s="95" t="s">
        <v>2417</v>
      </c>
      <c r="C504" s="201" t="s">
        <v>418</v>
      </c>
      <c r="D504" s="80" t="s">
        <v>783</v>
      </c>
      <c r="E504" s="94" t="str">
        <f>IFERROR(VLOOKUP(A504,Estimate!A:Q,17,FALSE)," ")</f>
        <v xml:space="preserve"> </v>
      </c>
      <c r="F504" s="202" t="s">
        <v>781</v>
      </c>
      <c r="G504" s="202" t="s">
        <v>781</v>
      </c>
      <c r="H504" s="203" t="s">
        <v>781</v>
      </c>
      <c r="I504" s="203" t="s">
        <v>781</v>
      </c>
      <c r="J504" s="203" t="s">
        <v>781</v>
      </c>
      <c r="K504" s="203"/>
      <c r="L504" s="202" t="s">
        <v>781</v>
      </c>
      <c r="M504" s="204" t="str">
        <f t="shared" si="2809"/>
        <v xml:space="preserve"> </v>
      </c>
      <c r="N504" s="95" t="s">
        <v>781</v>
      </c>
      <c r="O504" s="204" t="str">
        <f t="shared" si="2809"/>
        <v xml:space="preserve"> </v>
      </c>
      <c r="P504" s="95" t="s">
        <v>781</v>
      </c>
      <c r="Q504" s="204" t="str">
        <f t="shared" ref="Q504:S504" si="3105">IFERROR(P504/$G504," ")</f>
        <v xml:space="preserve"> </v>
      </c>
      <c r="R504" s="95" t="s">
        <v>781</v>
      </c>
      <c r="S504" s="204" t="str">
        <f t="shared" si="3105"/>
        <v xml:space="preserve"> </v>
      </c>
      <c r="T504" s="95" t="s">
        <v>781</v>
      </c>
      <c r="U504" s="204" t="str">
        <f t="shared" ref="U504:W504" si="3106">IFERROR(T504/$G504," ")</f>
        <v xml:space="preserve"> </v>
      </c>
      <c r="V504" s="95" t="s">
        <v>781</v>
      </c>
      <c r="W504" s="204" t="str">
        <f t="shared" si="3106"/>
        <v xml:space="preserve"> </v>
      </c>
      <c r="X504" s="95" t="s">
        <v>781</v>
      </c>
      <c r="Y504" s="204" t="str">
        <f t="shared" ref="Y504:AA504" si="3107">IFERROR(X504/$G504," ")</f>
        <v xml:space="preserve"> </v>
      </c>
      <c r="Z504" s="95" t="s">
        <v>781</v>
      </c>
      <c r="AA504" s="204" t="str">
        <f t="shared" si="3107"/>
        <v xml:space="preserve"> </v>
      </c>
      <c r="AB504" s="95" t="s">
        <v>781</v>
      </c>
      <c r="AC504" s="204" t="str">
        <f t="shared" ref="AC504:AE504" si="3108">IFERROR(AB504/$G504," ")</f>
        <v xml:space="preserve"> </v>
      </c>
      <c r="AD504" s="95" t="s">
        <v>781</v>
      </c>
      <c r="AE504" s="204" t="str">
        <f t="shared" si="3108"/>
        <v xml:space="preserve"> </v>
      </c>
      <c r="AF504" s="95" t="s">
        <v>781</v>
      </c>
      <c r="AG504" s="204" t="str">
        <f t="shared" ref="AG504:AI504" si="3109">IFERROR(AF504/$G504," ")</f>
        <v xml:space="preserve"> </v>
      </c>
      <c r="AH504" s="95" t="s">
        <v>781</v>
      </c>
      <c r="AI504" s="204" t="str">
        <f t="shared" si="3109"/>
        <v xml:space="preserve"> </v>
      </c>
      <c r="AJ504" s="95" t="s">
        <v>781</v>
      </c>
      <c r="AK504" s="204" t="str">
        <f t="shared" ref="AK504:AM504" si="3110">IFERROR(AJ504/$G504," ")</f>
        <v xml:space="preserve"> </v>
      </c>
      <c r="AL504" s="95" t="s">
        <v>781</v>
      </c>
      <c r="AM504" s="204" t="str">
        <f t="shared" si="3110"/>
        <v xml:space="preserve"> </v>
      </c>
      <c r="AN504" s="95"/>
      <c r="AO504" s="94" t="str">
        <f t="shared" si="2816"/>
        <v xml:space="preserve"> </v>
      </c>
      <c r="AP504" s="94" t="str">
        <f t="shared" si="2806"/>
        <v xml:space="preserve"> </v>
      </c>
      <c r="AQ504" s="94" t="str">
        <f t="shared" si="2807"/>
        <v xml:space="preserve"> </v>
      </c>
      <c r="AR504" s="94" t="str">
        <f t="shared" si="3020"/>
        <v xml:space="preserve"> </v>
      </c>
      <c r="AS504" s="94" t="str">
        <f t="shared" si="2818"/>
        <v xml:space="preserve"> </v>
      </c>
      <c r="AT504" s="94" t="str">
        <f t="shared" si="2819"/>
        <v xml:space="preserve"> </v>
      </c>
      <c r="AU504" s="94" t="str">
        <f t="shared" si="2820"/>
        <v xml:space="preserve"> </v>
      </c>
      <c r="AV504" s="94" t="str">
        <f t="shared" si="2821"/>
        <v xml:space="preserve"> </v>
      </c>
      <c r="AW504" s="94" t="str">
        <f t="shared" si="2822"/>
        <v xml:space="preserve"> </v>
      </c>
      <c r="AX504" s="94" t="str">
        <f t="shared" si="2823"/>
        <v xml:space="preserve"> </v>
      </c>
      <c r="AY504" s="94" t="str">
        <f t="shared" si="2824"/>
        <v xml:space="preserve"> </v>
      </c>
      <c r="AZ504" s="94" t="str">
        <f t="shared" si="2825"/>
        <v xml:space="preserve"> </v>
      </c>
      <c r="BA504" s="94" t="str">
        <f t="shared" si="2826"/>
        <v xml:space="preserve"> </v>
      </c>
      <c r="BB504" s="94" t="str">
        <f t="shared" si="2827"/>
        <v xml:space="preserve"> </v>
      </c>
    </row>
    <row r="505" spans="1:54" x14ac:dyDescent="0.25">
      <c r="A505" s="80"/>
      <c r="B505" s="95" t="s">
        <v>2901</v>
      </c>
      <c r="C505" s="201" t="s">
        <v>420</v>
      </c>
      <c r="D505" s="80" t="s">
        <v>783</v>
      </c>
      <c r="E505" s="94" t="str">
        <f>IFERROR(VLOOKUP(A505,Estimate!A:Q,17,FALSE)," ")</f>
        <v xml:space="preserve"> </v>
      </c>
      <c r="F505" s="202" t="s">
        <v>781</v>
      </c>
      <c r="G505" s="202" t="s">
        <v>781</v>
      </c>
      <c r="H505" s="203" t="s">
        <v>781</v>
      </c>
      <c r="I505" s="203" t="s">
        <v>781</v>
      </c>
      <c r="J505" s="203" t="s">
        <v>781</v>
      </c>
      <c r="K505" s="203"/>
      <c r="L505" s="202" t="s">
        <v>781</v>
      </c>
      <c r="M505" s="204" t="str">
        <f t="shared" si="2809"/>
        <v xml:space="preserve"> </v>
      </c>
      <c r="N505" s="95" t="s">
        <v>781</v>
      </c>
      <c r="O505" s="204" t="str">
        <f t="shared" si="2809"/>
        <v xml:space="preserve"> </v>
      </c>
      <c r="P505" s="95" t="s">
        <v>781</v>
      </c>
      <c r="Q505" s="204" t="str">
        <f t="shared" ref="Q505:S505" si="3111">IFERROR(P505/$G505," ")</f>
        <v xml:space="preserve"> </v>
      </c>
      <c r="R505" s="95" t="s">
        <v>781</v>
      </c>
      <c r="S505" s="204" t="str">
        <f t="shared" si="3111"/>
        <v xml:space="preserve"> </v>
      </c>
      <c r="T505" s="95" t="s">
        <v>781</v>
      </c>
      <c r="U505" s="204" t="str">
        <f t="shared" ref="U505:W505" si="3112">IFERROR(T505/$G505," ")</f>
        <v xml:space="preserve"> </v>
      </c>
      <c r="V505" s="95" t="s">
        <v>781</v>
      </c>
      <c r="W505" s="204" t="str">
        <f t="shared" si="3112"/>
        <v xml:space="preserve"> </v>
      </c>
      <c r="X505" s="95" t="s">
        <v>781</v>
      </c>
      <c r="Y505" s="204" t="str">
        <f t="shared" ref="Y505:AA505" si="3113">IFERROR(X505/$G505," ")</f>
        <v xml:space="preserve"> </v>
      </c>
      <c r="Z505" s="95" t="s">
        <v>781</v>
      </c>
      <c r="AA505" s="204" t="str">
        <f t="shared" si="3113"/>
        <v xml:space="preserve"> </v>
      </c>
      <c r="AB505" s="95" t="s">
        <v>781</v>
      </c>
      <c r="AC505" s="204" t="str">
        <f t="shared" ref="AC505:AE505" si="3114">IFERROR(AB505/$G505," ")</f>
        <v xml:space="preserve"> </v>
      </c>
      <c r="AD505" s="95" t="s">
        <v>781</v>
      </c>
      <c r="AE505" s="204" t="str">
        <f t="shared" si="3114"/>
        <v xml:space="preserve"> </v>
      </c>
      <c r="AF505" s="95" t="s">
        <v>781</v>
      </c>
      <c r="AG505" s="204" t="str">
        <f t="shared" ref="AG505:AI505" si="3115">IFERROR(AF505/$G505," ")</f>
        <v xml:space="preserve"> </v>
      </c>
      <c r="AH505" s="95" t="s">
        <v>781</v>
      </c>
      <c r="AI505" s="204" t="str">
        <f t="shared" si="3115"/>
        <v xml:space="preserve"> </v>
      </c>
      <c r="AJ505" s="95" t="s">
        <v>781</v>
      </c>
      <c r="AK505" s="204" t="str">
        <f t="shared" ref="AK505:AM505" si="3116">IFERROR(AJ505/$G505," ")</f>
        <v xml:space="preserve"> </v>
      </c>
      <c r="AL505" s="95" t="s">
        <v>781</v>
      </c>
      <c r="AM505" s="204" t="str">
        <f t="shared" si="3116"/>
        <v xml:space="preserve"> </v>
      </c>
      <c r="AN505" s="95"/>
      <c r="AO505" s="94" t="str">
        <f t="shared" si="2816"/>
        <v xml:space="preserve"> </v>
      </c>
      <c r="AP505" s="94" t="str">
        <f t="shared" si="2806"/>
        <v xml:space="preserve"> </v>
      </c>
      <c r="AQ505" s="94" t="str">
        <f t="shared" si="2807"/>
        <v xml:space="preserve"> </v>
      </c>
      <c r="AR505" s="94" t="str">
        <f t="shared" si="3020"/>
        <v xml:space="preserve"> </v>
      </c>
      <c r="AS505" s="94" t="str">
        <f t="shared" si="2818"/>
        <v xml:space="preserve"> </v>
      </c>
      <c r="AT505" s="94" t="str">
        <f t="shared" si="2819"/>
        <v xml:space="preserve"> </v>
      </c>
      <c r="AU505" s="94" t="str">
        <f t="shared" si="2820"/>
        <v xml:space="preserve"> </v>
      </c>
      <c r="AV505" s="94" t="str">
        <f t="shared" si="2821"/>
        <v xml:space="preserve"> </v>
      </c>
      <c r="AW505" s="94" t="str">
        <f t="shared" si="2822"/>
        <v xml:space="preserve"> </v>
      </c>
      <c r="AX505" s="94" t="str">
        <f t="shared" si="2823"/>
        <v xml:space="preserve"> </v>
      </c>
      <c r="AY505" s="94" t="str">
        <f t="shared" si="2824"/>
        <v xml:space="preserve"> </v>
      </c>
      <c r="AZ505" s="94" t="str">
        <f t="shared" si="2825"/>
        <v xml:space="preserve"> </v>
      </c>
      <c r="BA505" s="94" t="str">
        <f t="shared" si="2826"/>
        <v xml:space="preserve"> </v>
      </c>
      <c r="BB505" s="94" t="str">
        <f t="shared" si="2827"/>
        <v xml:space="preserve"> </v>
      </c>
    </row>
    <row r="506" spans="1:54" x14ac:dyDescent="0.25">
      <c r="A506" s="80">
        <v>203</v>
      </c>
      <c r="B506" s="95">
        <v>1300</v>
      </c>
      <c r="C506" s="201" t="s">
        <v>686</v>
      </c>
      <c r="D506" s="80" t="s">
        <v>20</v>
      </c>
      <c r="E506" s="94">
        <f>IFERROR(VLOOKUP(A506,Estimate!A:Q,17,FALSE)," ")</f>
        <v>9200</v>
      </c>
      <c r="F506" s="202">
        <v>1</v>
      </c>
      <c r="G506" s="202">
        <v>1</v>
      </c>
      <c r="H506" s="203">
        <v>11557.3</v>
      </c>
      <c r="I506" s="203">
        <v>11557.3</v>
      </c>
      <c r="J506" s="203">
        <v>11557.3</v>
      </c>
      <c r="K506" s="203"/>
      <c r="L506" s="202"/>
      <c r="M506" s="204">
        <f t="shared" si="2809"/>
        <v>0</v>
      </c>
      <c r="N506" s="95"/>
      <c r="O506" s="204">
        <f t="shared" si="2809"/>
        <v>0</v>
      </c>
      <c r="P506" s="95"/>
      <c r="Q506" s="204">
        <f t="shared" ref="Q506:S506" si="3117">IFERROR(P506/$G506," ")</f>
        <v>0</v>
      </c>
      <c r="R506" s="95">
        <v>1</v>
      </c>
      <c r="S506" s="204">
        <f t="shared" si="3117"/>
        <v>1</v>
      </c>
      <c r="T506" s="95">
        <v>1</v>
      </c>
      <c r="U506" s="204">
        <f t="shared" ref="U506:W506" si="3118">IFERROR(T506/$G506," ")</f>
        <v>1</v>
      </c>
      <c r="V506" s="95">
        <v>1</v>
      </c>
      <c r="W506" s="204">
        <f t="shared" si="3118"/>
        <v>1</v>
      </c>
      <c r="X506" s="95">
        <v>1</v>
      </c>
      <c r="Y506" s="204">
        <f t="shared" ref="Y506:AA506" si="3119">IFERROR(X506/$G506," ")</f>
        <v>1</v>
      </c>
      <c r="Z506" s="95">
        <v>1</v>
      </c>
      <c r="AA506" s="204">
        <f t="shared" si="3119"/>
        <v>1</v>
      </c>
      <c r="AB506" s="95">
        <v>1</v>
      </c>
      <c r="AC506" s="204">
        <f t="shared" ref="AC506:AE506" si="3120">IFERROR(AB506/$G506," ")</f>
        <v>1</v>
      </c>
      <c r="AD506" s="95">
        <v>1</v>
      </c>
      <c r="AE506" s="204">
        <f t="shared" si="3120"/>
        <v>1</v>
      </c>
      <c r="AF506" s="95">
        <v>1</v>
      </c>
      <c r="AG506" s="204">
        <f t="shared" ref="AG506:AI506" si="3121">IFERROR(AF506/$G506," ")</f>
        <v>1</v>
      </c>
      <c r="AH506" s="95">
        <v>1</v>
      </c>
      <c r="AI506" s="204">
        <f t="shared" si="3121"/>
        <v>1</v>
      </c>
      <c r="AJ506" s="95">
        <v>1</v>
      </c>
      <c r="AK506" s="204">
        <f t="shared" ref="AK506:AM506" si="3122">IFERROR(AJ506/$G506," ")</f>
        <v>1</v>
      </c>
      <c r="AL506" s="95">
        <v>1</v>
      </c>
      <c r="AM506" s="204">
        <f t="shared" si="3122"/>
        <v>1</v>
      </c>
      <c r="AN506" s="95"/>
      <c r="AO506" s="94">
        <f t="shared" si="2816"/>
        <v>0</v>
      </c>
      <c r="AP506" s="94">
        <f t="shared" si="2806"/>
        <v>0</v>
      </c>
      <c r="AQ506" s="94">
        <f t="shared" si="2807"/>
        <v>0</v>
      </c>
      <c r="AR506" s="94">
        <f t="shared" si="3020"/>
        <v>11557.3</v>
      </c>
      <c r="AS506" s="94">
        <f t="shared" si="2818"/>
        <v>11557.3</v>
      </c>
      <c r="AT506" s="94">
        <f t="shared" si="2819"/>
        <v>11557.3</v>
      </c>
      <c r="AU506" s="94">
        <f t="shared" si="2820"/>
        <v>11557.3</v>
      </c>
      <c r="AV506" s="94">
        <f t="shared" si="2821"/>
        <v>11557.3</v>
      </c>
      <c r="AW506" s="94">
        <f t="shared" si="2822"/>
        <v>11557.3</v>
      </c>
      <c r="AX506" s="94">
        <f t="shared" si="2823"/>
        <v>11557.3</v>
      </c>
      <c r="AY506" s="94">
        <f t="shared" si="2824"/>
        <v>11557.3</v>
      </c>
      <c r="AZ506" s="94">
        <f t="shared" si="2825"/>
        <v>11557.3</v>
      </c>
      <c r="BA506" s="94">
        <f t="shared" si="2826"/>
        <v>11557.3</v>
      </c>
      <c r="BB506" s="94">
        <f t="shared" si="2827"/>
        <v>11557.3</v>
      </c>
    </row>
    <row r="507" spans="1:54" x14ac:dyDescent="0.25">
      <c r="A507" s="80"/>
      <c r="B507" s="95" t="s">
        <v>2417</v>
      </c>
      <c r="C507" s="201" t="s">
        <v>2837</v>
      </c>
      <c r="D507" s="80" t="s">
        <v>783</v>
      </c>
      <c r="E507" s="94" t="str">
        <f>IFERROR(VLOOKUP(A507,Estimate!A:Q,17,FALSE)," ")</f>
        <v xml:space="preserve"> </v>
      </c>
      <c r="F507" s="202" t="s">
        <v>781</v>
      </c>
      <c r="G507" s="202" t="s">
        <v>781</v>
      </c>
      <c r="H507" s="203" t="s">
        <v>781</v>
      </c>
      <c r="I507" s="203" t="s">
        <v>781</v>
      </c>
      <c r="J507" s="203" t="s">
        <v>781</v>
      </c>
      <c r="K507" s="203"/>
      <c r="L507" s="202" t="s">
        <v>781</v>
      </c>
      <c r="M507" s="204" t="str">
        <f t="shared" si="2809"/>
        <v xml:space="preserve"> </v>
      </c>
      <c r="N507" s="95" t="s">
        <v>781</v>
      </c>
      <c r="O507" s="204" t="str">
        <f t="shared" si="2809"/>
        <v xml:space="preserve"> </v>
      </c>
      <c r="P507" s="95" t="s">
        <v>781</v>
      </c>
      <c r="Q507" s="204" t="str">
        <f t="shared" ref="Q507:S507" si="3123">IFERROR(P507/$G507," ")</f>
        <v xml:space="preserve"> </v>
      </c>
      <c r="R507" s="95" t="s">
        <v>781</v>
      </c>
      <c r="S507" s="204" t="str">
        <f t="shared" si="3123"/>
        <v xml:space="preserve"> </v>
      </c>
      <c r="T507" s="95" t="s">
        <v>781</v>
      </c>
      <c r="U507" s="204" t="str">
        <f t="shared" ref="U507:W507" si="3124">IFERROR(T507/$G507," ")</f>
        <v xml:space="preserve"> </v>
      </c>
      <c r="V507" s="95" t="s">
        <v>781</v>
      </c>
      <c r="W507" s="204" t="str">
        <f t="shared" si="3124"/>
        <v xml:space="preserve"> </v>
      </c>
      <c r="X507" s="95" t="s">
        <v>781</v>
      </c>
      <c r="Y507" s="204" t="str">
        <f t="shared" ref="Y507:AA507" si="3125">IFERROR(X507/$G507," ")</f>
        <v xml:space="preserve"> </v>
      </c>
      <c r="Z507" s="95" t="s">
        <v>781</v>
      </c>
      <c r="AA507" s="204" t="str">
        <f t="shared" si="3125"/>
        <v xml:space="preserve"> </v>
      </c>
      <c r="AB507" s="95" t="s">
        <v>781</v>
      </c>
      <c r="AC507" s="204" t="str">
        <f t="shared" ref="AC507:AE507" si="3126">IFERROR(AB507/$G507," ")</f>
        <v xml:space="preserve"> </v>
      </c>
      <c r="AD507" s="95" t="s">
        <v>781</v>
      </c>
      <c r="AE507" s="204" t="str">
        <f t="shared" si="3126"/>
        <v xml:space="preserve"> </v>
      </c>
      <c r="AF507" s="95" t="s">
        <v>781</v>
      </c>
      <c r="AG507" s="204" t="str">
        <f t="shared" ref="AG507:AI507" si="3127">IFERROR(AF507/$G507," ")</f>
        <v xml:space="preserve"> </v>
      </c>
      <c r="AH507" s="95" t="s">
        <v>781</v>
      </c>
      <c r="AI507" s="204" t="str">
        <f t="shared" si="3127"/>
        <v xml:space="preserve"> </v>
      </c>
      <c r="AJ507" s="95" t="s">
        <v>781</v>
      </c>
      <c r="AK507" s="204" t="str">
        <f t="shared" ref="AK507:AM507" si="3128">IFERROR(AJ507/$G507," ")</f>
        <v xml:space="preserve"> </v>
      </c>
      <c r="AL507" s="95" t="s">
        <v>781</v>
      </c>
      <c r="AM507" s="204" t="str">
        <f t="shared" si="3128"/>
        <v xml:space="preserve"> </v>
      </c>
      <c r="AN507" s="95"/>
      <c r="AO507" s="94" t="str">
        <f t="shared" si="2816"/>
        <v xml:space="preserve"> </v>
      </c>
      <c r="AP507" s="94" t="str">
        <f t="shared" si="2806"/>
        <v xml:space="preserve"> </v>
      </c>
      <c r="AQ507" s="94" t="str">
        <f t="shared" si="2807"/>
        <v xml:space="preserve"> </v>
      </c>
      <c r="AR507" s="94" t="str">
        <f t="shared" si="3020"/>
        <v xml:space="preserve"> </v>
      </c>
      <c r="AS507" s="94" t="str">
        <f t="shared" si="2818"/>
        <v xml:space="preserve"> </v>
      </c>
      <c r="AT507" s="94" t="str">
        <f t="shared" si="2819"/>
        <v xml:space="preserve"> </v>
      </c>
      <c r="AU507" s="94" t="str">
        <f t="shared" si="2820"/>
        <v xml:space="preserve"> </v>
      </c>
      <c r="AV507" s="94" t="str">
        <f t="shared" si="2821"/>
        <v xml:space="preserve"> </v>
      </c>
      <c r="AW507" s="94" t="str">
        <f t="shared" si="2822"/>
        <v xml:space="preserve"> </v>
      </c>
      <c r="AX507" s="94" t="str">
        <f t="shared" si="2823"/>
        <v xml:space="preserve"> </v>
      </c>
      <c r="AY507" s="94" t="str">
        <f t="shared" si="2824"/>
        <v xml:space="preserve"> </v>
      </c>
      <c r="AZ507" s="94" t="str">
        <f t="shared" si="2825"/>
        <v xml:space="preserve"> </v>
      </c>
      <c r="BA507" s="94" t="str">
        <f t="shared" si="2826"/>
        <v xml:space="preserve"> </v>
      </c>
      <c r="BB507" s="94" t="str">
        <f t="shared" si="2827"/>
        <v xml:space="preserve"> </v>
      </c>
    </row>
    <row r="508" spans="1:54" x14ac:dyDescent="0.25">
      <c r="A508" s="80"/>
      <c r="B508" s="95" t="s">
        <v>2417</v>
      </c>
      <c r="C508" s="201" t="s">
        <v>145</v>
      </c>
      <c r="D508" s="80" t="s">
        <v>783</v>
      </c>
      <c r="E508" s="94" t="str">
        <f>IFERROR(VLOOKUP(A508,Estimate!A:Q,17,FALSE)," ")</f>
        <v xml:space="preserve"> </v>
      </c>
      <c r="F508" s="202" t="s">
        <v>781</v>
      </c>
      <c r="G508" s="202" t="s">
        <v>781</v>
      </c>
      <c r="H508" s="203" t="s">
        <v>781</v>
      </c>
      <c r="I508" s="203" t="s">
        <v>781</v>
      </c>
      <c r="J508" s="203" t="s">
        <v>781</v>
      </c>
      <c r="K508" s="203"/>
      <c r="L508" s="202" t="s">
        <v>781</v>
      </c>
      <c r="M508" s="204" t="str">
        <f t="shared" si="2809"/>
        <v xml:space="preserve"> </v>
      </c>
      <c r="N508" s="95" t="s">
        <v>781</v>
      </c>
      <c r="O508" s="204" t="str">
        <f t="shared" si="2809"/>
        <v xml:space="preserve"> </v>
      </c>
      <c r="P508" s="95" t="s">
        <v>781</v>
      </c>
      <c r="Q508" s="204" t="str">
        <f t="shared" ref="Q508:S508" si="3129">IFERROR(P508/$G508," ")</f>
        <v xml:space="preserve"> </v>
      </c>
      <c r="R508" s="95" t="s">
        <v>781</v>
      </c>
      <c r="S508" s="204" t="str">
        <f t="shared" si="3129"/>
        <v xml:space="preserve"> </v>
      </c>
      <c r="T508" s="95" t="s">
        <v>781</v>
      </c>
      <c r="U508" s="204" t="str">
        <f t="shared" ref="U508:W508" si="3130">IFERROR(T508/$G508," ")</f>
        <v xml:space="preserve"> </v>
      </c>
      <c r="V508" s="95" t="s">
        <v>781</v>
      </c>
      <c r="W508" s="204" t="str">
        <f t="shared" si="3130"/>
        <v xml:space="preserve"> </v>
      </c>
      <c r="X508" s="95" t="s">
        <v>781</v>
      </c>
      <c r="Y508" s="204" t="str">
        <f t="shared" ref="Y508:AA508" si="3131">IFERROR(X508/$G508," ")</f>
        <v xml:space="preserve"> </v>
      </c>
      <c r="Z508" s="95" t="s">
        <v>781</v>
      </c>
      <c r="AA508" s="204" t="str">
        <f t="shared" si="3131"/>
        <v xml:space="preserve"> </v>
      </c>
      <c r="AB508" s="95" t="s">
        <v>781</v>
      </c>
      <c r="AC508" s="204" t="str">
        <f t="shared" ref="AC508:AE508" si="3132">IFERROR(AB508/$G508," ")</f>
        <v xml:space="preserve"> </v>
      </c>
      <c r="AD508" s="95" t="s">
        <v>781</v>
      </c>
      <c r="AE508" s="204" t="str">
        <f t="shared" si="3132"/>
        <v xml:space="preserve"> </v>
      </c>
      <c r="AF508" s="95" t="s">
        <v>781</v>
      </c>
      <c r="AG508" s="204" t="str">
        <f t="shared" ref="AG508:AI508" si="3133">IFERROR(AF508/$G508," ")</f>
        <v xml:space="preserve"> </v>
      </c>
      <c r="AH508" s="95" t="s">
        <v>781</v>
      </c>
      <c r="AI508" s="204" t="str">
        <f t="shared" si="3133"/>
        <v xml:space="preserve"> </v>
      </c>
      <c r="AJ508" s="95" t="s">
        <v>781</v>
      </c>
      <c r="AK508" s="204" t="str">
        <f t="shared" ref="AK508:AM508" si="3134">IFERROR(AJ508/$G508," ")</f>
        <v xml:space="preserve"> </v>
      </c>
      <c r="AL508" s="95" t="s">
        <v>781</v>
      </c>
      <c r="AM508" s="204" t="str">
        <f t="shared" si="3134"/>
        <v xml:space="preserve"> </v>
      </c>
      <c r="AN508" s="95"/>
      <c r="AO508" s="94" t="str">
        <f t="shared" si="2816"/>
        <v xml:space="preserve"> </v>
      </c>
      <c r="AP508" s="94" t="str">
        <f t="shared" si="2806"/>
        <v xml:space="preserve"> </v>
      </c>
      <c r="AQ508" s="94" t="str">
        <f t="shared" si="2807"/>
        <v xml:space="preserve"> </v>
      </c>
      <c r="AR508" s="94" t="str">
        <f t="shared" si="3020"/>
        <v xml:space="preserve"> </v>
      </c>
      <c r="AS508" s="94" t="str">
        <f t="shared" si="2818"/>
        <v xml:space="preserve"> </v>
      </c>
      <c r="AT508" s="94" t="str">
        <f t="shared" si="2819"/>
        <v xml:space="preserve"> </v>
      </c>
      <c r="AU508" s="94" t="str">
        <f t="shared" si="2820"/>
        <v xml:space="preserve"> </v>
      </c>
      <c r="AV508" s="94" t="str">
        <f t="shared" si="2821"/>
        <v xml:space="preserve"> </v>
      </c>
      <c r="AW508" s="94" t="str">
        <f t="shared" si="2822"/>
        <v xml:space="preserve"> </v>
      </c>
      <c r="AX508" s="94" t="str">
        <f t="shared" si="2823"/>
        <v xml:space="preserve"> </v>
      </c>
      <c r="AY508" s="94" t="str">
        <f t="shared" si="2824"/>
        <v xml:space="preserve"> </v>
      </c>
      <c r="AZ508" s="94" t="str">
        <f t="shared" si="2825"/>
        <v xml:space="preserve"> </v>
      </c>
      <c r="BA508" s="94" t="str">
        <f t="shared" si="2826"/>
        <v xml:space="preserve"> </v>
      </c>
      <c r="BB508" s="94" t="str">
        <f t="shared" si="2827"/>
        <v xml:space="preserve"> </v>
      </c>
    </row>
    <row r="509" spans="1:54" x14ac:dyDescent="0.25">
      <c r="A509" s="80">
        <v>204</v>
      </c>
      <c r="B509" s="95" t="s">
        <v>2417</v>
      </c>
      <c r="C509" s="201" t="s">
        <v>147</v>
      </c>
      <c r="D509" s="80" t="s">
        <v>20</v>
      </c>
      <c r="E509" s="94">
        <f>IFERROR(VLOOKUP(A509,Estimate!A:Q,17,FALSE)," ")</f>
        <v>2400</v>
      </c>
      <c r="F509" s="202">
        <v>1</v>
      </c>
      <c r="G509" s="202">
        <v>1</v>
      </c>
      <c r="H509" s="203">
        <v>3014.95</v>
      </c>
      <c r="I509" s="203">
        <v>3014.95</v>
      </c>
      <c r="J509" s="203">
        <v>3014.95</v>
      </c>
      <c r="K509" s="203"/>
      <c r="L509" s="202"/>
      <c r="M509" s="204">
        <f t="shared" si="2809"/>
        <v>0</v>
      </c>
      <c r="N509" s="95"/>
      <c r="O509" s="204">
        <f t="shared" si="2809"/>
        <v>0</v>
      </c>
      <c r="P509" s="95"/>
      <c r="Q509" s="204">
        <f t="shared" ref="Q509:S509" si="3135">IFERROR(P509/$G509," ")</f>
        <v>0</v>
      </c>
      <c r="R509" s="95"/>
      <c r="S509" s="204">
        <f t="shared" si="3135"/>
        <v>0</v>
      </c>
      <c r="T509" s="95"/>
      <c r="U509" s="204">
        <f t="shared" ref="U509:W509" si="3136">IFERROR(T509/$G509," ")</f>
        <v>0</v>
      </c>
      <c r="V509" s="95"/>
      <c r="W509" s="204">
        <f t="shared" si="3136"/>
        <v>0</v>
      </c>
      <c r="X509" s="95">
        <v>0.8</v>
      </c>
      <c r="Y509" s="204">
        <f t="shared" ref="Y509:AA509" si="3137">IFERROR(X509/$G509," ")</f>
        <v>0.8</v>
      </c>
      <c r="Z509" s="95">
        <v>0.8</v>
      </c>
      <c r="AA509" s="204">
        <f t="shared" si="3137"/>
        <v>0.8</v>
      </c>
      <c r="AB509" s="95">
        <v>0.8</v>
      </c>
      <c r="AC509" s="204">
        <f t="shared" ref="AC509:AE509" si="3138">IFERROR(AB509/$G509," ")</f>
        <v>0.8</v>
      </c>
      <c r="AD509" s="95">
        <v>0.95</v>
      </c>
      <c r="AE509" s="204">
        <f t="shared" si="3138"/>
        <v>0.95</v>
      </c>
      <c r="AF509" s="95">
        <v>1</v>
      </c>
      <c r="AG509" s="204">
        <f t="shared" ref="AG509:AI509" si="3139">IFERROR(AF509/$G509," ")</f>
        <v>1</v>
      </c>
      <c r="AH509" s="95">
        <v>1</v>
      </c>
      <c r="AI509" s="204">
        <f t="shared" si="3139"/>
        <v>1</v>
      </c>
      <c r="AJ509" s="95">
        <v>1</v>
      </c>
      <c r="AK509" s="204">
        <f t="shared" ref="AK509:AM509" si="3140">IFERROR(AJ509/$G509," ")</f>
        <v>1</v>
      </c>
      <c r="AL509" s="95">
        <v>1</v>
      </c>
      <c r="AM509" s="204">
        <f t="shared" si="3140"/>
        <v>1</v>
      </c>
      <c r="AN509" s="95"/>
      <c r="AO509" s="94">
        <f t="shared" si="2816"/>
        <v>0</v>
      </c>
      <c r="AP509" s="94">
        <f t="shared" si="2806"/>
        <v>0</v>
      </c>
      <c r="AQ509" s="94">
        <f t="shared" si="2807"/>
        <v>0</v>
      </c>
      <c r="AR509" s="94">
        <f t="shared" si="3020"/>
        <v>0</v>
      </c>
      <c r="AS509" s="94">
        <f t="shared" si="2818"/>
        <v>0</v>
      </c>
      <c r="AT509" s="94">
        <f t="shared" si="2819"/>
        <v>0</v>
      </c>
      <c r="AU509" s="94">
        <f t="shared" si="2820"/>
        <v>2411.96</v>
      </c>
      <c r="AV509" s="94">
        <f t="shared" si="2821"/>
        <v>2411.96</v>
      </c>
      <c r="AW509" s="94">
        <f t="shared" si="2822"/>
        <v>2411.96</v>
      </c>
      <c r="AX509" s="94">
        <f t="shared" si="2823"/>
        <v>2864.2024999999999</v>
      </c>
      <c r="AY509" s="94">
        <f t="shared" si="2824"/>
        <v>3014.95</v>
      </c>
      <c r="AZ509" s="94">
        <f t="shared" si="2825"/>
        <v>3014.95</v>
      </c>
      <c r="BA509" s="94">
        <f t="shared" si="2826"/>
        <v>3014.95</v>
      </c>
      <c r="BB509" s="94">
        <f t="shared" si="2827"/>
        <v>3014.95</v>
      </c>
    </row>
    <row r="510" spans="1:54" x14ac:dyDescent="0.25">
      <c r="A510" s="80"/>
      <c r="B510" s="95" t="s">
        <v>2417</v>
      </c>
      <c r="C510" s="201" t="s">
        <v>2837</v>
      </c>
      <c r="D510" s="80" t="s">
        <v>783</v>
      </c>
      <c r="E510" s="94" t="str">
        <f>IFERROR(VLOOKUP(A510,Estimate!A:Q,17,FALSE)," ")</f>
        <v xml:space="preserve"> </v>
      </c>
      <c r="F510" s="202" t="s">
        <v>781</v>
      </c>
      <c r="G510" s="202" t="s">
        <v>781</v>
      </c>
      <c r="H510" s="203" t="s">
        <v>781</v>
      </c>
      <c r="I510" s="203" t="s">
        <v>781</v>
      </c>
      <c r="J510" s="203" t="s">
        <v>781</v>
      </c>
      <c r="K510" s="203"/>
      <c r="L510" s="202" t="s">
        <v>781</v>
      </c>
      <c r="M510" s="204" t="str">
        <f t="shared" si="2809"/>
        <v xml:space="preserve"> </v>
      </c>
      <c r="N510" s="95" t="s">
        <v>781</v>
      </c>
      <c r="O510" s="204" t="str">
        <f t="shared" si="2809"/>
        <v xml:space="preserve"> </v>
      </c>
      <c r="P510" s="95" t="s">
        <v>781</v>
      </c>
      <c r="Q510" s="204" t="str">
        <f t="shared" ref="Q510:S510" si="3141">IFERROR(P510/$G510," ")</f>
        <v xml:space="preserve"> </v>
      </c>
      <c r="R510" s="95" t="s">
        <v>781</v>
      </c>
      <c r="S510" s="204" t="str">
        <f t="shared" si="3141"/>
        <v xml:space="preserve"> </v>
      </c>
      <c r="T510" s="95" t="s">
        <v>781</v>
      </c>
      <c r="U510" s="204" t="str">
        <f t="shared" ref="U510:W510" si="3142">IFERROR(T510/$G510," ")</f>
        <v xml:space="preserve"> </v>
      </c>
      <c r="V510" s="95" t="s">
        <v>781</v>
      </c>
      <c r="W510" s="204" t="str">
        <f t="shared" si="3142"/>
        <v xml:space="preserve"> </v>
      </c>
      <c r="X510" s="95" t="s">
        <v>781</v>
      </c>
      <c r="Y510" s="204" t="str">
        <f t="shared" ref="Y510:AA510" si="3143">IFERROR(X510/$G510," ")</f>
        <v xml:space="preserve"> </v>
      </c>
      <c r="Z510" s="95" t="s">
        <v>781</v>
      </c>
      <c r="AA510" s="204" t="str">
        <f t="shared" si="3143"/>
        <v xml:space="preserve"> </v>
      </c>
      <c r="AB510" s="95" t="s">
        <v>781</v>
      </c>
      <c r="AC510" s="204" t="str">
        <f t="shared" ref="AC510:AE510" si="3144">IFERROR(AB510/$G510," ")</f>
        <v xml:space="preserve"> </v>
      </c>
      <c r="AD510" s="95" t="s">
        <v>781</v>
      </c>
      <c r="AE510" s="204" t="str">
        <f t="shared" si="3144"/>
        <v xml:space="preserve"> </v>
      </c>
      <c r="AF510" s="95" t="s">
        <v>781</v>
      </c>
      <c r="AG510" s="204" t="str">
        <f t="shared" ref="AG510:AI510" si="3145">IFERROR(AF510/$G510," ")</f>
        <v xml:space="preserve"> </v>
      </c>
      <c r="AH510" s="95" t="s">
        <v>781</v>
      </c>
      <c r="AI510" s="204" t="str">
        <f t="shared" si="3145"/>
        <v xml:space="preserve"> </v>
      </c>
      <c r="AJ510" s="95" t="s">
        <v>781</v>
      </c>
      <c r="AK510" s="204" t="str">
        <f t="shared" ref="AK510:AM510" si="3146">IFERROR(AJ510/$G510," ")</f>
        <v xml:space="preserve"> </v>
      </c>
      <c r="AL510" s="95" t="s">
        <v>781</v>
      </c>
      <c r="AM510" s="204" t="str">
        <f t="shared" si="3146"/>
        <v xml:space="preserve"> </v>
      </c>
      <c r="AN510" s="95"/>
      <c r="AO510" s="94" t="str">
        <f t="shared" si="2816"/>
        <v xml:space="preserve"> </v>
      </c>
      <c r="AP510" s="94" t="str">
        <f t="shared" si="2806"/>
        <v xml:space="preserve"> </v>
      </c>
      <c r="AQ510" s="94" t="str">
        <f t="shared" si="2807"/>
        <v xml:space="preserve"> </v>
      </c>
      <c r="AR510" s="94" t="str">
        <f t="shared" si="3020"/>
        <v xml:space="preserve"> </v>
      </c>
      <c r="AS510" s="94" t="str">
        <f t="shared" si="2818"/>
        <v xml:space="preserve"> </v>
      </c>
      <c r="AT510" s="94" t="str">
        <f t="shared" si="2819"/>
        <v xml:space="preserve"> </v>
      </c>
      <c r="AU510" s="94" t="str">
        <f t="shared" si="2820"/>
        <v xml:space="preserve"> </v>
      </c>
      <c r="AV510" s="94" t="str">
        <f t="shared" si="2821"/>
        <v xml:space="preserve"> </v>
      </c>
      <c r="AW510" s="94" t="str">
        <f t="shared" si="2822"/>
        <v xml:space="preserve"> </v>
      </c>
      <c r="AX510" s="94" t="str">
        <f t="shared" si="2823"/>
        <v xml:space="preserve"> </v>
      </c>
      <c r="AY510" s="94" t="str">
        <f t="shared" si="2824"/>
        <v xml:space="preserve"> </v>
      </c>
      <c r="AZ510" s="94" t="str">
        <f t="shared" si="2825"/>
        <v xml:space="preserve"> </v>
      </c>
      <c r="BA510" s="94" t="str">
        <f t="shared" si="2826"/>
        <v xml:space="preserve"> </v>
      </c>
      <c r="BB510" s="94" t="str">
        <f t="shared" si="2827"/>
        <v xml:space="preserve"> </v>
      </c>
    </row>
    <row r="511" spans="1:54" x14ac:dyDescent="0.25">
      <c r="A511" s="80"/>
      <c r="B511" s="205" t="s">
        <v>2417</v>
      </c>
      <c r="C511" s="206" t="s">
        <v>1916</v>
      </c>
      <c r="D511" s="207" t="s">
        <v>783</v>
      </c>
      <c r="E511" s="94" t="str">
        <f>IFERROR(VLOOKUP(A511,Estimate!A:Q,17,FALSE)," ")</f>
        <v xml:space="preserve"> </v>
      </c>
      <c r="F511" s="208" t="s">
        <v>781</v>
      </c>
      <c r="G511" s="208" t="s">
        <v>781</v>
      </c>
      <c r="H511" s="209" t="s">
        <v>781</v>
      </c>
      <c r="I511" s="209">
        <v>315970.26</v>
      </c>
      <c r="J511" s="209" t="s">
        <v>781</v>
      </c>
      <c r="K511" s="209"/>
      <c r="L511" s="208" t="s">
        <v>781</v>
      </c>
      <c r="M511" s="204" t="str">
        <f t="shared" si="2809"/>
        <v xml:space="preserve"> </v>
      </c>
      <c r="N511" s="95" t="s">
        <v>781</v>
      </c>
      <c r="O511" s="204" t="str">
        <f t="shared" si="2809"/>
        <v xml:space="preserve"> </v>
      </c>
      <c r="P511" s="95" t="s">
        <v>781</v>
      </c>
      <c r="Q511" s="204" t="str">
        <f t="shared" ref="Q511:S511" si="3147">IFERROR(P511/$G511," ")</f>
        <v xml:space="preserve"> </v>
      </c>
      <c r="R511" s="95" t="s">
        <v>781</v>
      </c>
      <c r="S511" s="204" t="str">
        <f t="shared" si="3147"/>
        <v xml:space="preserve"> </v>
      </c>
      <c r="T511" s="95" t="s">
        <v>781</v>
      </c>
      <c r="U511" s="204" t="str">
        <f t="shared" ref="U511:W511" si="3148">IFERROR(T511/$G511," ")</f>
        <v xml:space="preserve"> </v>
      </c>
      <c r="V511" s="95" t="s">
        <v>781</v>
      </c>
      <c r="W511" s="204" t="str">
        <f t="shared" si="3148"/>
        <v xml:space="preserve"> </v>
      </c>
      <c r="X511" s="95" t="s">
        <v>781</v>
      </c>
      <c r="Y511" s="204" t="str">
        <f t="shared" ref="Y511:AA511" si="3149">IFERROR(X511/$G511," ")</f>
        <v xml:space="preserve"> </v>
      </c>
      <c r="Z511" s="95" t="s">
        <v>781</v>
      </c>
      <c r="AA511" s="204" t="str">
        <f t="shared" si="3149"/>
        <v xml:space="preserve"> </v>
      </c>
      <c r="AB511" s="95" t="s">
        <v>781</v>
      </c>
      <c r="AC511" s="204" t="str">
        <f t="shared" ref="AC511:AE511" si="3150">IFERROR(AB511/$G511," ")</f>
        <v xml:space="preserve"> </v>
      </c>
      <c r="AD511" s="95" t="s">
        <v>781</v>
      </c>
      <c r="AE511" s="204" t="str">
        <f t="shared" si="3150"/>
        <v xml:space="preserve"> </v>
      </c>
      <c r="AF511" s="95" t="s">
        <v>781</v>
      </c>
      <c r="AG511" s="204" t="str">
        <f t="shared" ref="AG511:AI511" si="3151">IFERROR(AF511/$G511," ")</f>
        <v xml:space="preserve"> </v>
      </c>
      <c r="AH511" s="95" t="s">
        <v>781</v>
      </c>
      <c r="AI511" s="204" t="str">
        <f t="shared" si="3151"/>
        <v xml:space="preserve"> </v>
      </c>
      <c r="AJ511" s="95" t="s">
        <v>781</v>
      </c>
      <c r="AK511" s="204" t="str">
        <f t="shared" ref="AK511:AM511" si="3152">IFERROR(AJ511/$G511," ")</f>
        <v xml:space="preserve"> </v>
      </c>
      <c r="AL511" s="95" t="s">
        <v>781</v>
      </c>
      <c r="AM511" s="204" t="str">
        <f t="shared" si="3152"/>
        <v xml:space="preserve"> </v>
      </c>
      <c r="AN511" s="95"/>
      <c r="AO511" s="94" t="str">
        <f t="shared" si="2816"/>
        <v xml:space="preserve"> </v>
      </c>
      <c r="AP511" s="94" t="str">
        <f t="shared" si="2806"/>
        <v xml:space="preserve"> </v>
      </c>
      <c r="AQ511" s="94" t="str">
        <f t="shared" si="2807"/>
        <v xml:space="preserve"> </v>
      </c>
      <c r="AR511" s="94" t="str">
        <f t="shared" si="3020"/>
        <v xml:space="preserve"> </v>
      </c>
      <c r="AS511" s="94" t="str">
        <f t="shared" si="2818"/>
        <v xml:space="preserve"> </v>
      </c>
      <c r="AT511" s="94" t="str">
        <f t="shared" si="2819"/>
        <v xml:space="preserve"> </v>
      </c>
      <c r="AU511" s="94" t="str">
        <f t="shared" si="2820"/>
        <v xml:space="preserve"> </v>
      </c>
      <c r="AV511" s="94" t="str">
        <f t="shared" si="2821"/>
        <v xml:space="preserve"> </v>
      </c>
      <c r="AW511" s="94" t="str">
        <f t="shared" si="2822"/>
        <v xml:space="preserve"> </v>
      </c>
      <c r="AX511" s="94" t="str">
        <f t="shared" si="2823"/>
        <v xml:space="preserve"> </v>
      </c>
      <c r="AY511" s="94" t="str">
        <f t="shared" si="2824"/>
        <v xml:space="preserve"> </v>
      </c>
      <c r="AZ511" s="94" t="str">
        <f t="shared" si="2825"/>
        <v xml:space="preserve"> </v>
      </c>
      <c r="BA511" s="94" t="str">
        <f t="shared" si="2826"/>
        <v xml:space="preserve"> </v>
      </c>
      <c r="BB511" s="94" t="str">
        <f t="shared" si="2827"/>
        <v xml:space="preserve"> </v>
      </c>
    </row>
    <row r="512" spans="1:54" x14ac:dyDescent="0.25">
      <c r="A512" s="80"/>
      <c r="B512" s="95" t="s">
        <v>2417</v>
      </c>
      <c r="C512" s="201" t="s">
        <v>781</v>
      </c>
      <c r="D512" s="80" t="s">
        <v>783</v>
      </c>
      <c r="E512" s="94" t="str">
        <f>IFERROR(VLOOKUP(A512,Estimate!A:Q,17,FALSE)," ")</f>
        <v xml:space="preserve"> </v>
      </c>
      <c r="F512" s="202" t="s">
        <v>781</v>
      </c>
      <c r="G512" s="202" t="s">
        <v>781</v>
      </c>
      <c r="H512" s="203" t="s">
        <v>781</v>
      </c>
      <c r="I512" s="203" t="s">
        <v>781</v>
      </c>
      <c r="J512" s="203" t="s">
        <v>781</v>
      </c>
      <c r="K512" s="203"/>
      <c r="L512" s="202" t="s">
        <v>781</v>
      </c>
      <c r="M512" s="204" t="str">
        <f t="shared" si="2809"/>
        <v xml:space="preserve"> </v>
      </c>
      <c r="N512" s="95" t="s">
        <v>781</v>
      </c>
      <c r="O512" s="204" t="str">
        <f t="shared" si="2809"/>
        <v xml:space="preserve"> </v>
      </c>
      <c r="P512" s="95" t="s">
        <v>781</v>
      </c>
      <c r="Q512" s="204" t="str">
        <f t="shared" ref="Q512:S512" si="3153">IFERROR(P512/$G512," ")</f>
        <v xml:space="preserve"> </v>
      </c>
      <c r="R512" s="95" t="s">
        <v>781</v>
      </c>
      <c r="S512" s="204" t="str">
        <f t="shared" si="3153"/>
        <v xml:space="preserve"> </v>
      </c>
      <c r="T512" s="95" t="s">
        <v>781</v>
      </c>
      <c r="U512" s="204" t="str">
        <f t="shared" ref="U512:W512" si="3154">IFERROR(T512/$G512," ")</f>
        <v xml:space="preserve"> </v>
      </c>
      <c r="V512" s="95" t="s">
        <v>781</v>
      </c>
      <c r="W512" s="204" t="str">
        <f t="shared" si="3154"/>
        <v xml:space="preserve"> </v>
      </c>
      <c r="X512" s="95" t="s">
        <v>781</v>
      </c>
      <c r="Y512" s="204" t="str">
        <f t="shared" ref="Y512:AA512" si="3155">IFERROR(X512/$G512," ")</f>
        <v xml:space="preserve"> </v>
      </c>
      <c r="Z512" s="95" t="s">
        <v>781</v>
      </c>
      <c r="AA512" s="204" t="str">
        <f t="shared" si="3155"/>
        <v xml:space="preserve"> </v>
      </c>
      <c r="AB512" s="95" t="s">
        <v>781</v>
      </c>
      <c r="AC512" s="204" t="str">
        <f t="shared" ref="AC512:AE512" si="3156">IFERROR(AB512/$G512," ")</f>
        <v xml:space="preserve"> </v>
      </c>
      <c r="AD512" s="95" t="s">
        <v>781</v>
      </c>
      <c r="AE512" s="204" t="str">
        <f t="shared" si="3156"/>
        <v xml:space="preserve"> </v>
      </c>
      <c r="AF512" s="95" t="s">
        <v>781</v>
      </c>
      <c r="AG512" s="204" t="str">
        <f t="shared" ref="AG512:AI512" si="3157">IFERROR(AF512/$G512," ")</f>
        <v xml:space="preserve"> </v>
      </c>
      <c r="AH512" s="95" t="s">
        <v>781</v>
      </c>
      <c r="AI512" s="204" t="str">
        <f t="shared" si="3157"/>
        <v xml:space="preserve"> </v>
      </c>
      <c r="AJ512" s="95" t="s">
        <v>781</v>
      </c>
      <c r="AK512" s="204" t="str">
        <f t="shared" ref="AK512:AM512" si="3158">IFERROR(AJ512/$G512," ")</f>
        <v xml:space="preserve"> </v>
      </c>
      <c r="AL512" s="95" t="s">
        <v>781</v>
      </c>
      <c r="AM512" s="204" t="str">
        <f t="shared" si="3158"/>
        <v xml:space="preserve"> </v>
      </c>
      <c r="AN512" s="95"/>
      <c r="AO512" s="94" t="str">
        <f t="shared" si="2816"/>
        <v xml:space="preserve"> </v>
      </c>
      <c r="AP512" s="94" t="str">
        <f t="shared" si="2806"/>
        <v xml:space="preserve"> </v>
      </c>
      <c r="AQ512" s="94" t="str">
        <f t="shared" si="2807"/>
        <v xml:space="preserve"> </v>
      </c>
      <c r="AR512" s="94" t="str">
        <f t="shared" si="3020"/>
        <v xml:space="preserve"> </v>
      </c>
      <c r="AS512" s="94" t="str">
        <f t="shared" si="2818"/>
        <v xml:space="preserve"> </v>
      </c>
      <c r="AT512" s="94" t="str">
        <f t="shared" si="2819"/>
        <v xml:space="preserve"> </v>
      </c>
      <c r="AU512" s="94" t="str">
        <f t="shared" si="2820"/>
        <v xml:space="preserve"> </v>
      </c>
      <c r="AV512" s="94" t="str">
        <f t="shared" si="2821"/>
        <v xml:space="preserve"> </v>
      </c>
      <c r="AW512" s="94" t="str">
        <f t="shared" si="2822"/>
        <v xml:space="preserve"> </v>
      </c>
      <c r="AX512" s="94" t="str">
        <f t="shared" si="2823"/>
        <v xml:space="preserve"> </v>
      </c>
      <c r="AY512" s="94" t="str">
        <f t="shared" si="2824"/>
        <v xml:space="preserve"> </v>
      </c>
      <c r="AZ512" s="94" t="str">
        <f t="shared" si="2825"/>
        <v xml:space="preserve"> </v>
      </c>
      <c r="BA512" s="94" t="str">
        <f t="shared" si="2826"/>
        <v xml:space="preserve"> </v>
      </c>
      <c r="BB512" s="94" t="str">
        <f t="shared" si="2827"/>
        <v xml:space="preserve"> </v>
      </c>
    </row>
    <row r="513" spans="1:54" x14ac:dyDescent="0.25">
      <c r="A513" s="80"/>
      <c r="B513" s="95" t="s">
        <v>2417</v>
      </c>
      <c r="C513" s="201" t="s">
        <v>690</v>
      </c>
      <c r="D513" s="80" t="s">
        <v>783</v>
      </c>
      <c r="E513" s="94" t="str">
        <f>IFERROR(VLOOKUP(A513,Estimate!A:Q,17,FALSE)," ")</f>
        <v xml:space="preserve"> </v>
      </c>
      <c r="F513" s="202" t="s">
        <v>781</v>
      </c>
      <c r="G513" s="202" t="s">
        <v>781</v>
      </c>
      <c r="H513" s="203" t="s">
        <v>781</v>
      </c>
      <c r="I513" s="203" t="s">
        <v>781</v>
      </c>
      <c r="J513" s="203" t="s">
        <v>781</v>
      </c>
      <c r="K513" s="203"/>
      <c r="L513" s="202" t="s">
        <v>781</v>
      </c>
      <c r="M513" s="204" t="str">
        <f t="shared" si="2809"/>
        <v xml:space="preserve"> </v>
      </c>
      <c r="N513" s="95" t="s">
        <v>781</v>
      </c>
      <c r="O513" s="204" t="str">
        <f t="shared" si="2809"/>
        <v xml:space="preserve"> </v>
      </c>
      <c r="P513" s="95" t="s">
        <v>781</v>
      </c>
      <c r="Q513" s="204" t="str">
        <f t="shared" ref="Q513:S513" si="3159">IFERROR(P513/$G513," ")</f>
        <v xml:space="preserve"> </v>
      </c>
      <c r="R513" s="95" t="s">
        <v>781</v>
      </c>
      <c r="S513" s="204" t="str">
        <f t="shared" si="3159"/>
        <v xml:space="preserve"> </v>
      </c>
      <c r="T513" s="95" t="s">
        <v>781</v>
      </c>
      <c r="U513" s="204" t="str">
        <f t="shared" ref="U513:W513" si="3160">IFERROR(T513/$G513," ")</f>
        <v xml:space="preserve"> </v>
      </c>
      <c r="V513" s="95" t="s">
        <v>781</v>
      </c>
      <c r="W513" s="204" t="str">
        <f t="shared" si="3160"/>
        <v xml:space="preserve"> </v>
      </c>
      <c r="X513" s="95" t="s">
        <v>781</v>
      </c>
      <c r="Y513" s="204" t="str">
        <f t="shared" ref="Y513:AA513" si="3161">IFERROR(X513/$G513," ")</f>
        <v xml:space="preserve"> </v>
      </c>
      <c r="Z513" s="95" t="s">
        <v>781</v>
      </c>
      <c r="AA513" s="204" t="str">
        <f t="shared" si="3161"/>
        <v xml:space="preserve"> </v>
      </c>
      <c r="AB513" s="95" t="s">
        <v>781</v>
      </c>
      <c r="AC513" s="204" t="str">
        <f t="shared" ref="AC513:AE513" si="3162">IFERROR(AB513/$G513," ")</f>
        <v xml:space="preserve"> </v>
      </c>
      <c r="AD513" s="95" t="s">
        <v>781</v>
      </c>
      <c r="AE513" s="204" t="str">
        <f t="shared" si="3162"/>
        <v xml:space="preserve"> </v>
      </c>
      <c r="AF513" s="95" t="s">
        <v>781</v>
      </c>
      <c r="AG513" s="204" t="str">
        <f t="shared" ref="AG513:AI513" si="3163">IFERROR(AF513/$G513," ")</f>
        <v xml:space="preserve"> </v>
      </c>
      <c r="AH513" s="95" t="s">
        <v>781</v>
      </c>
      <c r="AI513" s="204" t="str">
        <f t="shared" si="3163"/>
        <v xml:space="preserve"> </v>
      </c>
      <c r="AJ513" s="95" t="s">
        <v>781</v>
      </c>
      <c r="AK513" s="204" t="str">
        <f t="shared" ref="AK513:AM513" si="3164">IFERROR(AJ513/$G513," ")</f>
        <v xml:space="preserve"> </v>
      </c>
      <c r="AL513" s="95" t="s">
        <v>781</v>
      </c>
      <c r="AM513" s="204" t="str">
        <f t="shared" si="3164"/>
        <v xml:space="preserve"> </v>
      </c>
      <c r="AN513" s="95"/>
      <c r="AO513" s="94" t="str">
        <f t="shared" si="2816"/>
        <v xml:space="preserve"> </v>
      </c>
      <c r="AP513" s="94" t="str">
        <f t="shared" si="2806"/>
        <v xml:space="preserve"> </v>
      </c>
      <c r="AQ513" s="94" t="str">
        <f t="shared" si="2807"/>
        <v xml:space="preserve"> </v>
      </c>
      <c r="AR513" s="94" t="str">
        <f t="shared" si="3020"/>
        <v xml:space="preserve"> </v>
      </c>
      <c r="AS513" s="94" t="str">
        <f t="shared" si="2818"/>
        <v xml:space="preserve"> </v>
      </c>
      <c r="AT513" s="94" t="str">
        <f t="shared" si="2819"/>
        <v xml:space="preserve"> </v>
      </c>
      <c r="AU513" s="94" t="str">
        <f t="shared" si="2820"/>
        <v xml:space="preserve"> </v>
      </c>
      <c r="AV513" s="94" t="str">
        <f t="shared" si="2821"/>
        <v xml:space="preserve"> </v>
      </c>
      <c r="AW513" s="94" t="str">
        <f t="shared" si="2822"/>
        <v xml:space="preserve"> </v>
      </c>
      <c r="AX513" s="94" t="str">
        <f t="shared" si="2823"/>
        <v xml:space="preserve"> </v>
      </c>
      <c r="AY513" s="94" t="str">
        <f t="shared" si="2824"/>
        <v xml:space="preserve"> </v>
      </c>
      <c r="AZ513" s="94" t="str">
        <f t="shared" si="2825"/>
        <v xml:space="preserve"> </v>
      </c>
      <c r="BA513" s="94" t="str">
        <f t="shared" si="2826"/>
        <v xml:space="preserve"> </v>
      </c>
      <c r="BB513" s="94" t="str">
        <f t="shared" si="2827"/>
        <v xml:space="preserve"> </v>
      </c>
    </row>
    <row r="514" spans="1:54" x14ac:dyDescent="0.25">
      <c r="A514" s="80"/>
      <c r="B514" s="95" t="s">
        <v>2417</v>
      </c>
      <c r="C514" s="201" t="s">
        <v>781</v>
      </c>
      <c r="D514" s="80" t="s">
        <v>783</v>
      </c>
      <c r="E514" s="94" t="str">
        <f>IFERROR(VLOOKUP(A514,Estimate!A:Q,17,FALSE)," ")</f>
        <v xml:space="preserve"> </v>
      </c>
      <c r="F514" s="202" t="s">
        <v>781</v>
      </c>
      <c r="G514" s="202" t="s">
        <v>781</v>
      </c>
      <c r="H514" s="203" t="s">
        <v>781</v>
      </c>
      <c r="I514" s="203" t="s">
        <v>781</v>
      </c>
      <c r="J514" s="203" t="s">
        <v>781</v>
      </c>
      <c r="K514" s="203"/>
      <c r="L514" s="202" t="s">
        <v>781</v>
      </c>
      <c r="M514" s="204" t="str">
        <f t="shared" si="2809"/>
        <v xml:space="preserve"> </v>
      </c>
      <c r="N514" s="95" t="s">
        <v>781</v>
      </c>
      <c r="O514" s="204" t="str">
        <f t="shared" si="2809"/>
        <v xml:space="preserve"> </v>
      </c>
      <c r="P514" s="95" t="s">
        <v>781</v>
      </c>
      <c r="Q514" s="204" t="str">
        <f t="shared" ref="Q514:S514" si="3165">IFERROR(P514/$G514," ")</f>
        <v xml:space="preserve"> </v>
      </c>
      <c r="R514" s="95" t="s">
        <v>781</v>
      </c>
      <c r="S514" s="204" t="str">
        <f t="shared" si="3165"/>
        <v xml:space="preserve"> </v>
      </c>
      <c r="T514" s="95" t="s">
        <v>781</v>
      </c>
      <c r="U514" s="204" t="str">
        <f t="shared" ref="U514:W514" si="3166">IFERROR(T514/$G514," ")</f>
        <v xml:space="preserve"> </v>
      </c>
      <c r="V514" s="95" t="s">
        <v>781</v>
      </c>
      <c r="W514" s="204" t="str">
        <f t="shared" si="3166"/>
        <v xml:space="preserve"> </v>
      </c>
      <c r="X514" s="95" t="s">
        <v>781</v>
      </c>
      <c r="Y514" s="204" t="str">
        <f t="shared" ref="Y514:AA514" si="3167">IFERROR(X514/$G514," ")</f>
        <v xml:space="preserve"> </v>
      </c>
      <c r="Z514" s="95" t="s">
        <v>781</v>
      </c>
      <c r="AA514" s="204" t="str">
        <f t="shared" si="3167"/>
        <v xml:space="preserve"> </v>
      </c>
      <c r="AB514" s="95" t="s">
        <v>781</v>
      </c>
      <c r="AC514" s="204" t="str">
        <f t="shared" ref="AC514:AE514" si="3168">IFERROR(AB514/$G514," ")</f>
        <v xml:space="preserve"> </v>
      </c>
      <c r="AD514" s="95" t="s">
        <v>781</v>
      </c>
      <c r="AE514" s="204" t="str">
        <f t="shared" si="3168"/>
        <v xml:space="preserve"> </v>
      </c>
      <c r="AF514" s="95" t="s">
        <v>781</v>
      </c>
      <c r="AG514" s="204" t="str">
        <f t="shared" ref="AG514:AI514" si="3169">IFERROR(AF514/$G514," ")</f>
        <v xml:space="preserve"> </v>
      </c>
      <c r="AH514" s="95" t="s">
        <v>781</v>
      </c>
      <c r="AI514" s="204" t="str">
        <f t="shared" si="3169"/>
        <v xml:space="preserve"> </v>
      </c>
      <c r="AJ514" s="95" t="s">
        <v>781</v>
      </c>
      <c r="AK514" s="204" t="str">
        <f t="shared" ref="AK514:AM514" si="3170">IFERROR(AJ514/$G514," ")</f>
        <v xml:space="preserve"> </v>
      </c>
      <c r="AL514" s="95" t="s">
        <v>781</v>
      </c>
      <c r="AM514" s="204" t="str">
        <f t="shared" si="3170"/>
        <v xml:space="preserve"> </v>
      </c>
      <c r="AN514" s="95"/>
      <c r="AO514" s="94" t="str">
        <f t="shared" si="2816"/>
        <v xml:space="preserve"> </v>
      </c>
      <c r="AP514" s="94" t="str">
        <f t="shared" si="2806"/>
        <v xml:space="preserve"> </v>
      </c>
      <c r="AQ514" s="94" t="str">
        <f t="shared" si="2807"/>
        <v xml:space="preserve"> </v>
      </c>
      <c r="AR514" s="94" t="str">
        <f t="shared" si="3020"/>
        <v xml:space="preserve"> </v>
      </c>
      <c r="AS514" s="94" t="str">
        <f t="shared" si="2818"/>
        <v xml:space="preserve"> </v>
      </c>
      <c r="AT514" s="94" t="str">
        <f t="shared" si="2819"/>
        <v xml:space="preserve"> </v>
      </c>
      <c r="AU514" s="94" t="str">
        <f t="shared" si="2820"/>
        <v xml:space="preserve"> </v>
      </c>
      <c r="AV514" s="94" t="str">
        <f t="shared" si="2821"/>
        <v xml:space="preserve"> </v>
      </c>
      <c r="AW514" s="94" t="str">
        <f t="shared" si="2822"/>
        <v xml:space="preserve"> </v>
      </c>
      <c r="AX514" s="94" t="str">
        <f t="shared" si="2823"/>
        <v xml:space="preserve"> </v>
      </c>
      <c r="AY514" s="94" t="str">
        <f t="shared" si="2824"/>
        <v xml:space="preserve"> </v>
      </c>
      <c r="AZ514" s="94" t="str">
        <f t="shared" si="2825"/>
        <v xml:space="preserve"> </v>
      </c>
      <c r="BA514" s="94" t="str">
        <f t="shared" si="2826"/>
        <v xml:space="preserve"> </v>
      </c>
      <c r="BB514" s="94" t="str">
        <f t="shared" si="2827"/>
        <v xml:space="preserve"> </v>
      </c>
    </row>
    <row r="515" spans="1:54" x14ac:dyDescent="0.25">
      <c r="A515" s="80"/>
      <c r="B515" s="95" t="s">
        <v>2417</v>
      </c>
      <c r="C515" s="201" t="s">
        <v>17</v>
      </c>
      <c r="D515" s="80" t="s">
        <v>783</v>
      </c>
      <c r="E515" s="94" t="str">
        <f>IFERROR(VLOOKUP(A515,Estimate!A:Q,17,FALSE)," ")</f>
        <v xml:space="preserve"> </v>
      </c>
      <c r="F515" s="202" t="s">
        <v>781</v>
      </c>
      <c r="G515" s="202" t="s">
        <v>781</v>
      </c>
      <c r="H515" s="203" t="s">
        <v>781</v>
      </c>
      <c r="I515" s="203" t="s">
        <v>781</v>
      </c>
      <c r="J515" s="203" t="s">
        <v>781</v>
      </c>
      <c r="K515" s="203"/>
      <c r="L515" s="202" t="s">
        <v>781</v>
      </c>
      <c r="M515" s="204" t="str">
        <f t="shared" si="2809"/>
        <v xml:space="preserve"> </v>
      </c>
      <c r="N515" s="95" t="s">
        <v>781</v>
      </c>
      <c r="O515" s="204" t="str">
        <f t="shared" si="2809"/>
        <v xml:space="preserve"> </v>
      </c>
      <c r="P515" s="95" t="s">
        <v>781</v>
      </c>
      <c r="Q515" s="204" t="str">
        <f t="shared" ref="Q515:S515" si="3171">IFERROR(P515/$G515," ")</f>
        <v xml:space="preserve"> </v>
      </c>
      <c r="R515" s="95" t="s">
        <v>781</v>
      </c>
      <c r="S515" s="204" t="str">
        <f t="shared" si="3171"/>
        <v xml:space="preserve"> </v>
      </c>
      <c r="T515" s="95" t="s">
        <v>781</v>
      </c>
      <c r="U515" s="204" t="str">
        <f t="shared" ref="U515:W515" si="3172">IFERROR(T515/$G515," ")</f>
        <v xml:space="preserve"> </v>
      </c>
      <c r="V515" s="95" t="s">
        <v>781</v>
      </c>
      <c r="W515" s="204" t="str">
        <f t="shared" si="3172"/>
        <v xml:space="preserve"> </v>
      </c>
      <c r="X515" s="95" t="s">
        <v>781</v>
      </c>
      <c r="Y515" s="204" t="str">
        <f t="shared" ref="Y515:AA515" si="3173">IFERROR(X515/$G515," ")</f>
        <v xml:space="preserve"> </v>
      </c>
      <c r="Z515" s="95" t="s">
        <v>781</v>
      </c>
      <c r="AA515" s="204" t="str">
        <f t="shared" si="3173"/>
        <v xml:space="preserve"> </v>
      </c>
      <c r="AB515" s="95" t="s">
        <v>781</v>
      </c>
      <c r="AC515" s="204" t="str">
        <f t="shared" ref="AC515:AE515" si="3174">IFERROR(AB515/$G515," ")</f>
        <v xml:space="preserve"> </v>
      </c>
      <c r="AD515" s="95" t="s">
        <v>781</v>
      </c>
      <c r="AE515" s="204" t="str">
        <f t="shared" si="3174"/>
        <v xml:space="preserve"> </v>
      </c>
      <c r="AF515" s="95" t="s">
        <v>781</v>
      </c>
      <c r="AG515" s="204" t="str">
        <f t="shared" ref="AG515:AI515" si="3175">IFERROR(AF515/$G515," ")</f>
        <v xml:space="preserve"> </v>
      </c>
      <c r="AH515" s="95" t="s">
        <v>781</v>
      </c>
      <c r="AI515" s="204" t="str">
        <f t="shared" si="3175"/>
        <v xml:space="preserve"> </v>
      </c>
      <c r="AJ515" s="95" t="s">
        <v>781</v>
      </c>
      <c r="AK515" s="204" t="str">
        <f t="shared" ref="AK515:AM515" si="3176">IFERROR(AJ515/$G515," ")</f>
        <v xml:space="preserve"> </v>
      </c>
      <c r="AL515" s="95" t="s">
        <v>781</v>
      </c>
      <c r="AM515" s="204" t="str">
        <f t="shared" si="3176"/>
        <v xml:space="preserve"> </v>
      </c>
      <c r="AN515" s="95"/>
      <c r="AO515" s="94" t="str">
        <f t="shared" si="2816"/>
        <v xml:space="preserve"> </v>
      </c>
      <c r="AP515" s="94" t="str">
        <f t="shared" si="2806"/>
        <v xml:space="preserve"> </v>
      </c>
      <c r="AQ515" s="94" t="str">
        <f t="shared" si="2807"/>
        <v xml:space="preserve"> </v>
      </c>
      <c r="AR515" s="94" t="str">
        <f t="shared" si="3020"/>
        <v xml:space="preserve"> </v>
      </c>
      <c r="AS515" s="94" t="str">
        <f t="shared" si="2818"/>
        <v xml:space="preserve"> </v>
      </c>
      <c r="AT515" s="94" t="str">
        <f t="shared" si="2819"/>
        <v xml:space="preserve"> </v>
      </c>
      <c r="AU515" s="94" t="str">
        <f t="shared" si="2820"/>
        <v xml:space="preserve"> </v>
      </c>
      <c r="AV515" s="94" t="str">
        <f t="shared" si="2821"/>
        <v xml:space="preserve"> </v>
      </c>
      <c r="AW515" s="94" t="str">
        <f t="shared" si="2822"/>
        <v xml:space="preserve"> </v>
      </c>
      <c r="AX515" s="94" t="str">
        <f t="shared" si="2823"/>
        <v xml:space="preserve"> </v>
      </c>
      <c r="AY515" s="94" t="str">
        <f t="shared" si="2824"/>
        <v xml:space="preserve"> </v>
      </c>
      <c r="AZ515" s="94" t="str">
        <f t="shared" si="2825"/>
        <v xml:space="preserve"> </v>
      </c>
      <c r="BA515" s="94" t="str">
        <f t="shared" si="2826"/>
        <v xml:space="preserve"> </v>
      </c>
      <c r="BB515" s="94" t="str">
        <f t="shared" si="2827"/>
        <v xml:space="preserve"> </v>
      </c>
    </row>
    <row r="516" spans="1:54" x14ac:dyDescent="0.25">
      <c r="A516" s="80"/>
      <c r="B516" s="95" t="s">
        <v>2835</v>
      </c>
      <c r="C516" s="201" t="s">
        <v>25</v>
      </c>
      <c r="D516" s="80" t="s">
        <v>783</v>
      </c>
      <c r="E516" s="94" t="str">
        <f>IFERROR(VLOOKUP(A516,Estimate!A:Q,17,FALSE)," ")</f>
        <v xml:space="preserve"> </v>
      </c>
      <c r="F516" s="202" t="s">
        <v>781</v>
      </c>
      <c r="G516" s="202" t="s">
        <v>781</v>
      </c>
      <c r="H516" s="203" t="s">
        <v>781</v>
      </c>
      <c r="I516" s="203" t="s">
        <v>781</v>
      </c>
      <c r="J516" s="203" t="s">
        <v>781</v>
      </c>
      <c r="K516" s="203"/>
      <c r="L516" s="202" t="s">
        <v>781</v>
      </c>
      <c r="M516" s="204" t="str">
        <f t="shared" si="2809"/>
        <v xml:space="preserve"> </v>
      </c>
      <c r="N516" s="95" t="s">
        <v>781</v>
      </c>
      <c r="O516" s="204" t="str">
        <f t="shared" si="2809"/>
        <v xml:space="preserve"> </v>
      </c>
      <c r="P516" s="95" t="s">
        <v>781</v>
      </c>
      <c r="Q516" s="204" t="str">
        <f t="shared" ref="Q516:S516" si="3177">IFERROR(P516/$G516," ")</f>
        <v xml:space="preserve"> </v>
      </c>
      <c r="R516" s="95" t="s">
        <v>781</v>
      </c>
      <c r="S516" s="204" t="str">
        <f t="shared" si="3177"/>
        <v xml:space="preserve"> </v>
      </c>
      <c r="T516" s="95" t="s">
        <v>781</v>
      </c>
      <c r="U516" s="204" t="str">
        <f t="shared" ref="U516:W516" si="3178">IFERROR(T516/$G516," ")</f>
        <v xml:space="preserve"> </v>
      </c>
      <c r="V516" s="95" t="s">
        <v>781</v>
      </c>
      <c r="W516" s="204" t="str">
        <f t="shared" si="3178"/>
        <v xml:space="preserve"> </v>
      </c>
      <c r="X516" s="95" t="s">
        <v>781</v>
      </c>
      <c r="Y516" s="204" t="str">
        <f t="shared" ref="Y516:AA516" si="3179">IFERROR(X516/$G516," ")</f>
        <v xml:space="preserve"> </v>
      </c>
      <c r="Z516" s="95" t="s">
        <v>781</v>
      </c>
      <c r="AA516" s="204" t="str">
        <f t="shared" si="3179"/>
        <v xml:space="preserve"> </v>
      </c>
      <c r="AB516" s="95" t="s">
        <v>781</v>
      </c>
      <c r="AC516" s="204" t="str">
        <f t="shared" ref="AC516:AE516" si="3180">IFERROR(AB516/$G516," ")</f>
        <v xml:space="preserve"> </v>
      </c>
      <c r="AD516" s="95" t="s">
        <v>781</v>
      </c>
      <c r="AE516" s="204" t="str">
        <f t="shared" si="3180"/>
        <v xml:space="preserve"> </v>
      </c>
      <c r="AF516" s="95" t="s">
        <v>781</v>
      </c>
      <c r="AG516" s="204" t="str">
        <f t="shared" ref="AG516:AI516" si="3181">IFERROR(AF516/$G516," ")</f>
        <v xml:space="preserve"> </v>
      </c>
      <c r="AH516" s="95" t="s">
        <v>781</v>
      </c>
      <c r="AI516" s="204" t="str">
        <f t="shared" si="3181"/>
        <v xml:space="preserve"> </v>
      </c>
      <c r="AJ516" s="95" t="s">
        <v>781</v>
      </c>
      <c r="AK516" s="204" t="str">
        <f t="shared" ref="AK516:AM516" si="3182">IFERROR(AJ516/$G516," ")</f>
        <v xml:space="preserve"> </v>
      </c>
      <c r="AL516" s="95" t="s">
        <v>781</v>
      </c>
      <c r="AM516" s="204" t="str">
        <f t="shared" si="3182"/>
        <v xml:space="preserve"> </v>
      </c>
      <c r="AN516" s="95"/>
      <c r="AO516" s="94" t="str">
        <f t="shared" si="2816"/>
        <v xml:space="preserve"> </v>
      </c>
      <c r="AP516" s="94" t="str">
        <f t="shared" si="2806"/>
        <v xml:space="preserve"> </v>
      </c>
      <c r="AQ516" s="94" t="str">
        <f t="shared" si="2807"/>
        <v xml:space="preserve"> </v>
      </c>
      <c r="AR516" s="94" t="str">
        <f t="shared" si="3020"/>
        <v xml:space="preserve"> </v>
      </c>
      <c r="AS516" s="94" t="str">
        <f t="shared" si="2818"/>
        <v xml:space="preserve"> </v>
      </c>
      <c r="AT516" s="94" t="str">
        <f t="shared" si="2819"/>
        <v xml:space="preserve"> </v>
      </c>
      <c r="AU516" s="94" t="str">
        <f t="shared" si="2820"/>
        <v xml:space="preserve"> </v>
      </c>
      <c r="AV516" s="94" t="str">
        <f t="shared" si="2821"/>
        <v xml:space="preserve"> </v>
      </c>
      <c r="AW516" s="94" t="str">
        <f t="shared" si="2822"/>
        <v xml:space="preserve"> </v>
      </c>
      <c r="AX516" s="94" t="str">
        <f t="shared" si="2823"/>
        <v xml:space="preserve"> </v>
      </c>
      <c r="AY516" s="94" t="str">
        <f t="shared" si="2824"/>
        <v xml:space="preserve"> </v>
      </c>
      <c r="AZ516" s="94" t="str">
        <f t="shared" si="2825"/>
        <v xml:space="preserve"> </v>
      </c>
      <c r="BA516" s="94" t="str">
        <f t="shared" si="2826"/>
        <v xml:space="preserve"> </v>
      </c>
      <c r="BB516" s="94" t="str">
        <f t="shared" si="2827"/>
        <v xml:space="preserve"> </v>
      </c>
    </row>
    <row r="517" spans="1:54" x14ac:dyDescent="0.25">
      <c r="A517" s="80">
        <v>205</v>
      </c>
      <c r="B517" s="95" t="s">
        <v>2836</v>
      </c>
      <c r="C517" s="201" t="s">
        <v>27</v>
      </c>
      <c r="D517" s="80" t="s">
        <v>20</v>
      </c>
      <c r="E517" s="94">
        <f>IFERROR(VLOOKUP(A517,Estimate!A:Q,17,FALSE)," ")</f>
        <v>10350</v>
      </c>
      <c r="F517" s="202">
        <v>1</v>
      </c>
      <c r="G517" s="202">
        <v>1</v>
      </c>
      <c r="H517" s="203">
        <v>13001.96</v>
      </c>
      <c r="I517" s="203">
        <v>13001.96</v>
      </c>
      <c r="J517" s="203">
        <v>13001.96</v>
      </c>
      <c r="K517" s="203"/>
      <c r="L517" s="202"/>
      <c r="M517" s="204">
        <f t="shared" si="2809"/>
        <v>0</v>
      </c>
      <c r="N517" s="95"/>
      <c r="O517" s="204">
        <f t="shared" si="2809"/>
        <v>0</v>
      </c>
      <c r="P517" s="95"/>
      <c r="Q517" s="204">
        <f t="shared" ref="Q517:S517" si="3183">IFERROR(P517/$G517," ")</f>
        <v>0</v>
      </c>
      <c r="R517" s="95"/>
      <c r="S517" s="204">
        <f t="shared" si="3183"/>
        <v>0</v>
      </c>
      <c r="T517" s="95">
        <v>0.1</v>
      </c>
      <c r="U517" s="204">
        <f t="shared" ref="U517:W517" si="3184">IFERROR(T517/$G517," ")</f>
        <v>0.1</v>
      </c>
      <c r="V517" s="95">
        <v>0.1</v>
      </c>
      <c r="W517" s="204">
        <f t="shared" si="3184"/>
        <v>0.1</v>
      </c>
      <c r="X517" s="95">
        <v>0.8</v>
      </c>
      <c r="Y517" s="204">
        <f t="shared" ref="Y517:AA517" si="3185">IFERROR(X517/$G517," ")</f>
        <v>0.8</v>
      </c>
      <c r="Z517" s="95">
        <v>0.9</v>
      </c>
      <c r="AA517" s="204">
        <f t="shared" si="3185"/>
        <v>0.9</v>
      </c>
      <c r="AB517" s="95">
        <v>0.95</v>
      </c>
      <c r="AC517" s="204">
        <f t="shared" ref="AC517:AE517" si="3186">IFERROR(AB517/$G517," ")</f>
        <v>0.95</v>
      </c>
      <c r="AD517" s="95">
        <v>1</v>
      </c>
      <c r="AE517" s="204">
        <f t="shared" si="3186"/>
        <v>1</v>
      </c>
      <c r="AF517" s="95">
        <v>1</v>
      </c>
      <c r="AG517" s="204">
        <f t="shared" ref="AG517:AI517" si="3187">IFERROR(AF517/$G517," ")</f>
        <v>1</v>
      </c>
      <c r="AH517" s="95">
        <v>1</v>
      </c>
      <c r="AI517" s="204">
        <f t="shared" si="3187"/>
        <v>1</v>
      </c>
      <c r="AJ517" s="95">
        <v>1</v>
      </c>
      <c r="AK517" s="204">
        <f t="shared" ref="AK517:AM517" si="3188">IFERROR(AJ517/$G517," ")</f>
        <v>1</v>
      </c>
      <c r="AL517" s="95">
        <v>1</v>
      </c>
      <c r="AM517" s="204">
        <f t="shared" si="3188"/>
        <v>1</v>
      </c>
      <c r="AN517" s="95"/>
      <c r="AO517" s="94">
        <f t="shared" si="2816"/>
        <v>0</v>
      </c>
      <c r="AP517" s="94">
        <f t="shared" si="2806"/>
        <v>0</v>
      </c>
      <c r="AQ517" s="94">
        <f t="shared" si="2807"/>
        <v>0</v>
      </c>
      <c r="AR517" s="94">
        <f t="shared" si="3020"/>
        <v>0</v>
      </c>
      <c r="AS517" s="94">
        <f t="shared" si="2818"/>
        <v>1300.1959999999999</v>
      </c>
      <c r="AT517" s="94">
        <f t="shared" si="2819"/>
        <v>1300.1959999999999</v>
      </c>
      <c r="AU517" s="94">
        <f t="shared" si="2820"/>
        <v>10401.567999999999</v>
      </c>
      <c r="AV517" s="94">
        <f t="shared" si="2821"/>
        <v>11701.763999999999</v>
      </c>
      <c r="AW517" s="94">
        <f t="shared" si="2822"/>
        <v>12351.861999999999</v>
      </c>
      <c r="AX517" s="94">
        <f t="shared" si="2823"/>
        <v>13001.96</v>
      </c>
      <c r="AY517" s="94">
        <f t="shared" si="2824"/>
        <v>13001.96</v>
      </c>
      <c r="AZ517" s="94">
        <f t="shared" si="2825"/>
        <v>13001.96</v>
      </c>
      <c r="BA517" s="94">
        <f t="shared" si="2826"/>
        <v>13001.96</v>
      </c>
      <c r="BB517" s="94">
        <f t="shared" si="2827"/>
        <v>13001.96</v>
      </c>
    </row>
    <row r="518" spans="1:54" x14ac:dyDescent="0.25">
      <c r="A518" s="80"/>
      <c r="B518" s="95" t="s">
        <v>2417</v>
      </c>
      <c r="C518" s="201" t="s">
        <v>2837</v>
      </c>
      <c r="D518" s="80" t="s">
        <v>783</v>
      </c>
      <c r="E518" s="94" t="str">
        <f>IFERROR(VLOOKUP(A518,Estimate!A:Q,17,FALSE)," ")</f>
        <v xml:space="preserve"> </v>
      </c>
      <c r="F518" s="202" t="s">
        <v>781</v>
      </c>
      <c r="G518" s="202" t="s">
        <v>781</v>
      </c>
      <c r="H518" s="203" t="s">
        <v>781</v>
      </c>
      <c r="I518" s="203" t="s">
        <v>781</v>
      </c>
      <c r="J518" s="203" t="s">
        <v>781</v>
      </c>
      <c r="K518" s="203"/>
      <c r="L518" s="202" t="s">
        <v>781</v>
      </c>
      <c r="M518" s="204" t="str">
        <f t="shared" si="2809"/>
        <v xml:space="preserve"> </v>
      </c>
      <c r="N518" s="95" t="s">
        <v>781</v>
      </c>
      <c r="O518" s="204" t="str">
        <f t="shared" si="2809"/>
        <v xml:space="preserve"> </v>
      </c>
      <c r="P518" s="95" t="s">
        <v>781</v>
      </c>
      <c r="Q518" s="204" t="str">
        <f t="shared" ref="Q518:S518" si="3189">IFERROR(P518/$G518," ")</f>
        <v xml:space="preserve"> </v>
      </c>
      <c r="R518" s="95" t="s">
        <v>781</v>
      </c>
      <c r="S518" s="204" t="str">
        <f t="shared" si="3189"/>
        <v xml:space="preserve"> </v>
      </c>
      <c r="T518" s="95" t="s">
        <v>781</v>
      </c>
      <c r="U518" s="204" t="str">
        <f t="shared" ref="U518:W518" si="3190">IFERROR(T518/$G518," ")</f>
        <v xml:space="preserve"> </v>
      </c>
      <c r="V518" s="95" t="s">
        <v>781</v>
      </c>
      <c r="W518" s="204" t="str">
        <f t="shared" si="3190"/>
        <v xml:space="preserve"> </v>
      </c>
      <c r="X518" s="95" t="s">
        <v>781</v>
      </c>
      <c r="Y518" s="204" t="str">
        <f t="shared" ref="Y518:AA518" si="3191">IFERROR(X518/$G518," ")</f>
        <v xml:space="preserve"> </v>
      </c>
      <c r="Z518" s="95" t="s">
        <v>781</v>
      </c>
      <c r="AA518" s="204" t="str">
        <f t="shared" si="3191"/>
        <v xml:space="preserve"> </v>
      </c>
      <c r="AB518" s="95" t="s">
        <v>781</v>
      </c>
      <c r="AC518" s="204" t="str">
        <f t="shared" ref="AC518:AE518" si="3192">IFERROR(AB518/$G518," ")</f>
        <v xml:space="preserve"> </v>
      </c>
      <c r="AD518" s="95" t="s">
        <v>781</v>
      </c>
      <c r="AE518" s="204" t="str">
        <f t="shared" si="3192"/>
        <v xml:space="preserve"> </v>
      </c>
      <c r="AF518" s="95" t="s">
        <v>781</v>
      </c>
      <c r="AG518" s="204" t="str">
        <f t="shared" ref="AG518:AI518" si="3193">IFERROR(AF518/$G518," ")</f>
        <v xml:space="preserve"> </v>
      </c>
      <c r="AH518" s="95" t="s">
        <v>781</v>
      </c>
      <c r="AI518" s="204" t="str">
        <f t="shared" si="3193"/>
        <v xml:space="preserve"> </v>
      </c>
      <c r="AJ518" s="95" t="s">
        <v>781</v>
      </c>
      <c r="AK518" s="204" t="str">
        <f t="shared" ref="AK518:AM518" si="3194">IFERROR(AJ518/$G518," ")</f>
        <v xml:space="preserve"> </v>
      </c>
      <c r="AL518" s="95" t="s">
        <v>781</v>
      </c>
      <c r="AM518" s="204" t="str">
        <f t="shared" si="3194"/>
        <v xml:space="preserve"> </v>
      </c>
      <c r="AN518" s="95"/>
      <c r="AO518" s="94" t="str">
        <f t="shared" si="2816"/>
        <v xml:space="preserve"> </v>
      </c>
      <c r="AP518" s="94" t="str">
        <f t="shared" si="2806"/>
        <v xml:space="preserve"> </v>
      </c>
      <c r="AQ518" s="94" t="str">
        <f t="shared" si="2807"/>
        <v xml:space="preserve"> </v>
      </c>
      <c r="AR518" s="94" t="str">
        <f t="shared" si="3020"/>
        <v xml:space="preserve"> </v>
      </c>
      <c r="AS518" s="94" t="str">
        <f t="shared" si="2818"/>
        <v xml:space="preserve"> </v>
      </c>
      <c r="AT518" s="94" t="str">
        <f t="shared" si="2819"/>
        <v xml:space="preserve"> </v>
      </c>
      <c r="AU518" s="94" t="str">
        <f t="shared" si="2820"/>
        <v xml:space="preserve"> </v>
      </c>
      <c r="AV518" s="94" t="str">
        <f t="shared" si="2821"/>
        <v xml:space="preserve"> </v>
      </c>
      <c r="AW518" s="94" t="str">
        <f t="shared" si="2822"/>
        <v xml:space="preserve"> </v>
      </c>
      <c r="AX518" s="94" t="str">
        <f t="shared" si="2823"/>
        <v xml:space="preserve"> </v>
      </c>
      <c r="AY518" s="94" t="str">
        <f t="shared" si="2824"/>
        <v xml:space="preserve"> </v>
      </c>
      <c r="AZ518" s="94" t="str">
        <f t="shared" si="2825"/>
        <v xml:space="preserve"> </v>
      </c>
      <c r="BA518" s="94" t="str">
        <f t="shared" si="2826"/>
        <v xml:space="preserve"> </v>
      </c>
      <c r="BB518" s="94" t="str">
        <f t="shared" si="2827"/>
        <v xml:space="preserve"> </v>
      </c>
    </row>
    <row r="519" spans="1:54" x14ac:dyDescent="0.25">
      <c r="A519" s="80"/>
      <c r="B519" s="95" t="s">
        <v>2417</v>
      </c>
      <c r="C519" s="201" t="s">
        <v>35</v>
      </c>
      <c r="D519" s="80" t="s">
        <v>783</v>
      </c>
      <c r="E519" s="94" t="str">
        <f>IFERROR(VLOOKUP(A519,Estimate!A:Q,17,FALSE)," ")</f>
        <v xml:space="preserve"> </v>
      </c>
      <c r="F519" s="202" t="s">
        <v>781</v>
      </c>
      <c r="G519" s="202" t="s">
        <v>781</v>
      </c>
      <c r="H519" s="203" t="s">
        <v>781</v>
      </c>
      <c r="I519" s="203" t="s">
        <v>781</v>
      </c>
      <c r="J519" s="203" t="s">
        <v>781</v>
      </c>
      <c r="K519" s="203"/>
      <c r="L519" s="202" t="s">
        <v>781</v>
      </c>
      <c r="M519" s="204" t="str">
        <f t="shared" si="2809"/>
        <v xml:space="preserve"> </v>
      </c>
      <c r="N519" s="95" t="s">
        <v>781</v>
      </c>
      <c r="O519" s="204" t="str">
        <f t="shared" si="2809"/>
        <v xml:space="preserve"> </v>
      </c>
      <c r="P519" s="95" t="s">
        <v>781</v>
      </c>
      <c r="Q519" s="204" t="str">
        <f t="shared" ref="Q519:S519" si="3195">IFERROR(P519/$G519," ")</f>
        <v xml:space="preserve"> </v>
      </c>
      <c r="R519" s="95" t="s">
        <v>781</v>
      </c>
      <c r="S519" s="204" t="str">
        <f t="shared" si="3195"/>
        <v xml:space="preserve"> </v>
      </c>
      <c r="T519" s="95" t="s">
        <v>781</v>
      </c>
      <c r="U519" s="204" t="str">
        <f t="shared" ref="U519:W519" si="3196">IFERROR(T519/$G519," ")</f>
        <v xml:space="preserve"> </v>
      </c>
      <c r="V519" s="95" t="s">
        <v>781</v>
      </c>
      <c r="W519" s="204" t="str">
        <f t="shared" si="3196"/>
        <v xml:space="preserve"> </v>
      </c>
      <c r="X519" s="95" t="s">
        <v>781</v>
      </c>
      <c r="Y519" s="204" t="str">
        <f t="shared" ref="Y519:AA519" si="3197">IFERROR(X519/$G519," ")</f>
        <v xml:space="preserve"> </v>
      </c>
      <c r="Z519" s="95" t="s">
        <v>781</v>
      </c>
      <c r="AA519" s="204" t="str">
        <f t="shared" si="3197"/>
        <v xml:space="preserve"> </v>
      </c>
      <c r="AB519" s="95" t="s">
        <v>781</v>
      </c>
      <c r="AC519" s="204" t="str">
        <f t="shared" ref="AC519:AE519" si="3198">IFERROR(AB519/$G519," ")</f>
        <v xml:space="preserve"> </v>
      </c>
      <c r="AD519" s="95" t="s">
        <v>781</v>
      </c>
      <c r="AE519" s="204" t="str">
        <f t="shared" si="3198"/>
        <v xml:space="preserve"> </v>
      </c>
      <c r="AF519" s="95" t="s">
        <v>781</v>
      </c>
      <c r="AG519" s="204" t="str">
        <f t="shared" ref="AG519:AI519" si="3199">IFERROR(AF519/$G519," ")</f>
        <v xml:space="preserve"> </v>
      </c>
      <c r="AH519" s="95" t="s">
        <v>781</v>
      </c>
      <c r="AI519" s="204" t="str">
        <f t="shared" si="3199"/>
        <v xml:space="preserve"> </v>
      </c>
      <c r="AJ519" s="95" t="s">
        <v>781</v>
      </c>
      <c r="AK519" s="204" t="str">
        <f t="shared" ref="AK519:AM519" si="3200">IFERROR(AJ519/$G519," ")</f>
        <v xml:space="preserve"> </v>
      </c>
      <c r="AL519" s="95" t="s">
        <v>781</v>
      </c>
      <c r="AM519" s="204" t="str">
        <f t="shared" si="3200"/>
        <v xml:space="preserve"> </v>
      </c>
      <c r="AN519" s="95"/>
      <c r="AO519" s="94" t="str">
        <f t="shared" si="2816"/>
        <v xml:space="preserve"> </v>
      </c>
      <c r="AP519" s="94" t="str">
        <f t="shared" si="2806"/>
        <v xml:space="preserve"> </v>
      </c>
      <c r="AQ519" s="94" t="str">
        <f t="shared" si="2807"/>
        <v xml:space="preserve"> </v>
      </c>
      <c r="AR519" s="94" t="str">
        <f t="shared" si="3020"/>
        <v xml:space="preserve"> </v>
      </c>
      <c r="AS519" s="94" t="str">
        <f t="shared" si="2818"/>
        <v xml:space="preserve"> </v>
      </c>
      <c r="AT519" s="94" t="str">
        <f t="shared" si="2819"/>
        <v xml:space="preserve"> </v>
      </c>
      <c r="AU519" s="94" t="str">
        <f t="shared" si="2820"/>
        <v xml:space="preserve"> </v>
      </c>
      <c r="AV519" s="94" t="str">
        <f t="shared" si="2821"/>
        <v xml:space="preserve"> </v>
      </c>
      <c r="AW519" s="94" t="str">
        <f t="shared" si="2822"/>
        <v xml:space="preserve"> </v>
      </c>
      <c r="AX519" s="94" t="str">
        <f t="shared" si="2823"/>
        <v xml:space="preserve"> </v>
      </c>
      <c r="AY519" s="94" t="str">
        <f t="shared" si="2824"/>
        <v xml:space="preserve"> </v>
      </c>
      <c r="AZ519" s="94" t="str">
        <f t="shared" si="2825"/>
        <v xml:space="preserve"> </v>
      </c>
      <c r="BA519" s="94" t="str">
        <f t="shared" si="2826"/>
        <v xml:space="preserve"> </v>
      </c>
      <c r="BB519" s="94" t="str">
        <f t="shared" si="2827"/>
        <v xml:space="preserve"> </v>
      </c>
    </row>
    <row r="520" spans="1:54" x14ac:dyDescent="0.25">
      <c r="A520" s="80"/>
      <c r="B520" s="95" t="s">
        <v>2838</v>
      </c>
      <c r="C520" s="201" t="s">
        <v>36</v>
      </c>
      <c r="D520" s="80" t="s">
        <v>783</v>
      </c>
      <c r="E520" s="94" t="str">
        <f>IFERROR(VLOOKUP(A520,Estimate!A:Q,17,FALSE)," ")</f>
        <v xml:space="preserve"> </v>
      </c>
      <c r="F520" s="202" t="s">
        <v>781</v>
      </c>
      <c r="G520" s="202" t="s">
        <v>781</v>
      </c>
      <c r="H520" s="203" t="s">
        <v>781</v>
      </c>
      <c r="I520" s="203" t="s">
        <v>781</v>
      </c>
      <c r="J520" s="203" t="s">
        <v>781</v>
      </c>
      <c r="K520" s="203"/>
      <c r="L520" s="202" t="s">
        <v>781</v>
      </c>
      <c r="M520" s="204" t="str">
        <f t="shared" si="2809"/>
        <v xml:space="preserve"> </v>
      </c>
      <c r="N520" s="95" t="s">
        <v>781</v>
      </c>
      <c r="O520" s="204" t="str">
        <f t="shared" si="2809"/>
        <v xml:space="preserve"> </v>
      </c>
      <c r="P520" s="95" t="s">
        <v>781</v>
      </c>
      <c r="Q520" s="204" t="str">
        <f t="shared" ref="Q520:S520" si="3201">IFERROR(P520/$G520," ")</f>
        <v xml:space="preserve"> </v>
      </c>
      <c r="R520" s="95" t="s">
        <v>781</v>
      </c>
      <c r="S520" s="204" t="str">
        <f t="shared" si="3201"/>
        <v xml:space="preserve"> </v>
      </c>
      <c r="T520" s="95" t="s">
        <v>781</v>
      </c>
      <c r="U520" s="204" t="str">
        <f t="shared" ref="U520:W520" si="3202">IFERROR(T520/$G520," ")</f>
        <v xml:space="preserve"> </v>
      </c>
      <c r="V520" s="95" t="s">
        <v>781</v>
      </c>
      <c r="W520" s="204" t="str">
        <f t="shared" si="3202"/>
        <v xml:space="preserve"> </v>
      </c>
      <c r="X520" s="95" t="s">
        <v>781</v>
      </c>
      <c r="Y520" s="204" t="str">
        <f t="shared" ref="Y520:AA520" si="3203">IFERROR(X520/$G520," ")</f>
        <v xml:space="preserve"> </v>
      </c>
      <c r="Z520" s="95" t="s">
        <v>781</v>
      </c>
      <c r="AA520" s="204" t="str">
        <f t="shared" si="3203"/>
        <v xml:space="preserve"> </v>
      </c>
      <c r="AB520" s="95" t="s">
        <v>781</v>
      </c>
      <c r="AC520" s="204" t="str">
        <f t="shared" ref="AC520:AE520" si="3204">IFERROR(AB520/$G520," ")</f>
        <v xml:space="preserve"> </v>
      </c>
      <c r="AD520" s="95" t="s">
        <v>781</v>
      </c>
      <c r="AE520" s="204" t="str">
        <f t="shared" si="3204"/>
        <v xml:space="preserve"> </v>
      </c>
      <c r="AF520" s="95" t="s">
        <v>781</v>
      </c>
      <c r="AG520" s="204" t="str">
        <f t="shared" ref="AG520:AI520" si="3205">IFERROR(AF520/$G520," ")</f>
        <v xml:space="preserve"> </v>
      </c>
      <c r="AH520" s="95" t="s">
        <v>781</v>
      </c>
      <c r="AI520" s="204" t="str">
        <f t="shared" si="3205"/>
        <v xml:space="preserve"> </v>
      </c>
      <c r="AJ520" s="95" t="s">
        <v>781</v>
      </c>
      <c r="AK520" s="204" t="str">
        <f t="shared" ref="AK520:AM520" si="3206">IFERROR(AJ520/$G520," ")</f>
        <v xml:space="preserve"> </v>
      </c>
      <c r="AL520" s="95" t="s">
        <v>781</v>
      </c>
      <c r="AM520" s="204" t="str">
        <f t="shared" si="3206"/>
        <v xml:space="preserve"> </v>
      </c>
      <c r="AN520" s="95"/>
      <c r="AO520" s="94" t="str">
        <f t="shared" si="2816"/>
        <v xml:space="preserve"> </v>
      </c>
      <c r="AP520" s="94" t="str">
        <f t="shared" ref="AP520:AP588" si="3207">IFERROR(O520*$J520," ")</f>
        <v xml:space="preserve"> </v>
      </c>
      <c r="AQ520" s="94" t="str">
        <f t="shared" ref="AQ520:AQ588" si="3208">IFERROR(Q520*$J520," ")</f>
        <v xml:space="preserve"> </v>
      </c>
      <c r="AR520" s="94" t="str">
        <f t="shared" ref="AR520" si="3209">IFERROR(S520*$J520," ")</f>
        <v xml:space="preserve"> </v>
      </c>
      <c r="AS520" s="94" t="str">
        <f t="shared" si="2818"/>
        <v xml:space="preserve"> </v>
      </c>
      <c r="AT520" s="94" t="str">
        <f t="shared" si="2819"/>
        <v xml:space="preserve"> </v>
      </c>
      <c r="AU520" s="94" t="str">
        <f t="shared" si="2820"/>
        <v xml:space="preserve"> </v>
      </c>
      <c r="AV520" s="94" t="str">
        <f t="shared" si="2821"/>
        <v xml:space="preserve"> </v>
      </c>
      <c r="AW520" s="94" t="str">
        <f t="shared" si="2822"/>
        <v xml:space="preserve"> </v>
      </c>
      <c r="AX520" s="94" t="str">
        <f t="shared" si="2823"/>
        <v xml:space="preserve"> </v>
      </c>
      <c r="AY520" s="94" t="str">
        <f t="shared" si="2824"/>
        <v xml:space="preserve"> </v>
      </c>
      <c r="AZ520" s="94" t="str">
        <f t="shared" si="2825"/>
        <v xml:space="preserve"> </v>
      </c>
      <c r="BA520" s="94" t="str">
        <f t="shared" si="2826"/>
        <v xml:space="preserve"> </v>
      </c>
      <c r="BB520" s="94" t="str">
        <f t="shared" si="2827"/>
        <v xml:space="preserve"> </v>
      </c>
    </row>
    <row r="521" spans="1:54" x14ac:dyDescent="0.25">
      <c r="A521" s="80"/>
      <c r="B521" s="95" t="s">
        <v>2839</v>
      </c>
      <c r="C521" s="201" t="s">
        <v>38</v>
      </c>
      <c r="D521" s="80" t="s">
        <v>20</v>
      </c>
      <c r="E521" s="94" t="str">
        <f>IFERROR(VLOOKUP(A521,Estimate!A:Q,17,FALSE)," ")</f>
        <v xml:space="preserve"> </v>
      </c>
      <c r="F521" s="202">
        <v>1</v>
      </c>
      <c r="G521" s="202">
        <v>1</v>
      </c>
      <c r="H521" s="203"/>
      <c r="I521" s="203"/>
      <c r="J521" s="203"/>
      <c r="K521" s="203"/>
      <c r="L521" s="202"/>
      <c r="M521" s="204">
        <f t="shared" ref="M521:O584" si="3210">IFERROR(L521/$G521," ")</f>
        <v>0</v>
      </c>
      <c r="N521" s="95"/>
      <c r="O521" s="204">
        <f t="shared" si="3210"/>
        <v>0</v>
      </c>
      <c r="P521" s="95"/>
      <c r="Q521" s="204">
        <f t="shared" ref="Q521:S521" si="3211">IFERROR(P521/$G521," ")</f>
        <v>0</v>
      </c>
      <c r="R521" s="95"/>
      <c r="S521" s="204">
        <f t="shared" si="3211"/>
        <v>0</v>
      </c>
      <c r="T521" s="95"/>
      <c r="U521" s="204">
        <f t="shared" ref="U521:W521" si="3212">IFERROR(T521/$G521," ")</f>
        <v>0</v>
      </c>
      <c r="V521" s="95"/>
      <c r="W521" s="204">
        <f t="shared" si="3212"/>
        <v>0</v>
      </c>
      <c r="X521" s="95"/>
      <c r="Y521" s="204">
        <f t="shared" ref="Y521:AA521" si="3213">IFERROR(X521/$G521," ")</f>
        <v>0</v>
      </c>
      <c r="Z521" s="95"/>
      <c r="AA521" s="204">
        <f t="shared" si="3213"/>
        <v>0</v>
      </c>
      <c r="AB521" s="95"/>
      <c r="AC521" s="204">
        <f t="shared" ref="AC521:AE521" si="3214">IFERROR(AB521/$G521," ")</f>
        <v>0</v>
      </c>
      <c r="AD521" s="95"/>
      <c r="AE521" s="204">
        <f t="shared" si="3214"/>
        <v>0</v>
      </c>
      <c r="AF521" s="95"/>
      <c r="AG521" s="204">
        <f t="shared" ref="AG521:AI521" si="3215">IFERROR(AF521/$G521," ")</f>
        <v>0</v>
      </c>
      <c r="AH521" s="95"/>
      <c r="AI521" s="204">
        <f t="shared" si="3215"/>
        <v>0</v>
      </c>
      <c r="AJ521" s="95"/>
      <c r="AK521" s="204">
        <f t="shared" ref="AK521:AM521" si="3216">IFERROR(AJ521/$G521," ")</f>
        <v>0</v>
      </c>
      <c r="AL521" s="95"/>
      <c r="AM521" s="204">
        <f t="shared" si="3216"/>
        <v>0</v>
      </c>
      <c r="AN521" s="95"/>
      <c r="AO521" s="94">
        <f t="shared" ref="AO521:AO584" si="3217">IFERROR(M521*$J521," ")</f>
        <v>0</v>
      </c>
      <c r="AP521" s="94">
        <f t="shared" si="3207"/>
        <v>0</v>
      </c>
      <c r="AQ521" s="94">
        <f t="shared" si="3208"/>
        <v>0</v>
      </c>
      <c r="AR521" s="94">
        <f t="shared" ref="AR521:AR552" si="3218">IFERROR(S521*$J521," ")</f>
        <v>0</v>
      </c>
      <c r="AS521" s="94">
        <f t="shared" ref="AS521:AS584" si="3219">IFERROR(U521*$J521," ")</f>
        <v>0</v>
      </c>
      <c r="AT521" s="94">
        <f t="shared" ref="AT521:AT584" si="3220">IFERROR(W521*$J521," ")</f>
        <v>0</v>
      </c>
      <c r="AU521" s="94">
        <f t="shared" ref="AU521:AU584" si="3221">IFERROR(Y521*$J521," ")</f>
        <v>0</v>
      </c>
      <c r="AV521" s="94">
        <f t="shared" ref="AV521:AV584" si="3222">IFERROR(AA521*$J521," ")</f>
        <v>0</v>
      </c>
      <c r="AW521" s="94">
        <f t="shared" ref="AW521:AW584" si="3223">IFERROR(AC521*$J521," ")</f>
        <v>0</v>
      </c>
      <c r="AX521" s="94">
        <f t="shared" ref="AX521:AX584" si="3224">IFERROR(AE521*$J521," ")</f>
        <v>0</v>
      </c>
      <c r="AY521" s="94">
        <f t="shared" ref="AY521:AY584" si="3225">IFERROR(AG521*$J521," ")</f>
        <v>0</v>
      </c>
      <c r="AZ521" s="94">
        <f t="shared" ref="AZ521:AZ584" si="3226">IFERROR(AI521*$J521," ")</f>
        <v>0</v>
      </c>
      <c r="BA521" s="94">
        <f t="shared" ref="BA521:BA584" si="3227">IFERROR(AK521*$J521," ")</f>
        <v>0</v>
      </c>
      <c r="BB521" s="94">
        <f t="shared" ref="BB521:BB584" si="3228">IFERROR(AM521*$J521," ")</f>
        <v>0</v>
      </c>
    </row>
    <row r="522" spans="1:54" x14ac:dyDescent="0.25">
      <c r="A522" s="80"/>
      <c r="B522" s="95" t="s">
        <v>2417</v>
      </c>
      <c r="C522" s="201" t="s">
        <v>2837</v>
      </c>
      <c r="D522" s="80" t="s">
        <v>783</v>
      </c>
      <c r="E522" s="94" t="str">
        <f>IFERROR(VLOOKUP(A522,Estimate!A:Q,17,FALSE)," ")</f>
        <v xml:space="preserve"> </v>
      </c>
      <c r="F522" s="202" t="s">
        <v>781</v>
      </c>
      <c r="G522" s="202" t="s">
        <v>781</v>
      </c>
      <c r="H522" s="203" t="s">
        <v>781</v>
      </c>
      <c r="I522" s="203" t="s">
        <v>781</v>
      </c>
      <c r="J522" s="203" t="s">
        <v>781</v>
      </c>
      <c r="K522" s="203"/>
      <c r="L522" s="202" t="s">
        <v>781</v>
      </c>
      <c r="M522" s="204" t="str">
        <f t="shared" si="3210"/>
        <v xml:space="preserve"> </v>
      </c>
      <c r="N522" s="95" t="s">
        <v>781</v>
      </c>
      <c r="O522" s="204" t="str">
        <f t="shared" si="3210"/>
        <v xml:space="preserve"> </v>
      </c>
      <c r="P522" s="95" t="s">
        <v>781</v>
      </c>
      <c r="Q522" s="204" t="str">
        <f t="shared" ref="Q522:S522" si="3229">IFERROR(P522/$G522," ")</f>
        <v xml:space="preserve"> </v>
      </c>
      <c r="R522" s="95" t="s">
        <v>781</v>
      </c>
      <c r="S522" s="204" t="str">
        <f t="shared" si="3229"/>
        <v xml:space="preserve"> </v>
      </c>
      <c r="T522" s="95" t="s">
        <v>781</v>
      </c>
      <c r="U522" s="204" t="str">
        <f t="shared" ref="U522:W522" si="3230">IFERROR(T522/$G522," ")</f>
        <v xml:space="preserve"> </v>
      </c>
      <c r="V522" s="95" t="s">
        <v>781</v>
      </c>
      <c r="W522" s="204" t="str">
        <f t="shared" si="3230"/>
        <v xml:space="preserve"> </v>
      </c>
      <c r="X522" s="95" t="s">
        <v>781</v>
      </c>
      <c r="Y522" s="204" t="str">
        <f t="shared" ref="Y522:AA522" si="3231">IFERROR(X522/$G522," ")</f>
        <v xml:space="preserve"> </v>
      </c>
      <c r="Z522" s="95" t="s">
        <v>781</v>
      </c>
      <c r="AA522" s="204" t="str">
        <f t="shared" si="3231"/>
        <v xml:space="preserve"> </v>
      </c>
      <c r="AB522" s="95" t="s">
        <v>781</v>
      </c>
      <c r="AC522" s="204" t="str">
        <f t="shared" ref="AC522:AE522" si="3232">IFERROR(AB522/$G522," ")</f>
        <v xml:space="preserve"> </v>
      </c>
      <c r="AD522" s="95" t="s">
        <v>781</v>
      </c>
      <c r="AE522" s="204" t="str">
        <f t="shared" si="3232"/>
        <v xml:space="preserve"> </v>
      </c>
      <c r="AF522" s="95" t="s">
        <v>781</v>
      </c>
      <c r="AG522" s="204" t="str">
        <f t="shared" ref="AG522:AI522" si="3233">IFERROR(AF522/$G522," ")</f>
        <v xml:space="preserve"> </v>
      </c>
      <c r="AH522" s="95" t="s">
        <v>781</v>
      </c>
      <c r="AI522" s="204" t="str">
        <f t="shared" si="3233"/>
        <v xml:space="preserve"> </v>
      </c>
      <c r="AJ522" s="95" t="s">
        <v>781</v>
      </c>
      <c r="AK522" s="204" t="str">
        <f t="shared" ref="AK522:AM522" si="3234">IFERROR(AJ522/$G522," ")</f>
        <v xml:space="preserve"> </v>
      </c>
      <c r="AL522" s="95" t="s">
        <v>781</v>
      </c>
      <c r="AM522" s="204" t="str">
        <f t="shared" si="3234"/>
        <v xml:space="preserve"> </v>
      </c>
      <c r="AN522" s="95"/>
      <c r="AO522" s="94" t="str">
        <f t="shared" si="3217"/>
        <v xml:space="preserve"> </v>
      </c>
      <c r="AP522" s="94" t="str">
        <f t="shared" si="3207"/>
        <v xml:space="preserve"> </v>
      </c>
      <c r="AQ522" s="94" t="str">
        <f t="shared" si="3208"/>
        <v xml:space="preserve"> </v>
      </c>
      <c r="AR522" s="94" t="str">
        <f t="shared" si="3218"/>
        <v xml:space="preserve"> </v>
      </c>
      <c r="AS522" s="94" t="str">
        <f t="shared" si="3219"/>
        <v xml:space="preserve"> </v>
      </c>
      <c r="AT522" s="94" t="str">
        <f t="shared" si="3220"/>
        <v xml:space="preserve"> </v>
      </c>
      <c r="AU522" s="94" t="str">
        <f t="shared" si="3221"/>
        <v xml:space="preserve"> </v>
      </c>
      <c r="AV522" s="94" t="str">
        <f t="shared" si="3222"/>
        <v xml:space="preserve"> </v>
      </c>
      <c r="AW522" s="94" t="str">
        <f t="shared" si="3223"/>
        <v xml:space="preserve"> </v>
      </c>
      <c r="AX522" s="94" t="str">
        <f t="shared" si="3224"/>
        <v xml:space="preserve"> </v>
      </c>
      <c r="AY522" s="94" t="str">
        <f t="shared" si="3225"/>
        <v xml:space="preserve"> </v>
      </c>
      <c r="AZ522" s="94" t="str">
        <f t="shared" si="3226"/>
        <v xml:space="preserve"> </v>
      </c>
      <c r="BA522" s="94" t="str">
        <f t="shared" si="3227"/>
        <v xml:space="preserve"> </v>
      </c>
      <c r="BB522" s="94" t="str">
        <f t="shared" si="3228"/>
        <v xml:space="preserve"> </v>
      </c>
    </row>
    <row r="523" spans="1:54" x14ac:dyDescent="0.25">
      <c r="A523" s="80"/>
      <c r="B523" s="95" t="s">
        <v>2417</v>
      </c>
      <c r="C523" s="201" t="s">
        <v>50</v>
      </c>
      <c r="D523" s="80" t="s">
        <v>783</v>
      </c>
      <c r="E523" s="94" t="str">
        <f>IFERROR(VLOOKUP(A523,Estimate!A:Q,17,FALSE)," ")</f>
        <v xml:space="preserve"> </v>
      </c>
      <c r="F523" s="202" t="s">
        <v>781</v>
      </c>
      <c r="G523" s="202" t="s">
        <v>781</v>
      </c>
      <c r="H523" s="203" t="s">
        <v>781</v>
      </c>
      <c r="I523" s="203" t="s">
        <v>781</v>
      </c>
      <c r="J523" s="203" t="s">
        <v>781</v>
      </c>
      <c r="K523" s="203"/>
      <c r="L523" s="202" t="s">
        <v>781</v>
      </c>
      <c r="M523" s="204" t="str">
        <f t="shared" si="3210"/>
        <v xml:space="preserve"> </v>
      </c>
      <c r="N523" s="95" t="s">
        <v>781</v>
      </c>
      <c r="O523" s="204" t="str">
        <f t="shared" si="3210"/>
        <v xml:space="preserve"> </v>
      </c>
      <c r="P523" s="95" t="s">
        <v>781</v>
      </c>
      <c r="Q523" s="204" t="str">
        <f t="shared" ref="Q523:S523" si="3235">IFERROR(P523/$G523," ")</f>
        <v xml:space="preserve"> </v>
      </c>
      <c r="R523" s="95" t="s">
        <v>781</v>
      </c>
      <c r="S523" s="204" t="str">
        <f t="shared" si="3235"/>
        <v xml:space="preserve"> </v>
      </c>
      <c r="T523" s="95" t="s">
        <v>781</v>
      </c>
      <c r="U523" s="204" t="str">
        <f t="shared" ref="U523:W523" si="3236">IFERROR(T523/$G523," ")</f>
        <v xml:space="preserve"> </v>
      </c>
      <c r="V523" s="95" t="s">
        <v>781</v>
      </c>
      <c r="W523" s="204" t="str">
        <f t="shared" si="3236"/>
        <v xml:space="preserve"> </v>
      </c>
      <c r="X523" s="95" t="s">
        <v>781</v>
      </c>
      <c r="Y523" s="204" t="str">
        <f t="shared" ref="Y523:AA523" si="3237">IFERROR(X523/$G523," ")</f>
        <v xml:space="preserve"> </v>
      </c>
      <c r="Z523" s="95" t="s">
        <v>781</v>
      </c>
      <c r="AA523" s="204" t="str">
        <f t="shared" si="3237"/>
        <v xml:space="preserve"> </v>
      </c>
      <c r="AB523" s="95" t="s">
        <v>781</v>
      </c>
      <c r="AC523" s="204" t="str">
        <f t="shared" ref="AC523:AE523" si="3238">IFERROR(AB523/$G523," ")</f>
        <v xml:space="preserve"> </v>
      </c>
      <c r="AD523" s="95" t="s">
        <v>781</v>
      </c>
      <c r="AE523" s="204" t="str">
        <f t="shared" si="3238"/>
        <v xml:space="preserve"> </v>
      </c>
      <c r="AF523" s="95" t="s">
        <v>781</v>
      </c>
      <c r="AG523" s="204" t="str">
        <f t="shared" ref="AG523:AI523" si="3239">IFERROR(AF523/$G523," ")</f>
        <v xml:space="preserve"> </v>
      </c>
      <c r="AH523" s="95" t="s">
        <v>781</v>
      </c>
      <c r="AI523" s="204" t="str">
        <f t="shared" si="3239"/>
        <v xml:space="preserve"> </v>
      </c>
      <c r="AJ523" s="95" t="s">
        <v>781</v>
      </c>
      <c r="AK523" s="204" t="str">
        <f t="shared" ref="AK523:AM523" si="3240">IFERROR(AJ523/$G523," ")</f>
        <v xml:space="preserve"> </v>
      </c>
      <c r="AL523" s="95" t="s">
        <v>781</v>
      </c>
      <c r="AM523" s="204" t="str">
        <f t="shared" si="3240"/>
        <v xml:space="preserve"> </v>
      </c>
      <c r="AN523" s="95"/>
      <c r="AO523" s="94" t="str">
        <f t="shared" si="3217"/>
        <v xml:space="preserve"> </v>
      </c>
      <c r="AP523" s="94" t="str">
        <f t="shared" si="3207"/>
        <v xml:space="preserve"> </v>
      </c>
      <c r="AQ523" s="94" t="str">
        <f t="shared" si="3208"/>
        <v xml:space="preserve"> </v>
      </c>
      <c r="AR523" s="94" t="str">
        <f t="shared" si="3218"/>
        <v xml:space="preserve"> </v>
      </c>
      <c r="AS523" s="94" t="str">
        <f t="shared" si="3219"/>
        <v xml:space="preserve"> </v>
      </c>
      <c r="AT523" s="94" t="str">
        <f t="shared" si="3220"/>
        <v xml:space="preserve"> </v>
      </c>
      <c r="AU523" s="94" t="str">
        <f t="shared" si="3221"/>
        <v xml:space="preserve"> </v>
      </c>
      <c r="AV523" s="94" t="str">
        <f t="shared" si="3222"/>
        <v xml:space="preserve"> </v>
      </c>
      <c r="AW523" s="94" t="str">
        <f t="shared" si="3223"/>
        <v xml:space="preserve"> </v>
      </c>
      <c r="AX523" s="94" t="str">
        <f t="shared" si="3224"/>
        <v xml:space="preserve"> </v>
      </c>
      <c r="AY523" s="94" t="str">
        <f t="shared" si="3225"/>
        <v xml:space="preserve"> </v>
      </c>
      <c r="AZ523" s="94" t="str">
        <f t="shared" si="3226"/>
        <v xml:space="preserve"> </v>
      </c>
      <c r="BA523" s="94" t="str">
        <f t="shared" si="3227"/>
        <v xml:space="preserve"> </v>
      </c>
      <c r="BB523" s="94" t="str">
        <f t="shared" si="3228"/>
        <v xml:space="preserve"> </v>
      </c>
    </row>
    <row r="524" spans="1:54" x14ac:dyDescent="0.25">
      <c r="A524" s="80"/>
      <c r="B524" s="95" t="s">
        <v>2840</v>
      </c>
      <c r="C524" s="201" t="s">
        <v>52</v>
      </c>
      <c r="D524" s="80" t="s">
        <v>783</v>
      </c>
      <c r="E524" s="94" t="str">
        <f>IFERROR(VLOOKUP(A524,Estimate!A:Q,17,FALSE)," ")</f>
        <v xml:space="preserve"> </v>
      </c>
      <c r="F524" s="202" t="s">
        <v>781</v>
      </c>
      <c r="G524" s="202" t="s">
        <v>781</v>
      </c>
      <c r="H524" s="203" t="s">
        <v>781</v>
      </c>
      <c r="I524" s="203" t="s">
        <v>781</v>
      </c>
      <c r="J524" s="203" t="s">
        <v>781</v>
      </c>
      <c r="K524" s="203"/>
      <c r="L524" s="202" t="s">
        <v>781</v>
      </c>
      <c r="M524" s="204" t="str">
        <f t="shared" si="3210"/>
        <v xml:space="preserve"> </v>
      </c>
      <c r="N524" s="95" t="s">
        <v>781</v>
      </c>
      <c r="O524" s="204" t="str">
        <f t="shared" si="3210"/>
        <v xml:space="preserve"> </v>
      </c>
      <c r="P524" s="95" t="s">
        <v>781</v>
      </c>
      <c r="Q524" s="204" t="str">
        <f t="shared" ref="Q524:S524" si="3241">IFERROR(P524/$G524," ")</f>
        <v xml:space="preserve"> </v>
      </c>
      <c r="R524" s="95" t="s">
        <v>781</v>
      </c>
      <c r="S524" s="204" t="str">
        <f t="shared" si="3241"/>
        <v xml:space="preserve"> </v>
      </c>
      <c r="T524" s="95" t="s">
        <v>781</v>
      </c>
      <c r="U524" s="204" t="str">
        <f t="shared" ref="U524:W524" si="3242">IFERROR(T524/$G524," ")</f>
        <v xml:space="preserve"> </v>
      </c>
      <c r="V524" s="95" t="s">
        <v>781</v>
      </c>
      <c r="W524" s="204" t="str">
        <f t="shared" si="3242"/>
        <v xml:space="preserve"> </v>
      </c>
      <c r="X524" s="95" t="s">
        <v>781</v>
      </c>
      <c r="Y524" s="204" t="str">
        <f t="shared" ref="Y524:AA524" si="3243">IFERROR(X524/$G524," ")</f>
        <v xml:space="preserve"> </v>
      </c>
      <c r="Z524" s="95" t="s">
        <v>781</v>
      </c>
      <c r="AA524" s="204" t="str">
        <f t="shared" si="3243"/>
        <v xml:space="preserve"> </v>
      </c>
      <c r="AB524" s="95" t="s">
        <v>781</v>
      </c>
      <c r="AC524" s="204" t="str">
        <f t="shared" ref="AC524:AE524" si="3244">IFERROR(AB524/$G524," ")</f>
        <v xml:space="preserve"> </v>
      </c>
      <c r="AD524" s="95" t="s">
        <v>781</v>
      </c>
      <c r="AE524" s="204" t="str">
        <f t="shared" si="3244"/>
        <v xml:space="preserve"> </v>
      </c>
      <c r="AF524" s="95" t="s">
        <v>781</v>
      </c>
      <c r="AG524" s="204" t="str">
        <f t="shared" ref="AG524:AI524" si="3245">IFERROR(AF524/$G524," ")</f>
        <v xml:space="preserve"> </v>
      </c>
      <c r="AH524" s="95" t="s">
        <v>781</v>
      </c>
      <c r="AI524" s="204" t="str">
        <f t="shared" si="3245"/>
        <v xml:space="preserve"> </v>
      </c>
      <c r="AJ524" s="95" t="s">
        <v>781</v>
      </c>
      <c r="AK524" s="204" t="str">
        <f t="shared" ref="AK524:AM524" si="3246">IFERROR(AJ524/$G524," ")</f>
        <v xml:space="preserve"> </v>
      </c>
      <c r="AL524" s="95" t="s">
        <v>781</v>
      </c>
      <c r="AM524" s="204" t="str">
        <f t="shared" si="3246"/>
        <v xml:space="preserve"> </v>
      </c>
      <c r="AN524" s="95"/>
      <c r="AO524" s="94" t="str">
        <f t="shared" si="3217"/>
        <v xml:space="preserve"> </v>
      </c>
      <c r="AP524" s="94" t="str">
        <f t="shared" si="3207"/>
        <v xml:space="preserve"> </v>
      </c>
      <c r="AQ524" s="94" t="str">
        <f t="shared" si="3208"/>
        <v xml:space="preserve"> </v>
      </c>
      <c r="AR524" s="94" t="str">
        <f t="shared" si="3218"/>
        <v xml:space="preserve"> </v>
      </c>
      <c r="AS524" s="94" t="str">
        <f t="shared" si="3219"/>
        <v xml:space="preserve"> </v>
      </c>
      <c r="AT524" s="94" t="str">
        <f t="shared" si="3220"/>
        <v xml:space="preserve"> </v>
      </c>
      <c r="AU524" s="94" t="str">
        <f t="shared" si="3221"/>
        <v xml:space="preserve"> </v>
      </c>
      <c r="AV524" s="94" t="str">
        <f t="shared" si="3222"/>
        <v xml:space="preserve"> </v>
      </c>
      <c r="AW524" s="94" t="str">
        <f t="shared" si="3223"/>
        <v xml:space="preserve"> </v>
      </c>
      <c r="AX524" s="94" t="str">
        <f t="shared" si="3224"/>
        <v xml:space="preserve"> </v>
      </c>
      <c r="AY524" s="94" t="str">
        <f t="shared" si="3225"/>
        <v xml:space="preserve"> </v>
      </c>
      <c r="AZ524" s="94" t="str">
        <f t="shared" si="3226"/>
        <v xml:space="preserve"> </v>
      </c>
      <c r="BA524" s="94" t="str">
        <f t="shared" si="3227"/>
        <v xml:space="preserve"> </v>
      </c>
      <c r="BB524" s="94" t="str">
        <f t="shared" si="3228"/>
        <v xml:space="preserve"> </v>
      </c>
    </row>
    <row r="525" spans="1:54" x14ac:dyDescent="0.25">
      <c r="A525" s="80">
        <v>206</v>
      </c>
      <c r="B525" s="95" t="s">
        <v>2841</v>
      </c>
      <c r="C525" s="201" t="s">
        <v>54</v>
      </c>
      <c r="D525" s="80" t="s">
        <v>20</v>
      </c>
      <c r="E525" s="94">
        <f>IFERROR(VLOOKUP(A525,Estimate!A:Q,17,FALSE)," ")</f>
        <v>29115.599999999999</v>
      </c>
      <c r="F525" s="202">
        <v>1</v>
      </c>
      <c r="G525" s="202">
        <v>1</v>
      </c>
      <c r="H525" s="203">
        <v>36575.83</v>
      </c>
      <c r="I525" s="203">
        <v>36575.83</v>
      </c>
      <c r="J525" s="203">
        <v>36575.83</v>
      </c>
      <c r="K525" s="203"/>
      <c r="L525" s="202"/>
      <c r="M525" s="204">
        <f t="shared" si="3210"/>
        <v>0</v>
      </c>
      <c r="N525" s="95"/>
      <c r="O525" s="204">
        <f t="shared" si="3210"/>
        <v>0</v>
      </c>
      <c r="P525" s="95"/>
      <c r="Q525" s="204">
        <f t="shared" ref="Q525:S525" si="3247">IFERROR(P525/$G525," ")</f>
        <v>0</v>
      </c>
      <c r="R525" s="95"/>
      <c r="S525" s="204">
        <f t="shared" si="3247"/>
        <v>0</v>
      </c>
      <c r="T525" s="95">
        <v>0.1</v>
      </c>
      <c r="U525" s="204">
        <f t="shared" ref="U525:W525" si="3248">IFERROR(T525/$G525," ")</f>
        <v>0.1</v>
      </c>
      <c r="V525" s="95">
        <v>0.1</v>
      </c>
      <c r="W525" s="204">
        <f t="shared" si="3248"/>
        <v>0.1</v>
      </c>
      <c r="X525" s="95">
        <v>0.8</v>
      </c>
      <c r="Y525" s="204">
        <f t="shared" ref="Y525:AA525" si="3249">IFERROR(X525/$G525," ")</f>
        <v>0.8</v>
      </c>
      <c r="Z525" s="95">
        <v>0.9</v>
      </c>
      <c r="AA525" s="204">
        <f t="shared" si="3249"/>
        <v>0.9</v>
      </c>
      <c r="AB525" s="95">
        <v>0.95</v>
      </c>
      <c r="AC525" s="204">
        <f t="shared" ref="AC525:AE525" si="3250">IFERROR(AB525/$G525," ")</f>
        <v>0.95</v>
      </c>
      <c r="AD525" s="95">
        <v>1</v>
      </c>
      <c r="AE525" s="204">
        <f t="shared" si="3250"/>
        <v>1</v>
      </c>
      <c r="AF525" s="95">
        <v>1</v>
      </c>
      <c r="AG525" s="204">
        <f t="shared" ref="AG525:AI525" si="3251">IFERROR(AF525/$G525," ")</f>
        <v>1</v>
      </c>
      <c r="AH525" s="95">
        <v>1</v>
      </c>
      <c r="AI525" s="204">
        <f t="shared" si="3251"/>
        <v>1</v>
      </c>
      <c r="AJ525" s="95">
        <v>1</v>
      </c>
      <c r="AK525" s="204">
        <f t="shared" ref="AK525:AM525" si="3252">IFERROR(AJ525/$G525," ")</f>
        <v>1</v>
      </c>
      <c r="AL525" s="95">
        <v>1</v>
      </c>
      <c r="AM525" s="204">
        <f t="shared" si="3252"/>
        <v>1</v>
      </c>
      <c r="AN525" s="95"/>
      <c r="AO525" s="94">
        <f t="shared" si="3217"/>
        <v>0</v>
      </c>
      <c r="AP525" s="94">
        <f t="shared" si="3207"/>
        <v>0</v>
      </c>
      <c r="AQ525" s="94">
        <f t="shared" si="3208"/>
        <v>0</v>
      </c>
      <c r="AR525" s="94">
        <f t="shared" si="3218"/>
        <v>0</v>
      </c>
      <c r="AS525" s="94">
        <f t="shared" si="3219"/>
        <v>3657.5830000000005</v>
      </c>
      <c r="AT525" s="94">
        <f t="shared" si="3220"/>
        <v>3657.5830000000005</v>
      </c>
      <c r="AU525" s="94">
        <f t="shared" si="3221"/>
        <v>29260.664000000004</v>
      </c>
      <c r="AV525" s="94">
        <f t="shared" si="3222"/>
        <v>32918.247000000003</v>
      </c>
      <c r="AW525" s="94">
        <f t="shared" si="3223"/>
        <v>34747.038500000002</v>
      </c>
      <c r="AX525" s="94">
        <f t="shared" si="3224"/>
        <v>36575.83</v>
      </c>
      <c r="AY525" s="94">
        <f t="shared" si="3225"/>
        <v>36575.83</v>
      </c>
      <c r="AZ525" s="94">
        <f t="shared" si="3226"/>
        <v>36575.83</v>
      </c>
      <c r="BA525" s="94">
        <f t="shared" si="3227"/>
        <v>36575.83</v>
      </c>
      <c r="BB525" s="94">
        <f t="shared" si="3228"/>
        <v>36575.83</v>
      </c>
    </row>
    <row r="526" spans="1:54" x14ac:dyDescent="0.25">
      <c r="A526" s="80"/>
      <c r="B526" s="95" t="s">
        <v>2866</v>
      </c>
      <c r="C526" s="201" t="s">
        <v>161</v>
      </c>
      <c r="D526" s="80" t="s">
        <v>783</v>
      </c>
      <c r="E526" s="94" t="str">
        <f>IFERROR(VLOOKUP(A526,Estimate!A:Q,17,FALSE)," ")</f>
        <v xml:space="preserve"> </v>
      </c>
      <c r="F526" s="202" t="s">
        <v>781</v>
      </c>
      <c r="G526" s="202" t="s">
        <v>781</v>
      </c>
      <c r="H526" s="203" t="s">
        <v>781</v>
      </c>
      <c r="I526" s="203" t="s">
        <v>781</v>
      </c>
      <c r="J526" s="203" t="s">
        <v>781</v>
      </c>
      <c r="K526" s="203"/>
      <c r="L526" s="202" t="s">
        <v>781</v>
      </c>
      <c r="M526" s="204" t="str">
        <f t="shared" si="3210"/>
        <v xml:space="preserve"> </v>
      </c>
      <c r="N526" s="95" t="s">
        <v>781</v>
      </c>
      <c r="O526" s="204" t="str">
        <f t="shared" si="3210"/>
        <v xml:space="preserve"> </v>
      </c>
      <c r="P526" s="95" t="s">
        <v>781</v>
      </c>
      <c r="Q526" s="204" t="str">
        <f t="shared" ref="Q526:S526" si="3253">IFERROR(P526/$G526," ")</f>
        <v xml:space="preserve"> </v>
      </c>
      <c r="R526" s="95" t="s">
        <v>781</v>
      </c>
      <c r="S526" s="204" t="str">
        <f t="shared" si="3253"/>
        <v xml:space="preserve"> </v>
      </c>
      <c r="T526" s="95" t="s">
        <v>781</v>
      </c>
      <c r="U526" s="204" t="str">
        <f t="shared" ref="U526:W526" si="3254">IFERROR(T526/$G526," ")</f>
        <v xml:space="preserve"> </v>
      </c>
      <c r="V526" s="95" t="s">
        <v>781</v>
      </c>
      <c r="W526" s="204" t="str">
        <f t="shared" si="3254"/>
        <v xml:space="preserve"> </v>
      </c>
      <c r="X526" s="95" t="s">
        <v>781</v>
      </c>
      <c r="Y526" s="204" t="str">
        <f t="shared" ref="Y526:AA526" si="3255">IFERROR(X526/$G526," ")</f>
        <v xml:space="preserve"> </v>
      </c>
      <c r="Z526" s="95" t="s">
        <v>781</v>
      </c>
      <c r="AA526" s="204" t="str">
        <f t="shared" si="3255"/>
        <v xml:space="preserve"> </v>
      </c>
      <c r="AB526" s="95" t="s">
        <v>781</v>
      </c>
      <c r="AC526" s="204" t="str">
        <f t="shared" ref="AC526:AE526" si="3256">IFERROR(AB526/$G526," ")</f>
        <v xml:space="preserve"> </v>
      </c>
      <c r="AD526" s="95" t="s">
        <v>781</v>
      </c>
      <c r="AE526" s="204" t="str">
        <f t="shared" si="3256"/>
        <v xml:space="preserve"> </v>
      </c>
      <c r="AF526" s="95" t="s">
        <v>781</v>
      </c>
      <c r="AG526" s="204" t="str">
        <f t="shared" ref="AG526:AI526" si="3257">IFERROR(AF526/$G526," ")</f>
        <v xml:space="preserve"> </v>
      </c>
      <c r="AH526" s="95" t="s">
        <v>781</v>
      </c>
      <c r="AI526" s="204" t="str">
        <f t="shared" si="3257"/>
        <v xml:space="preserve"> </v>
      </c>
      <c r="AJ526" s="95" t="s">
        <v>781</v>
      </c>
      <c r="AK526" s="204" t="str">
        <f t="shared" ref="AK526:AM526" si="3258">IFERROR(AJ526/$G526," ")</f>
        <v xml:space="preserve"> </v>
      </c>
      <c r="AL526" s="95" t="s">
        <v>781</v>
      </c>
      <c r="AM526" s="204" t="str">
        <f t="shared" si="3258"/>
        <v xml:space="preserve"> </v>
      </c>
      <c r="AN526" s="95"/>
      <c r="AO526" s="94" t="str">
        <f t="shared" si="3217"/>
        <v xml:space="preserve"> </v>
      </c>
      <c r="AP526" s="94" t="str">
        <f t="shared" si="3207"/>
        <v xml:space="preserve"> </v>
      </c>
      <c r="AQ526" s="94" t="str">
        <f t="shared" si="3208"/>
        <v xml:space="preserve"> </v>
      </c>
      <c r="AR526" s="94" t="str">
        <f t="shared" si="3218"/>
        <v xml:space="preserve"> </v>
      </c>
      <c r="AS526" s="94" t="str">
        <f t="shared" si="3219"/>
        <v xml:space="preserve"> </v>
      </c>
      <c r="AT526" s="94" t="str">
        <f t="shared" si="3220"/>
        <v xml:space="preserve"> </v>
      </c>
      <c r="AU526" s="94" t="str">
        <f t="shared" si="3221"/>
        <v xml:space="preserve"> </v>
      </c>
      <c r="AV526" s="94" t="str">
        <f t="shared" si="3222"/>
        <v xml:space="preserve"> </v>
      </c>
      <c r="AW526" s="94" t="str">
        <f t="shared" si="3223"/>
        <v xml:space="preserve"> </v>
      </c>
      <c r="AX526" s="94" t="str">
        <f t="shared" si="3224"/>
        <v xml:space="preserve"> </v>
      </c>
      <c r="AY526" s="94" t="str">
        <f t="shared" si="3225"/>
        <v xml:space="preserve"> </v>
      </c>
      <c r="AZ526" s="94" t="str">
        <f t="shared" si="3226"/>
        <v xml:space="preserve"> </v>
      </c>
      <c r="BA526" s="94" t="str">
        <f t="shared" si="3227"/>
        <v xml:space="preserve"> </v>
      </c>
      <c r="BB526" s="94" t="str">
        <f t="shared" si="3228"/>
        <v xml:space="preserve"> </v>
      </c>
    </row>
    <row r="527" spans="1:54" ht="30" x14ac:dyDescent="0.25">
      <c r="A527" s="80">
        <v>207</v>
      </c>
      <c r="B527" s="95" t="s">
        <v>2867</v>
      </c>
      <c r="C527" s="201" t="s">
        <v>163</v>
      </c>
      <c r="D527" s="80" t="s">
        <v>20</v>
      </c>
      <c r="E527" s="94">
        <f>IFERROR(VLOOKUP(A527,Estimate!A:Q,17,FALSE)," ")</f>
        <v>11050</v>
      </c>
      <c r="F527" s="202">
        <v>1</v>
      </c>
      <c r="G527" s="202">
        <v>1</v>
      </c>
      <c r="H527" s="203">
        <v>13881.32</v>
      </c>
      <c r="I527" s="203">
        <v>13881.32</v>
      </c>
      <c r="J527" s="203">
        <v>13881.32</v>
      </c>
      <c r="K527" s="203"/>
      <c r="L527" s="202"/>
      <c r="M527" s="204">
        <f t="shared" si="3210"/>
        <v>0</v>
      </c>
      <c r="N527" s="95"/>
      <c r="O527" s="204">
        <f t="shared" si="3210"/>
        <v>0</v>
      </c>
      <c r="P527" s="95"/>
      <c r="Q527" s="204">
        <f t="shared" ref="Q527:S527" si="3259">IFERROR(P527/$G527," ")</f>
        <v>0</v>
      </c>
      <c r="R527" s="95"/>
      <c r="S527" s="204">
        <f t="shared" si="3259"/>
        <v>0</v>
      </c>
      <c r="T527" s="95">
        <v>0.1</v>
      </c>
      <c r="U527" s="204">
        <f t="shared" ref="U527:W527" si="3260">IFERROR(T527/$G527," ")</f>
        <v>0.1</v>
      </c>
      <c r="V527" s="95">
        <v>0.1</v>
      </c>
      <c r="W527" s="204">
        <f t="shared" si="3260"/>
        <v>0.1</v>
      </c>
      <c r="X527" s="95">
        <v>0.8</v>
      </c>
      <c r="Y527" s="204">
        <f t="shared" ref="Y527:AA527" si="3261">IFERROR(X527/$G527," ")</f>
        <v>0.8</v>
      </c>
      <c r="Z527" s="95">
        <v>0.9</v>
      </c>
      <c r="AA527" s="204">
        <f t="shared" si="3261"/>
        <v>0.9</v>
      </c>
      <c r="AB527" s="95">
        <v>0.95</v>
      </c>
      <c r="AC527" s="204">
        <f t="shared" ref="AC527:AE527" si="3262">IFERROR(AB527/$G527," ")</f>
        <v>0.95</v>
      </c>
      <c r="AD527" s="95">
        <v>1</v>
      </c>
      <c r="AE527" s="204">
        <f t="shared" si="3262"/>
        <v>1</v>
      </c>
      <c r="AF527" s="95">
        <v>1</v>
      </c>
      <c r="AG527" s="204">
        <f t="shared" ref="AG527:AI527" si="3263">IFERROR(AF527/$G527," ")</f>
        <v>1</v>
      </c>
      <c r="AH527" s="95">
        <v>1</v>
      </c>
      <c r="AI527" s="204">
        <f t="shared" si="3263"/>
        <v>1</v>
      </c>
      <c r="AJ527" s="95">
        <v>1</v>
      </c>
      <c r="AK527" s="204">
        <f t="shared" ref="AK527:AM527" si="3264">IFERROR(AJ527/$G527," ")</f>
        <v>1</v>
      </c>
      <c r="AL527" s="95">
        <v>1</v>
      </c>
      <c r="AM527" s="204">
        <f t="shared" si="3264"/>
        <v>1</v>
      </c>
      <c r="AN527" s="95"/>
      <c r="AO527" s="94">
        <f t="shared" si="3217"/>
        <v>0</v>
      </c>
      <c r="AP527" s="94">
        <f t="shared" si="3207"/>
        <v>0</v>
      </c>
      <c r="AQ527" s="94">
        <f t="shared" si="3208"/>
        <v>0</v>
      </c>
      <c r="AR527" s="94">
        <f t="shared" si="3218"/>
        <v>0</v>
      </c>
      <c r="AS527" s="94">
        <f t="shared" si="3219"/>
        <v>1388.1320000000001</v>
      </c>
      <c r="AT527" s="94">
        <f t="shared" si="3220"/>
        <v>1388.1320000000001</v>
      </c>
      <c r="AU527" s="94">
        <f t="shared" si="3221"/>
        <v>11105.056</v>
      </c>
      <c r="AV527" s="94">
        <f t="shared" si="3222"/>
        <v>12493.188</v>
      </c>
      <c r="AW527" s="94">
        <f t="shared" si="3223"/>
        <v>13187.253999999999</v>
      </c>
      <c r="AX527" s="94">
        <f t="shared" si="3224"/>
        <v>13881.32</v>
      </c>
      <c r="AY527" s="94">
        <f t="shared" si="3225"/>
        <v>13881.32</v>
      </c>
      <c r="AZ527" s="94">
        <f t="shared" si="3226"/>
        <v>13881.32</v>
      </c>
      <c r="BA527" s="94">
        <f t="shared" si="3227"/>
        <v>13881.32</v>
      </c>
      <c r="BB527" s="94">
        <f t="shared" si="3228"/>
        <v>13881.32</v>
      </c>
    </row>
    <row r="528" spans="1:54" x14ac:dyDescent="0.25">
      <c r="A528" s="80"/>
      <c r="B528" s="95" t="s">
        <v>2893</v>
      </c>
      <c r="C528" s="201" t="s">
        <v>362</v>
      </c>
      <c r="D528" s="80" t="s">
        <v>783</v>
      </c>
      <c r="E528" s="94" t="str">
        <f>IFERROR(VLOOKUP(A528,Estimate!A:Q,17,FALSE)," ")</f>
        <v xml:space="preserve"> </v>
      </c>
      <c r="F528" s="202" t="s">
        <v>781</v>
      </c>
      <c r="G528" s="202" t="s">
        <v>781</v>
      </c>
      <c r="H528" s="203" t="s">
        <v>781</v>
      </c>
      <c r="I528" s="203" t="s">
        <v>781</v>
      </c>
      <c r="J528" s="203" t="s">
        <v>781</v>
      </c>
      <c r="K528" s="203"/>
      <c r="L528" s="202" t="s">
        <v>781</v>
      </c>
      <c r="M528" s="204" t="str">
        <f t="shared" si="3210"/>
        <v xml:space="preserve"> </v>
      </c>
      <c r="N528" s="95" t="s">
        <v>781</v>
      </c>
      <c r="O528" s="204" t="str">
        <f t="shared" si="3210"/>
        <v xml:space="preserve"> </v>
      </c>
      <c r="P528" s="95" t="s">
        <v>781</v>
      </c>
      <c r="Q528" s="204" t="str">
        <f t="shared" ref="Q528:S528" si="3265">IFERROR(P528/$G528," ")</f>
        <v xml:space="preserve"> </v>
      </c>
      <c r="R528" s="95" t="s">
        <v>781</v>
      </c>
      <c r="S528" s="204" t="str">
        <f t="shared" si="3265"/>
        <v xml:space="preserve"> </v>
      </c>
      <c r="T528" s="95" t="s">
        <v>781</v>
      </c>
      <c r="U528" s="204" t="str">
        <f t="shared" ref="U528:W528" si="3266">IFERROR(T528/$G528," ")</f>
        <v xml:space="preserve"> </v>
      </c>
      <c r="V528" s="95" t="s">
        <v>781</v>
      </c>
      <c r="W528" s="204" t="str">
        <f t="shared" si="3266"/>
        <v xml:space="preserve"> </v>
      </c>
      <c r="X528" s="95" t="s">
        <v>781</v>
      </c>
      <c r="Y528" s="204" t="str">
        <f t="shared" ref="Y528:AA528" si="3267">IFERROR(X528/$G528," ")</f>
        <v xml:space="preserve"> </v>
      </c>
      <c r="Z528" s="95" t="s">
        <v>781</v>
      </c>
      <c r="AA528" s="204" t="str">
        <f t="shared" si="3267"/>
        <v xml:space="preserve"> </v>
      </c>
      <c r="AB528" s="95" t="s">
        <v>781</v>
      </c>
      <c r="AC528" s="204" t="str">
        <f t="shared" ref="AC528:AE528" si="3268">IFERROR(AB528/$G528," ")</f>
        <v xml:space="preserve"> </v>
      </c>
      <c r="AD528" s="95" t="s">
        <v>781</v>
      </c>
      <c r="AE528" s="204" t="str">
        <f t="shared" si="3268"/>
        <v xml:space="preserve"> </v>
      </c>
      <c r="AF528" s="95" t="s">
        <v>781</v>
      </c>
      <c r="AG528" s="204" t="str">
        <f t="shared" ref="AG528:AI528" si="3269">IFERROR(AF528/$G528," ")</f>
        <v xml:space="preserve"> </v>
      </c>
      <c r="AH528" s="95" t="s">
        <v>781</v>
      </c>
      <c r="AI528" s="204" t="str">
        <f t="shared" si="3269"/>
        <v xml:space="preserve"> </v>
      </c>
      <c r="AJ528" s="95" t="s">
        <v>781</v>
      </c>
      <c r="AK528" s="204" t="str">
        <f t="shared" ref="AK528:AM528" si="3270">IFERROR(AJ528/$G528," ")</f>
        <v xml:space="preserve"> </v>
      </c>
      <c r="AL528" s="95" t="s">
        <v>781</v>
      </c>
      <c r="AM528" s="204" t="str">
        <f t="shared" si="3270"/>
        <v xml:space="preserve"> </v>
      </c>
      <c r="AN528" s="95"/>
      <c r="AO528" s="94" t="str">
        <f t="shared" si="3217"/>
        <v xml:space="preserve"> </v>
      </c>
      <c r="AP528" s="94" t="str">
        <f t="shared" si="3207"/>
        <v xml:space="preserve"> </v>
      </c>
      <c r="AQ528" s="94" t="str">
        <f t="shared" si="3208"/>
        <v xml:space="preserve"> </v>
      </c>
      <c r="AR528" s="94" t="str">
        <f t="shared" si="3218"/>
        <v xml:space="preserve"> </v>
      </c>
      <c r="AS528" s="94" t="str">
        <f t="shared" si="3219"/>
        <v xml:space="preserve"> </v>
      </c>
      <c r="AT528" s="94" t="str">
        <f t="shared" si="3220"/>
        <v xml:space="preserve"> </v>
      </c>
      <c r="AU528" s="94" t="str">
        <f t="shared" si="3221"/>
        <v xml:space="preserve"> </v>
      </c>
      <c r="AV528" s="94" t="str">
        <f t="shared" si="3222"/>
        <v xml:space="preserve"> </v>
      </c>
      <c r="AW528" s="94" t="str">
        <f t="shared" si="3223"/>
        <v xml:space="preserve"> </v>
      </c>
      <c r="AX528" s="94" t="str">
        <f t="shared" si="3224"/>
        <v xml:space="preserve"> </v>
      </c>
      <c r="AY528" s="94" t="str">
        <f t="shared" si="3225"/>
        <v xml:space="preserve"> </v>
      </c>
      <c r="AZ528" s="94" t="str">
        <f t="shared" si="3226"/>
        <v xml:space="preserve"> </v>
      </c>
      <c r="BA528" s="94" t="str">
        <f t="shared" si="3227"/>
        <v xml:space="preserve"> </v>
      </c>
      <c r="BB528" s="94" t="str">
        <f t="shared" si="3228"/>
        <v xml:space="preserve"> </v>
      </c>
    </row>
    <row r="529" spans="1:54" ht="30" x14ac:dyDescent="0.25">
      <c r="A529" s="80">
        <v>208</v>
      </c>
      <c r="B529" s="95">
        <v>113</v>
      </c>
      <c r="C529" s="201" t="s">
        <v>364</v>
      </c>
      <c r="D529" s="80" t="s">
        <v>20</v>
      </c>
      <c r="E529" s="94">
        <f>IFERROR(VLOOKUP(A529,Estimate!A:Q,17,FALSE)," ")</f>
        <v>10066.666666666666</v>
      </c>
      <c r="F529" s="202">
        <v>1</v>
      </c>
      <c r="G529" s="202">
        <v>1</v>
      </c>
      <c r="H529" s="203">
        <v>13646.79</v>
      </c>
      <c r="I529" s="203">
        <v>13646.79</v>
      </c>
      <c r="J529" s="203">
        <v>13646.79</v>
      </c>
      <c r="K529" s="203"/>
      <c r="L529" s="202"/>
      <c r="M529" s="204">
        <f t="shared" si="3210"/>
        <v>0</v>
      </c>
      <c r="N529" s="95"/>
      <c r="O529" s="204">
        <f t="shared" si="3210"/>
        <v>0</v>
      </c>
      <c r="P529" s="95"/>
      <c r="Q529" s="204">
        <f t="shared" ref="Q529:S529" si="3271">IFERROR(P529/$G529," ")</f>
        <v>0</v>
      </c>
      <c r="R529" s="95"/>
      <c r="S529" s="204">
        <f t="shared" si="3271"/>
        <v>0</v>
      </c>
      <c r="T529" s="95"/>
      <c r="U529" s="204">
        <f t="shared" ref="U529:W529" si="3272">IFERROR(T529/$G529," ")</f>
        <v>0</v>
      </c>
      <c r="V529" s="95"/>
      <c r="W529" s="204">
        <f t="shared" si="3272"/>
        <v>0</v>
      </c>
      <c r="X529" s="95">
        <v>0.8</v>
      </c>
      <c r="Y529" s="204">
        <f t="shared" ref="Y529:AA529" si="3273">IFERROR(X529/$G529," ")</f>
        <v>0.8</v>
      </c>
      <c r="Z529" s="95">
        <v>1</v>
      </c>
      <c r="AA529" s="204">
        <f t="shared" si="3273"/>
        <v>1</v>
      </c>
      <c r="AB529" s="95">
        <v>1</v>
      </c>
      <c r="AC529" s="204">
        <f t="shared" ref="AC529:AE529" si="3274">IFERROR(AB529/$G529," ")</f>
        <v>1</v>
      </c>
      <c r="AD529" s="95">
        <v>1</v>
      </c>
      <c r="AE529" s="204">
        <f t="shared" si="3274"/>
        <v>1</v>
      </c>
      <c r="AF529" s="95">
        <v>1</v>
      </c>
      <c r="AG529" s="204">
        <f t="shared" ref="AG529:AI529" si="3275">IFERROR(AF529/$G529," ")</f>
        <v>1</v>
      </c>
      <c r="AH529" s="95">
        <v>1</v>
      </c>
      <c r="AI529" s="204">
        <f t="shared" si="3275"/>
        <v>1</v>
      </c>
      <c r="AJ529" s="95">
        <v>1</v>
      </c>
      <c r="AK529" s="204">
        <f t="shared" ref="AK529:AM529" si="3276">IFERROR(AJ529/$G529," ")</f>
        <v>1</v>
      </c>
      <c r="AL529" s="95">
        <v>1</v>
      </c>
      <c r="AM529" s="204">
        <f t="shared" si="3276"/>
        <v>1</v>
      </c>
      <c r="AN529" s="95"/>
      <c r="AO529" s="94">
        <f t="shared" si="3217"/>
        <v>0</v>
      </c>
      <c r="AP529" s="94">
        <f t="shared" si="3207"/>
        <v>0</v>
      </c>
      <c r="AQ529" s="94">
        <f t="shared" si="3208"/>
        <v>0</v>
      </c>
      <c r="AR529" s="94">
        <f t="shared" si="3218"/>
        <v>0</v>
      </c>
      <c r="AS529" s="94">
        <f t="shared" si="3219"/>
        <v>0</v>
      </c>
      <c r="AT529" s="94">
        <f t="shared" si="3220"/>
        <v>0</v>
      </c>
      <c r="AU529" s="94">
        <f t="shared" si="3221"/>
        <v>10917.432000000001</v>
      </c>
      <c r="AV529" s="94">
        <f t="shared" si="3222"/>
        <v>13646.79</v>
      </c>
      <c r="AW529" s="94">
        <f t="shared" si="3223"/>
        <v>13646.79</v>
      </c>
      <c r="AX529" s="94">
        <f t="shared" si="3224"/>
        <v>13646.79</v>
      </c>
      <c r="AY529" s="94">
        <f t="shared" si="3225"/>
        <v>13646.79</v>
      </c>
      <c r="AZ529" s="94">
        <f t="shared" si="3226"/>
        <v>13646.79</v>
      </c>
      <c r="BA529" s="94">
        <f t="shared" si="3227"/>
        <v>13646.79</v>
      </c>
      <c r="BB529" s="94">
        <f t="shared" si="3228"/>
        <v>13646.79</v>
      </c>
    </row>
    <row r="530" spans="1:54" x14ac:dyDescent="0.25">
      <c r="A530" s="80"/>
      <c r="B530" s="95" t="s">
        <v>2843</v>
      </c>
      <c r="C530" s="201" t="s">
        <v>59</v>
      </c>
      <c r="D530" s="80" t="s">
        <v>783</v>
      </c>
      <c r="E530" s="94" t="str">
        <f>IFERROR(VLOOKUP(A530,Estimate!A:Q,17,FALSE)," ")</f>
        <v xml:space="preserve"> </v>
      </c>
      <c r="F530" s="202" t="s">
        <v>781</v>
      </c>
      <c r="G530" s="202" t="s">
        <v>781</v>
      </c>
      <c r="H530" s="203" t="s">
        <v>781</v>
      </c>
      <c r="I530" s="203" t="s">
        <v>781</v>
      </c>
      <c r="J530" s="203" t="s">
        <v>781</v>
      </c>
      <c r="K530" s="203"/>
      <c r="L530" s="202" t="s">
        <v>781</v>
      </c>
      <c r="M530" s="204" t="str">
        <f t="shared" si="3210"/>
        <v xml:space="preserve"> </v>
      </c>
      <c r="N530" s="95" t="s">
        <v>781</v>
      </c>
      <c r="O530" s="204" t="str">
        <f t="shared" si="3210"/>
        <v xml:space="preserve"> </v>
      </c>
      <c r="P530" s="95" t="s">
        <v>781</v>
      </c>
      <c r="Q530" s="204" t="str">
        <f t="shared" ref="Q530:S530" si="3277">IFERROR(P530/$G530," ")</f>
        <v xml:space="preserve"> </v>
      </c>
      <c r="R530" s="95" t="s">
        <v>781</v>
      </c>
      <c r="S530" s="204" t="str">
        <f t="shared" si="3277"/>
        <v xml:space="preserve"> </v>
      </c>
      <c r="T530" s="95" t="s">
        <v>781</v>
      </c>
      <c r="U530" s="204" t="str">
        <f t="shared" ref="U530:W530" si="3278">IFERROR(T530/$G530," ")</f>
        <v xml:space="preserve"> </v>
      </c>
      <c r="V530" s="95" t="s">
        <v>781</v>
      </c>
      <c r="W530" s="204" t="str">
        <f t="shared" si="3278"/>
        <v xml:space="preserve"> </v>
      </c>
      <c r="X530" s="95" t="s">
        <v>781</v>
      </c>
      <c r="Y530" s="204" t="str">
        <f t="shared" ref="Y530:AA530" si="3279">IFERROR(X530/$G530," ")</f>
        <v xml:space="preserve"> </v>
      </c>
      <c r="Z530" s="95" t="s">
        <v>781</v>
      </c>
      <c r="AA530" s="204" t="str">
        <f t="shared" si="3279"/>
        <v xml:space="preserve"> </v>
      </c>
      <c r="AB530" s="95" t="s">
        <v>781</v>
      </c>
      <c r="AC530" s="204" t="str">
        <f t="shared" ref="AC530:AE530" si="3280">IFERROR(AB530/$G530," ")</f>
        <v xml:space="preserve"> </v>
      </c>
      <c r="AD530" s="95" t="s">
        <v>781</v>
      </c>
      <c r="AE530" s="204" t="str">
        <f t="shared" si="3280"/>
        <v xml:space="preserve"> </v>
      </c>
      <c r="AF530" s="95" t="s">
        <v>781</v>
      </c>
      <c r="AG530" s="204" t="str">
        <f t="shared" ref="AG530:AI530" si="3281">IFERROR(AF530/$G530," ")</f>
        <v xml:space="preserve"> </v>
      </c>
      <c r="AH530" s="95" t="s">
        <v>781</v>
      </c>
      <c r="AI530" s="204" t="str">
        <f t="shared" si="3281"/>
        <v xml:space="preserve"> </v>
      </c>
      <c r="AJ530" s="95" t="s">
        <v>781</v>
      </c>
      <c r="AK530" s="204" t="str">
        <f t="shared" ref="AK530:AM530" si="3282">IFERROR(AJ530/$G530," ")</f>
        <v xml:space="preserve"> </v>
      </c>
      <c r="AL530" s="95" t="s">
        <v>781</v>
      </c>
      <c r="AM530" s="204" t="str">
        <f t="shared" si="3282"/>
        <v xml:space="preserve"> </v>
      </c>
      <c r="AN530" s="95"/>
      <c r="AO530" s="94" t="str">
        <f t="shared" si="3217"/>
        <v xml:space="preserve"> </v>
      </c>
      <c r="AP530" s="94" t="str">
        <f t="shared" si="3207"/>
        <v xml:space="preserve"> </v>
      </c>
      <c r="AQ530" s="94" t="str">
        <f t="shared" si="3208"/>
        <v xml:space="preserve"> </v>
      </c>
      <c r="AR530" s="94" t="str">
        <f t="shared" si="3218"/>
        <v xml:space="preserve"> </v>
      </c>
      <c r="AS530" s="94" t="str">
        <f t="shared" si="3219"/>
        <v xml:space="preserve"> </v>
      </c>
      <c r="AT530" s="94" t="str">
        <f t="shared" si="3220"/>
        <v xml:space="preserve"> </v>
      </c>
      <c r="AU530" s="94" t="str">
        <f t="shared" si="3221"/>
        <v xml:space="preserve"> </v>
      </c>
      <c r="AV530" s="94" t="str">
        <f t="shared" si="3222"/>
        <v xml:space="preserve"> </v>
      </c>
      <c r="AW530" s="94" t="str">
        <f t="shared" si="3223"/>
        <v xml:space="preserve"> </v>
      </c>
      <c r="AX530" s="94" t="str">
        <f t="shared" si="3224"/>
        <v xml:space="preserve"> </v>
      </c>
      <c r="AY530" s="94" t="str">
        <f t="shared" si="3225"/>
        <v xml:space="preserve"> </v>
      </c>
      <c r="AZ530" s="94" t="str">
        <f t="shared" si="3226"/>
        <v xml:space="preserve"> </v>
      </c>
      <c r="BA530" s="94" t="str">
        <f t="shared" si="3227"/>
        <v xml:space="preserve"> </v>
      </c>
      <c r="BB530" s="94" t="str">
        <f t="shared" si="3228"/>
        <v xml:space="preserve"> </v>
      </c>
    </row>
    <row r="531" spans="1:54" x14ac:dyDescent="0.25">
      <c r="A531" s="80">
        <v>209</v>
      </c>
      <c r="B531" s="95" t="s">
        <v>2844</v>
      </c>
      <c r="C531" s="201" t="s">
        <v>61</v>
      </c>
      <c r="D531" s="80" t="s">
        <v>62</v>
      </c>
      <c r="E531" s="94">
        <f>IFERROR(VLOOKUP(A531,Estimate!A:Q,17,FALSE)," ")</f>
        <v>34970.243902439026</v>
      </c>
      <c r="F531" s="202">
        <v>1700</v>
      </c>
      <c r="G531" s="202">
        <v>1700</v>
      </c>
      <c r="H531" s="203">
        <v>25.84</v>
      </c>
      <c r="I531" s="203">
        <v>43928</v>
      </c>
      <c r="J531" s="203">
        <v>43928</v>
      </c>
      <c r="K531" s="203"/>
      <c r="L531" s="202"/>
      <c r="M531" s="204">
        <f t="shared" si="3210"/>
        <v>0</v>
      </c>
      <c r="N531" s="95"/>
      <c r="O531" s="204">
        <f t="shared" si="3210"/>
        <v>0</v>
      </c>
      <c r="P531" s="95"/>
      <c r="Q531" s="204">
        <f t="shared" ref="Q531:S531" si="3283">IFERROR(P531/$G531," ")</f>
        <v>0</v>
      </c>
      <c r="R531" s="95"/>
      <c r="S531" s="204">
        <f t="shared" si="3283"/>
        <v>0</v>
      </c>
      <c r="T531" s="95"/>
      <c r="U531" s="204">
        <f t="shared" ref="U531:W531" si="3284">IFERROR(T531/$G531," ")</f>
        <v>0</v>
      </c>
      <c r="V531" s="95"/>
      <c r="W531" s="204">
        <f t="shared" si="3284"/>
        <v>0</v>
      </c>
      <c r="X531" s="95">
        <v>0.8</v>
      </c>
      <c r="Y531" s="204">
        <f t="shared" ref="Y531:AA531" si="3285">IFERROR(X531/$G531," ")</f>
        <v>4.7058823529411766E-4</v>
      </c>
      <c r="Z531" s="95">
        <v>1700</v>
      </c>
      <c r="AA531" s="204">
        <f t="shared" si="3285"/>
        <v>1</v>
      </c>
      <c r="AB531" s="95">
        <v>1700</v>
      </c>
      <c r="AC531" s="204">
        <f t="shared" ref="AC531:AE531" si="3286">IFERROR(AB531/$G531," ")</f>
        <v>1</v>
      </c>
      <c r="AD531" s="95">
        <v>1700</v>
      </c>
      <c r="AE531" s="204">
        <f t="shared" si="3286"/>
        <v>1</v>
      </c>
      <c r="AF531" s="95">
        <v>1700</v>
      </c>
      <c r="AG531" s="204">
        <f t="shared" ref="AG531:AI531" si="3287">IFERROR(AF531/$G531," ")</f>
        <v>1</v>
      </c>
      <c r="AH531" s="95">
        <v>1700</v>
      </c>
      <c r="AI531" s="204">
        <f t="shared" si="3287"/>
        <v>1</v>
      </c>
      <c r="AJ531" s="95">
        <v>1700</v>
      </c>
      <c r="AK531" s="204">
        <f t="shared" ref="AK531:AM531" si="3288">IFERROR(AJ531/$G531," ")</f>
        <v>1</v>
      </c>
      <c r="AL531" s="95">
        <v>1700</v>
      </c>
      <c r="AM531" s="204">
        <f t="shared" si="3288"/>
        <v>1</v>
      </c>
      <c r="AN531" s="95"/>
      <c r="AO531" s="94">
        <f t="shared" si="3217"/>
        <v>0</v>
      </c>
      <c r="AP531" s="94">
        <f t="shared" si="3207"/>
        <v>0</v>
      </c>
      <c r="AQ531" s="94">
        <f t="shared" si="3208"/>
        <v>0</v>
      </c>
      <c r="AR531" s="94">
        <f t="shared" si="3218"/>
        <v>0</v>
      </c>
      <c r="AS531" s="94">
        <f t="shared" si="3219"/>
        <v>0</v>
      </c>
      <c r="AT531" s="94">
        <f t="shared" si="3220"/>
        <v>0</v>
      </c>
      <c r="AU531" s="94">
        <f t="shared" si="3221"/>
        <v>20.672000000000001</v>
      </c>
      <c r="AV531" s="94">
        <f t="shared" si="3222"/>
        <v>43928</v>
      </c>
      <c r="AW531" s="94">
        <f t="shared" si="3223"/>
        <v>43928</v>
      </c>
      <c r="AX531" s="94">
        <f t="shared" si="3224"/>
        <v>43928</v>
      </c>
      <c r="AY531" s="94">
        <f t="shared" si="3225"/>
        <v>43928</v>
      </c>
      <c r="AZ531" s="94">
        <f t="shared" si="3226"/>
        <v>43928</v>
      </c>
      <c r="BA531" s="94">
        <f t="shared" si="3227"/>
        <v>43928</v>
      </c>
      <c r="BB531" s="94">
        <f t="shared" si="3228"/>
        <v>43928</v>
      </c>
    </row>
    <row r="532" spans="1:54" x14ac:dyDescent="0.25">
      <c r="A532" s="80"/>
      <c r="B532" s="95" t="s">
        <v>2417</v>
      </c>
      <c r="C532" s="201" t="s">
        <v>2837</v>
      </c>
      <c r="D532" s="80" t="s">
        <v>783</v>
      </c>
      <c r="E532" s="94" t="str">
        <f>IFERROR(VLOOKUP(A532,Estimate!A:Q,17,FALSE)," ")</f>
        <v xml:space="preserve"> </v>
      </c>
      <c r="F532" s="202" t="s">
        <v>781</v>
      </c>
      <c r="G532" s="202" t="s">
        <v>781</v>
      </c>
      <c r="H532" s="203" t="s">
        <v>781</v>
      </c>
      <c r="I532" s="203" t="s">
        <v>781</v>
      </c>
      <c r="J532" s="203" t="s">
        <v>781</v>
      </c>
      <c r="K532" s="203"/>
      <c r="L532" s="202" t="s">
        <v>781</v>
      </c>
      <c r="M532" s="204" t="str">
        <f t="shared" si="3210"/>
        <v xml:space="preserve"> </v>
      </c>
      <c r="N532" s="95" t="s">
        <v>781</v>
      </c>
      <c r="O532" s="204" t="str">
        <f t="shared" si="3210"/>
        <v xml:space="preserve"> </v>
      </c>
      <c r="P532" s="95" t="s">
        <v>781</v>
      </c>
      <c r="Q532" s="204" t="str">
        <f t="shared" ref="Q532:S532" si="3289">IFERROR(P532/$G532," ")</f>
        <v xml:space="preserve"> </v>
      </c>
      <c r="R532" s="95" t="s">
        <v>781</v>
      </c>
      <c r="S532" s="204" t="str">
        <f t="shared" si="3289"/>
        <v xml:space="preserve"> </v>
      </c>
      <c r="T532" s="95" t="s">
        <v>781</v>
      </c>
      <c r="U532" s="204" t="str">
        <f t="shared" ref="U532:W532" si="3290">IFERROR(T532/$G532," ")</f>
        <v xml:space="preserve"> </v>
      </c>
      <c r="V532" s="95" t="s">
        <v>781</v>
      </c>
      <c r="W532" s="204" t="str">
        <f t="shared" si="3290"/>
        <v xml:space="preserve"> </v>
      </c>
      <c r="X532" s="95" t="s">
        <v>781</v>
      </c>
      <c r="Y532" s="204" t="str">
        <f t="shared" ref="Y532:AA532" si="3291">IFERROR(X532/$G532," ")</f>
        <v xml:space="preserve"> </v>
      </c>
      <c r="Z532" s="95" t="s">
        <v>781</v>
      </c>
      <c r="AA532" s="204" t="str">
        <f t="shared" si="3291"/>
        <v xml:space="preserve"> </v>
      </c>
      <c r="AB532" s="95" t="s">
        <v>781</v>
      </c>
      <c r="AC532" s="204" t="str">
        <f t="shared" ref="AC532:AE532" si="3292">IFERROR(AB532/$G532," ")</f>
        <v xml:space="preserve"> </v>
      </c>
      <c r="AD532" s="95" t="s">
        <v>781</v>
      </c>
      <c r="AE532" s="204" t="str">
        <f t="shared" si="3292"/>
        <v xml:space="preserve"> </v>
      </c>
      <c r="AF532" s="95" t="s">
        <v>781</v>
      </c>
      <c r="AG532" s="204" t="str">
        <f t="shared" ref="AG532:AI532" si="3293">IFERROR(AF532/$G532," ")</f>
        <v xml:space="preserve"> </v>
      </c>
      <c r="AH532" s="95" t="s">
        <v>781</v>
      </c>
      <c r="AI532" s="204" t="str">
        <f t="shared" si="3293"/>
        <v xml:space="preserve"> </v>
      </c>
      <c r="AJ532" s="95" t="s">
        <v>781</v>
      </c>
      <c r="AK532" s="204" t="str">
        <f t="shared" ref="AK532:AM532" si="3294">IFERROR(AJ532/$G532," ")</f>
        <v xml:space="preserve"> </v>
      </c>
      <c r="AL532" s="95" t="s">
        <v>781</v>
      </c>
      <c r="AM532" s="204" t="str">
        <f t="shared" si="3294"/>
        <v xml:space="preserve"> </v>
      </c>
      <c r="AN532" s="95"/>
      <c r="AO532" s="94" t="str">
        <f t="shared" si="3217"/>
        <v xml:space="preserve"> </v>
      </c>
      <c r="AP532" s="94" t="str">
        <f t="shared" si="3207"/>
        <v xml:space="preserve"> </v>
      </c>
      <c r="AQ532" s="94" t="str">
        <f t="shared" si="3208"/>
        <v xml:space="preserve"> </v>
      </c>
      <c r="AR532" s="94" t="str">
        <f t="shared" si="3218"/>
        <v xml:space="preserve"> </v>
      </c>
      <c r="AS532" s="94" t="str">
        <f t="shared" si="3219"/>
        <v xml:space="preserve"> </v>
      </c>
      <c r="AT532" s="94" t="str">
        <f t="shared" si="3220"/>
        <v xml:space="preserve"> </v>
      </c>
      <c r="AU532" s="94" t="str">
        <f t="shared" si="3221"/>
        <v xml:space="preserve"> </v>
      </c>
      <c r="AV532" s="94" t="str">
        <f t="shared" si="3222"/>
        <v xml:space="preserve"> </v>
      </c>
      <c r="AW532" s="94" t="str">
        <f t="shared" si="3223"/>
        <v xml:space="preserve"> </v>
      </c>
      <c r="AX532" s="94" t="str">
        <f t="shared" si="3224"/>
        <v xml:space="preserve"> </v>
      </c>
      <c r="AY532" s="94" t="str">
        <f t="shared" si="3225"/>
        <v xml:space="preserve"> </v>
      </c>
      <c r="AZ532" s="94" t="str">
        <f t="shared" si="3226"/>
        <v xml:space="preserve"> </v>
      </c>
      <c r="BA532" s="94" t="str">
        <f t="shared" si="3227"/>
        <v xml:space="preserve"> </v>
      </c>
      <c r="BB532" s="94" t="str">
        <f t="shared" si="3228"/>
        <v xml:space="preserve"> </v>
      </c>
    </row>
    <row r="533" spans="1:54" x14ac:dyDescent="0.25">
      <c r="A533" s="80"/>
      <c r="B533" s="95" t="s">
        <v>2417</v>
      </c>
      <c r="C533" s="201" t="s">
        <v>71</v>
      </c>
      <c r="D533" s="80" t="s">
        <v>783</v>
      </c>
      <c r="E533" s="94" t="str">
        <f>IFERROR(VLOOKUP(A533,Estimate!A:Q,17,FALSE)," ")</f>
        <v xml:space="preserve"> </v>
      </c>
      <c r="F533" s="202" t="s">
        <v>781</v>
      </c>
      <c r="G533" s="202" t="s">
        <v>781</v>
      </c>
      <c r="H533" s="203" t="s">
        <v>781</v>
      </c>
      <c r="I533" s="203" t="s">
        <v>781</v>
      </c>
      <c r="J533" s="203" t="s">
        <v>781</v>
      </c>
      <c r="K533" s="203"/>
      <c r="L533" s="202" t="s">
        <v>781</v>
      </c>
      <c r="M533" s="204" t="str">
        <f t="shared" si="3210"/>
        <v xml:space="preserve"> </v>
      </c>
      <c r="N533" s="95" t="s">
        <v>781</v>
      </c>
      <c r="O533" s="204" t="str">
        <f t="shared" si="3210"/>
        <v xml:space="preserve"> </v>
      </c>
      <c r="P533" s="95" t="s">
        <v>781</v>
      </c>
      <c r="Q533" s="204" t="str">
        <f t="shared" ref="Q533:S533" si="3295">IFERROR(P533/$G533," ")</f>
        <v xml:space="preserve"> </v>
      </c>
      <c r="R533" s="95" t="s">
        <v>781</v>
      </c>
      <c r="S533" s="204" t="str">
        <f t="shared" si="3295"/>
        <v xml:space="preserve"> </v>
      </c>
      <c r="T533" s="95" t="s">
        <v>781</v>
      </c>
      <c r="U533" s="204" t="str">
        <f t="shared" ref="U533:W533" si="3296">IFERROR(T533/$G533," ")</f>
        <v xml:space="preserve"> </v>
      </c>
      <c r="V533" s="95" t="s">
        <v>781</v>
      </c>
      <c r="W533" s="204" t="str">
        <f t="shared" si="3296"/>
        <v xml:space="preserve"> </v>
      </c>
      <c r="X533" s="95" t="s">
        <v>781</v>
      </c>
      <c r="Y533" s="204" t="str">
        <f t="shared" ref="Y533:AA533" si="3297">IFERROR(X533/$G533," ")</f>
        <v xml:space="preserve"> </v>
      </c>
      <c r="Z533" s="95" t="s">
        <v>781</v>
      </c>
      <c r="AA533" s="204" t="str">
        <f t="shared" si="3297"/>
        <v xml:space="preserve"> </v>
      </c>
      <c r="AB533" s="95" t="s">
        <v>781</v>
      </c>
      <c r="AC533" s="204" t="str">
        <f t="shared" ref="AC533:AE533" si="3298">IFERROR(AB533/$G533," ")</f>
        <v xml:space="preserve"> </v>
      </c>
      <c r="AD533" s="95" t="s">
        <v>781</v>
      </c>
      <c r="AE533" s="204" t="str">
        <f t="shared" si="3298"/>
        <v xml:space="preserve"> </v>
      </c>
      <c r="AF533" s="95" t="s">
        <v>781</v>
      </c>
      <c r="AG533" s="204" t="str">
        <f t="shared" ref="AG533:AI533" si="3299">IFERROR(AF533/$G533," ")</f>
        <v xml:space="preserve"> </v>
      </c>
      <c r="AH533" s="95" t="s">
        <v>781</v>
      </c>
      <c r="AI533" s="204" t="str">
        <f t="shared" si="3299"/>
        <v xml:space="preserve"> </v>
      </c>
      <c r="AJ533" s="95" t="s">
        <v>781</v>
      </c>
      <c r="AK533" s="204" t="str">
        <f t="shared" ref="AK533:AM533" si="3300">IFERROR(AJ533/$G533," ")</f>
        <v xml:space="preserve"> </v>
      </c>
      <c r="AL533" s="95" t="s">
        <v>781</v>
      </c>
      <c r="AM533" s="204" t="str">
        <f t="shared" si="3300"/>
        <v xml:space="preserve"> </v>
      </c>
      <c r="AN533" s="95"/>
      <c r="AO533" s="94" t="str">
        <f t="shared" si="3217"/>
        <v xml:space="preserve"> </v>
      </c>
      <c r="AP533" s="94" t="str">
        <f t="shared" si="3207"/>
        <v xml:space="preserve"> </v>
      </c>
      <c r="AQ533" s="94" t="str">
        <f t="shared" si="3208"/>
        <v xml:space="preserve"> </v>
      </c>
      <c r="AR533" s="94" t="str">
        <f t="shared" si="3218"/>
        <v xml:space="preserve"> </v>
      </c>
      <c r="AS533" s="94" t="str">
        <f t="shared" si="3219"/>
        <v xml:space="preserve"> </v>
      </c>
      <c r="AT533" s="94" t="str">
        <f t="shared" si="3220"/>
        <v xml:space="preserve"> </v>
      </c>
      <c r="AU533" s="94" t="str">
        <f t="shared" si="3221"/>
        <v xml:space="preserve"> </v>
      </c>
      <c r="AV533" s="94" t="str">
        <f t="shared" si="3222"/>
        <v xml:space="preserve"> </v>
      </c>
      <c r="AW533" s="94" t="str">
        <f t="shared" si="3223"/>
        <v xml:space="preserve"> </v>
      </c>
      <c r="AX533" s="94" t="str">
        <f t="shared" si="3224"/>
        <v xml:space="preserve"> </v>
      </c>
      <c r="AY533" s="94" t="str">
        <f t="shared" si="3225"/>
        <v xml:space="preserve"> </v>
      </c>
      <c r="AZ533" s="94" t="str">
        <f t="shared" si="3226"/>
        <v xml:space="preserve"> </v>
      </c>
      <c r="BA533" s="94" t="str">
        <f t="shared" si="3227"/>
        <v xml:space="preserve"> </v>
      </c>
      <c r="BB533" s="94" t="str">
        <f t="shared" si="3228"/>
        <v xml:space="preserve"> </v>
      </c>
    </row>
    <row r="534" spans="1:54" x14ac:dyDescent="0.25">
      <c r="A534" s="80"/>
      <c r="B534" s="95" t="s">
        <v>2868</v>
      </c>
      <c r="C534" s="201" t="s">
        <v>170</v>
      </c>
      <c r="D534" s="80" t="s">
        <v>783</v>
      </c>
      <c r="E534" s="94" t="str">
        <f>IFERROR(VLOOKUP(A534,Estimate!A:Q,17,FALSE)," ")</f>
        <v xml:space="preserve"> </v>
      </c>
      <c r="F534" s="202" t="s">
        <v>781</v>
      </c>
      <c r="G534" s="202" t="s">
        <v>781</v>
      </c>
      <c r="H534" s="203" t="s">
        <v>781</v>
      </c>
      <c r="I534" s="203" t="s">
        <v>781</v>
      </c>
      <c r="J534" s="203" t="s">
        <v>781</v>
      </c>
      <c r="K534" s="203"/>
      <c r="L534" s="202" t="s">
        <v>781</v>
      </c>
      <c r="M534" s="204" t="str">
        <f t="shared" si="3210"/>
        <v xml:space="preserve"> </v>
      </c>
      <c r="N534" s="95" t="s">
        <v>781</v>
      </c>
      <c r="O534" s="204" t="str">
        <f t="shared" si="3210"/>
        <v xml:space="preserve"> </v>
      </c>
      <c r="P534" s="95" t="s">
        <v>781</v>
      </c>
      <c r="Q534" s="204" t="str">
        <f t="shared" ref="Q534:S534" si="3301">IFERROR(P534/$G534," ")</f>
        <v xml:space="preserve"> </v>
      </c>
      <c r="R534" s="95" t="s">
        <v>781</v>
      </c>
      <c r="S534" s="204" t="str">
        <f t="shared" si="3301"/>
        <v xml:space="preserve"> </v>
      </c>
      <c r="T534" s="95" t="s">
        <v>781</v>
      </c>
      <c r="U534" s="204" t="str">
        <f t="shared" ref="U534:W534" si="3302">IFERROR(T534/$G534," ")</f>
        <v xml:space="preserve"> </v>
      </c>
      <c r="V534" s="95" t="s">
        <v>781</v>
      </c>
      <c r="W534" s="204" t="str">
        <f t="shared" si="3302"/>
        <v xml:space="preserve"> </v>
      </c>
      <c r="X534" s="95" t="s">
        <v>781</v>
      </c>
      <c r="Y534" s="204" t="str">
        <f t="shared" ref="Y534:AA534" si="3303">IFERROR(X534/$G534," ")</f>
        <v xml:space="preserve"> </v>
      </c>
      <c r="Z534" s="95" t="s">
        <v>781</v>
      </c>
      <c r="AA534" s="204" t="str">
        <f t="shared" si="3303"/>
        <v xml:space="preserve"> </v>
      </c>
      <c r="AB534" s="95" t="s">
        <v>781</v>
      </c>
      <c r="AC534" s="204" t="str">
        <f t="shared" ref="AC534:AE534" si="3304">IFERROR(AB534/$G534," ")</f>
        <v xml:space="preserve"> </v>
      </c>
      <c r="AD534" s="95" t="s">
        <v>781</v>
      </c>
      <c r="AE534" s="204" t="str">
        <f t="shared" si="3304"/>
        <v xml:space="preserve"> </v>
      </c>
      <c r="AF534" s="95" t="s">
        <v>781</v>
      </c>
      <c r="AG534" s="204" t="str">
        <f t="shared" ref="AG534:AI534" si="3305">IFERROR(AF534/$G534," ")</f>
        <v xml:space="preserve"> </v>
      </c>
      <c r="AH534" s="95" t="s">
        <v>781</v>
      </c>
      <c r="AI534" s="204" t="str">
        <f t="shared" si="3305"/>
        <v xml:space="preserve"> </v>
      </c>
      <c r="AJ534" s="95" t="s">
        <v>781</v>
      </c>
      <c r="AK534" s="204" t="str">
        <f t="shared" ref="AK534:AM534" si="3306">IFERROR(AJ534/$G534," ")</f>
        <v xml:space="preserve"> </v>
      </c>
      <c r="AL534" s="95" t="s">
        <v>781</v>
      </c>
      <c r="AM534" s="204" t="str">
        <f t="shared" si="3306"/>
        <v xml:space="preserve"> </v>
      </c>
      <c r="AN534" s="95"/>
      <c r="AO534" s="94" t="str">
        <f t="shared" si="3217"/>
        <v xml:space="preserve"> </v>
      </c>
      <c r="AP534" s="94" t="str">
        <f t="shared" si="3207"/>
        <v xml:space="preserve"> </v>
      </c>
      <c r="AQ534" s="94" t="str">
        <f t="shared" si="3208"/>
        <v xml:space="preserve"> </v>
      </c>
      <c r="AR534" s="94" t="str">
        <f t="shared" si="3218"/>
        <v xml:space="preserve"> </v>
      </c>
      <c r="AS534" s="94" t="str">
        <f t="shared" si="3219"/>
        <v xml:space="preserve"> </v>
      </c>
      <c r="AT534" s="94" t="str">
        <f t="shared" si="3220"/>
        <v xml:space="preserve"> </v>
      </c>
      <c r="AU534" s="94" t="str">
        <f t="shared" si="3221"/>
        <v xml:space="preserve"> </v>
      </c>
      <c r="AV534" s="94" t="str">
        <f t="shared" si="3222"/>
        <v xml:space="preserve"> </v>
      </c>
      <c r="AW534" s="94" t="str">
        <f t="shared" si="3223"/>
        <v xml:space="preserve"> </v>
      </c>
      <c r="AX534" s="94" t="str">
        <f t="shared" si="3224"/>
        <v xml:space="preserve"> </v>
      </c>
      <c r="AY534" s="94" t="str">
        <f t="shared" si="3225"/>
        <v xml:space="preserve"> </v>
      </c>
      <c r="AZ534" s="94" t="str">
        <f t="shared" si="3226"/>
        <v xml:space="preserve"> </v>
      </c>
      <c r="BA534" s="94" t="str">
        <f t="shared" si="3227"/>
        <v xml:space="preserve"> </v>
      </c>
      <c r="BB534" s="94" t="str">
        <f t="shared" si="3228"/>
        <v xml:space="preserve"> </v>
      </c>
    </row>
    <row r="535" spans="1:54" ht="30" x14ac:dyDescent="0.25">
      <c r="A535" s="80">
        <v>210</v>
      </c>
      <c r="B535" s="95">
        <v>137</v>
      </c>
      <c r="C535" s="201" t="s">
        <v>172</v>
      </c>
      <c r="D535" s="80" t="s">
        <v>20</v>
      </c>
      <c r="E535" s="94">
        <f>IFERROR(VLOOKUP(A535,Estimate!A:Q,17,FALSE)," ")</f>
        <v>5490.9090909090919</v>
      </c>
      <c r="F535" s="202">
        <v>1</v>
      </c>
      <c r="G535" s="202">
        <v>1</v>
      </c>
      <c r="H535" s="203">
        <v>6829.54</v>
      </c>
      <c r="I535" s="203">
        <v>6829.54</v>
      </c>
      <c r="J535" s="203">
        <v>6829.54</v>
      </c>
      <c r="K535" s="203"/>
      <c r="L535" s="202"/>
      <c r="M535" s="204">
        <f t="shared" si="3210"/>
        <v>0</v>
      </c>
      <c r="N535" s="95"/>
      <c r="O535" s="204">
        <f t="shared" si="3210"/>
        <v>0</v>
      </c>
      <c r="P535" s="95"/>
      <c r="Q535" s="204">
        <f t="shared" ref="Q535:S535" si="3307">IFERROR(P535/$G535," ")</f>
        <v>0</v>
      </c>
      <c r="R535" s="95"/>
      <c r="S535" s="204">
        <f t="shared" si="3307"/>
        <v>0</v>
      </c>
      <c r="T535" s="95">
        <v>1</v>
      </c>
      <c r="U535" s="204">
        <f t="shared" ref="U535:W535" si="3308">IFERROR(T535/$G535," ")</f>
        <v>1</v>
      </c>
      <c r="V535" s="95">
        <v>1</v>
      </c>
      <c r="W535" s="204">
        <f t="shared" si="3308"/>
        <v>1</v>
      </c>
      <c r="X535" s="95">
        <v>1</v>
      </c>
      <c r="Y535" s="204">
        <f t="shared" ref="Y535:AA535" si="3309">IFERROR(X535/$G535," ")</f>
        <v>1</v>
      </c>
      <c r="Z535" s="95">
        <v>1</v>
      </c>
      <c r="AA535" s="204">
        <f t="shared" si="3309"/>
        <v>1</v>
      </c>
      <c r="AB535" s="95">
        <v>1</v>
      </c>
      <c r="AC535" s="204">
        <f t="shared" ref="AC535:AE535" si="3310">IFERROR(AB535/$G535," ")</f>
        <v>1</v>
      </c>
      <c r="AD535" s="95">
        <v>1</v>
      </c>
      <c r="AE535" s="204">
        <f t="shared" si="3310"/>
        <v>1</v>
      </c>
      <c r="AF535" s="95">
        <v>1</v>
      </c>
      <c r="AG535" s="204">
        <f t="shared" ref="AG535:AI535" si="3311">IFERROR(AF535/$G535," ")</f>
        <v>1</v>
      </c>
      <c r="AH535" s="95">
        <v>1</v>
      </c>
      <c r="AI535" s="204">
        <f t="shared" si="3311"/>
        <v>1</v>
      </c>
      <c r="AJ535" s="95">
        <v>1</v>
      </c>
      <c r="AK535" s="204">
        <f t="shared" ref="AK535:AM535" si="3312">IFERROR(AJ535/$G535," ")</f>
        <v>1</v>
      </c>
      <c r="AL535" s="95">
        <v>1</v>
      </c>
      <c r="AM535" s="204">
        <f t="shared" si="3312"/>
        <v>1</v>
      </c>
      <c r="AN535" s="95"/>
      <c r="AO535" s="94">
        <f t="shared" si="3217"/>
        <v>0</v>
      </c>
      <c r="AP535" s="94">
        <f t="shared" si="3207"/>
        <v>0</v>
      </c>
      <c r="AQ535" s="94">
        <f t="shared" si="3208"/>
        <v>0</v>
      </c>
      <c r="AR535" s="94">
        <f t="shared" si="3218"/>
        <v>0</v>
      </c>
      <c r="AS535" s="94">
        <f t="shared" si="3219"/>
        <v>6829.54</v>
      </c>
      <c r="AT535" s="94">
        <f t="shared" si="3220"/>
        <v>6829.54</v>
      </c>
      <c r="AU535" s="94">
        <f t="shared" si="3221"/>
        <v>6829.54</v>
      </c>
      <c r="AV535" s="94">
        <f t="shared" si="3222"/>
        <v>6829.54</v>
      </c>
      <c r="AW535" s="94">
        <f t="shared" si="3223"/>
        <v>6829.54</v>
      </c>
      <c r="AX535" s="94">
        <f t="shared" si="3224"/>
        <v>6829.54</v>
      </c>
      <c r="AY535" s="94">
        <f t="shared" si="3225"/>
        <v>6829.54</v>
      </c>
      <c r="AZ535" s="94">
        <f t="shared" si="3226"/>
        <v>6829.54</v>
      </c>
      <c r="BA535" s="94">
        <f t="shared" si="3227"/>
        <v>6829.54</v>
      </c>
      <c r="BB535" s="94">
        <f t="shared" si="3228"/>
        <v>6829.54</v>
      </c>
    </row>
    <row r="536" spans="1:54" x14ac:dyDescent="0.25">
      <c r="A536" s="80">
        <v>211</v>
      </c>
      <c r="B536" s="95">
        <v>138</v>
      </c>
      <c r="C536" s="201" t="s">
        <v>710</v>
      </c>
      <c r="D536" s="80" t="s">
        <v>20</v>
      </c>
      <c r="E536" s="94">
        <f>IFERROR(VLOOKUP(A536,Estimate!A:Q,17,FALSE)," ")</f>
        <v>7860</v>
      </c>
      <c r="F536" s="202">
        <v>1</v>
      </c>
      <c r="G536" s="202">
        <v>1</v>
      </c>
      <c r="H536" s="203">
        <v>9873.9500000000007</v>
      </c>
      <c r="I536" s="203">
        <v>9873.9500000000007</v>
      </c>
      <c r="J536" s="203">
        <v>9873.9500000000007</v>
      </c>
      <c r="K536" s="203"/>
      <c r="L536" s="202"/>
      <c r="M536" s="204">
        <f t="shared" si="3210"/>
        <v>0</v>
      </c>
      <c r="N536" s="95"/>
      <c r="O536" s="204">
        <f t="shared" si="3210"/>
        <v>0</v>
      </c>
      <c r="P536" s="95"/>
      <c r="Q536" s="204">
        <f t="shared" ref="Q536:S536" si="3313">IFERROR(P536/$G536," ")</f>
        <v>0</v>
      </c>
      <c r="R536" s="95"/>
      <c r="S536" s="204">
        <f t="shared" si="3313"/>
        <v>0</v>
      </c>
      <c r="T536" s="95"/>
      <c r="U536" s="204">
        <f t="shared" ref="U536:W536" si="3314">IFERROR(T536/$G536," ")</f>
        <v>0</v>
      </c>
      <c r="V536" s="95"/>
      <c r="W536" s="204">
        <f t="shared" si="3314"/>
        <v>0</v>
      </c>
      <c r="X536" s="95">
        <v>1</v>
      </c>
      <c r="Y536" s="204">
        <f t="shared" ref="Y536:AA536" si="3315">IFERROR(X536/$G536," ")</f>
        <v>1</v>
      </c>
      <c r="Z536" s="95">
        <v>1</v>
      </c>
      <c r="AA536" s="204">
        <f t="shared" si="3315"/>
        <v>1</v>
      </c>
      <c r="AB536" s="95">
        <v>1</v>
      </c>
      <c r="AC536" s="204">
        <f t="shared" ref="AC536:AE536" si="3316">IFERROR(AB536/$G536," ")</f>
        <v>1</v>
      </c>
      <c r="AD536" s="95">
        <v>1</v>
      </c>
      <c r="AE536" s="204">
        <f t="shared" si="3316"/>
        <v>1</v>
      </c>
      <c r="AF536" s="95">
        <v>1</v>
      </c>
      <c r="AG536" s="204">
        <f t="shared" ref="AG536:AI536" si="3317">IFERROR(AF536/$G536," ")</f>
        <v>1</v>
      </c>
      <c r="AH536" s="95">
        <v>1</v>
      </c>
      <c r="AI536" s="204">
        <f t="shared" si="3317"/>
        <v>1</v>
      </c>
      <c r="AJ536" s="95">
        <v>1</v>
      </c>
      <c r="AK536" s="204">
        <f t="shared" ref="AK536:AM536" si="3318">IFERROR(AJ536/$G536," ")</f>
        <v>1</v>
      </c>
      <c r="AL536" s="95">
        <v>1</v>
      </c>
      <c r="AM536" s="204">
        <f t="shared" si="3318"/>
        <v>1</v>
      </c>
      <c r="AN536" s="95"/>
      <c r="AO536" s="94">
        <f t="shared" si="3217"/>
        <v>0</v>
      </c>
      <c r="AP536" s="94">
        <f t="shared" si="3207"/>
        <v>0</v>
      </c>
      <c r="AQ536" s="94">
        <f t="shared" si="3208"/>
        <v>0</v>
      </c>
      <c r="AR536" s="94">
        <f t="shared" si="3218"/>
        <v>0</v>
      </c>
      <c r="AS536" s="94">
        <f t="shared" si="3219"/>
        <v>0</v>
      </c>
      <c r="AT536" s="94">
        <f t="shared" si="3220"/>
        <v>0</v>
      </c>
      <c r="AU536" s="94">
        <f t="shared" si="3221"/>
        <v>9873.9500000000007</v>
      </c>
      <c r="AV536" s="94">
        <f t="shared" si="3222"/>
        <v>9873.9500000000007</v>
      </c>
      <c r="AW536" s="94">
        <f t="shared" si="3223"/>
        <v>9873.9500000000007</v>
      </c>
      <c r="AX536" s="94">
        <f t="shared" si="3224"/>
        <v>9873.9500000000007</v>
      </c>
      <c r="AY536" s="94">
        <f t="shared" si="3225"/>
        <v>9873.9500000000007</v>
      </c>
      <c r="AZ536" s="94">
        <f t="shared" si="3226"/>
        <v>9873.9500000000007</v>
      </c>
      <c r="BA536" s="94">
        <f t="shared" si="3227"/>
        <v>9873.9500000000007</v>
      </c>
      <c r="BB536" s="94">
        <f t="shared" si="3228"/>
        <v>9873.9500000000007</v>
      </c>
    </row>
    <row r="537" spans="1:54" x14ac:dyDescent="0.25">
      <c r="A537" s="80"/>
      <c r="B537" s="95" t="s">
        <v>2846</v>
      </c>
      <c r="C537" s="201" t="s">
        <v>73</v>
      </c>
      <c r="D537" s="80" t="s">
        <v>783</v>
      </c>
      <c r="E537" s="94" t="str">
        <f>IFERROR(VLOOKUP(A537,Estimate!A:Q,17,FALSE)," ")</f>
        <v xml:space="preserve"> </v>
      </c>
      <c r="F537" s="202" t="s">
        <v>781</v>
      </c>
      <c r="G537" s="202" t="s">
        <v>781</v>
      </c>
      <c r="H537" s="203" t="s">
        <v>781</v>
      </c>
      <c r="I537" s="203" t="s">
        <v>781</v>
      </c>
      <c r="J537" s="203" t="s">
        <v>781</v>
      </c>
      <c r="K537" s="203"/>
      <c r="L537" s="202" t="s">
        <v>781</v>
      </c>
      <c r="M537" s="204" t="str">
        <f t="shared" si="3210"/>
        <v xml:space="preserve"> </v>
      </c>
      <c r="N537" s="95" t="s">
        <v>781</v>
      </c>
      <c r="O537" s="204" t="str">
        <f t="shared" si="3210"/>
        <v xml:space="preserve"> </v>
      </c>
      <c r="P537" s="95" t="s">
        <v>781</v>
      </c>
      <c r="Q537" s="204" t="str">
        <f t="shared" ref="Q537:S537" si="3319">IFERROR(P537/$G537," ")</f>
        <v xml:space="preserve"> </v>
      </c>
      <c r="R537" s="95" t="s">
        <v>781</v>
      </c>
      <c r="S537" s="204" t="str">
        <f t="shared" si="3319"/>
        <v xml:space="preserve"> </v>
      </c>
      <c r="T537" s="95" t="s">
        <v>781</v>
      </c>
      <c r="U537" s="204" t="str">
        <f t="shared" ref="U537:W537" si="3320">IFERROR(T537/$G537," ")</f>
        <v xml:space="preserve"> </v>
      </c>
      <c r="V537" s="95" t="s">
        <v>781</v>
      </c>
      <c r="W537" s="204" t="str">
        <f t="shared" si="3320"/>
        <v xml:space="preserve"> </v>
      </c>
      <c r="X537" s="95" t="s">
        <v>781</v>
      </c>
      <c r="Y537" s="204" t="str">
        <f t="shared" ref="Y537:AA537" si="3321">IFERROR(X537/$G537," ")</f>
        <v xml:space="preserve"> </v>
      </c>
      <c r="Z537" s="95" t="s">
        <v>781</v>
      </c>
      <c r="AA537" s="204" t="str">
        <f t="shared" si="3321"/>
        <v xml:space="preserve"> </v>
      </c>
      <c r="AB537" s="95" t="s">
        <v>781</v>
      </c>
      <c r="AC537" s="204" t="str">
        <f t="shared" ref="AC537:AE537" si="3322">IFERROR(AB537/$G537," ")</f>
        <v xml:space="preserve"> </v>
      </c>
      <c r="AD537" s="95" t="s">
        <v>781</v>
      </c>
      <c r="AE537" s="204" t="str">
        <f t="shared" si="3322"/>
        <v xml:space="preserve"> </v>
      </c>
      <c r="AF537" s="95" t="s">
        <v>781</v>
      </c>
      <c r="AG537" s="204" t="str">
        <f t="shared" ref="AG537:AI537" si="3323">IFERROR(AF537/$G537," ")</f>
        <v xml:space="preserve"> </v>
      </c>
      <c r="AH537" s="95" t="s">
        <v>781</v>
      </c>
      <c r="AI537" s="204" t="str">
        <f t="shared" si="3323"/>
        <v xml:space="preserve"> </v>
      </c>
      <c r="AJ537" s="95" t="s">
        <v>781</v>
      </c>
      <c r="AK537" s="204" t="str">
        <f t="shared" ref="AK537:AM537" si="3324">IFERROR(AJ537/$G537," ")</f>
        <v xml:space="preserve"> </v>
      </c>
      <c r="AL537" s="95" t="s">
        <v>781</v>
      </c>
      <c r="AM537" s="204" t="str">
        <f t="shared" si="3324"/>
        <v xml:space="preserve"> </v>
      </c>
      <c r="AN537" s="95"/>
      <c r="AO537" s="94" t="str">
        <f t="shared" si="3217"/>
        <v xml:space="preserve"> </v>
      </c>
      <c r="AP537" s="94" t="str">
        <f t="shared" si="3207"/>
        <v xml:space="preserve"> </v>
      </c>
      <c r="AQ537" s="94" t="str">
        <f t="shared" si="3208"/>
        <v xml:space="preserve"> </v>
      </c>
      <c r="AR537" s="94" t="str">
        <f t="shared" si="3218"/>
        <v xml:space="preserve"> </v>
      </c>
      <c r="AS537" s="94" t="str">
        <f t="shared" si="3219"/>
        <v xml:space="preserve"> </v>
      </c>
      <c r="AT537" s="94" t="str">
        <f t="shared" si="3220"/>
        <v xml:space="preserve"> </v>
      </c>
      <c r="AU537" s="94" t="str">
        <f t="shared" si="3221"/>
        <v xml:space="preserve"> </v>
      </c>
      <c r="AV537" s="94" t="str">
        <f t="shared" si="3222"/>
        <v xml:space="preserve"> </v>
      </c>
      <c r="AW537" s="94" t="str">
        <f t="shared" si="3223"/>
        <v xml:space="preserve"> </v>
      </c>
      <c r="AX537" s="94" t="str">
        <f t="shared" si="3224"/>
        <v xml:space="preserve"> </v>
      </c>
      <c r="AY537" s="94" t="str">
        <f t="shared" si="3225"/>
        <v xml:space="preserve"> </v>
      </c>
      <c r="AZ537" s="94" t="str">
        <f t="shared" si="3226"/>
        <v xml:space="preserve"> </v>
      </c>
      <c r="BA537" s="94" t="str">
        <f t="shared" si="3227"/>
        <v xml:space="preserve"> </v>
      </c>
      <c r="BB537" s="94" t="str">
        <f t="shared" si="3228"/>
        <v xml:space="preserve"> </v>
      </c>
    </row>
    <row r="538" spans="1:54" x14ac:dyDescent="0.25">
      <c r="A538" s="80">
        <v>212</v>
      </c>
      <c r="B538" s="95" t="s">
        <v>2847</v>
      </c>
      <c r="C538" s="201" t="s">
        <v>265</v>
      </c>
      <c r="D538" s="80" t="s">
        <v>20</v>
      </c>
      <c r="E538" s="94">
        <f>IFERROR(VLOOKUP(A538,Estimate!A:Q,17,FALSE)," ")</f>
        <v>6715</v>
      </c>
      <c r="F538" s="202">
        <v>1</v>
      </c>
      <c r="G538" s="202">
        <v>1</v>
      </c>
      <c r="H538" s="203">
        <v>8435.57</v>
      </c>
      <c r="I538" s="203">
        <v>8435.57</v>
      </c>
      <c r="J538" s="203">
        <v>8435.57</v>
      </c>
      <c r="K538" s="203"/>
      <c r="L538" s="202"/>
      <c r="M538" s="204">
        <f t="shared" si="3210"/>
        <v>0</v>
      </c>
      <c r="N538" s="95"/>
      <c r="O538" s="204">
        <f t="shared" si="3210"/>
        <v>0</v>
      </c>
      <c r="P538" s="95"/>
      <c r="Q538" s="204">
        <f t="shared" ref="Q538:S538" si="3325">IFERROR(P538/$G538," ")</f>
        <v>0</v>
      </c>
      <c r="R538" s="95"/>
      <c r="S538" s="204">
        <f t="shared" si="3325"/>
        <v>0</v>
      </c>
      <c r="T538" s="95"/>
      <c r="U538" s="204">
        <f t="shared" ref="U538:W538" si="3326">IFERROR(T538/$G538," ")</f>
        <v>0</v>
      </c>
      <c r="V538" s="95"/>
      <c r="W538" s="204">
        <f t="shared" si="3326"/>
        <v>0</v>
      </c>
      <c r="X538" s="95">
        <v>0.5</v>
      </c>
      <c r="Y538" s="204">
        <f t="shared" ref="Y538:AA538" si="3327">IFERROR(X538/$G538," ")</f>
        <v>0.5</v>
      </c>
      <c r="Z538" s="95">
        <v>1</v>
      </c>
      <c r="AA538" s="204">
        <f t="shared" si="3327"/>
        <v>1</v>
      </c>
      <c r="AB538" s="95">
        <v>1</v>
      </c>
      <c r="AC538" s="204">
        <f t="shared" ref="AC538:AE538" si="3328">IFERROR(AB538/$G538," ")</f>
        <v>1</v>
      </c>
      <c r="AD538" s="95">
        <v>1</v>
      </c>
      <c r="AE538" s="204">
        <f t="shared" si="3328"/>
        <v>1</v>
      </c>
      <c r="AF538" s="95">
        <v>1</v>
      </c>
      <c r="AG538" s="204">
        <f t="shared" ref="AG538:AI538" si="3329">IFERROR(AF538/$G538," ")</f>
        <v>1</v>
      </c>
      <c r="AH538" s="95">
        <v>1</v>
      </c>
      <c r="AI538" s="204">
        <f t="shared" si="3329"/>
        <v>1</v>
      </c>
      <c r="AJ538" s="95">
        <v>1</v>
      </c>
      <c r="AK538" s="204">
        <f t="shared" ref="AK538:AM538" si="3330">IFERROR(AJ538/$G538," ")</f>
        <v>1</v>
      </c>
      <c r="AL538" s="95">
        <v>1</v>
      </c>
      <c r="AM538" s="204">
        <f t="shared" si="3330"/>
        <v>1</v>
      </c>
      <c r="AN538" s="95"/>
      <c r="AO538" s="94">
        <f t="shared" si="3217"/>
        <v>0</v>
      </c>
      <c r="AP538" s="94">
        <f t="shared" si="3207"/>
        <v>0</v>
      </c>
      <c r="AQ538" s="94">
        <f t="shared" si="3208"/>
        <v>0</v>
      </c>
      <c r="AR538" s="94">
        <f t="shared" si="3218"/>
        <v>0</v>
      </c>
      <c r="AS538" s="94">
        <f t="shared" si="3219"/>
        <v>0</v>
      </c>
      <c r="AT538" s="94">
        <f t="shared" si="3220"/>
        <v>0</v>
      </c>
      <c r="AU538" s="94">
        <f t="shared" si="3221"/>
        <v>4217.7849999999999</v>
      </c>
      <c r="AV538" s="94">
        <f t="shared" si="3222"/>
        <v>8435.57</v>
      </c>
      <c r="AW538" s="94">
        <f t="shared" si="3223"/>
        <v>8435.57</v>
      </c>
      <c r="AX538" s="94">
        <f t="shared" si="3224"/>
        <v>8435.57</v>
      </c>
      <c r="AY538" s="94">
        <f t="shared" si="3225"/>
        <v>8435.57</v>
      </c>
      <c r="AZ538" s="94">
        <f t="shared" si="3226"/>
        <v>8435.57</v>
      </c>
      <c r="BA538" s="94">
        <f t="shared" si="3227"/>
        <v>8435.57</v>
      </c>
      <c r="BB538" s="94">
        <f t="shared" si="3228"/>
        <v>8435.57</v>
      </c>
    </row>
    <row r="539" spans="1:54" x14ac:dyDescent="0.25">
      <c r="A539" s="80"/>
      <c r="B539" s="95" t="s">
        <v>2848</v>
      </c>
      <c r="C539" s="201" t="s">
        <v>77</v>
      </c>
      <c r="D539" s="80" t="s">
        <v>783</v>
      </c>
      <c r="E539" s="94" t="str">
        <f>IFERROR(VLOOKUP(A539,Estimate!A:Q,17,FALSE)," ")</f>
        <v xml:space="preserve"> </v>
      </c>
      <c r="F539" s="202" t="s">
        <v>781</v>
      </c>
      <c r="G539" s="202" t="s">
        <v>781</v>
      </c>
      <c r="H539" s="203" t="s">
        <v>781</v>
      </c>
      <c r="I539" s="203" t="s">
        <v>781</v>
      </c>
      <c r="J539" s="203" t="s">
        <v>781</v>
      </c>
      <c r="K539" s="203"/>
      <c r="L539" s="202" t="s">
        <v>781</v>
      </c>
      <c r="M539" s="204" t="str">
        <f t="shared" si="3210"/>
        <v xml:space="preserve"> </v>
      </c>
      <c r="N539" s="95" t="s">
        <v>781</v>
      </c>
      <c r="O539" s="204" t="str">
        <f t="shared" si="3210"/>
        <v xml:space="preserve"> </v>
      </c>
      <c r="P539" s="95" t="s">
        <v>781</v>
      </c>
      <c r="Q539" s="204" t="str">
        <f t="shared" ref="Q539:S539" si="3331">IFERROR(P539/$G539," ")</f>
        <v xml:space="preserve"> </v>
      </c>
      <c r="R539" s="95" t="s">
        <v>781</v>
      </c>
      <c r="S539" s="204" t="str">
        <f t="shared" si="3331"/>
        <v xml:space="preserve"> </v>
      </c>
      <c r="T539" s="95" t="s">
        <v>781</v>
      </c>
      <c r="U539" s="204" t="str">
        <f t="shared" ref="U539:W539" si="3332">IFERROR(T539/$G539," ")</f>
        <v xml:space="preserve"> </v>
      </c>
      <c r="V539" s="95" t="s">
        <v>781</v>
      </c>
      <c r="W539" s="204" t="str">
        <f t="shared" si="3332"/>
        <v xml:space="preserve"> </v>
      </c>
      <c r="X539" s="95" t="s">
        <v>781</v>
      </c>
      <c r="Y539" s="204" t="str">
        <f t="shared" ref="Y539:AA539" si="3333">IFERROR(X539/$G539," ")</f>
        <v xml:space="preserve"> </v>
      </c>
      <c r="Z539" s="95" t="s">
        <v>781</v>
      </c>
      <c r="AA539" s="204" t="str">
        <f t="shared" si="3333"/>
        <v xml:space="preserve"> </v>
      </c>
      <c r="AB539" s="95" t="s">
        <v>781</v>
      </c>
      <c r="AC539" s="204" t="str">
        <f t="shared" ref="AC539:AE539" si="3334">IFERROR(AB539/$G539," ")</f>
        <v xml:space="preserve"> </v>
      </c>
      <c r="AD539" s="95" t="s">
        <v>781</v>
      </c>
      <c r="AE539" s="204" t="str">
        <f t="shared" si="3334"/>
        <v xml:space="preserve"> </v>
      </c>
      <c r="AF539" s="95" t="s">
        <v>781</v>
      </c>
      <c r="AG539" s="204" t="str">
        <f t="shared" ref="AG539:AI539" si="3335">IFERROR(AF539/$G539," ")</f>
        <v xml:space="preserve"> </v>
      </c>
      <c r="AH539" s="95" t="s">
        <v>781</v>
      </c>
      <c r="AI539" s="204" t="str">
        <f t="shared" si="3335"/>
        <v xml:space="preserve"> </v>
      </c>
      <c r="AJ539" s="95" t="s">
        <v>781</v>
      </c>
      <c r="AK539" s="204" t="str">
        <f t="shared" ref="AK539:AM539" si="3336">IFERROR(AJ539/$G539," ")</f>
        <v xml:space="preserve"> </v>
      </c>
      <c r="AL539" s="95" t="s">
        <v>781</v>
      </c>
      <c r="AM539" s="204" t="str">
        <f t="shared" si="3336"/>
        <v xml:space="preserve"> </v>
      </c>
      <c r="AN539" s="95"/>
      <c r="AO539" s="94" t="str">
        <f t="shared" si="3217"/>
        <v xml:space="preserve"> </v>
      </c>
      <c r="AP539" s="94" t="str">
        <f t="shared" si="3207"/>
        <v xml:space="preserve"> </v>
      </c>
      <c r="AQ539" s="94" t="str">
        <f t="shared" si="3208"/>
        <v xml:space="preserve"> </v>
      </c>
      <c r="AR539" s="94" t="str">
        <f t="shared" si="3218"/>
        <v xml:space="preserve"> </v>
      </c>
      <c r="AS539" s="94" t="str">
        <f t="shared" si="3219"/>
        <v xml:space="preserve"> </v>
      </c>
      <c r="AT539" s="94" t="str">
        <f t="shared" si="3220"/>
        <v xml:space="preserve"> </v>
      </c>
      <c r="AU539" s="94" t="str">
        <f t="shared" si="3221"/>
        <v xml:space="preserve"> </v>
      </c>
      <c r="AV539" s="94" t="str">
        <f t="shared" si="3222"/>
        <v xml:space="preserve"> </v>
      </c>
      <c r="AW539" s="94" t="str">
        <f t="shared" si="3223"/>
        <v xml:space="preserve"> </v>
      </c>
      <c r="AX539" s="94" t="str">
        <f t="shared" si="3224"/>
        <v xml:space="preserve"> </v>
      </c>
      <c r="AY539" s="94" t="str">
        <f t="shared" si="3225"/>
        <v xml:space="preserve"> </v>
      </c>
      <c r="AZ539" s="94" t="str">
        <f t="shared" si="3226"/>
        <v xml:space="preserve"> </v>
      </c>
      <c r="BA539" s="94" t="str">
        <f t="shared" si="3227"/>
        <v xml:space="preserve"> </v>
      </c>
      <c r="BB539" s="94" t="str">
        <f t="shared" si="3228"/>
        <v xml:space="preserve"> </v>
      </c>
    </row>
    <row r="540" spans="1:54" ht="30" x14ac:dyDescent="0.25">
      <c r="A540" s="80">
        <v>213</v>
      </c>
      <c r="B540" s="95" t="s">
        <v>2849</v>
      </c>
      <c r="C540" s="201" t="s">
        <v>79</v>
      </c>
      <c r="D540" s="80" t="s">
        <v>62</v>
      </c>
      <c r="E540" s="94">
        <f>IFERROR(VLOOKUP(A540,Estimate!A:Q,17,FALSE)," ")</f>
        <v>4557.3111111111111</v>
      </c>
      <c r="F540" s="202">
        <v>7</v>
      </c>
      <c r="G540" s="202">
        <v>7</v>
      </c>
      <c r="H540" s="203">
        <v>817.86</v>
      </c>
      <c r="I540" s="203">
        <v>5725.02</v>
      </c>
      <c r="J540" s="203">
        <v>5725.02</v>
      </c>
      <c r="K540" s="203"/>
      <c r="L540" s="202"/>
      <c r="M540" s="204">
        <f t="shared" si="3210"/>
        <v>0</v>
      </c>
      <c r="N540" s="95"/>
      <c r="O540" s="204">
        <f t="shared" si="3210"/>
        <v>0</v>
      </c>
      <c r="P540" s="95"/>
      <c r="Q540" s="204">
        <f t="shared" ref="Q540:S540" si="3337">IFERROR(P540/$G540," ")</f>
        <v>0</v>
      </c>
      <c r="R540" s="95"/>
      <c r="S540" s="204">
        <f t="shared" si="3337"/>
        <v>0</v>
      </c>
      <c r="T540" s="95"/>
      <c r="U540" s="204">
        <f t="shared" ref="U540:W540" si="3338">IFERROR(T540/$G540," ")</f>
        <v>0</v>
      </c>
      <c r="V540" s="95"/>
      <c r="W540" s="204">
        <f t="shared" si="3338"/>
        <v>0</v>
      </c>
      <c r="X540" s="95"/>
      <c r="Y540" s="204">
        <f t="shared" ref="Y540:AA540" si="3339">IFERROR(X540/$G540," ")</f>
        <v>0</v>
      </c>
      <c r="Z540" s="95">
        <v>7</v>
      </c>
      <c r="AA540" s="204">
        <f t="shared" si="3339"/>
        <v>1</v>
      </c>
      <c r="AB540" s="95">
        <v>7</v>
      </c>
      <c r="AC540" s="204">
        <f t="shared" ref="AC540:AE540" si="3340">IFERROR(AB540/$G540," ")</f>
        <v>1</v>
      </c>
      <c r="AD540" s="95">
        <v>7</v>
      </c>
      <c r="AE540" s="204">
        <f t="shared" si="3340"/>
        <v>1</v>
      </c>
      <c r="AF540" s="95">
        <v>7</v>
      </c>
      <c r="AG540" s="204">
        <f t="shared" ref="AG540:AI540" si="3341">IFERROR(AF540/$G540," ")</f>
        <v>1</v>
      </c>
      <c r="AH540" s="95">
        <v>7</v>
      </c>
      <c r="AI540" s="204">
        <f t="shared" si="3341"/>
        <v>1</v>
      </c>
      <c r="AJ540" s="95">
        <v>7</v>
      </c>
      <c r="AK540" s="204">
        <f t="shared" ref="AK540:AM540" si="3342">IFERROR(AJ540/$G540," ")</f>
        <v>1</v>
      </c>
      <c r="AL540" s="95">
        <v>7</v>
      </c>
      <c r="AM540" s="204">
        <f t="shared" si="3342"/>
        <v>1</v>
      </c>
      <c r="AN540" s="95"/>
      <c r="AO540" s="94">
        <f t="shared" si="3217"/>
        <v>0</v>
      </c>
      <c r="AP540" s="94">
        <f t="shared" si="3207"/>
        <v>0</v>
      </c>
      <c r="AQ540" s="94">
        <f t="shared" si="3208"/>
        <v>0</v>
      </c>
      <c r="AR540" s="94">
        <f t="shared" si="3218"/>
        <v>0</v>
      </c>
      <c r="AS540" s="94">
        <f t="shared" si="3219"/>
        <v>0</v>
      </c>
      <c r="AT540" s="94">
        <f t="shared" si="3220"/>
        <v>0</v>
      </c>
      <c r="AU540" s="94">
        <f t="shared" si="3221"/>
        <v>0</v>
      </c>
      <c r="AV540" s="94">
        <f t="shared" si="3222"/>
        <v>5725.02</v>
      </c>
      <c r="AW540" s="94">
        <f t="shared" si="3223"/>
        <v>5725.02</v>
      </c>
      <c r="AX540" s="94">
        <f t="shared" si="3224"/>
        <v>5725.02</v>
      </c>
      <c r="AY540" s="94">
        <f t="shared" si="3225"/>
        <v>5725.02</v>
      </c>
      <c r="AZ540" s="94">
        <f t="shared" si="3226"/>
        <v>5725.02</v>
      </c>
      <c r="BA540" s="94">
        <f t="shared" si="3227"/>
        <v>5725.02</v>
      </c>
      <c r="BB540" s="94">
        <f t="shared" si="3228"/>
        <v>5725.02</v>
      </c>
    </row>
    <row r="541" spans="1:54" x14ac:dyDescent="0.25">
      <c r="A541" s="80">
        <v>214</v>
      </c>
      <c r="B541" s="95" t="s">
        <v>2850</v>
      </c>
      <c r="C541" s="201" t="s">
        <v>643</v>
      </c>
      <c r="D541" s="80" t="s">
        <v>89</v>
      </c>
      <c r="E541" s="94">
        <f>IFERROR(VLOOKUP(A541,Estimate!A:Q,17,FALSE)," ")</f>
        <v>12883.646666666666</v>
      </c>
      <c r="F541" s="202">
        <v>35</v>
      </c>
      <c r="G541" s="202">
        <v>35</v>
      </c>
      <c r="H541" s="203">
        <v>462.42</v>
      </c>
      <c r="I541" s="203">
        <v>16184.7</v>
      </c>
      <c r="J541" s="203">
        <v>16184.7</v>
      </c>
      <c r="K541" s="203"/>
      <c r="L541" s="202"/>
      <c r="M541" s="204">
        <f t="shared" si="3210"/>
        <v>0</v>
      </c>
      <c r="N541" s="95"/>
      <c r="O541" s="204">
        <f t="shared" si="3210"/>
        <v>0</v>
      </c>
      <c r="P541" s="95"/>
      <c r="Q541" s="204">
        <f t="shared" ref="Q541:S541" si="3343">IFERROR(P541/$G541," ")</f>
        <v>0</v>
      </c>
      <c r="R541" s="95"/>
      <c r="S541" s="204">
        <f t="shared" si="3343"/>
        <v>0</v>
      </c>
      <c r="T541" s="95">
        <v>35</v>
      </c>
      <c r="U541" s="204">
        <f t="shared" ref="U541:W541" si="3344">IFERROR(T541/$G541," ")</f>
        <v>1</v>
      </c>
      <c r="V541" s="95">
        <v>35</v>
      </c>
      <c r="W541" s="204">
        <f t="shared" si="3344"/>
        <v>1</v>
      </c>
      <c r="X541" s="95">
        <v>35</v>
      </c>
      <c r="Y541" s="204">
        <f t="shared" ref="Y541:AA541" si="3345">IFERROR(X541/$G541," ")</f>
        <v>1</v>
      </c>
      <c r="Z541" s="95">
        <v>35</v>
      </c>
      <c r="AA541" s="204">
        <f t="shared" si="3345"/>
        <v>1</v>
      </c>
      <c r="AB541" s="95">
        <v>35</v>
      </c>
      <c r="AC541" s="204">
        <f t="shared" ref="AC541:AE541" si="3346">IFERROR(AB541/$G541," ")</f>
        <v>1</v>
      </c>
      <c r="AD541" s="95">
        <v>35</v>
      </c>
      <c r="AE541" s="204">
        <f t="shared" si="3346"/>
        <v>1</v>
      </c>
      <c r="AF541" s="95">
        <v>35</v>
      </c>
      <c r="AG541" s="204">
        <f t="shared" ref="AG541:AI541" si="3347">IFERROR(AF541/$G541," ")</f>
        <v>1</v>
      </c>
      <c r="AH541" s="95">
        <v>35</v>
      </c>
      <c r="AI541" s="204">
        <f t="shared" si="3347"/>
        <v>1</v>
      </c>
      <c r="AJ541" s="95">
        <v>35</v>
      </c>
      <c r="AK541" s="204">
        <f t="shared" ref="AK541:AM541" si="3348">IFERROR(AJ541/$G541," ")</f>
        <v>1</v>
      </c>
      <c r="AL541" s="95">
        <v>35</v>
      </c>
      <c r="AM541" s="204">
        <f t="shared" si="3348"/>
        <v>1</v>
      </c>
      <c r="AN541" s="95"/>
      <c r="AO541" s="94">
        <f t="shared" si="3217"/>
        <v>0</v>
      </c>
      <c r="AP541" s="94">
        <f t="shared" si="3207"/>
        <v>0</v>
      </c>
      <c r="AQ541" s="94">
        <f t="shared" si="3208"/>
        <v>0</v>
      </c>
      <c r="AR541" s="94">
        <f t="shared" si="3218"/>
        <v>0</v>
      </c>
      <c r="AS541" s="94">
        <f t="shared" si="3219"/>
        <v>16184.7</v>
      </c>
      <c r="AT541" s="94">
        <f t="shared" si="3220"/>
        <v>16184.7</v>
      </c>
      <c r="AU541" s="94">
        <f t="shared" si="3221"/>
        <v>16184.7</v>
      </c>
      <c r="AV541" s="94">
        <f t="shared" si="3222"/>
        <v>16184.7</v>
      </c>
      <c r="AW541" s="94">
        <f t="shared" si="3223"/>
        <v>16184.7</v>
      </c>
      <c r="AX541" s="94">
        <f t="shared" si="3224"/>
        <v>16184.7</v>
      </c>
      <c r="AY541" s="94">
        <f t="shared" si="3225"/>
        <v>16184.7</v>
      </c>
      <c r="AZ541" s="94">
        <f t="shared" si="3226"/>
        <v>16184.7</v>
      </c>
      <c r="BA541" s="94">
        <f t="shared" si="3227"/>
        <v>16184.7</v>
      </c>
      <c r="BB541" s="94">
        <f t="shared" si="3228"/>
        <v>16184.7</v>
      </c>
    </row>
    <row r="542" spans="1:54" x14ac:dyDescent="0.25">
      <c r="A542" s="80"/>
      <c r="B542" s="95" t="s">
        <v>2851</v>
      </c>
      <c r="C542" s="201" t="s">
        <v>94</v>
      </c>
      <c r="D542" s="80" t="s">
        <v>783</v>
      </c>
      <c r="E542" s="94" t="str">
        <f>IFERROR(VLOOKUP(A542,Estimate!A:Q,17,FALSE)," ")</f>
        <v xml:space="preserve"> </v>
      </c>
      <c r="F542" s="202" t="s">
        <v>781</v>
      </c>
      <c r="G542" s="202" t="s">
        <v>781</v>
      </c>
      <c r="H542" s="203" t="s">
        <v>781</v>
      </c>
      <c r="I542" s="203" t="s">
        <v>781</v>
      </c>
      <c r="J542" s="203" t="s">
        <v>781</v>
      </c>
      <c r="K542" s="203"/>
      <c r="L542" s="202" t="s">
        <v>781</v>
      </c>
      <c r="M542" s="204" t="str">
        <f t="shared" si="3210"/>
        <v xml:space="preserve"> </v>
      </c>
      <c r="N542" s="95" t="s">
        <v>781</v>
      </c>
      <c r="O542" s="204" t="str">
        <f t="shared" si="3210"/>
        <v xml:space="preserve"> </v>
      </c>
      <c r="P542" s="95" t="s">
        <v>781</v>
      </c>
      <c r="Q542" s="204" t="str">
        <f t="shared" ref="Q542:S542" si="3349">IFERROR(P542/$G542," ")</f>
        <v xml:space="preserve"> </v>
      </c>
      <c r="R542" s="95" t="s">
        <v>781</v>
      </c>
      <c r="S542" s="204" t="str">
        <f t="shared" si="3349"/>
        <v xml:space="preserve"> </v>
      </c>
      <c r="T542" s="95" t="s">
        <v>781</v>
      </c>
      <c r="U542" s="204" t="str">
        <f t="shared" ref="U542:W542" si="3350">IFERROR(T542/$G542," ")</f>
        <v xml:space="preserve"> </v>
      </c>
      <c r="V542" s="95" t="s">
        <v>781</v>
      </c>
      <c r="W542" s="204" t="str">
        <f t="shared" si="3350"/>
        <v xml:space="preserve"> </v>
      </c>
      <c r="X542" s="95" t="s">
        <v>781</v>
      </c>
      <c r="Y542" s="204" t="str">
        <f t="shared" ref="Y542:AA542" si="3351">IFERROR(X542/$G542," ")</f>
        <v xml:space="preserve"> </v>
      </c>
      <c r="Z542" s="95" t="s">
        <v>781</v>
      </c>
      <c r="AA542" s="204" t="str">
        <f t="shared" si="3351"/>
        <v xml:space="preserve"> </v>
      </c>
      <c r="AB542" s="95" t="s">
        <v>781</v>
      </c>
      <c r="AC542" s="204" t="str">
        <f t="shared" ref="AC542:AE542" si="3352">IFERROR(AB542/$G542," ")</f>
        <v xml:space="preserve"> </v>
      </c>
      <c r="AD542" s="95" t="s">
        <v>781</v>
      </c>
      <c r="AE542" s="204" t="str">
        <f t="shared" si="3352"/>
        <v xml:space="preserve"> </v>
      </c>
      <c r="AF542" s="95" t="s">
        <v>781</v>
      </c>
      <c r="AG542" s="204" t="str">
        <f t="shared" ref="AG542:AI542" si="3353">IFERROR(AF542/$G542," ")</f>
        <v xml:space="preserve"> </v>
      </c>
      <c r="AH542" s="95" t="s">
        <v>781</v>
      </c>
      <c r="AI542" s="204" t="str">
        <f t="shared" si="3353"/>
        <v xml:space="preserve"> </v>
      </c>
      <c r="AJ542" s="95" t="s">
        <v>781</v>
      </c>
      <c r="AK542" s="204" t="str">
        <f t="shared" ref="AK542:AM542" si="3354">IFERROR(AJ542/$G542," ")</f>
        <v xml:space="preserve"> </v>
      </c>
      <c r="AL542" s="95" t="s">
        <v>781</v>
      </c>
      <c r="AM542" s="204" t="str">
        <f t="shared" si="3354"/>
        <v xml:space="preserve"> </v>
      </c>
      <c r="AN542" s="95"/>
      <c r="AO542" s="94" t="str">
        <f t="shared" si="3217"/>
        <v xml:space="preserve"> </v>
      </c>
      <c r="AP542" s="94" t="str">
        <f t="shared" si="3207"/>
        <v xml:space="preserve"> </v>
      </c>
      <c r="AQ542" s="94" t="str">
        <f t="shared" si="3208"/>
        <v xml:space="preserve"> </v>
      </c>
      <c r="AR542" s="94" t="str">
        <f t="shared" si="3218"/>
        <v xml:space="preserve"> </v>
      </c>
      <c r="AS542" s="94" t="str">
        <f t="shared" si="3219"/>
        <v xml:space="preserve"> </v>
      </c>
      <c r="AT542" s="94" t="str">
        <f t="shared" si="3220"/>
        <v xml:space="preserve"> </v>
      </c>
      <c r="AU542" s="94" t="str">
        <f t="shared" si="3221"/>
        <v xml:space="preserve"> </v>
      </c>
      <c r="AV542" s="94" t="str">
        <f t="shared" si="3222"/>
        <v xml:space="preserve"> </v>
      </c>
      <c r="AW542" s="94" t="str">
        <f t="shared" si="3223"/>
        <v xml:space="preserve"> </v>
      </c>
      <c r="AX542" s="94" t="str">
        <f t="shared" si="3224"/>
        <v xml:space="preserve"> </v>
      </c>
      <c r="AY542" s="94" t="str">
        <f t="shared" si="3225"/>
        <v xml:space="preserve"> </v>
      </c>
      <c r="AZ542" s="94" t="str">
        <f t="shared" si="3226"/>
        <v xml:space="preserve"> </v>
      </c>
      <c r="BA542" s="94" t="str">
        <f t="shared" si="3227"/>
        <v xml:space="preserve"> </v>
      </c>
      <c r="BB542" s="94" t="str">
        <f t="shared" si="3228"/>
        <v xml:space="preserve"> </v>
      </c>
    </row>
    <row r="543" spans="1:54" x14ac:dyDescent="0.25">
      <c r="A543" s="80">
        <v>215</v>
      </c>
      <c r="B543" s="95" t="s">
        <v>2870</v>
      </c>
      <c r="C543" s="201" t="s">
        <v>382</v>
      </c>
      <c r="D543" s="80" t="s">
        <v>29</v>
      </c>
      <c r="E543" s="94">
        <f>IFERROR(VLOOKUP(A543,Estimate!A:Q,17,FALSE)," ")</f>
        <v>3505</v>
      </c>
      <c r="F543" s="202">
        <v>1</v>
      </c>
      <c r="G543" s="202">
        <v>1</v>
      </c>
      <c r="H543" s="203">
        <v>4403.08</v>
      </c>
      <c r="I543" s="203">
        <v>4403.08</v>
      </c>
      <c r="J543" s="203">
        <v>4403.08</v>
      </c>
      <c r="K543" s="203"/>
      <c r="L543" s="202"/>
      <c r="M543" s="204">
        <f t="shared" si="3210"/>
        <v>0</v>
      </c>
      <c r="N543" s="95"/>
      <c r="O543" s="204">
        <f t="shared" si="3210"/>
        <v>0</v>
      </c>
      <c r="P543" s="95"/>
      <c r="Q543" s="204">
        <f t="shared" ref="Q543:S543" si="3355">IFERROR(P543/$G543," ")</f>
        <v>0</v>
      </c>
      <c r="R543" s="95"/>
      <c r="S543" s="204">
        <f t="shared" si="3355"/>
        <v>0</v>
      </c>
      <c r="T543" s="95"/>
      <c r="U543" s="204">
        <f t="shared" ref="U543:W543" si="3356">IFERROR(T543/$G543," ")</f>
        <v>0</v>
      </c>
      <c r="V543" s="95"/>
      <c r="W543" s="204">
        <f t="shared" si="3356"/>
        <v>0</v>
      </c>
      <c r="X543" s="95">
        <v>0.5</v>
      </c>
      <c r="Y543" s="204">
        <f t="shared" ref="Y543:AA543" si="3357">IFERROR(X543/$G543," ")</f>
        <v>0.5</v>
      </c>
      <c r="Z543" s="95">
        <v>1</v>
      </c>
      <c r="AA543" s="204">
        <f t="shared" si="3357"/>
        <v>1</v>
      </c>
      <c r="AB543" s="95">
        <v>1</v>
      </c>
      <c r="AC543" s="204">
        <f t="shared" ref="AC543:AE543" si="3358">IFERROR(AB543/$G543," ")</f>
        <v>1</v>
      </c>
      <c r="AD543" s="95">
        <v>1</v>
      </c>
      <c r="AE543" s="204">
        <f t="shared" si="3358"/>
        <v>1</v>
      </c>
      <c r="AF543" s="95">
        <v>1</v>
      </c>
      <c r="AG543" s="204">
        <f t="shared" ref="AG543:AI543" si="3359">IFERROR(AF543/$G543," ")</f>
        <v>1</v>
      </c>
      <c r="AH543" s="95">
        <v>1</v>
      </c>
      <c r="AI543" s="204">
        <f t="shared" si="3359"/>
        <v>1</v>
      </c>
      <c r="AJ543" s="95">
        <v>1</v>
      </c>
      <c r="AK543" s="204">
        <f t="shared" ref="AK543:AM543" si="3360">IFERROR(AJ543/$G543," ")</f>
        <v>1</v>
      </c>
      <c r="AL543" s="95">
        <v>1</v>
      </c>
      <c r="AM543" s="204">
        <f t="shared" si="3360"/>
        <v>1</v>
      </c>
      <c r="AN543" s="95"/>
      <c r="AO543" s="94">
        <f t="shared" si="3217"/>
        <v>0</v>
      </c>
      <c r="AP543" s="94">
        <f t="shared" si="3207"/>
        <v>0</v>
      </c>
      <c r="AQ543" s="94">
        <f t="shared" si="3208"/>
        <v>0</v>
      </c>
      <c r="AR543" s="94">
        <f t="shared" si="3218"/>
        <v>0</v>
      </c>
      <c r="AS543" s="94">
        <f t="shared" si="3219"/>
        <v>0</v>
      </c>
      <c r="AT543" s="94">
        <f t="shared" si="3220"/>
        <v>0</v>
      </c>
      <c r="AU543" s="94">
        <f t="shared" si="3221"/>
        <v>2201.54</v>
      </c>
      <c r="AV543" s="94">
        <f t="shared" si="3222"/>
        <v>4403.08</v>
      </c>
      <c r="AW543" s="94">
        <f t="shared" si="3223"/>
        <v>4403.08</v>
      </c>
      <c r="AX543" s="94">
        <f t="shared" si="3224"/>
        <v>4403.08</v>
      </c>
      <c r="AY543" s="94">
        <f t="shared" si="3225"/>
        <v>4403.08</v>
      </c>
      <c r="AZ543" s="94">
        <f t="shared" si="3226"/>
        <v>4403.08</v>
      </c>
      <c r="BA543" s="94">
        <f t="shared" si="3227"/>
        <v>4403.08</v>
      </c>
      <c r="BB543" s="94">
        <f t="shared" si="3228"/>
        <v>4403.08</v>
      </c>
    </row>
    <row r="544" spans="1:54" x14ac:dyDescent="0.25">
      <c r="A544" s="80"/>
      <c r="B544" s="95" t="s">
        <v>2853</v>
      </c>
      <c r="C544" s="201" t="s">
        <v>98</v>
      </c>
      <c r="D544" s="80" t="s">
        <v>783</v>
      </c>
      <c r="E544" s="94" t="str">
        <f>IFERROR(VLOOKUP(A544,Estimate!A:Q,17,FALSE)," ")</f>
        <v xml:space="preserve"> </v>
      </c>
      <c r="F544" s="202" t="s">
        <v>781</v>
      </c>
      <c r="G544" s="202" t="s">
        <v>781</v>
      </c>
      <c r="H544" s="203" t="s">
        <v>781</v>
      </c>
      <c r="I544" s="203" t="s">
        <v>781</v>
      </c>
      <c r="J544" s="203" t="s">
        <v>781</v>
      </c>
      <c r="K544" s="203"/>
      <c r="L544" s="202" t="s">
        <v>781</v>
      </c>
      <c r="M544" s="204" t="str">
        <f t="shared" si="3210"/>
        <v xml:space="preserve"> </v>
      </c>
      <c r="N544" s="95" t="s">
        <v>781</v>
      </c>
      <c r="O544" s="204" t="str">
        <f t="shared" si="3210"/>
        <v xml:space="preserve"> </v>
      </c>
      <c r="P544" s="95" t="s">
        <v>781</v>
      </c>
      <c r="Q544" s="204" t="str">
        <f t="shared" ref="Q544:S544" si="3361">IFERROR(P544/$G544," ")</f>
        <v xml:space="preserve"> </v>
      </c>
      <c r="R544" s="95" t="s">
        <v>781</v>
      </c>
      <c r="S544" s="204" t="str">
        <f t="shared" si="3361"/>
        <v xml:space="preserve"> </v>
      </c>
      <c r="T544" s="95" t="s">
        <v>781</v>
      </c>
      <c r="U544" s="204" t="str">
        <f t="shared" ref="U544:W544" si="3362">IFERROR(T544/$G544," ")</f>
        <v xml:space="preserve"> </v>
      </c>
      <c r="V544" s="95" t="s">
        <v>781</v>
      </c>
      <c r="W544" s="204" t="str">
        <f t="shared" si="3362"/>
        <v xml:space="preserve"> </v>
      </c>
      <c r="X544" s="95" t="s">
        <v>781</v>
      </c>
      <c r="Y544" s="204" t="str">
        <f t="shared" ref="Y544:AA544" si="3363">IFERROR(X544/$G544," ")</f>
        <v xml:space="preserve"> </v>
      </c>
      <c r="Z544" s="95" t="s">
        <v>781</v>
      </c>
      <c r="AA544" s="204" t="str">
        <f t="shared" si="3363"/>
        <v xml:space="preserve"> </v>
      </c>
      <c r="AB544" s="95" t="s">
        <v>781</v>
      </c>
      <c r="AC544" s="204" t="str">
        <f t="shared" ref="AC544:AE544" si="3364">IFERROR(AB544/$G544," ")</f>
        <v xml:space="preserve"> </v>
      </c>
      <c r="AD544" s="95" t="s">
        <v>781</v>
      </c>
      <c r="AE544" s="204" t="str">
        <f t="shared" si="3364"/>
        <v xml:space="preserve"> </v>
      </c>
      <c r="AF544" s="95" t="s">
        <v>781</v>
      </c>
      <c r="AG544" s="204" t="str">
        <f t="shared" ref="AG544:AI544" si="3365">IFERROR(AF544/$G544," ")</f>
        <v xml:space="preserve"> </v>
      </c>
      <c r="AH544" s="95" t="s">
        <v>781</v>
      </c>
      <c r="AI544" s="204" t="str">
        <f t="shared" si="3365"/>
        <v xml:space="preserve"> </v>
      </c>
      <c r="AJ544" s="95" t="s">
        <v>781</v>
      </c>
      <c r="AK544" s="204" t="str">
        <f t="shared" ref="AK544:AM544" si="3366">IFERROR(AJ544/$G544," ")</f>
        <v xml:space="preserve"> </v>
      </c>
      <c r="AL544" s="95" t="s">
        <v>781</v>
      </c>
      <c r="AM544" s="204" t="str">
        <f t="shared" si="3366"/>
        <v xml:space="preserve"> </v>
      </c>
      <c r="AN544" s="95"/>
      <c r="AO544" s="94" t="str">
        <f t="shared" si="3217"/>
        <v xml:space="preserve"> </v>
      </c>
      <c r="AP544" s="94" t="str">
        <f t="shared" si="3207"/>
        <v xml:space="preserve"> </v>
      </c>
      <c r="AQ544" s="94" t="str">
        <f t="shared" si="3208"/>
        <v xml:space="preserve"> </v>
      </c>
      <c r="AR544" s="94" t="str">
        <f t="shared" si="3218"/>
        <v xml:space="preserve"> </v>
      </c>
      <c r="AS544" s="94" t="str">
        <f t="shared" si="3219"/>
        <v xml:space="preserve"> </v>
      </c>
      <c r="AT544" s="94" t="str">
        <f t="shared" si="3220"/>
        <v xml:space="preserve"> </v>
      </c>
      <c r="AU544" s="94" t="str">
        <f t="shared" si="3221"/>
        <v xml:space="preserve"> </v>
      </c>
      <c r="AV544" s="94" t="str">
        <f t="shared" si="3222"/>
        <v xml:space="preserve"> </v>
      </c>
      <c r="AW544" s="94" t="str">
        <f t="shared" si="3223"/>
        <v xml:space="preserve"> </v>
      </c>
      <c r="AX544" s="94" t="str">
        <f t="shared" si="3224"/>
        <v xml:space="preserve"> </v>
      </c>
      <c r="AY544" s="94" t="str">
        <f t="shared" si="3225"/>
        <v xml:space="preserve"> </v>
      </c>
      <c r="AZ544" s="94" t="str">
        <f t="shared" si="3226"/>
        <v xml:space="preserve"> </v>
      </c>
      <c r="BA544" s="94" t="str">
        <f t="shared" si="3227"/>
        <v xml:space="preserve"> </v>
      </c>
      <c r="BB544" s="94" t="str">
        <f t="shared" si="3228"/>
        <v xml:space="preserve"> </v>
      </c>
    </row>
    <row r="545" spans="1:54" x14ac:dyDescent="0.25">
      <c r="A545" s="80">
        <v>216</v>
      </c>
      <c r="B545" s="95" t="s">
        <v>2872</v>
      </c>
      <c r="C545" s="201" t="s">
        <v>195</v>
      </c>
      <c r="D545" s="80" t="s">
        <v>89</v>
      </c>
      <c r="E545" s="94">
        <f>IFERROR(VLOOKUP(A545,Estimate!A:Q,17,FALSE)," ")</f>
        <v>7442.8232558139534</v>
      </c>
      <c r="F545" s="202">
        <v>140</v>
      </c>
      <c r="G545" s="202">
        <v>140</v>
      </c>
      <c r="H545" s="203">
        <v>66.78</v>
      </c>
      <c r="I545" s="203">
        <v>9349.2000000000007</v>
      </c>
      <c r="J545" s="203">
        <v>9349.2000000000007</v>
      </c>
      <c r="K545" s="203"/>
      <c r="L545" s="202"/>
      <c r="M545" s="204">
        <f t="shared" si="3210"/>
        <v>0</v>
      </c>
      <c r="N545" s="95"/>
      <c r="O545" s="204">
        <f t="shared" si="3210"/>
        <v>0</v>
      </c>
      <c r="P545" s="95"/>
      <c r="Q545" s="204">
        <f t="shared" ref="Q545:S545" si="3367">IFERROR(P545/$G545," ")</f>
        <v>0</v>
      </c>
      <c r="R545" s="95"/>
      <c r="S545" s="204">
        <f t="shared" si="3367"/>
        <v>0</v>
      </c>
      <c r="T545" s="95"/>
      <c r="U545" s="204">
        <f t="shared" ref="U545:W545" si="3368">IFERROR(T545/$G545," ")</f>
        <v>0</v>
      </c>
      <c r="V545" s="95"/>
      <c r="W545" s="204">
        <f t="shared" si="3368"/>
        <v>0</v>
      </c>
      <c r="X545" s="95">
        <v>140</v>
      </c>
      <c r="Y545" s="204">
        <f t="shared" ref="Y545:AA545" si="3369">IFERROR(X545/$G545," ")</f>
        <v>1</v>
      </c>
      <c r="Z545" s="95">
        <v>140</v>
      </c>
      <c r="AA545" s="204">
        <f t="shared" si="3369"/>
        <v>1</v>
      </c>
      <c r="AB545" s="95">
        <v>140</v>
      </c>
      <c r="AC545" s="204">
        <f t="shared" ref="AC545:AE545" si="3370">IFERROR(AB545/$G545," ")</f>
        <v>1</v>
      </c>
      <c r="AD545" s="95">
        <v>140</v>
      </c>
      <c r="AE545" s="204">
        <f t="shared" si="3370"/>
        <v>1</v>
      </c>
      <c r="AF545" s="95">
        <v>140</v>
      </c>
      <c r="AG545" s="204">
        <f t="shared" ref="AG545:AI545" si="3371">IFERROR(AF545/$G545," ")</f>
        <v>1</v>
      </c>
      <c r="AH545" s="95">
        <v>140</v>
      </c>
      <c r="AI545" s="204">
        <f t="shared" si="3371"/>
        <v>1</v>
      </c>
      <c r="AJ545" s="95">
        <v>140</v>
      </c>
      <c r="AK545" s="204">
        <f t="shared" ref="AK545:AM545" si="3372">IFERROR(AJ545/$G545," ")</f>
        <v>1</v>
      </c>
      <c r="AL545" s="95">
        <v>140</v>
      </c>
      <c r="AM545" s="204">
        <f t="shared" si="3372"/>
        <v>1</v>
      </c>
      <c r="AN545" s="95"/>
      <c r="AO545" s="94">
        <f t="shared" si="3217"/>
        <v>0</v>
      </c>
      <c r="AP545" s="94">
        <f t="shared" si="3207"/>
        <v>0</v>
      </c>
      <c r="AQ545" s="94">
        <f t="shared" si="3208"/>
        <v>0</v>
      </c>
      <c r="AR545" s="94">
        <f t="shared" si="3218"/>
        <v>0</v>
      </c>
      <c r="AS545" s="94">
        <f t="shared" si="3219"/>
        <v>0</v>
      </c>
      <c r="AT545" s="94">
        <f t="shared" si="3220"/>
        <v>0</v>
      </c>
      <c r="AU545" s="94">
        <f t="shared" si="3221"/>
        <v>9349.2000000000007</v>
      </c>
      <c r="AV545" s="94">
        <f t="shared" si="3222"/>
        <v>9349.2000000000007</v>
      </c>
      <c r="AW545" s="94">
        <f t="shared" si="3223"/>
        <v>9349.2000000000007</v>
      </c>
      <c r="AX545" s="94">
        <f t="shared" si="3224"/>
        <v>9349.2000000000007</v>
      </c>
      <c r="AY545" s="94">
        <f t="shared" si="3225"/>
        <v>9349.2000000000007</v>
      </c>
      <c r="AZ545" s="94">
        <f t="shared" si="3226"/>
        <v>9349.2000000000007</v>
      </c>
      <c r="BA545" s="94">
        <f t="shared" si="3227"/>
        <v>9349.2000000000007</v>
      </c>
      <c r="BB545" s="94">
        <f t="shared" si="3228"/>
        <v>9349.2000000000007</v>
      </c>
    </row>
    <row r="546" spans="1:54" x14ac:dyDescent="0.25">
      <c r="A546" s="80"/>
      <c r="B546" s="95" t="s">
        <v>2417</v>
      </c>
      <c r="C546" s="201" t="s">
        <v>2837</v>
      </c>
      <c r="D546" s="80" t="s">
        <v>783</v>
      </c>
      <c r="E546" s="94" t="str">
        <f>IFERROR(VLOOKUP(A546,Estimate!A:Q,17,FALSE)," ")</f>
        <v xml:space="preserve"> </v>
      </c>
      <c r="F546" s="202" t="s">
        <v>781</v>
      </c>
      <c r="G546" s="202" t="s">
        <v>781</v>
      </c>
      <c r="H546" s="203" t="s">
        <v>781</v>
      </c>
      <c r="I546" s="203" t="s">
        <v>781</v>
      </c>
      <c r="J546" s="203" t="s">
        <v>781</v>
      </c>
      <c r="K546" s="203"/>
      <c r="L546" s="202" t="s">
        <v>781</v>
      </c>
      <c r="M546" s="204" t="str">
        <f t="shared" si="3210"/>
        <v xml:space="preserve"> </v>
      </c>
      <c r="N546" s="95" t="s">
        <v>781</v>
      </c>
      <c r="O546" s="204" t="str">
        <f t="shared" si="3210"/>
        <v xml:space="preserve"> </v>
      </c>
      <c r="P546" s="95" t="s">
        <v>781</v>
      </c>
      <c r="Q546" s="204" t="str">
        <f t="shared" ref="Q546:S546" si="3373">IFERROR(P546/$G546," ")</f>
        <v xml:space="preserve"> </v>
      </c>
      <c r="R546" s="95" t="s">
        <v>781</v>
      </c>
      <c r="S546" s="204" t="str">
        <f t="shared" si="3373"/>
        <v xml:space="preserve"> </v>
      </c>
      <c r="T546" s="95" t="s">
        <v>781</v>
      </c>
      <c r="U546" s="204" t="str">
        <f t="shared" ref="U546:W546" si="3374">IFERROR(T546/$G546," ")</f>
        <v xml:space="preserve"> </v>
      </c>
      <c r="V546" s="95" t="s">
        <v>781</v>
      </c>
      <c r="W546" s="204" t="str">
        <f t="shared" si="3374"/>
        <v xml:space="preserve"> </v>
      </c>
      <c r="X546" s="95" t="s">
        <v>781</v>
      </c>
      <c r="Y546" s="204" t="str">
        <f t="shared" ref="Y546:AA546" si="3375">IFERROR(X546/$G546," ")</f>
        <v xml:space="preserve"> </v>
      </c>
      <c r="Z546" s="95" t="s">
        <v>781</v>
      </c>
      <c r="AA546" s="204" t="str">
        <f t="shared" si="3375"/>
        <v xml:space="preserve"> </v>
      </c>
      <c r="AB546" s="95" t="s">
        <v>781</v>
      </c>
      <c r="AC546" s="204" t="str">
        <f t="shared" ref="AC546:AE546" si="3376">IFERROR(AB546/$G546," ")</f>
        <v xml:space="preserve"> </v>
      </c>
      <c r="AD546" s="95" t="s">
        <v>781</v>
      </c>
      <c r="AE546" s="204" t="str">
        <f t="shared" si="3376"/>
        <v xml:space="preserve"> </v>
      </c>
      <c r="AF546" s="95" t="s">
        <v>781</v>
      </c>
      <c r="AG546" s="204" t="str">
        <f t="shared" ref="AG546:AI546" si="3377">IFERROR(AF546/$G546," ")</f>
        <v xml:space="preserve"> </v>
      </c>
      <c r="AH546" s="95" t="s">
        <v>781</v>
      </c>
      <c r="AI546" s="204" t="str">
        <f t="shared" si="3377"/>
        <v xml:space="preserve"> </v>
      </c>
      <c r="AJ546" s="95" t="s">
        <v>781</v>
      </c>
      <c r="AK546" s="204" t="str">
        <f t="shared" ref="AK546:AM546" si="3378">IFERROR(AJ546/$G546," ")</f>
        <v xml:space="preserve"> </v>
      </c>
      <c r="AL546" s="95" t="s">
        <v>781</v>
      </c>
      <c r="AM546" s="204" t="str">
        <f t="shared" si="3378"/>
        <v xml:space="preserve"> </v>
      </c>
      <c r="AN546" s="95"/>
      <c r="AO546" s="94" t="str">
        <f t="shared" si="3217"/>
        <v xml:space="preserve"> </v>
      </c>
      <c r="AP546" s="94" t="str">
        <f t="shared" si="3207"/>
        <v xml:space="preserve"> </v>
      </c>
      <c r="AQ546" s="94" t="str">
        <f t="shared" si="3208"/>
        <v xml:space="preserve"> </v>
      </c>
      <c r="AR546" s="94" t="str">
        <f t="shared" si="3218"/>
        <v xml:space="preserve"> </v>
      </c>
      <c r="AS546" s="94" t="str">
        <f t="shared" si="3219"/>
        <v xml:space="preserve"> </v>
      </c>
      <c r="AT546" s="94" t="str">
        <f t="shared" si="3220"/>
        <v xml:space="preserve"> </v>
      </c>
      <c r="AU546" s="94" t="str">
        <f t="shared" si="3221"/>
        <v xml:space="preserve"> </v>
      </c>
      <c r="AV546" s="94" t="str">
        <f t="shared" si="3222"/>
        <v xml:space="preserve"> </v>
      </c>
      <c r="AW546" s="94" t="str">
        <f t="shared" si="3223"/>
        <v xml:space="preserve"> </v>
      </c>
      <c r="AX546" s="94" t="str">
        <f t="shared" si="3224"/>
        <v xml:space="preserve"> </v>
      </c>
      <c r="AY546" s="94" t="str">
        <f t="shared" si="3225"/>
        <v xml:space="preserve"> </v>
      </c>
      <c r="AZ546" s="94" t="str">
        <f t="shared" si="3226"/>
        <v xml:space="preserve"> </v>
      </c>
      <c r="BA546" s="94" t="str">
        <f t="shared" si="3227"/>
        <v xml:space="preserve"> </v>
      </c>
      <c r="BB546" s="94" t="str">
        <f t="shared" si="3228"/>
        <v xml:space="preserve"> </v>
      </c>
    </row>
    <row r="547" spans="1:54" x14ac:dyDescent="0.25">
      <c r="A547" s="80"/>
      <c r="B547" s="95" t="s">
        <v>2417</v>
      </c>
      <c r="C547" s="201" t="s">
        <v>204</v>
      </c>
      <c r="D547" s="80" t="s">
        <v>783</v>
      </c>
      <c r="E547" s="94" t="str">
        <f>IFERROR(VLOOKUP(A547,Estimate!A:Q,17,FALSE)," ")</f>
        <v xml:space="preserve"> </v>
      </c>
      <c r="F547" s="202" t="s">
        <v>781</v>
      </c>
      <c r="G547" s="202" t="s">
        <v>781</v>
      </c>
      <c r="H547" s="203" t="s">
        <v>781</v>
      </c>
      <c r="I547" s="203" t="s">
        <v>781</v>
      </c>
      <c r="J547" s="203" t="s">
        <v>781</v>
      </c>
      <c r="K547" s="203"/>
      <c r="L547" s="202" t="s">
        <v>781</v>
      </c>
      <c r="M547" s="204" t="str">
        <f t="shared" si="3210"/>
        <v xml:space="preserve"> </v>
      </c>
      <c r="N547" s="95" t="s">
        <v>781</v>
      </c>
      <c r="O547" s="204" t="str">
        <f t="shared" si="3210"/>
        <v xml:space="preserve"> </v>
      </c>
      <c r="P547" s="95" t="s">
        <v>781</v>
      </c>
      <c r="Q547" s="204" t="str">
        <f t="shared" ref="Q547:S547" si="3379">IFERROR(P547/$G547," ")</f>
        <v xml:space="preserve"> </v>
      </c>
      <c r="R547" s="95" t="s">
        <v>781</v>
      </c>
      <c r="S547" s="204" t="str">
        <f t="shared" si="3379"/>
        <v xml:space="preserve"> </v>
      </c>
      <c r="T547" s="95" t="s">
        <v>781</v>
      </c>
      <c r="U547" s="204" t="str">
        <f t="shared" ref="U547:W547" si="3380">IFERROR(T547/$G547," ")</f>
        <v xml:space="preserve"> </v>
      </c>
      <c r="V547" s="95" t="s">
        <v>781</v>
      </c>
      <c r="W547" s="204" t="str">
        <f t="shared" si="3380"/>
        <v xml:space="preserve"> </v>
      </c>
      <c r="X547" s="95" t="s">
        <v>781</v>
      </c>
      <c r="Y547" s="204" t="str">
        <f t="shared" ref="Y547:AA547" si="3381">IFERROR(X547/$G547," ")</f>
        <v xml:space="preserve"> </v>
      </c>
      <c r="Z547" s="95" t="s">
        <v>781</v>
      </c>
      <c r="AA547" s="204" t="str">
        <f t="shared" si="3381"/>
        <v xml:space="preserve"> </v>
      </c>
      <c r="AB547" s="95" t="s">
        <v>781</v>
      </c>
      <c r="AC547" s="204" t="str">
        <f t="shared" ref="AC547:AE547" si="3382">IFERROR(AB547/$G547," ")</f>
        <v xml:space="preserve"> </v>
      </c>
      <c r="AD547" s="95" t="s">
        <v>781</v>
      </c>
      <c r="AE547" s="204" t="str">
        <f t="shared" si="3382"/>
        <v xml:space="preserve"> </v>
      </c>
      <c r="AF547" s="95" t="s">
        <v>781</v>
      </c>
      <c r="AG547" s="204" t="str">
        <f t="shared" ref="AG547:AI547" si="3383">IFERROR(AF547/$G547," ")</f>
        <v xml:space="preserve"> </v>
      </c>
      <c r="AH547" s="95" t="s">
        <v>781</v>
      </c>
      <c r="AI547" s="204" t="str">
        <f t="shared" si="3383"/>
        <v xml:space="preserve"> </v>
      </c>
      <c r="AJ547" s="95" t="s">
        <v>781</v>
      </c>
      <c r="AK547" s="204" t="str">
        <f t="shared" ref="AK547:AM547" si="3384">IFERROR(AJ547/$G547," ")</f>
        <v xml:space="preserve"> </v>
      </c>
      <c r="AL547" s="95" t="s">
        <v>781</v>
      </c>
      <c r="AM547" s="204" t="str">
        <f t="shared" si="3384"/>
        <v xml:space="preserve"> </v>
      </c>
      <c r="AN547" s="95"/>
      <c r="AO547" s="94" t="str">
        <f t="shared" si="3217"/>
        <v xml:space="preserve"> </v>
      </c>
      <c r="AP547" s="94" t="str">
        <f t="shared" si="3207"/>
        <v xml:space="preserve"> </v>
      </c>
      <c r="AQ547" s="94" t="str">
        <f t="shared" si="3208"/>
        <v xml:space="preserve"> </v>
      </c>
      <c r="AR547" s="94" t="str">
        <f t="shared" si="3218"/>
        <v xml:space="preserve"> </v>
      </c>
      <c r="AS547" s="94" t="str">
        <f t="shared" si="3219"/>
        <v xml:space="preserve"> </v>
      </c>
      <c r="AT547" s="94" t="str">
        <f t="shared" si="3220"/>
        <v xml:space="preserve"> </v>
      </c>
      <c r="AU547" s="94" t="str">
        <f t="shared" si="3221"/>
        <v xml:space="preserve"> </v>
      </c>
      <c r="AV547" s="94" t="str">
        <f t="shared" si="3222"/>
        <v xml:space="preserve"> </v>
      </c>
      <c r="AW547" s="94" t="str">
        <f t="shared" si="3223"/>
        <v xml:space="preserve"> </v>
      </c>
      <c r="AX547" s="94" t="str">
        <f t="shared" si="3224"/>
        <v xml:space="preserve"> </v>
      </c>
      <c r="AY547" s="94" t="str">
        <f t="shared" si="3225"/>
        <v xml:space="preserve"> </v>
      </c>
      <c r="AZ547" s="94" t="str">
        <f t="shared" si="3226"/>
        <v xml:space="preserve"> </v>
      </c>
      <c r="BA547" s="94" t="str">
        <f t="shared" si="3227"/>
        <v xml:space="preserve"> </v>
      </c>
      <c r="BB547" s="94" t="str">
        <f t="shared" si="3228"/>
        <v xml:space="preserve"> </v>
      </c>
    </row>
    <row r="548" spans="1:54" x14ac:dyDescent="0.25">
      <c r="A548" s="80"/>
      <c r="B548" s="95" t="s">
        <v>2896</v>
      </c>
      <c r="C548" s="201" t="s">
        <v>391</v>
      </c>
      <c r="D548" s="80" t="s">
        <v>783</v>
      </c>
      <c r="E548" s="94" t="str">
        <f>IFERROR(VLOOKUP(A548,Estimate!A:Q,17,FALSE)," ")</f>
        <v xml:space="preserve"> </v>
      </c>
      <c r="F548" s="202" t="s">
        <v>781</v>
      </c>
      <c r="G548" s="202" t="s">
        <v>781</v>
      </c>
      <c r="H548" s="203" t="s">
        <v>781</v>
      </c>
      <c r="I548" s="203" t="s">
        <v>781</v>
      </c>
      <c r="J548" s="203" t="s">
        <v>781</v>
      </c>
      <c r="K548" s="203"/>
      <c r="L548" s="202" t="s">
        <v>781</v>
      </c>
      <c r="M548" s="204" t="str">
        <f t="shared" si="3210"/>
        <v xml:space="preserve"> </v>
      </c>
      <c r="N548" s="95" t="s">
        <v>781</v>
      </c>
      <c r="O548" s="204" t="str">
        <f t="shared" si="3210"/>
        <v xml:space="preserve"> </v>
      </c>
      <c r="P548" s="95" t="s">
        <v>781</v>
      </c>
      <c r="Q548" s="204" t="str">
        <f t="shared" ref="Q548:S548" si="3385">IFERROR(P548/$G548," ")</f>
        <v xml:space="preserve"> </v>
      </c>
      <c r="R548" s="95" t="s">
        <v>781</v>
      </c>
      <c r="S548" s="204" t="str">
        <f t="shared" si="3385"/>
        <v xml:space="preserve"> </v>
      </c>
      <c r="T548" s="95" t="s">
        <v>781</v>
      </c>
      <c r="U548" s="204" t="str">
        <f t="shared" ref="U548:W548" si="3386">IFERROR(T548/$G548," ")</f>
        <v xml:space="preserve"> </v>
      </c>
      <c r="V548" s="95" t="s">
        <v>781</v>
      </c>
      <c r="W548" s="204" t="str">
        <f t="shared" si="3386"/>
        <v xml:space="preserve"> </v>
      </c>
      <c r="X548" s="95" t="s">
        <v>781</v>
      </c>
      <c r="Y548" s="204" t="str">
        <f t="shared" ref="Y548:AA548" si="3387">IFERROR(X548/$G548," ")</f>
        <v xml:space="preserve"> </v>
      </c>
      <c r="Z548" s="95" t="s">
        <v>781</v>
      </c>
      <c r="AA548" s="204" t="str">
        <f t="shared" si="3387"/>
        <v xml:space="preserve"> </v>
      </c>
      <c r="AB548" s="95" t="s">
        <v>781</v>
      </c>
      <c r="AC548" s="204" t="str">
        <f t="shared" ref="AC548:AE548" si="3388">IFERROR(AB548/$G548," ")</f>
        <v xml:space="preserve"> </v>
      </c>
      <c r="AD548" s="95" t="s">
        <v>781</v>
      </c>
      <c r="AE548" s="204" t="str">
        <f t="shared" si="3388"/>
        <v xml:space="preserve"> </v>
      </c>
      <c r="AF548" s="95" t="s">
        <v>781</v>
      </c>
      <c r="AG548" s="204" t="str">
        <f t="shared" ref="AG548:AI548" si="3389">IFERROR(AF548/$G548," ")</f>
        <v xml:space="preserve"> </v>
      </c>
      <c r="AH548" s="95" t="s">
        <v>781</v>
      </c>
      <c r="AI548" s="204" t="str">
        <f t="shared" si="3389"/>
        <v xml:space="preserve"> </v>
      </c>
      <c r="AJ548" s="95" t="s">
        <v>781</v>
      </c>
      <c r="AK548" s="204" t="str">
        <f t="shared" ref="AK548:AM548" si="3390">IFERROR(AJ548/$G548," ")</f>
        <v xml:space="preserve"> </v>
      </c>
      <c r="AL548" s="95" t="s">
        <v>781</v>
      </c>
      <c r="AM548" s="204" t="str">
        <f t="shared" si="3390"/>
        <v xml:space="preserve"> </v>
      </c>
      <c r="AN548" s="95"/>
      <c r="AO548" s="94" t="str">
        <f t="shared" si="3217"/>
        <v xml:space="preserve"> </v>
      </c>
      <c r="AP548" s="94" t="str">
        <f t="shared" si="3207"/>
        <v xml:space="preserve"> </v>
      </c>
      <c r="AQ548" s="94" t="str">
        <f t="shared" si="3208"/>
        <v xml:space="preserve"> </v>
      </c>
      <c r="AR548" s="94" t="str">
        <f t="shared" si="3218"/>
        <v xml:space="preserve"> </v>
      </c>
      <c r="AS548" s="94" t="str">
        <f t="shared" si="3219"/>
        <v xml:space="preserve"> </v>
      </c>
      <c r="AT548" s="94" t="str">
        <f t="shared" si="3220"/>
        <v xml:space="preserve"> </v>
      </c>
      <c r="AU548" s="94" t="str">
        <f t="shared" si="3221"/>
        <v xml:space="preserve"> </v>
      </c>
      <c r="AV548" s="94" t="str">
        <f t="shared" si="3222"/>
        <v xml:space="preserve"> </v>
      </c>
      <c r="AW548" s="94" t="str">
        <f t="shared" si="3223"/>
        <v xml:space="preserve"> </v>
      </c>
      <c r="AX548" s="94" t="str">
        <f t="shared" si="3224"/>
        <v xml:space="preserve"> </v>
      </c>
      <c r="AY548" s="94" t="str">
        <f t="shared" si="3225"/>
        <v xml:space="preserve"> </v>
      </c>
      <c r="AZ548" s="94" t="str">
        <f t="shared" si="3226"/>
        <v xml:space="preserve"> </v>
      </c>
      <c r="BA548" s="94" t="str">
        <f t="shared" si="3227"/>
        <v xml:space="preserve"> </v>
      </c>
      <c r="BB548" s="94" t="str">
        <f t="shared" si="3228"/>
        <v xml:space="preserve"> </v>
      </c>
    </row>
    <row r="549" spans="1:54" ht="30" x14ac:dyDescent="0.25">
      <c r="A549" s="80">
        <v>217</v>
      </c>
      <c r="B549" s="95" t="s">
        <v>2923</v>
      </c>
      <c r="C549" s="201" t="s">
        <v>563</v>
      </c>
      <c r="D549" s="80" t="s">
        <v>89</v>
      </c>
      <c r="E549" s="94">
        <f>IFERROR(VLOOKUP(A549,Estimate!A:Q,17,FALSE)," ")</f>
        <v>17338.539045904588</v>
      </c>
      <c r="F549" s="202">
        <v>420</v>
      </c>
      <c r="G549" s="202">
        <v>420</v>
      </c>
      <c r="H549" s="203">
        <v>51.86</v>
      </c>
      <c r="I549" s="203">
        <v>21781.200000000001</v>
      </c>
      <c r="J549" s="203">
        <v>21781.200000000001</v>
      </c>
      <c r="K549" s="203"/>
      <c r="L549" s="202"/>
      <c r="M549" s="204">
        <f t="shared" si="3210"/>
        <v>0</v>
      </c>
      <c r="N549" s="95"/>
      <c r="O549" s="204">
        <f t="shared" si="3210"/>
        <v>0</v>
      </c>
      <c r="P549" s="95"/>
      <c r="Q549" s="204">
        <f t="shared" ref="Q549:S549" si="3391">IFERROR(P549/$G549," ")</f>
        <v>0</v>
      </c>
      <c r="R549" s="95"/>
      <c r="S549" s="204">
        <f t="shared" si="3391"/>
        <v>0</v>
      </c>
      <c r="T549" s="95"/>
      <c r="U549" s="204">
        <f t="shared" ref="U549:W549" si="3392">IFERROR(T549/$G549," ")</f>
        <v>0</v>
      </c>
      <c r="V549" s="95"/>
      <c r="W549" s="204">
        <f t="shared" si="3392"/>
        <v>0</v>
      </c>
      <c r="X549" s="95">
        <v>21</v>
      </c>
      <c r="Y549" s="204">
        <f t="shared" ref="Y549:AA549" si="3393">IFERROR(X549/$G549," ")</f>
        <v>0.05</v>
      </c>
      <c r="Z549" s="95">
        <v>420</v>
      </c>
      <c r="AA549" s="204">
        <f t="shared" si="3393"/>
        <v>1</v>
      </c>
      <c r="AB549" s="95">
        <v>420</v>
      </c>
      <c r="AC549" s="204">
        <f t="shared" ref="AC549:AE549" si="3394">IFERROR(AB549/$G549," ")</f>
        <v>1</v>
      </c>
      <c r="AD549" s="95">
        <v>420</v>
      </c>
      <c r="AE549" s="204">
        <f t="shared" si="3394"/>
        <v>1</v>
      </c>
      <c r="AF549" s="95">
        <v>420</v>
      </c>
      <c r="AG549" s="204">
        <f t="shared" ref="AG549:AI549" si="3395">IFERROR(AF549/$G549," ")</f>
        <v>1</v>
      </c>
      <c r="AH549" s="95">
        <v>420</v>
      </c>
      <c r="AI549" s="204">
        <f t="shared" si="3395"/>
        <v>1</v>
      </c>
      <c r="AJ549" s="95">
        <v>420</v>
      </c>
      <c r="AK549" s="204">
        <f t="shared" ref="AK549:AM549" si="3396">IFERROR(AJ549/$G549," ")</f>
        <v>1</v>
      </c>
      <c r="AL549" s="95">
        <v>420</v>
      </c>
      <c r="AM549" s="204">
        <f t="shared" si="3396"/>
        <v>1</v>
      </c>
      <c r="AN549" s="95"/>
      <c r="AO549" s="94">
        <f t="shared" si="3217"/>
        <v>0</v>
      </c>
      <c r="AP549" s="94">
        <f t="shared" si="3207"/>
        <v>0</v>
      </c>
      <c r="AQ549" s="94">
        <f t="shared" si="3208"/>
        <v>0</v>
      </c>
      <c r="AR549" s="94">
        <f t="shared" si="3218"/>
        <v>0</v>
      </c>
      <c r="AS549" s="94">
        <f t="shared" si="3219"/>
        <v>0</v>
      </c>
      <c r="AT549" s="94">
        <f t="shared" si="3220"/>
        <v>0</v>
      </c>
      <c r="AU549" s="94">
        <f t="shared" si="3221"/>
        <v>1089.0600000000002</v>
      </c>
      <c r="AV549" s="94">
        <f t="shared" si="3222"/>
        <v>21781.200000000001</v>
      </c>
      <c r="AW549" s="94">
        <f t="shared" si="3223"/>
        <v>21781.200000000001</v>
      </c>
      <c r="AX549" s="94">
        <f t="shared" si="3224"/>
        <v>21781.200000000001</v>
      </c>
      <c r="AY549" s="94">
        <f t="shared" si="3225"/>
        <v>21781.200000000001</v>
      </c>
      <c r="AZ549" s="94">
        <f t="shared" si="3226"/>
        <v>21781.200000000001</v>
      </c>
      <c r="BA549" s="94">
        <f t="shared" si="3227"/>
        <v>21781.200000000001</v>
      </c>
      <c r="BB549" s="94">
        <f t="shared" si="3228"/>
        <v>21781.200000000001</v>
      </c>
    </row>
    <row r="550" spans="1:54" x14ac:dyDescent="0.25">
      <c r="A550" s="80">
        <v>218</v>
      </c>
      <c r="B550" s="95" t="s">
        <v>2877</v>
      </c>
      <c r="C550" s="201" t="s">
        <v>213</v>
      </c>
      <c r="D550" s="80" t="s">
        <v>29</v>
      </c>
      <c r="E550" s="94">
        <f>IFERROR(VLOOKUP(A550,Estimate!A:Q,17,FALSE)," ")</f>
        <v>1716</v>
      </c>
      <c r="F550" s="202">
        <v>12</v>
      </c>
      <c r="G550" s="202">
        <v>12</v>
      </c>
      <c r="H550" s="203">
        <v>179.64</v>
      </c>
      <c r="I550" s="203">
        <v>2155.6799999999998</v>
      </c>
      <c r="J550" s="203">
        <v>2155.6799999999998</v>
      </c>
      <c r="K550" s="203"/>
      <c r="L550" s="202"/>
      <c r="M550" s="204">
        <f t="shared" si="3210"/>
        <v>0</v>
      </c>
      <c r="N550" s="95"/>
      <c r="O550" s="204">
        <f t="shared" si="3210"/>
        <v>0</v>
      </c>
      <c r="P550" s="95"/>
      <c r="Q550" s="204">
        <f t="shared" ref="Q550:S550" si="3397">IFERROR(P550/$G550," ")</f>
        <v>0</v>
      </c>
      <c r="R550" s="95"/>
      <c r="S550" s="204">
        <f t="shared" si="3397"/>
        <v>0</v>
      </c>
      <c r="T550" s="95"/>
      <c r="U550" s="204">
        <f t="shared" ref="U550:W550" si="3398">IFERROR(T550/$G550," ")</f>
        <v>0</v>
      </c>
      <c r="V550" s="95"/>
      <c r="W550" s="204">
        <f t="shared" si="3398"/>
        <v>0</v>
      </c>
      <c r="X550" s="95">
        <v>1.2</v>
      </c>
      <c r="Y550" s="204">
        <f t="shared" ref="Y550:AA550" si="3399">IFERROR(X550/$G550," ")</f>
        <v>9.9999999999999992E-2</v>
      </c>
      <c r="Z550" s="95">
        <v>12</v>
      </c>
      <c r="AA550" s="204">
        <f t="shared" si="3399"/>
        <v>1</v>
      </c>
      <c r="AB550" s="95">
        <v>12</v>
      </c>
      <c r="AC550" s="204">
        <f t="shared" ref="AC550:AE550" si="3400">IFERROR(AB550/$G550," ")</f>
        <v>1</v>
      </c>
      <c r="AD550" s="95">
        <v>12</v>
      </c>
      <c r="AE550" s="204">
        <f t="shared" si="3400"/>
        <v>1</v>
      </c>
      <c r="AF550" s="95">
        <v>12</v>
      </c>
      <c r="AG550" s="204">
        <f t="shared" ref="AG550:AI550" si="3401">IFERROR(AF550/$G550," ")</f>
        <v>1</v>
      </c>
      <c r="AH550" s="95">
        <v>12</v>
      </c>
      <c r="AI550" s="204">
        <f t="shared" si="3401"/>
        <v>1</v>
      </c>
      <c r="AJ550" s="95">
        <v>12</v>
      </c>
      <c r="AK550" s="204">
        <f t="shared" ref="AK550:AM550" si="3402">IFERROR(AJ550/$G550," ")</f>
        <v>1</v>
      </c>
      <c r="AL550" s="95">
        <v>12</v>
      </c>
      <c r="AM550" s="204">
        <f t="shared" si="3402"/>
        <v>1</v>
      </c>
      <c r="AN550" s="95"/>
      <c r="AO550" s="94">
        <f t="shared" si="3217"/>
        <v>0</v>
      </c>
      <c r="AP550" s="94">
        <f t="shared" si="3207"/>
        <v>0</v>
      </c>
      <c r="AQ550" s="94">
        <f t="shared" si="3208"/>
        <v>0</v>
      </c>
      <c r="AR550" s="94">
        <f t="shared" si="3218"/>
        <v>0</v>
      </c>
      <c r="AS550" s="94">
        <f t="shared" si="3219"/>
        <v>0</v>
      </c>
      <c r="AT550" s="94">
        <f t="shared" si="3220"/>
        <v>0</v>
      </c>
      <c r="AU550" s="94">
        <f t="shared" si="3221"/>
        <v>215.56799999999996</v>
      </c>
      <c r="AV550" s="94">
        <f t="shared" si="3222"/>
        <v>2155.6799999999998</v>
      </c>
      <c r="AW550" s="94">
        <f t="shared" si="3223"/>
        <v>2155.6799999999998</v>
      </c>
      <c r="AX550" s="94">
        <f t="shared" si="3224"/>
        <v>2155.6799999999998</v>
      </c>
      <c r="AY550" s="94">
        <f t="shared" si="3225"/>
        <v>2155.6799999999998</v>
      </c>
      <c r="AZ550" s="94">
        <f t="shared" si="3226"/>
        <v>2155.6799999999998</v>
      </c>
      <c r="BA550" s="94">
        <f t="shared" si="3227"/>
        <v>2155.6799999999998</v>
      </c>
      <c r="BB550" s="94">
        <f t="shared" si="3228"/>
        <v>2155.6799999999998</v>
      </c>
    </row>
    <row r="551" spans="1:54" x14ac:dyDescent="0.25">
      <c r="A551" s="80"/>
      <c r="B551" s="95" t="s">
        <v>2417</v>
      </c>
      <c r="C551" s="201" t="s">
        <v>2837</v>
      </c>
      <c r="D551" s="80" t="s">
        <v>783</v>
      </c>
      <c r="E551" s="94" t="str">
        <f>IFERROR(VLOOKUP(A551,Estimate!A:Q,17,FALSE)," ")</f>
        <v xml:space="preserve"> </v>
      </c>
      <c r="F551" s="202" t="s">
        <v>781</v>
      </c>
      <c r="G551" s="202" t="s">
        <v>781</v>
      </c>
      <c r="H551" s="203" t="s">
        <v>781</v>
      </c>
      <c r="I551" s="203" t="s">
        <v>781</v>
      </c>
      <c r="J551" s="203" t="s">
        <v>781</v>
      </c>
      <c r="K551" s="203"/>
      <c r="L551" s="202" t="s">
        <v>781</v>
      </c>
      <c r="M551" s="204" t="str">
        <f t="shared" si="3210"/>
        <v xml:space="preserve"> </v>
      </c>
      <c r="N551" s="95" t="s">
        <v>781</v>
      </c>
      <c r="O551" s="204" t="str">
        <f t="shared" si="3210"/>
        <v xml:space="preserve"> </v>
      </c>
      <c r="P551" s="95" t="s">
        <v>781</v>
      </c>
      <c r="Q551" s="204" t="str">
        <f t="shared" ref="Q551:S551" si="3403">IFERROR(P551/$G551," ")</f>
        <v xml:space="preserve"> </v>
      </c>
      <c r="R551" s="95" t="s">
        <v>781</v>
      </c>
      <c r="S551" s="204" t="str">
        <f t="shared" si="3403"/>
        <v xml:space="preserve"> </v>
      </c>
      <c r="T551" s="95" t="s">
        <v>781</v>
      </c>
      <c r="U551" s="204" t="str">
        <f t="shared" ref="U551:W551" si="3404">IFERROR(T551/$G551," ")</f>
        <v xml:space="preserve"> </v>
      </c>
      <c r="V551" s="95" t="s">
        <v>781</v>
      </c>
      <c r="W551" s="204" t="str">
        <f t="shared" si="3404"/>
        <v xml:space="preserve"> </v>
      </c>
      <c r="X551" s="95" t="s">
        <v>781</v>
      </c>
      <c r="Y551" s="204" t="str">
        <f t="shared" ref="Y551:AA551" si="3405">IFERROR(X551/$G551," ")</f>
        <v xml:space="preserve"> </v>
      </c>
      <c r="Z551" s="95" t="s">
        <v>781</v>
      </c>
      <c r="AA551" s="204" t="str">
        <f t="shared" si="3405"/>
        <v xml:space="preserve"> </v>
      </c>
      <c r="AB551" s="95" t="s">
        <v>781</v>
      </c>
      <c r="AC551" s="204" t="str">
        <f t="shared" ref="AC551:AE551" si="3406">IFERROR(AB551/$G551," ")</f>
        <v xml:space="preserve"> </v>
      </c>
      <c r="AD551" s="95" t="s">
        <v>781</v>
      </c>
      <c r="AE551" s="204" t="str">
        <f t="shared" si="3406"/>
        <v xml:space="preserve"> </v>
      </c>
      <c r="AF551" s="95" t="s">
        <v>781</v>
      </c>
      <c r="AG551" s="204" t="str">
        <f t="shared" ref="AG551:AI551" si="3407">IFERROR(AF551/$G551," ")</f>
        <v xml:space="preserve"> </v>
      </c>
      <c r="AH551" s="95" t="s">
        <v>781</v>
      </c>
      <c r="AI551" s="204" t="str">
        <f t="shared" si="3407"/>
        <v xml:space="preserve"> </v>
      </c>
      <c r="AJ551" s="95" t="s">
        <v>781</v>
      </c>
      <c r="AK551" s="204" t="str">
        <f t="shared" ref="AK551:AM551" si="3408">IFERROR(AJ551/$G551," ")</f>
        <v xml:space="preserve"> </v>
      </c>
      <c r="AL551" s="95" t="s">
        <v>781</v>
      </c>
      <c r="AM551" s="204" t="str">
        <f t="shared" si="3408"/>
        <v xml:space="preserve"> </v>
      </c>
      <c r="AN551" s="95"/>
      <c r="AO551" s="94" t="str">
        <f t="shared" si="3217"/>
        <v xml:space="preserve"> </v>
      </c>
      <c r="AP551" s="94" t="str">
        <f t="shared" si="3207"/>
        <v xml:space="preserve"> </v>
      </c>
      <c r="AQ551" s="94" t="str">
        <f t="shared" si="3208"/>
        <v xml:space="preserve"> </v>
      </c>
      <c r="AR551" s="94" t="str">
        <f t="shared" si="3218"/>
        <v xml:space="preserve"> </v>
      </c>
      <c r="AS551" s="94" t="str">
        <f t="shared" si="3219"/>
        <v xml:space="preserve"> </v>
      </c>
      <c r="AT551" s="94" t="str">
        <f t="shared" si="3220"/>
        <v xml:space="preserve"> </v>
      </c>
      <c r="AU551" s="94" t="str">
        <f t="shared" si="3221"/>
        <v xml:space="preserve"> </v>
      </c>
      <c r="AV551" s="94" t="str">
        <f t="shared" si="3222"/>
        <v xml:space="preserve"> </v>
      </c>
      <c r="AW551" s="94" t="str">
        <f t="shared" si="3223"/>
        <v xml:space="preserve"> </v>
      </c>
      <c r="AX551" s="94" t="str">
        <f t="shared" si="3224"/>
        <v xml:space="preserve"> </v>
      </c>
      <c r="AY551" s="94" t="str">
        <f t="shared" si="3225"/>
        <v xml:space="preserve"> </v>
      </c>
      <c r="AZ551" s="94" t="str">
        <f t="shared" si="3226"/>
        <v xml:space="preserve"> </v>
      </c>
      <c r="BA551" s="94" t="str">
        <f t="shared" si="3227"/>
        <v xml:space="preserve"> </v>
      </c>
      <c r="BB551" s="94" t="str">
        <f t="shared" si="3228"/>
        <v xml:space="preserve"> </v>
      </c>
    </row>
    <row r="552" spans="1:54" x14ac:dyDescent="0.25">
      <c r="A552" s="80"/>
      <c r="B552" s="95" t="s">
        <v>2417</v>
      </c>
      <c r="C552" s="201" t="s">
        <v>102</v>
      </c>
      <c r="D552" s="80" t="s">
        <v>783</v>
      </c>
      <c r="E552" s="94" t="str">
        <f>IFERROR(VLOOKUP(A552,Estimate!A:Q,17,FALSE)," ")</f>
        <v xml:space="preserve"> </v>
      </c>
      <c r="F552" s="202" t="s">
        <v>781</v>
      </c>
      <c r="G552" s="202" t="s">
        <v>781</v>
      </c>
      <c r="H552" s="203" t="s">
        <v>781</v>
      </c>
      <c r="I552" s="203" t="s">
        <v>781</v>
      </c>
      <c r="J552" s="203" t="s">
        <v>781</v>
      </c>
      <c r="K552" s="203"/>
      <c r="L552" s="202" t="s">
        <v>781</v>
      </c>
      <c r="M552" s="204" t="str">
        <f t="shared" si="3210"/>
        <v xml:space="preserve"> </v>
      </c>
      <c r="N552" s="95" t="s">
        <v>781</v>
      </c>
      <c r="O552" s="204" t="str">
        <f t="shared" si="3210"/>
        <v xml:space="preserve"> </v>
      </c>
      <c r="P552" s="95" t="s">
        <v>781</v>
      </c>
      <c r="Q552" s="204" t="str">
        <f t="shared" ref="Q552:S552" si="3409">IFERROR(P552/$G552," ")</f>
        <v xml:space="preserve"> </v>
      </c>
      <c r="R552" s="95" t="s">
        <v>781</v>
      </c>
      <c r="S552" s="204" t="str">
        <f t="shared" si="3409"/>
        <v xml:space="preserve"> </v>
      </c>
      <c r="T552" s="95" t="s">
        <v>781</v>
      </c>
      <c r="U552" s="204" t="str">
        <f t="shared" ref="U552:W552" si="3410">IFERROR(T552/$G552," ")</f>
        <v xml:space="preserve"> </v>
      </c>
      <c r="V552" s="95" t="s">
        <v>781</v>
      </c>
      <c r="W552" s="204" t="str">
        <f t="shared" si="3410"/>
        <v xml:space="preserve"> </v>
      </c>
      <c r="X552" s="95" t="s">
        <v>781</v>
      </c>
      <c r="Y552" s="204" t="str">
        <f t="shared" ref="Y552:AA552" si="3411">IFERROR(X552/$G552," ")</f>
        <v xml:space="preserve"> </v>
      </c>
      <c r="Z552" s="95" t="s">
        <v>781</v>
      </c>
      <c r="AA552" s="204" t="str">
        <f t="shared" si="3411"/>
        <v xml:space="preserve"> </v>
      </c>
      <c r="AB552" s="95" t="s">
        <v>781</v>
      </c>
      <c r="AC552" s="204" t="str">
        <f t="shared" ref="AC552:AE552" si="3412">IFERROR(AB552/$G552," ")</f>
        <v xml:space="preserve"> </v>
      </c>
      <c r="AD552" s="95" t="s">
        <v>781</v>
      </c>
      <c r="AE552" s="204" t="str">
        <f t="shared" si="3412"/>
        <v xml:space="preserve"> </v>
      </c>
      <c r="AF552" s="95" t="s">
        <v>781</v>
      </c>
      <c r="AG552" s="204" t="str">
        <f t="shared" ref="AG552:AI552" si="3413">IFERROR(AF552/$G552," ")</f>
        <v xml:space="preserve"> </v>
      </c>
      <c r="AH552" s="95" t="s">
        <v>781</v>
      </c>
      <c r="AI552" s="204" t="str">
        <f t="shared" si="3413"/>
        <v xml:space="preserve"> </v>
      </c>
      <c r="AJ552" s="95" t="s">
        <v>781</v>
      </c>
      <c r="AK552" s="204" t="str">
        <f t="shared" ref="AK552:AM552" si="3414">IFERROR(AJ552/$G552," ")</f>
        <v xml:space="preserve"> </v>
      </c>
      <c r="AL552" s="95" t="s">
        <v>781</v>
      </c>
      <c r="AM552" s="204" t="str">
        <f t="shared" si="3414"/>
        <v xml:space="preserve"> </v>
      </c>
      <c r="AN552" s="95"/>
      <c r="AO552" s="94" t="str">
        <f t="shared" si="3217"/>
        <v xml:space="preserve"> </v>
      </c>
      <c r="AP552" s="94" t="str">
        <f t="shared" si="3207"/>
        <v xml:space="preserve"> </v>
      </c>
      <c r="AQ552" s="94" t="str">
        <f t="shared" si="3208"/>
        <v xml:space="preserve"> </v>
      </c>
      <c r="AR552" s="94" t="str">
        <f t="shared" si="3218"/>
        <v xml:space="preserve"> </v>
      </c>
      <c r="AS552" s="94" t="str">
        <f t="shared" si="3219"/>
        <v xml:space="preserve"> </v>
      </c>
      <c r="AT552" s="94" t="str">
        <f t="shared" si="3220"/>
        <v xml:space="preserve"> </v>
      </c>
      <c r="AU552" s="94" t="str">
        <f t="shared" si="3221"/>
        <v xml:space="preserve"> </v>
      </c>
      <c r="AV552" s="94" t="str">
        <f t="shared" si="3222"/>
        <v xml:space="preserve"> </v>
      </c>
      <c r="AW552" s="94" t="str">
        <f t="shared" si="3223"/>
        <v xml:space="preserve"> </v>
      </c>
      <c r="AX552" s="94" t="str">
        <f t="shared" si="3224"/>
        <v xml:space="preserve"> </v>
      </c>
      <c r="AY552" s="94" t="str">
        <f t="shared" si="3225"/>
        <v xml:space="preserve"> </v>
      </c>
      <c r="AZ552" s="94" t="str">
        <f t="shared" si="3226"/>
        <v xml:space="preserve"> </v>
      </c>
      <c r="BA552" s="94" t="str">
        <f t="shared" si="3227"/>
        <v xml:space="preserve"> </v>
      </c>
      <c r="BB552" s="94" t="str">
        <f t="shared" si="3228"/>
        <v xml:space="preserve"> </v>
      </c>
    </row>
    <row r="553" spans="1:54" x14ac:dyDescent="0.25">
      <c r="A553" s="80"/>
      <c r="B553" s="95" t="s">
        <v>2856</v>
      </c>
      <c r="C553" s="201" t="s">
        <v>111</v>
      </c>
      <c r="D553" s="80" t="s">
        <v>783</v>
      </c>
      <c r="E553" s="94" t="str">
        <f>IFERROR(VLOOKUP(A553,Estimate!A:Q,17,FALSE)," ")</f>
        <v xml:space="preserve"> </v>
      </c>
      <c r="F553" s="202" t="s">
        <v>781</v>
      </c>
      <c r="G553" s="202" t="s">
        <v>781</v>
      </c>
      <c r="H553" s="203" t="s">
        <v>781</v>
      </c>
      <c r="I553" s="203" t="s">
        <v>781</v>
      </c>
      <c r="J553" s="203" t="s">
        <v>781</v>
      </c>
      <c r="K553" s="203"/>
      <c r="L553" s="202" t="s">
        <v>781</v>
      </c>
      <c r="M553" s="204" t="str">
        <f t="shared" si="3210"/>
        <v xml:space="preserve"> </v>
      </c>
      <c r="N553" s="95" t="s">
        <v>781</v>
      </c>
      <c r="O553" s="204" t="str">
        <f t="shared" si="3210"/>
        <v xml:space="preserve"> </v>
      </c>
      <c r="P553" s="95" t="s">
        <v>781</v>
      </c>
      <c r="Q553" s="204" t="str">
        <f t="shared" ref="Q553:S553" si="3415">IFERROR(P553/$G553," ")</f>
        <v xml:space="preserve"> </v>
      </c>
      <c r="R553" s="95" t="s">
        <v>781</v>
      </c>
      <c r="S553" s="204" t="str">
        <f t="shared" si="3415"/>
        <v xml:space="preserve"> </v>
      </c>
      <c r="T553" s="95" t="s">
        <v>781</v>
      </c>
      <c r="U553" s="204" t="str">
        <f t="shared" ref="U553:W553" si="3416">IFERROR(T553/$G553," ")</f>
        <v xml:space="preserve"> </v>
      </c>
      <c r="V553" s="95" t="s">
        <v>781</v>
      </c>
      <c r="W553" s="204" t="str">
        <f t="shared" si="3416"/>
        <v xml:space="preserve"> </v>
      </c>
      <c r="X553" s="95" t="s">
        <v>781</v>
      </c>
      <c r="Y553" s="204" t="str">
        <f t="shared" ref="Y553:AA553" si="3417">IFERROR(X553/$G553," ")</f>
        <v xml:space="preserve"> </v>
      </c>
      <c r="Z553" s="95" t="s">
        <v>781</v>
      </c>
      <c r="AA553" s="204" t="str">
        <f t="shared" si="3417"/>
        <v xml:space="preserve"> </v>
      </c>
      <c r="AB553" s="95" t="s">
        <v>781</v>
      </c>
      <c r="AC553" s="204" t="str">
        <f t="shared" ref="AC553:AE553" si="3418">IFERROR(AB553/$G553," ")</f>
        <v xml:space="preserve"> </v>
      </c>
      <c r="AD553" s="95" t="s">
        <v>781</v>
      </c>
      <c r="AE553" s="204" t="str">
        <f t="shared" si="3418"/>
        <v xml:space="preserve"> </v>
      </c>
      <c r="AF553" s="95" t="s">
        <v>781</v>
      </c>
      <c r="AG553" s="204" t="str">
        <f t="shared" ref="AG553:AI553" si="3419">IFERROR(AF553/$G553," ")</f>
        <v xml:space="preserve"> </v>
      </c>
      <c r="AH553" s="95" t="s">
        <v>781</v>
      </c>
      <c r="AI553" s="204" t="str">
        <f t="shared" si="3419"/>
        <v xml:space="preserve"> </v>
      </c>
      <c r="AJ553" s="95" t="s">
        <v>781</v>
      </c>
      <c r="AK553" s="204" t="str">
        <f t="shared" ref="AK553:AM553" si="3420">IFERROR(AJ553/$G553," ")</f>
        <v xml:space="preserve"> </v>
      </c>
      <c r="AL553" s="95" t="s">
        <v>781</v>
      </c>
      <c r="AM553" s="204" t="str">
        <f t="shared" si="3420"/>
        <v xml:space="preserve"> </v>
      </c>
      <c r="AN553" s="95"/>
      <c r="AO553" s="94" t="str">
        <f t="shared" si="3217"/>
        <v xml:space="preserve"> </v>
      </c>
      <c r="AP553" s="94" t="str">
        <f t="shared" si="3207"/>
        <v xml:space="preserve"> </v>
      </c>
      <c r="AQ553" s="94" t="str">
        <f t="shared" si="3208"/>
        <v xml:space="preserve"> </v>
      </c>
      <c r="AR553" s="94" t="str">
        <f t="shared" ref="AR553:AR583" si="3421">IFERROR(S553*$J553," ")</f>
        <v xml:space="preserve"> </v>
      </c>
      <c r="AS553" s="94" t="str">
        <f t="shared" si="3219"/>
        <v xml:space="preserve"> </v>
      </c>
      <c r="AT553" s="94" t="str">
        <f t="shared" si="3220"/>
        <v xml:space="preserve"> </v>
      </c>
      <c r="AU553" s="94" t="str">
        <f t="shared" si="3221"/>
        <v xml:space="preserve"> </v>
      </c>
      <c r="AV553" s="94" t="str">
        <f t="shared" si="3222"/>
        <v xml:space="preserve"> </v>
      </c>
      <c r="AW553" s="94" t="str">
        <f t="shared" si="3223"/>
        <v xml:space="preserve"> </v>
      </c>
      <c r="AX553" s="94" t="str">
        <f t="shared" si="3224"/>
        <v xml:space="preserve"> </v>
      </c>
      <c r="AY553" s="94" t="str">
        <f t="shared" si="3225"/>
        <v xml:space="preserve"> </v>
      </c>
      <c r="AZ553" s="94" t="str">
        <f t="shared" si="3226"/>
        <v xml:space="preserve"> </v>
      </c>
      <c r="BA553" s="94" t="str">
        <f t="shared" si="3227"/>
        <v xml:space="preserve"> </v>
      </c>
      <c r="BB553" s="94" t="str">
        <f t="shared" si="3228"/>
        <v xml:space="preserve"> </v>
      </c>
    </row>
    <row r="554" spans="1:54" x14ac:dyDescent="0.25">
      <c r="A554" s="80">
        <v>219</v>
      </c>
      <c r="B554" s="95">
        <v>491</v>
      </c>
      <c r="C554" s="201" t="s">
        <v>217</v>
      </c>
      <c r="D554" s="80" t="s">
        <v>62</v>
      </c>
      <c r="E554" s="94">
        <f>IFERROR(VLOOKUP(A554,Estimate!A:Q,17,FALSE)," ")</f>
        <v>23498.568613618118</v>
      </c>
      <c r="F554" s="202">
        <v>415</v>
      </c>
      <c r="G554" s="202">
        <v>415</v>
      </c>
      <c r="H554" s="203">
        <v>71.13</v>
      </c>
      <c r="I554" s="203">
        <v>29518.95</v>
      </c>
      <c r="J554" s="203">
        <v>29518.95</v>
      </c>
      <c r="K554" s="203"/>
      <c r="L554" s="202"/>
      <c r="M554" s="204">
        <f t="shared" si="3210"/>
        <v>0</v>
      </c>
      <c r="N554" s="95"/>
      <c r="O554" s="204">
        <f t="shared" si="3210"/>
        <v>0</v>
      </c>
      <c r="P554" s="95"/>
      <c r="Q554" s="204">
        <f t="shared" ref="Q554:S554" si="3422">IFERROR(P554/$G554," ")</f>
        <v>0</v>
      </c>
      <c r="R554" s="95"/>
      <c r="S554" s="204">
        <f t="shared" si="3422"/>
        <v>0</v>
      </c>
      <c r="T554" s="95"/>
      <c r="U554" s="204">
        <f t="shared" ref="U554:W554" si="3423">IFERROR(T554/$G554," ")</f>
        <v>0</v>
      </c>
      <c r="V554" s="95"/>
      <c r="W554" s="204">
        <f t="shared" si="3423"/>
        <v>0</v>
      </c>
      <c r="X554" s="95">
        <v>415</v>
      </c>
      <c r="Y554" s="204">
        <f t="shared" ref="Y554:AA554" si="3424">IFERROR(X554/$G554," ")</f>
        <v>1</v>
      </c>
      <c r="Z554" s="95">
        <v>415</v>
      </c>
      <c r="AA554" s="204">
        <f t="shared" si="3424"/>
        <v>1</v>
      </c>
      <c r="AB554" s="95">
        <v>415</v>
      </c>
      <c r="AC554" s="204">
        <f t="shared" ref="AC554:AE554" si="3425">IFERROR(AB554/$G554," ")</f>
        <v>1</v>
      </c>
      <c r="AD554" s="95">
        <v>415</v>
      </c>
      <c r="AE554" s="204">
        <f t="shared" si="3425"/>
        <v>1</v>
      </c>
      <c r="AF554" s="95">
        <v>415</v>
      </c>
      <c r="AG554" s="204">
        <f t="shared" ref="AG554:AI554" si="3426">IFERROR(AF554/$G554," ")</f>
        <v>1</v>
      </c>
      <c r="AH554" s="95">
        <v>415</v>
      </c>
      <c r="AI554" s="204">
        <f t="shared" si="3426"/>
        <v>1</v>
      </c>
      <c r="AJ554" s="95">
        <v>415</v>
      </c>
      <c r="AK554" s="204">
        <f t="shared" ref="AK554:AM554" si="3427">IFERROR(AJ554/$G554," ")</f>
        <v>1</v>
      </c>
      <c r="AL554" s="95">
        <v>415</v>
      </c>
      <c r="AM554" s="204">
        <f t="shared" si="3427"/>
        <v>1</v>
      </c>
      <c r="AN554" s="95"/>
      <c r="AO554" s="94">
        <f t="shared" si="3217"/>
        <v>0</v>
      </c>
      <c r="AP554" s="94">
        <f t="shared" si="3207"/>
        <v>0</v>
      </c>
      <c r="AQ554" s="94">
        <f t="shared" si="3208"/>
        <v>0</v>
      </c>
      <c r="AR554" s="94">
        <f t="shared" si="3421"/>
        <v>0</v>
      </c>
      <c r="AS554" s="94">
        <f t="shared" si="3219"/>
        <v>0</v>
      </c>
      <c r="AT554" s="94">
        <f t="shared" si="3220"/>
        <v>0</v>
      </c>
      <c r="AU554" s="94">
        <f t="shared" si="3221"/>
        <v>29518.95</v>
      </c>
      <c r="AV554" s="94">
        <f t="shared" si="3222"/>
        <v>29518.95</v>
      </c>
      <c r="AW554" s="94">
        <f t="shared" si="3223"/>
        <v>29518.95</v>
      </c>
      <c r="AX554" s="94">
        <f t="shared" si="3224"/>
        <v>29518.95</v>
      </c>
      <c r="AY554" s="94">
        <f t="shared" si="3225"/>
        <v>29518.95</v>
      </c>
      <c r="AZ554" s="94">
        <f t="shared" si="3226"/>
        <v>29518.95</v>
      </c>
      <c r="BA554" s="94">
        <f t="shared" si="3227"/>
        <v>29518.95</v>
      </c>
      <c r="BB554" s="94">
        <f t="shared" si="3228"/>
        <v>29518.95</v>
      </c>
    </row>
    <row r="555" spans="1:54" x14ac:dyDescent="0.25">
      <c r="A555" s="80">
        <v>220</v>
      </c>
      <c r="B555" s="95">
        <v>493</v>
      </c>
      <c r="C555" s="201" t="s">
        <v>731</v>
      </c>
      <c r="D555" s="80" t="s">
        <v>62</v>
      </c>
      <c r="E555" s="94">
        <f>IFERROR(VLOOKUP(A555,Estimate!A:Q,17,FALSE)," ")</f>
        <v>31425.796579657967</v>
      </c>
      <c r="F555" s="202">
        <v>555</v>
      </c>
      <c r="G555" s="202">
        <v>555</v>
      </c>
      <c r="H555" s="203">
        <v>71.13</v>
      </c>
      <c r="I555" s="203">
        <v>39477.15</v>
      </c>
      <c r="J555" s="203">
        <v>39477.15</v>
      </c>
      <c r="K555" s="203"/>
      <c r="L555" s="202"/>
      <c r="M555" s="204">
        <f t="shared" si="3210"/>
        <v>0</v>
      </c>
      <c r="N555" s="95"/>
      <c r="O555" s="204">
        <f t="shared" si="3210"/>
        <v>0</v>
      </c>
      <c r="P555" s="95"/>
      <c r="Q555" s="204">
        <f t="shared" ref="Q555:S555" si="3428">IFERROR(P555/$G555," ")</f>
        <v>0</v>
      </c>
      <c r="R555" s="95"/>
      <c r="S555" s="204">
        <f t="shared" si="3428"/>
        <v>0</v>
      </c>
      <c r="T555" s="95"/>
      <c r="U555" s="204">
        <f t="shared" ref="U555:W555" si="3429">IFERROR(T555/$G555," ")</f>
        <v>0</v>
      </c>
      <c r="V555" s="95"/>
      <c r="W555" s="204">
        <f t="shared" si="3429"/>
        <v>0</v>
      </c>
      <c r="X555" s="95">
        <v>180</v>
      </c>
      <c r="Y555" s="204">
        <f t="shared" ref="Y555:AA555" si="3430">IFERROR(X555/$G555," ")</f>
        <v>0.32432432432432434</v>
      </c>
      <c r="Z555" s="95">
        <v>180</v>
      </c>
      <c r="AA555" s="204">
        <f t="shared" si="3430"/>
        <v>0.32432432432432434</v>
      </c>
      <c r="AB555" s="95">
        <v>180</v>
      </c>
      <c r="AC555" s="204">
        <f t="shared" ref="AC555:AE555" si="3431">IFERROR(AB555/$G555," ")</f>
        <v>0.32432432432432434</v>
      </c>
      <c r="AD555" s="95">
        <v>180</v>
      </c>
      <c r="AE555" s="204">
        <f t="shared" si="3431"/>
        <v>0.32432432432432434</v>
      </c>
      <c r="AF555" s="95">
        <v>180</v>
      </c>
      <c r="AG555" s="204">
        <f t="shared" ref="AG555:AI555" si="3432">IFERROR(AF555/$G555," ")</f>
        <v>0.32432432432432434</v>
      </c>
      <c r="AH555" s="95">
        <v>180</v>
      </c>
      <c r="AI555" s="204">
        <f t="shared" si="3432"/>
        <v>0.32432432432432434</v>
      </c>
      <c r="AJ555" s="95">
        <v>180</v>
      </c>
      <c r="AK555" s="204">
        <f t="shared" ref="AK555:AM555" si="3433">IFERROR(AJ555/$G555," ")</f>
        <v>0.32432432432432434</v>
      </c>
      <c r="AL555" s="95">
        <v>180</v>
      </c>
      <c r="AM555" s="204">
        <f t="shared" si="3433"/>
        <v>0.32432432432432434</v>
      </c>
      <c r="AN555" s="95"/>
      <c r="AO555" s="94">
        <f t="shared" si="3217"/>
        <v>0</v>
      </c>
      <c r="AP555" s="94">
        <f t="shared" si="3207"/>
        <v>0</v>
      </c>
      <c r="AQ555" s="94">
        <f t="shared" si="3208"/>
        <v>0</v>
      </c>
      <c r="AR555" s="94">
        <f t="shared" si="3421"/>
        <v>0</v>
      </c>
      <c r="AS555" s="94">
        <f t="shared" si="3219"/>
        <v>0</v>
      </c>
      <c r="AT555" s="94">
        <f t="shared" si="3220"/>
        <v>0</v>
      </c>
      <c r="AU555" s="94">
        <f t="shared" si="3221"/>
        <v>12803.400000000001</v>
      </c>
      <c r="AV555" s="94">
        <f t="shared" si="3222"/>
        <v>12803.400000000001</v>
      </c>
      <c r="AW555" s="94">
        <f t="shared" si="3223"/>
        <v>12803.400000000001</v>
      </c>
      <c r="AX555" s="94">
        <f t="shared" si="3224"/>
        <v>12803.400000000001</v>
      </c>
      <c r="AY555" s="94">
        <f t="shared" si="3225"/>
        <v>12803.400000000001</v>
      </c>
      <c r="AZ555" s="94">
        <f t="shared" si="3226"/>
        <v>12803.400000000001</v>
      </c>
      <c r="BA555" s="94">
        <f t="shared" si="3227"/>
        <v>12803.400000000001</v>
      </c>
      <c r="BB555" s="94">
        <f t="shared" si="3228"/>
        <v>12803.400000000001</v>
      </c>
    </row>
    <row r="556" spans="1:54" x14ac:dyDescent="0.25">
      <c r="A556" s="80">
        <v>221</v>
      </c>
      <c r="B556" s="95">
        <v>490</v>
      </c>
      <c r="C556" s="201" t="s">
        <v>219</v>
      </c>
      <c r="D556" s="80" t="s">
        <v>62</v>
      </c>
      <c r="E556" s="94">
        <f>IFERROR(VLOOKUP(A556,Estimate!A:Q,17,FALSE)," ")</f>
        <v>31590.338044615273</v>
      </c>
      <c r="F556" s="202">
        <v>405</v>
      </c>
      <c r="G556" s="202">
        <v>405</v>
      </c>
      <c r="H556" s="203">
        <v>98.48</v>
      </c>
      <c r="I556" s="203">
        <v>39884.400000000001</v>
      </c>
      <c r="J556" s="203">
        <v>39884.400000000001</v>
      </c>
      <c r="K556" s="203"/>
      <c r="L556" s="202"/>
      <c r="M556" s="204">
        <f t="shared" si="3210"/>
        <v>0</v>
      </c>
      <c r="N556" s="95"/>
      <c r="O556" s="204">
        <f t="shared" si="3210"/>
        <v>0</v>
      </c>
      <c r="P556" s="95"/>
      <c r="Q556" s="204">
        <f t="shared" ref="Q556:S556" si="3434">IFERROR(P556/$G556," ")</f>
        <v>0</v>
      </c>
      <c r="R556" s="95"/>
      <c r="S556" s="204">
        <f t="shared" si="3434"/>
        <v>0</v>
      </c>
      <c r="T556" s="95"/>
      <c r="U556" s="204">
        <f t="shared" ref="U556:W556" si="3435">IFERROR(T556/$G556," ")</f>
        <v>0</v>
      </c>
      <c r="V556" s="95"/>
      <c r="W556" s="204">
        <f t="shared" si="3435"/>
        <v>0</v>
      </c>
      <c r="X556" s="95"/>
      <c r="Y556" s="204">
        <f t="shared" ref="Y556:AA556" si="3436">IFERROR(X556/$G556," ")</f>
        <v>0</v>
      </c>
      <c r="Z556" s="95">
        <v>405</v>
      </c>
      <c r="AA556" s="204">
        <f t="shared" si="3436"/>
        <v>1</v>
      </c>
      <c r="AB556" s="95">
        <v>405</v>
      </c>
      <c r="AC556" s="204">
        <f t="shared" ref="AC556:AE556" si="3437">IFERROR(AB556/$G556," ")</f>
        <v>1</v>
      </c>
      <c r="AD556" s="95">
        <v>405</v>
      </c>
      <c r="AE556" s="204">
        <f t="shared" si="3437"/>
        <v>1</v>
      </c>
      <c r="AF556" s="95">
        <v>405</v>
      </c>
      <c r="AG556" s="204">
        <f t="shared" ref="AG556:AI556" si="3438">IFERROR(AF556/$G556," ")</f>
        <v>1</v>
      </c>
      <c r="AH556" s="95">
        <v>405</v>
      </c>
      <c r="AI556" s="204">
        <f t="shared" si="3438"/>
        <v>1</v>
      </c>
      <c r="AJ556" s="95">
        <v>405</v>
      </c>
      <c r="AK556" s="204">
        <f t="shared" ref="AK556:AM556" si="3439">IFERROR(AJ556/$G556," ")</f>
        <v>1</v>
      </c>
      <c r="AL556" s="95">
        <v>405</v>
      </c>
      <c r="AM556" s="204">
        <f t="shared" si="3439"/>
        <v>1</v>
      </c>
      <c r="AN556" s="95"/>
      <c r="AO556" s="94">
        <f t="shared" si="3217"/>
        <v>0</v>
      </c>
      <c r="AP556" s="94">
        <f t="shared" si="3207"/>
        <v>0</v>
      </c>
      <c r="AQ556" s="94">
        <f t="shared" si="3208"/>
        <v>0</v>
      </c>
      <c r="AR556" s="94">
        <f t="shared" si="3421"/>
        <v>0</v>
      </c>
      <c r="AS556" s="94">
        <f t="shared" si="3219"/>
        <v>0</v>
      </c>
      <c r="AT556" s="94">
        <f t="shared" si="3220"/>
        <v>0</v>
      </c>
      <c r="AU556" s="94">
        <f t="shared" si="3221"/>
        <v>0</v>
      </c>
      <c r="AV556" s="94">
        <f t="shared" si="3222"/>
        <v>39884.400000000001</v>
      </c>
      <c r="AW556" s="94">
        <f t="shared" si="3223"/>
        <v>39884.400000000001</v>
      </c>
      <c r="AX556" s="94">
        <f t="shared" si="3224"/>
        <v>39884.400000000001</v>
      </c>
      <c r="AY556" s="94">
        <f t="shared" si="3225"/>
        <v>39884.400000000001</v>
      </c>
      <c r="AZ556" s="94">
        <f t="shared" si="3226"/>
        <v>39884.400000000001</v>
      </c>
      <c r="BA556" s="94">
        <f t="shared" si="3227"/>
        <v>39884.400000000001</v>
      </c>
      <c r="BB556" s="94">
        <f t="shared" si="3228"/>
        <v>39884.400000000001</v>
      </c>
    </row>
    <row r="557" spans="1:54" x14ac:dyDescent="0.25">
      <c r="A557" s="80">
        <v>222</v>
      </c>
      <c r="B557" s="95">
        <v>538</v>
      </c>
      <c r="C557" s="201" t="s">
        <v>221</v>
      </c>
      <c r="D557" s="80" t="s">
        <v>107</v>
      </c>
      <c r="E557" s="94">
        <f>IFERROR(VLOOKUP(A557,Estimate!A:Q,17,FALSE)," ")</f>
        <v>16477.993245614038</v>
      </c>
      <c r="F557" s="202">
        <v>2765</v>
      </c>
      <c r="G557" s="202">
        <v>2765</v>
      </c>
      <c r="H557" s="203">
        <v>7.49</v>
      </c>
      <c r="I557" s="203">
        <v>20709.849999999999</v>
      </c>
      <c r="J557" s="203">
        <v>20709.849999999999</v>
      </c>
      <c r="K557" s="203"/>
      <c r="L557" s="202"/>
      <c r="M557" s="204">
        <f t="shared" si="3210"/>
        <v>0</v>
      </c>
      <c r="N557" s="95"/>
      <c r="O557" s="204">
        <f t="shared" si="3210"/>
        <v>0</v>
      </c>
      <c r="P557" s="95"/>
      <c r="Q557" s="204">
        <f t="shared" ref="Q557:S557" si="3440">IFERROR(P557/$G557," ")</f>
        <v>0</v>
      </c>
      <c r="R557" s="95"/>
      <c r="S557" s="204">
        <f t="shared" si="3440"/>
        <v>0</v>
      </c>
      <c r="T557" s="95"/>
      <c r="U557" s="204">
        <f t="shared" ref="U557:W557" si="3441">IFERROR(T557/$G557," ")</f>
        <v>0</v>
      </c>
      <c r="V557" s="95"/>
      <c r="W557" s="204">
        <f t="shared" si="3441"/>
        <v>0</v>
      </c>
      <c r="X557" s="95">
        <v>2765</v>
      </c>
      <c r="Y557" s="204">
        <f t="shared" ref="Y557:AA557" si="3442">IFERROR(X557/$G557," ")</f>
        <v>1</v>
      </c>
      <c r="Z557" s="95">
        <v>2765</v>
      </c>
      <c r="AA557" s="204">
        <f t="shared" si="3442"/>
        <v>1</v>
      </c>
      <c r="AB557" s="95">
        <v>2765</v>
      </c>
      <c r="AC557" s="204">
        <f t="shared" ref="AC557:AE557" si="3443">IFERROR(AB557/$G557," ")</f>
        <v>1</v>
      </c>
      <c r="AD557" s="95">
        <v>2765</v>
      </c>
      <c r="AE557" s="204">
        <f t="shared" si="3443"/>
        <v>1</v>
      </c>
      <c r="AF557" s="95">
        <v>2765</v>
      </c>
      <c r="AG557" s="204">
        <f t="shared" ref="AG557:AI557" si="3444">IFERROR(AF557/$G557," ")</f>
        <v>1</v>
      </c>
      <c r="AH557" s="95">
        <v>2765</v>
      </c>
      <c r="AI557" s="204">
        <f t="shared" si="3444"/>
        <v>1</v>
      </c>
      <c r="AJ557" s="95">
        <v>2765</v>
      </c>
      <c r="AK557" s="204">
        <f t="shared" ref="AK557:AM557" si="3445">IFERROR(AJ557/$G557," ")</f>
        <v>1</v>
      </c>
      <c r="AL557" s="95">
        <v>2765</v>
      </c>
      <c r="AM557" s="204">
        <f t="shared" si="3445"/>
        <v>1</v>
      </c>
      <c r="AN557" s="95"/>
      <c r="AO557" s="94">
        <f t="shared" si="3217"/>
        <v>0</v>
      </c>
      <c r="AP557" s="94">
        <f t="shared" si="3207"/>
        <v>0</v>
      </c>
      <c r="AQ557" s="94">
        <f t="shared" si="3208"/>
        <v>0</v>
      </c>
      <c r="AR557" s="94">
        <f t="shared" si="3421"/>
        <v>0</v>
      </c>
      <c r="AS557" s="94">
        <f t="shared" si="3219"/>
        <v>0</v>
      </c>
      <c r="AT557" s="94">
        <f t="shared" si="3220"/>
        <v>0</v>
      </c>
      <c r="AU557" s="94">
        <f t="shared" si="3221"/>
        <v>20709.849999999999</v>
      </c>
      <c r="AV557" s="94">
        <f t="shared" si="3222"/>
        <v>20709.849999999999</v>
      </c>
      <c r="AW557" s="94">
        <f t="shared" si="3223"/>
        <v>20709.849999999999</v>
      </c>
      <c r="AX557" s="94">
        <f t="shared" si="3224"/>
        <v>20709.849999999999</v>
      </c>
      <c r="AY557" s="94">
        <f t="shared" si="3225"/>
        <v>20709.849999999999</v>
      </c>
      <c r="AZ557" s="94">
        <f t="shared" si="3226"/>
        <v>20709.849999999999</v>
      </c>
      <c r="BA557" s="94">
        <f t="shared" si="3227"/>
        <v>20709.849999999999</v>
      </c>
      <c r="BB557" s="94">
        <f t="shared" si="3228"/>
        <v>20709.849999999999</v>
      </c>
    </row>
    <row r="558" spans="1:54" x14ac:dyDescent="0.25">
      <c r="A558" s="80">
        <v>223</v>
      </c>
      <c r="B558" s="95">
        <v>539</v>
      </c>
      <c r="C558" s="201" t="s">
        <v>223</v>
      </c>
      <c r="D558" s="80" t="s">
        <v>107</v>
      </c>
      <c r="E558" s="94">
        <f>IFERROR(VLOOKUP(A558,Estimate!A:Q,17,FALSE)," ")</f>
        <v>4372.8232456140358</v>
      </c>
      <c r="F558" s="202">
        <v>2765</v>
      </c>
      <c r="G558" s="202">
        <v>2765</v>
      </c>
      <c r="H558" s="203">
        <v>1.99</v>
      </c>
      <c r="I558" s="203">
        <v>5502.35</v>
      </c>
      <c r="J558" s="203">
        <v>5502.35</v>
      </c>
      <c r="K558" s="203"/>
      <c r="L558" s="202"/>
      <c r="M558" s="204">
        <f t="shared" si="3210"/>
        <v>0</v>
      </c>
      <c r="N558" s="95"/>
      <c r="O558" s="204">
        <f t="shared" si="3210"/>
        <v>0</v>
      </c>
      <c r="P558" s="95"/>
      <c r="Q558" s="204">
        <f t="shared" ref="Q558:S558" si="3446">IFERROR(P558/$G558," ")</f>
        <v>0</v>
      </c>
      <c r="R558" s="95"/>
      <c r="S558" s="204">
        <f t="shared" si="3446"/>
        <v>0</v>
      </c>
      <c r="T558" s="95"/>
      <c r="U558" s="204">
        <f t="shared" ref="U558:W558" si="3447">IFERROR(T558/$G558," ")</f>
        <v>0</v>
      </c>
      <c r="V558" s="95"/>
      <c r="W558" s="204">
        <f t="shared" si="3447"/>
        <v>0</v>
      </c>
      <c r="X558" s="95">
        <v>2765</v>
      </c>
      <c r="Y558" s="204">
        <f t="shared" ref="Y558:AA558" si="3448">IFERROR(X558/$G558," ")</f>
        <v>1</v>
      </c>
      <c r="Z558" s="95">
        <v>2765</v>
      </c>
      <c r="AA558" s="204">
        <f t="shared" si="3448"/>
        <v>1</v>
      </c>
      <c r="AB558" s="95">
        <v>2765</v>
      </c>
      <c r="AC558" s="204">
        <f t="shared" ref="AC558:AE558" si="3449">IFERROR(AB558/$G558," ")</f>
        <v>1</v>
      </c>
      <c r="AD558" s="95">
        <v>2765</v>
      </c>
      <c r="AE558" s="204">
        <f t="shared" si="3449"/>
        <v>1</v>
      </c>
      <c r="AF558" s="95">
        <v>2765</v>
      </c>
      <c r="AG558" s="204">
        <f t="shared" ref="AG558:AI558" si="3450">IFERROR(AF558/$G558," ")</f>
        <v>1</v>
      </c>
      <c r="AH558" s="95">
        <v>2765</v>
      </c>
      <c r="AI558" s="204">
        <f t="shared" si="3450"/>
        <v>1</v>
      </c>
      <c r="AJ558" s="95">
        <v>2765</v>
      </c>
      <c r="AK558" s="204">
        <f t="shared" ref="AK558:AM558" si="3451">IFERROR(AJ558/$G558," ")</f>
        <v>1</v>
      </c>
      <c r="AL558" s="95">
        <v>2765</v>
      </c>
      <c r="AM558" s="204">
        <f t="shared" si="3451"/>
        <v>1</v>
      </c>
      <c r="AN558" s="95"/>
      <c r="AO558" s="94">
        <f t="shared" si="3217"/>
        <v>0</v>
      </c>
      <c r="AP558" s="94">
        <f t="shared" si="3207"/>
        <v>0</v>
      </c>
      <c r="AQ558" s="94">
        <f t="shared" si="3208"/>
        <v>0</v>
      </c>
      <c r="AR558" s="94">
        <f t="shared" si="3421"/>
        <v>0</v>
      </c>
      <c r="AS558" s="94">
        <f t="shared" si="3219"/>
        <v>0</v>
      </c>
      <c r="AT558" s="94">
        <f t="shared" si="3220"/>
        <v>0</v>
      </c>
      <c r="AU558" s="94">
        <f t="shared" si="3221"/>
        <v>5502.35</v>
      </c>
      <c r="AV558" s="94">
        <f t="shared" si="3222"/>
        <v>5502.35</v>
      </c>
      <c r="AW558" s="94">
        <f t="shared" si="3223"/>
        <v>5502.35</v>
      </c>
      <c r="AX558" s="94">
        <f t="shared" si="3224"/>
        <v>5502.35</v>
      </c>
      <c r="AY558" s="94">
        <f t="shared" si="3225"/>
        <v>5502.35</v>
      </c>
      <c r="AZ558" s="94">
        <f t="shared" si="3226"/>
        <v>5502.35</v>
      </c>
      <c r="BA558" s="94">
        <f t="shared" si="3227"/>
        <v>5502.35</v>
      </c>
      <c r="BB558" s="94">
        <f t="shared" si="3228"/>
        <v>5502.35</v>
      </c>
    </row>
    <row r="559" spans="1:54" x14ac:dyDescent="0.25">
      <c r="A559" s="80"/>
      <c r="B559" s="95" t="s">
        <v>2897</v>
      </c>
      <c r="C559" s="201" t="s">
        <v>403</v>
      </c>
      <c r="D559" s="80" t="s">
        <v>783</v>
      </c>
      <c r="E559" s="94" t="str">
        <f>IFERROR(VLOOKUP(A559,Estimate!A:Q,17,FALSE)," ")</f>
        <v xml:space="preserve"> </v>
      </c>
      <c r="F559" s="202" t="s">
        <v>781</v>
      </c>
      <c r="G559" s="202" t="s">
        <v>781</v>
      </c>
      <c r="H559" s="203" t="s">
        <v>781</v>
      </c>
      <c r="I559" s="203" t="s">
        <v>781</v>
      </c>
      <c r="J559" s="203" t="s">
        <v>781</v>
      </c>
      <c r="K559" s="203"/>
      <c r="L559" s="202" t="s">
        <v>781</v>
      </c>
      <c r="M559" s="204" t="str">
        <f t="shared" si="3210"/>
        <v xml:space="preserve"> </v>
      </c>
      <c r="N559" s="95" t="s">
        <v>781</v>
      </c>
      <c r="O559" s="204" t="str">
        <f t="shared" si="3210"/>
        <v xml:space="preserve"> </v>
      </c>
      <c r="P559" s="95" t="s">
        <v>781</v>
      </c>
      <c r="Q559" s="204" t="str">
        <f t="shared" ref="Q559:S559" si="3452">IFERROR(P559/$G559," ")</f>
        <v xml:space="preserve"> </v>
      </c>
      <c r="R559" s="95" t="s">
        <v>781</v>
      </c>
      <c r="S559" s="204" t="str">
        <f t="shared" si="3452"/>
        <v xml:space="preserve"> </v>
      </c>
      <c r="T559" s="95" t="s">
        <v>781</v>
      </c>
      <c r="U559" s="204" t="str">
        <f t="shared" ref="U559:W559" si="3453">IFERROR(T559/$G559," ")</f>
        <v xml:space="preserve"> </v>
      </c>
      <c r="V559" s="95" t="s">
        <v>781</v>
      </c>
      <c r="W559" s="204" t="str">
        <f t="shared" si="3453"/>
        <v xml:space="preserve"> </v>
      </c>
      <c r="X559" s="95" t="s">
        <v>781</v>
      </c>
      <c r="Y559" s="204" t="str">
        <f t="shared" ref="Y559:AA559" si="3454">IFERROR(X559/$G559," ")</f>
        <v xml:space="preserve"> </v>
      </c>
      <c r="Z559" s="95" t="s">
        <v>781</v>
      </c>
      <c r="AA559" s="204" t="str">
        <f t="shared" si="3454"/>
        <v xml:space="preserve"> </v>
      </c>
      <c r="AB559" s="95" t="s">
        <v>781</v>
      </c>
      <c r="AC559" s="204" t="str">
        <f t="shared" ref="AC559:AE559" si="3455">IFERROR(AB559/$G559," ")</f>
        <v xml:space="preserve"> </v>
      </c>
      <c r="AD559" s="95" t="s">
        <v>781</v>
      </c>
      <c r="AE559" s="204" t="str">
        <f t="shared" si="3455"/>
        <v xml:space="preserve"> </v>
      </c>
      <c r="AF559" s="95" t="s">
        <v>781</v>
      </c>
      <c r="AG559" s="204" t="str">
        <f t="shared" ref="AG559:AI559" si="3456">IFERROR(AF559/$G559," ")</f>
        <v xml:space="preserve"> </v>
      </c>
      <c r="AH559" s="95" t="s">
        <v>781</v>
      </c>
      <c r="AI559" s="204" t="str">
        <f t="shared" si="3456"/>
        <v xml:space="preserve"> </v>
      </c>
      <c r="AJ559" s="95" t="s">
        <v>781</v>
      </c>
      <c r="AK559" s="204" t="str">
        <f t="shared" ref="AK559:AM559" si="3457">IFERROR(AJ559/$G559," ")</f>
        <v xml:space="preserve"> </v>
      </c>
      <c r="AL559" s="95" t="s">
        <v>781</v>
      </c>
      <c r="AM559" s="204" t="str">
        <f t="shared" si="3457"/>
        <v xml:space="preserve"> </v>
      </c>
      <c r="AN559" s="95"/>
      <c r="AO559" s="94" t="str">
        <f t="shared" si="3217"/>
        <v xml:space="preserve"> </v>
      </c>
      <c r="AP559" s="94" t="str">
        <f t="shared" si="3207"/>
        <v xml:space="preserve"> </v>
      </c>
      <c r="AQ559" s="94" t="str">
        <f t="shared" si="3208"/>
        <v xml:space="preserve"> </v>
      </c>
      <c r="AR559" s="94" t="str">
        <f t="shared" si="3421"/>
        <v xml:space="preserve"> </v>
      </c>
      <c r="AS559" s="94" t="str">
        <f t="shared" si="3219"/>
        <v xml:space="preserve"> </v>
      </c>
      <c r="AT559" s="94" t="str">
        <f t="shared" si="3220"/>
        <v xml:space="preserve"> </v>
      </c>
      <c r="AU559" s="94" t="str">
        <f t="shared" si="3221"/>
        <v xml:space="preserve"> </v>
      </c>
      <c r="AV559" s="94" t="str">
        <f t="shared" si="3222"/>
        <v xml:space="preserve"> </v>
      </c>
      <c r="AW559" s="94" t="str">
        <f t="shared" si="3223"/>
        <v xml:space="preserve"> </v>
      </c>
      <c r="AX559" s="94" t="str">
        <f t="shared" si="3224"/>
        <v xml:space="preserve"> </v>
      </c>
      <c r="AY559" s="94" t="str">
        <f t="shared" si="3225"/>
        <v xml:space="preserve"> </v>
      </c>
      <c r="AZ559" s="94" t="str">
        <f t="shared" si="3226"/>
        <v xml:space="preserve"> </v>
      </c>
      <c r="BA559" s="94" t="str">
        <f t="shared" si="3227"/>
        <v xml:space="preserve"> </v>
      </c>
      <c r="BB559" s="94" t="str">
        <f t="shared" si="3228"/>
        <v xml:space="preserve"> </v>
      </c>
    </row>
    <row r="560" spans="1:54" x14ac:dyDescent="0.25">
      <c r="A560" s="80"/>
      <c r="B560" s="95" t="s">
        <v>2878</v>
      </c>
      <c r="C560" s="201" t="s">
        <v>226</v>
      </c>
      <c r="D560" s="80" t="s">
        <v>783</v>
      </c>
      <c r="E560" s="94" t="str">
        <f>IFERROR(VLOOKUP(A560,Estimate!A:Q,17,FALSE)," ")</f>
        <v xml:space="preserve"> </v>
      </c>
      <c r="F560" s="202" t="s">
        <v>781</v>
      </c>
      <c r="G560" s="202" t="s">
        <v>781</v>
      </c>
      <c r="H560" s="203" t="s">
        <v>781</v>
      </c>
      <c r="I560" s="203" t="s">
        <v>781</v>
      </c>
      <c r="J560" s="203" t="s">
        <v>781</v>
      </c>
      <c r="K560" s="203"/>
      <c r="L560" s="202" t="s">
        <v>781</v>
      </c>
      <c r="M560" s="204" t="str">
        <f t="shared" si="3210"/>
        <v xml:space="preserve"> </v>
      </c>
      <c r="N560" s="95" t="s">
        <v>781</v>
      </c>
      <c r="O560" s="204" t="str">
        <f t="shared" si="3210"/>
        <v xml:space="preserve"> </v>
      </c>
      <c r="P560" s="95" t="s">
        <v>781</v>
      </c>
      <c r="Q560" s="204" t="str">
        <f t="shared" ref="Q560:S560" si="3458">IFERROR(P560/$G560," ")</f>
        <v xml:space="preserve"> </v>
      </c>
      <c r="R560" s="95" t="s">
        <v>781</v>
      </c>
      <c r="S560" s="204" t="str">
        <f t="shared" si="3458"/>
        <v xml:space="preserve"> </v>
      </c>
      <c r="T560" s="95" t="s">
        <v>781</v>
      </c>
      <c r="U560" s="204" t="str">
        <f t="shared" ref="U560:W560" si="3459">IFERROR(T560/$G560," ")</f>
        <v xml:space="preserve"> </v>
      </c>
      <c r="V560" s="95" t="s">
        <v>781</v>
      </c>
      <c r="W560" s="204" t="str">
        <f t="shared" si="3459"/>
        <v xml:space="preserve"> </v>
      </c>
      <c r="X560" s="95" t="s">
        <v>781</v>
      </c>
      <c r="Y560" s="204" t="str">
        <f t="shared" ref="Y560:AA560" si="3460">IFERROR(X560/$G560," ")</f>
        <v xml:space="preserve"> </v>
      </c>
      <c r="Z560" s="95" t="s">
        <v>781</v>
      </c>
      <c r="AA560" s="204" t="str">
        <f t="shared" si="3460"/>
        <v xml:space="preserve"> </v>
      </c>
      <c r="AB560" s="95" t="s">
        <v>781</v>
      </c>
      <c r="AC560" s="204" t="str">
        <f t="shared" ref="AC560:AE560" si="3461">IFERROR(AB560/$G560," ")</f>
        <v xml:space="preserve"> </v>
      </c>
      <c r="AD560" s="95" t="s">
        <v>781</v>
      </c>
      <c r="AE560" s="204" t="str">
        <f t="shared" si="3461"/>
        <v xml:space="preserve"> </v>
      </c>
      <c r="AF560" s="95" t="s">
        <v>781</v>
      </c>
      <c r="AG560" s="204" t="str">
        <f t="shared" ref="AG560:AI560" si="3462">IFERROR(AF560/$G560," ")</f>
        <v xml:space="preserve"> </v>
      </c>
      <c r="AH560" s="95" t="s">
        <v>781</v>
      </c>
      <c r="AI560" s="204" t="str">
        <f t="shared" si="3462"/>
        <v xml:space="preserve"> </v>
      </c>
      <c r="AJ560" s="95" t="s">
        <v>781</v>
      </c>
      <c r="AK560" s="204" t="str">
        <f t="shared" ref="AK560:AM560" si="3463">IFERROR(AJ560/$G560," ")</f>
        <v xml:space="preserve"> </v>
      </c>
      <c r="AL560" s="95" t="s">
        <v>781</v>
      </c>
      <c r="AM560" s="204" t="str">
        <f t="shared" si="3463"/>
        <v xml:space="preserve"> </v>
      </c>
      <c r="AN560" s="95"/>
      <c r="AO560" s="94" t="str">
        <f t="shared" si="3217"/>
        <v xml:space="preserve"> </v>
      </c>
      <c r="AP560" s="94" t="str">
        <f t="shared" si="3207"/>
        <v xml:space="preserve"> </v>
      </c>
      <c r="AQ560" s="94" t="str">
        <f t="shared" si="3208"/>
        <v xml:space="preserve"> </v>
      </c>
      <c r="AR560" s="94" t="str">
        <f t="shared" si="3421"/>
        <v xml:space="preserve"> </v>
      </c>
      <c r="AS560" s="94" t="str">
        <f t="shared" si="3219"/>
        <v xml:space="preserve"> </v>
      </c>
      <c r="AT560" s="94" t="str">
        <f t="shared" si="3220"/>
        <v xml:space="preserve"> </v>
      </c>
      <c r="AU560" s="94" t="str">
        <f t="shared" si="3221"/>
        <v xml:space="preserve"> </v>
      </c>
      <c r="AV560" s="94" t="str">
        <f t="shared" si="3222"/>
        <v xml:space="preserve"> </v>
      </c>
      <c r="AW560" s="94" t="str">
        <f t="shared" si="3223"/>
        <v xml:space="preserve"> </v>
      </c>
      <c r="AX560" s="94" t="str">
        <f t="shared" si="3224"/>
        <v xml:space="preserve"> </v>
      </c>
      <c r="AY560" s="94" t="str">
        <f t="shared" si="3225"/>
        <v xml:space="preserve"> </v>
      </c>
      <c r="AZ560" s="94" t="str">
        <f t="shared" si="3226"/>
        <v xml:space="preserve"> </v>
      </c>
      <c r="BA560" s="94" t="str">
        <f t="shared" si="3227"/>
        <v xml:space="preserve"> </v>
      </c>
      <c r="BB560" s="94" t="str">
        <f t="shared" si="3228"/>
        <v xml:space="preserve"> </v>
      </c>
    </row>
    <row r="561" spans="1:54" x14ac:dyDescent="0.25">
      <c r="A561" s="80">
        <v>224</v>
      </c>
      <c r="B561" s="95" t="s">
        <v>2879</v>
      </c>
      <c r="C561" s="201" t="s">
        <v>228</v>
      </c>
      <c r="D561" s="80" t="s">
        <v>82</v>
      </c>
      <c r="E561" s="94">
        <f>IFERROR(VLOOKUP(A561,Estimate!A:Q,17,FALSE)," ")</f>
        <v>100970.1</v>
      </c>
      <c r="F561" s="202">
        <v>310</v>
      </c>
      <c r="G561" s="202">
        <v>310</v>
      </c>
      <c r="H561" s="203">
        <v>333.85</v>
      </c>
      <c r="I561" s="203">
        <v>103493.5</v>
      </c>
      <c r="J561" s="203">
        <v>103493.5</v>
      </c>
      <c r="K561" s="203"/>
      <c r="L561" s="202"/>
      <c r="M561" s="204">
        <f t="shared" si="3210"/>
        <v>0</v>
      </c>
      <c r="N561" s="95"/>
      <c r="O561" s="204">
        <f t="shared" si="3210"/>
        <v>0</v>
      </c>
      <c r="P561" s="95"/>
      <c r="Q561" s="204">
        <f t="shared" ref="Q561:S561" si="3464">IFERROR(P561/$G561," ")</f>
        <v>0</v>
      </c>
      <c r="R561" s="95"/>
      <c r="S561" s="204">
        <f t="shared" si="3464"/>
        <v>0</v>
      </c>
      <c r="T561" s="95"/>
      <c r="U561" s="204">
        <f t="shared" ref="U561:W561" si="3465">IFERROR(T561/$G561," ")</f>
        <v>0</v>
      </c>
      <c r="V561" s="95"/>
      <c r="W561" s="204">
        <f t="shared" si="3465"/>
        <v>0</v>
      </c>
      <c r="X561" s="95"/>
      <c r="Y561" s="204">
        <f t="shared" ref="Y561:AA561" si="3466">IFERROR(X561/$G561," ")</f>
        <v>0</v>
      </c>
      <c r="Z561" s="95"/>
      <c r="AA561" s="204">
        <f t="shared" si="3466"/>
        <v>0</v>
      </c>
      <c r="AB561" s="95"/>
      <c r="AC561" s="204">
        <f t="shared" ref="AC561:AE561" si="3467">IFERROR(AB561/$G561," ")</f>
        <v>0</v>
      </c>
      <c r="AD561" s="95">
        <v>310</v>
      </c>
      <c r="AE561" s="204">
        <f t="shared" si="3467"/>
        <v>1</v>
      </c>
      <c r="AF561" s="95">
        <v>310</v>
      </c>
      <c r="AG561" s="204">
        <f t="shared" ref="AG561:AI561" si="3468">IFERROR(AF561/$G561," ")</f>
        <v>1</v>
      </c>
      <c r="AH561" s="95">
        <v>310</v>
      </c>
      <c r="AI561" s="204">
        <f t="shared" si="3468"/>
        <v>1</v>
      </c>
      <c r="AJ561" s="95">
        <v>310</v>
      </c>
      <c r="AK561" s="204">
        <f t="shared" ref="AK561:AM561" si="3469">IFERROR(AJ561/$G561," ")</f>
        <v>1</v>
      </c>
      <c r="AL561" s="95">
        <v>310</v>
      </c>
      <c r="AM561" s="204">
        <f t="shared" si="3469"/>
        <v>1</v>
      </c>
      <c r="AN561" s="95"/>
      <c r="AO561" s="94">
        <f t="shared" si="3217"/>
        <v>0</v>
      </c>
      <c r="AP561" s="94">
        <f t="shared" si="3207"/>
        <v>0</v>
      </c>
      <c r="AQ561" s="94">
        <f t="shared" si="3208"/>
        <v>0</v>
      </c>
      <c r="AR561" s="94">
        <f t="shared" si="3421"/>
        <v>0</v>
      </c>
      <c r="AS561" s="94">
        <f t="shared" si="3219"/>
        <v>0</v>
      </c>
      <c r="AT561" s="94">
        <f t="shared" si="3220"/>
        <v>0</v>
      </c>
      <c r="AU561" s="94">
        <f t="shared" si="3221"/>
        <v>0</v>
      </c>
      <c r="AV561" s="94">
        <f t="shared" si="3222"/>
        <v>0</v>
      </c>
      <c r="AW561" s="94">
        <f t="shared" si="3223"/>
        <v>0</v>
      </c>
      <c r="AX561" s="94">
        <f t="shared" si="3224"/>
        <v>103493.5</v>
      </c>
      <c r="AY561" s="94">
        <f t="shared" si="3225"/>
        <v>103493.5</v>
      </c>
      <c r="AZ561" s="94">
        <f t="shared" si="3226"/>
        <v>103493.5</v>
      </c>
      <c r="BA561" s="94">
        <f t="shared" si="3227"/>
        <v>103493.5</v>
      </c>
      <c r="BB561" s="94">
        <f t="shared" si="3228"/>
        <v>103493.5</v>
      </c>
    </row>
    <row r="562" spans="1:54" x14ac:dyDescent="0.25">
      <c r="A562" s="80"/>
      <c r="B562" s="95" t="s">
        <v>2417</v>
      </c>
      <c r="C562" s="201" t="s">
        <v>2837</v>
      </c>
      <c r="D562" s="80" t="s">
        <v>783</v>
      </c>
      <c r="E562" s="94" t="str">
        <f>IFERROR(VLOOKUP(A562,Estimate!A:Q,17,FALSE)," ")</f>
        <v xml:space="preserve"> </v>
      </c>
      <c r="F562" s="202" t="s">
        <v>781</v>
      </c>
      <c r="G562" s="202" t="s">
        <v>781</v>
      </c>
      <c r="H562" s="203" t="s">
        <v>781</v>
      </c>
      <c r="I562" s="203" t="s">
        <v>781</v>
      </c>
      <c r="J562" s="203" t="s">
        <v>781</v>
      </c>
      <c r="K562" s="203"/>
      <c r="L562" s="202" t="s">
        <v>781</v>
      </c>
      <c r="M562" s="204" t="str">
        <f t="shared" si="3210"/>
        <v xml:space="preserve"> </v>
      </c>
      <c r="N562" s="95" t="s">
        <v>781</v>
      </c>
      <c r="O562" s="204" t="str">
        <f t="shared" si="3210"/>
        <v xml:space="preserve"> </v>
      </c>
      <c r="P562" s="95" t="s">
        <v>781</v>
      </c>
      <c r="Q562" s="204" t="str">
        <f t="shared" ref="Q562:S562" si="3470">IFERROR(P562/$G562," ")</f>
        <v xml:space="preserve"> </v>
      </c>
      <c r="R562" s="95" t="s">
        <v>781</v>
      </c>
      <c r="S562" s="204" t="str">
        <f t="shared" si="3470"/>
        <v xml:space="preserve"> </v>
      </c>
      <c r="T562" s="95" t="s">
        <v>781</v>
      </c>
      <c r="U562" s="204" t="str">
        <f t="shared" ref="U562:W562" si="3471">IFERROR(T562/$G562," ")</f>
        <v xml:space="preserve"> </v>
      </c>
      <c r="V562" s="95" t="s">
        <v>781</v>
      </c>
      <c r="W562" s="204" t="str">
        <f t="shared" si="3471"/>
        <v xml:space="preserve"> </v>
      </c>
      <c r="X562" s="95" t="s">
        <v>781</v>
      </c>
      <c r="Y562" s="204" t="str">
        <f t="shared" ref="Y562:AA562" si="3472">IFERROR(X562/$G562," ")</f>
        <v xml:space="preserve"> </v>
      </c>
      <c r="Z562" s="95" t="s">
        <v>781</v>
      </c>
      <c r="AA562" s="204" t="str">
        <f t="shared" si="3472"/>
        <v xml:space="preserve"> </v>
      </c>
      <c r="AB562" s="95" t="s">
        <v>781</v>
      </c>
      <c r="AC562" s="204" t="str">
        <f t="shared" ref="AC562:AE562" si="3473">IFERROR(AB562/$G562," ")</f>
        <v xml:space="preserve"> </v>
      </c>
      <c r="AD562" s="95" t="s">
        <v>781</v>
      </c>
      <c r="AE562" s="204" t="str">
        <f t="shared" si="3473"/>
        <v xml:space="preserve"> </v>
      </c>
      <c r="AF562" s="95" t="s">
        <v>781</v>
      </c>
      <c r="AG562" s="204" t="str">
        <f t="shared" ref="AG562:AI562" si="3474">IFERROR(AF562/$G562," ")</f>
        <v xml:space="preserve"> </v>
      </c>
      <c r="AH562" s="95" t="s">
        <v>781</v>
      </c>
      <c r="AI562" s="204" t="str">
        <f t="shared" si="3474"/>
        <v xml:space="preserve"> </v>
      </c>
      <c r="AJ562" s="95" t="s">
        <v>781</v>
      </c>
      <c r="AK562" s="204" t="str">
        <f t="shared" ref="AK562:AM562" si="3475">IFERROR(AJ562/$G562," ")</f>
        <v xml:space="preserve"> </v>
      </c>
      <c r="AL562" s="95" t="s">
        <v>781</v>
      </c>
      <c r="AM562" s="204" t="str">
        <f t="shared" si="3475"/>
        <v xml:space="preserve"> </v>
      </c>
      <c r="AN562" s="95"/>
      <c r="AO562" s="94" t="str">
        <f t="shared" si="3217"/>
        <v xml:space="preserve"> </v>
      </c>
      <c r="AP562" s="94" t="str">
        <f t="shared" si="3207"/>
        <v xml:space="preserve"> </v>
      </c>
      <c r="AQ562" s="94" t="str">
        <f t="shared" si="3208"/>
        <v xml:space="preserve"> </v>
      </c>
      <c r="AR562" s="94" t="str">
        <f t="shared" si="3421"/>
        <v xml:space="preserve"> </v>
      </c>
      <c r="AS562" s="94" t="str">
        <f t="shared" si="3219"/>
        <v xml:space="preserve"> </v>
      </c>
      <c r="AT562" s="94" t="str">
        <f t="shared" si="3220"/>
        <v xml:space="preserve"> </v>
      </c>
      <c r="AU562" s="94" t="str">
        <f t="shared" si="3221"/>
        <v xml:space="preserve"> </v>
      </c>
      <c r="AV562" s="94" t="str">
        <f t="shared" si="3222"/>
        <v xml:space="preserve"> </v>
      </c>
      <c r="AW562" s="94" t="str">
        <f t="shared" si="3223"/>
        <v xml:space="preserve"> </v>
      </c>
      <c r="AX562" s="94" t="str">
        <f t="shared" si="3224"/>
        <v xml:space="preserve"> </v>
      </c>
      <c r="AY562" s="94" t="str">
        <f t="shared" si="3225"/>
        <v xml:space="preserve"> </v>
      </c>
      <c r="AZ562" s="94" t="str">
        <f t="shared" si="3226"/>
        <v xml:space="preserve"> </v>
      </c>
      <c r="BA562" s="94" t="str">
        <f t="shared" si="3227"/>
        <v xml:space="preserve"> </v>
      </c>
      <c r="BB562" s="94" t="str">
        <f t="shared" si="3228"/>
        <v xml:space="preserve"> </v>
      </c>
    </row>
    <row r="563" spans="1:54" x14ac:dyDescent="0.25">
      <c r="A563" s="80"/>
      <c r="B563" s="95" t="s">
        <v>2417</v>
      </c>
      <c r="C563" s="201" t="s">
        <v>129</v>
      </c>
      <c r="D563" s="80" t="s">
        <v>783</v>
      </c>
      <c r="E563" s="94" t="str">
        <f>IFERROR(VLOOKUP(A563,Estimate!A:Q,17,FALSE)," ")</f>
        <v xml:space="preserve"> </v>
      </c>
      <c r="F563" s="202" t="s">
        <v>781</v>
      </c>
      <c r="G563" s="202" t="s">
        <v>781</v>
      </c>
      <c r="H563" s="203" t="s">
        <v>781</v>
      </c>
      <c r="I563" s="203" t="s">
        <v>781</v>
      </c>
      <c r="J563" s="203" t="s">
        <v>781</v>
      </c>
      <c r="K563" s="203"/>
      <c r="L563" s="202" t="s">
        <v>781</v>
      </c>
      <c r="M563" s="204" t="str">
        <f t="shared" si="3210"/>
        <v xml:space="preserve"> </v>
      </c>
      <c r="N563" s="95" t="s">
        <v>781</v>
      </c>
      <c r="O563" s="204" t="str">
        <f t="shared" si="3210"/>
        <v xml:space="preserve"> </v>
      </c>
      <c r="P563" s="95" t="s">
        <v>781</v>
      </c>
      <c r="Q563" s="204" t="str">
        <f t="shared" ref="Q563:S563" si="3476">IFERROR(P563/$G563," ")</f>
        <v xml:space="preserve"> </v>
      </c>
      <c r="R563" s="95" t="s">
        <v>781</v>
      </c>
      <c r="S563" s="204" t="str">
        <f t="shared" si="3476"/>
        <v xml:space="preserve"> </v>
      </c>
      <c r="T563" s="95" t="s">
        <v>781</v>
      </c>
      <c r="U563" s="204" t="str">
        <f t="shared" ref="U563:W563" si="3477">IFERROR(T563/$G563," ")</f>
        <v xml:space="preserve"> </v>
      </c>
      <c r="V563" s="95" t="s">
        <v>781</v>
      </c>
      <c r="W563" s="204" t="str">
        <f t="shared" si="3477"/>
        <v xml:space="preserve"> </v>
      </c>
      <c r="X563" s="95" t="s">
        <v>781</v>
      </c>
      <c r="Y563" s="204" t="str">
        <f t="shared" ref="Y563:AA563" si="3478">IFERROR(X563/$G563," ")</f>
        <v xml:space="preserve"> </v>
      </c>
      <c r="Z563" s="95" t="s">
        <v>781</v>
      </c>
      <c r="AA563" s="204" t="str">
        <f t="shared" si="3478"/>
        <v xml:space="preserve"> </v>
      </c>
      <c r="AB563" s="95" t="s">
        <v>781</v>
      </c>
      <c r="AC563" s="204" t="str">
        <f t="shared" ref="AC563:AE563" si="3479">IFERROR(AB563/$G563," ")</f>
        <v xml:space="preserve"> </v>
      </c>
      <c r="AD563" s="95" t="s">
        <v>781</v>
      </c>
      <c r="AE563" s="204" t="str">
        <f t="shared" si="3479"/>
        <v xml:space="preserve"> </v>
      </c>
      <c r="AF563" s="95" t="s">
        <v>781</v>
      </c>
      <c r="AG563" s="204" t="str">
        <f t="shared" ref="AG563:AI563" si="3480">IFERROR(AF563/$G563," ")</f>
        <v xml:space="preserve"> </v>
      </c>
      <c r="AH563" s="95" t="s">
        <v>781</v>
      </c>
      <c r="AI563" s="204" t="str">
        <f t="shared" si="3480"/>
        <v xml:space="preserve"> </v>
      </c>
      <c r="AJ563" s="95" t="s">
        <v>781</v>
      </c>
      <c r="AK563" s="204" t="str">
        <f t="shared" ref="AK563:AM563" si="3481">IFERROR(AJ563/$G563," ")</f>
        <v xml:space="preserve"> </v>
      </c>
      <c r="AL563" s="95" t="s">
        <v>781</v>
      </c>
      <c r="AM563" s="204" t="str">
        <f t="shared" si="3481"/>
        <v xml:space="preserve"> </v>
      </c>
      <c r="AN563" s="95"/>
      <c r="AO563" s="94" t="str">
        <f t="shared" si="3217"/>
        <v xml:space="preserve"> </v>
      </c>
      <c r="AP563" s="94" t="str">
        <f t="shared" si="3207"/>
        <v xml:space="preserve"> </v>
      </c>
      <c r="AQ563" s="94" t="str">
        <f t="shared" si="3208"/>
        <v xml:space="preserve"> </v>
      </c>
      <c r="AR563" s="94" t="str">
        <f t="shared" si="3421"/>
        <v xml:space="preserve"> </v>
      </c>
      <c r="AS563" s="94" t="str">
        <f t="shared" si="3219"/>
        <v xml:space="preserve"> </v>
      </c>
      <c r="AT563" s="94" t="str">
        <f t="shared" si="3220"/>
        <v xml:space="preserve"> </v>
      </c>
      <c r="AU563" s="94" t="str">
        <f t="shared" si="3221"/>
        <v xml:space="preserve"> </v>
      </c>
      <c r="AV563" s="94" t="str">
        <f t="shared" si="3222"/>
        <v xml:space="preserve"> </v>
      </c>
      <c r="AW563" s="94" t="str">
        <f t="shared" si="3223"/>
        <v xml:space="preserve"> </v>
      </c>
      <c r="AX563" s="94" t="str">
        <f t="shared" si="3224"/>
        <v xml:space="preserve"> </v>
      </c>
      <c r="AY563" s="94" t="str">
        <f t="shared" si="3225"/>
        <v xml:space="preserve"> </v>
      </c>
      <c r="AZ563" s="94" t="str">
        <f t="shared" si="3226"/>
        <v xml:space="preserve"> </v>
      </c>
      <c r="BA563" s="94" t="str">
        <f t="shared" si="3227"/>
        <v xml:space="preserve"> </v>
      </c>
      <c r="BB563" s="94" t="str">
        <f t="shared" si="3228"/>
        <v xml:space="preserve"> </v>
      </c>
    </row>
    <row r="564" spans="1:54" x14ac:dyDescent="0.25">
      <c r="A564" s="80"/>
      <c r="B564" s="95" t="s">
        <v>2889</v>
      </c>
      <c r="C564" s="201" t="s">
        <v>286</v>
      </c>
      <c r="D564" s="80" t="s">
        <v>783</v>
      </c>
      <c r="E564" s="94" t="str">
        <f>IFERROR(VLOOKUP(A564,Estimate!A:Q,17,FALSE)," ")</f>
        <v xml:space="preserve"> </v>
      </c>
      <c r="F564" s="202" t="s">
        <v>781</v>
      </c>
      <c r="G564" s="202" t="s">
        <v>781</v>
      </c>
      <c r="H564" s="203" t="s">
        <v>781</v>
      </c>
      <c r="I564" s="203" t="s">
        <v>781</v>
      </c>
      <c r="J564" s="203" t="s">
        <v>781</v>
      </c>
      <c r="K564" s="203"/>
      <c r="L564" s="202" t="s">
        <v>781</v>
      </c>
      <c r="M564" s="204" t="str">
        <f t="shared" si="3210"/>
        <v xml:space="preserve"> </v>
      </c>
      <c r="N564" s="95" t="s">
        <v>781</v>
      </c>
      <c r="O564" s="204" t="str">
        <f t="shared" si="3210"/>
        <v xml:space="preserve"> </v>
      </c>
      <c r="P564" s="95" t="s">
        <v>781</v>
      </c>
      <c r="Q564" s="204" t="str">
        <f t="shared" ref="Q564:S564" si="3482">IFERROR(P564/$G564," ")</f>
        <v xml:space="preserve"> </v>
      </c>
      <c r="R564" s="95" t="s">
        <v>781</v>
      </c>
      <c r="S564" s="204" t="str">
        <f t="shared" si="3482"/>
        <v xml:space="preserve"> </v>
      </c>
      <c r="T564" s="95" t="s">
        <v>781</v>
      </c>
      <c r="U564" s="204" t="str">
        <f t="shared" ref="U564:W564" si="3483">IFERROR(T564/$G564," ")</f>
        <v xml:space="preserve"> </v>
      </c>
      <c r="V564" s="95" t="s">
        <v>781</v>
      </c>
      <c r="W564" s="204" t="str">
        <f t="shared" si="3483"/>
        <v xml:space="preserve"> </v>
      </c>
      <c r="X564" s="95" t="s">
        <v>781</v>
      </c>
      <c r="Y564" s="204" t="str">
        <f t="shared" ref="Y564:AA564" si="3484">IFERROR(X564/$G564," ")</f>
        <v xml:space="preserve"> </v>
      </c>
      <c r="Z564" s="95" t="s">
        <v>781</v>
      </c>
      <c r="AA564" s="204" t="str">
        <f t="shared" si="3484"/>
        <v xml:space="preserve"> </v>
      </c>
      <c r="AB564" s="95" t="s">
        <v>781</v>
      </c>
      <c r="AC564" s="204" t="str">
        <f t="shared" ref="AC564:AE564" si="3485">IFERROR(AB564/$G564," ")</f>
        <v xml:space="preserve"> </v>
      </c>
      <c r="AD564" s="95" t="s">
        <v>781</v>
      </c>
      <c r="AE564" s="204" t="str">
        <f t="shared" si="3485"/>
        <v xml:space="preserve"> </v>
      </c>
      <c r="AF564" s="95" t="s">
        <v>781</v>
      </c>
      <c r="AG564" s="204" t="str">
        <f t="shared" ref="AG564:AI564" si="3486">IFERROR(AF564/$G564," ")</f>
        <v xml:space="preserve"> </v>
      </c>
      <c r="AH564" s="95" t="s">
        <v>781</v>
      </c>
      <c r="AI564" s="204" t="str">
        <f t="shared" si="3486"/>
        <v xml:space="preserve"> </v>
      </c>
      <c r="AJ564" s="95" t="s">
        <v>781</v>
      </c>
      <c r="AK564" s="204" t="str">
        <f t="shared" ref="AK564:AM564" si="3487">IFERROR(AJ564/$G564," ")</f>
        <v xml:space="preserve"> </v>
      </c>
      <c r="AL564" s="95" t="s">
        <v>781</v>
      </c>
      <c r="AM564" s="204" t="str">
        <f t="shared" si="3487"/>
        <v xml:space="preserve"> </v>
      </c>
      <c r="AN564" s="95"/>
      <c r="AO564" s="94" t="str">
        <f t="shared" si="3217"/>
        <v xml:space="preserve"> </v>
      </c>
      <c r="AP564" s="94" t="str">
        <f t="shared" si="3207"/>
        <v xml:space="preserve"> </v>
      </c>
      <c r="AQ564" s="94" t="str">
        <f t="shared" si="3208"/>
        <v xml:space="preserve"> </v>
      </c>
      <c r="AR564" s="94" t="str">
        <f t="shared" si="3421"/>
        <v xml:space="preserve"> </v>
      </c>
      <c r="AS564" s="94" t="str">
        <f t="shared" si="3219"/>
        <v xml:space="preserve"> </v>
      </c>
      <c r="AT564" s="94" t="str">
        <f t="shared" si="3220"/>
        <v xml:space="preserve"> </v>
      </c>
      <c r="AU564" s="94" t="str">
        <f t="shared" si="3221"/>
        <v xml:space="preserve"> </v>
      </c>
      <c r="AV564" s="94" t="str">
        <f t="shared" si="3222"/>
        <v xml:space="preserve"> </v>
      </c>
      <c r="AW564" s="94" t="str">
        <f t="shared" si="3223"/>
        <v xml:space="preserve"> </v>
      </c>
      <c r="AX564" s="94" t="str">
        <f t="shared" si="3224"/>
        <v xml:space="preserve"> </v>
      </c>
      <c r="AY564" s="94" t="str">
        <f t="shared" si="3225"/>
        <v xml:space="preserve"> </v>
      </c>
      <c r="AZ564" s="94" t="str">
        <f t="shared" si="3226"/>
        <v xml:space="preserve"> </v>
      </c>
      <c r="BA564" s="94" t="str">
        <f t="shared" si="3227"/>
        <v xml:space="preserve"> </v>
      </c>
      <c r="BB564" s="94" t="str">
        <f t="shared" si="3228"/>
        <v xml:space="preserve"> </v>
      </c>
    </row>
    <row r="565" spans="1:54" ht="30" x14ac:dyDescent="0.25">
      <c r="A565" s="80">
        <v>225</v>
      </c>
      <c r="B565" s="95" t="s">
        <v>2890</v>
      </c>
      <c r="C565" s="201" t="s">
        <v>288</v>
      </c>
      <c r="D565" s="80" t="s">
        <v>89</v>
      </c>
      <c r="E565" s="94">
        <f>IFERROR(VLOOKUP(A565,Estimate!A:Q,17,FALSE)," ")</f>
        <v>5000</v>
      </c>
      <c r="F565" s="202">
        <v>405</v>
      </c>
      <c r="G565" s="202">
        <v>405</v>
      </c>
      <c r="H565" s="203">
        <v>15.51</v>
      </c>
      <c r="I565" s="203">
        <v>6281.55</v>
      </c>
      <c r="J565" s="203">
        <v>6281.55</v>
      </c>
      <c r="K565" s="203"/>
      <c r="L565" s="202"/>
      <c r="M565" s="204">
        <f t="shared" si="3210"/>
        <v>0</v>
      </c>
      <c r="N565" s="95"/>
      <c r="O565" s="204">
        <f t="shared" si="3210"/>
        <v>0</v>
      </c>
      <c r="P565" s="95"/>
      <c r="Q565" s="204">
        <f t="shared" ref="Q565:S565" si="3488">IFERROR(P565/$G565," ")</f>
        <v>0</v>
      </c>
      <c r="R565" s="95"/>
      <c r="S565" s="204">
        <f t="shared" si="3488"/>
        <v>0</v>
      </c>
      <c r="T565" s="95"/>
      <c r="U565" s="204">
        <f t="shared" ref="U565:W565" si="3489">IFERROR(T565/$G565," ")</f>
        <v>0</v>
      </c>
      <c r="V565" s="95"/>
      <c r="W565" s="204">
        <f t="shared" si="3489"/>
        <v>0</v>
      </c>
      <c r="X565" s="95"/>
      <c r="Y565" s="204">
        <f t="shared" ref="Y565:AA565" si="3490">IFERROR(X565/$G565," ")</f>
        <v>0</v>
      </c>
      <c r="Z565" s="95"/>
      <c r="AA565" s="204">
        <f t="shared" si="3490"/>
        <v>0</v>
      </c>
      <c r="AB565" s="95"/>
      <c r="AC565" s="204">
        <f t="shared" ref="AC565:AE565" si="3491">IFERROR(AB565/$G565," ")</f>
        <v>0</v>
      </c>
      <c r="AD565" s="95"/>
      <c r="AE565" s="204">
        <f t="shared" si="3491"/>
        <v>0</v>
      </c>
      <c r="AF565" s="95"/>
      <c r="AG565" s="204">
        <f t="shared" ref="AG565:AI565" si="3492">IFERROR(AF565/$G565," ")</f>
        <v>0</v>
      </c>
      <c r="AH565" s="95">
        <v>405</v>
      </c>
      <c r="AI565" s="204">
        <f t="shared" si="3492"/>
        <v>1</v>
      </c>
      <c r="AJ565" s="95">
        <v>405</v>
      </c>
      <c r="AK565" s="204">
        <f t="shared" ref="AK565:AM565" si="3493">IFERROR(AJ565/$G565," ")</f>
        <v>1</v>
      </c>
      <c r="AL565" s="95">
        <v>405</v>
      </c>
      <c r="AM565" s="204">
        <f t="shared" si="3493"/>
        <v>1</v>
      </c>
      <c r="AN565" s="95"/>
      <c r="AO565" s="94">
        <f t="shared" si="3217"/>
        <v>0</v>
      </c>
      <c r="AP565" s="94">
        <f t="shared" si="3207"/>
        <v>0</v>
      </c>
      <c r="AQ565" s="94">
        <f t="shared" si="3208"/>
        <v>0</v>
      </c>
      <c r="AR565" s="94">
        <f t="shared" si="3421"/>
        <v>0</v>
      </c>
      <c r="AS565" s="94">
        <f t="shared" si="3219"/>
        <v>0</v>
      </c>
      <c r="AT565" s="94">
        <f t="shared" si="3220"/>
        <v>0</v>
      </c>
      <c r="AU565" s="94">
        <f t="shared" si="3221"/>
        <v>0</v>
      </c>
      <c r="AV565" s="94">
        <f t="shared" si="3222"/>
        <v>0</v>
      </c>
      <c r="AW565" s="94">
        <f t="shared" si="3223"/>
        <v>0</v>
      </c>
      <c r="AX565" s="94">
        <f t="shared" si="3224"/>
        <v>0</v>
      </c>
      <c r="AY565" s="94">
        <f t="shared" si="3225"/>
        <v>0</v>
      </c>
      <c r="AZ565" s="94">
        <f t="shared" si="3226"/>
        <v>6281.55</v>
      </c>
      <c r="BA565" s="94">
        <f t="shared" si="3227"/>
        <v>6281.55</v>
      </c>
      <c r="BB565" s="94">
        <f t="shared" si="3228"/>
        <v>6281.55</v>
      </c>
    </row>
    <row r="566" spans="1:54" ht="30" x14ac:dyDescent="0.25">
      <c r="A566" s="80">
        <v>226</v>
      </c>
      <c r="B566" s="95" t="s">
        <v>2891</v>
      </c>
      <c r="C566" s="201" t="s">
        <v>291</v>
      </c>
      <c r="D566" s="80" t="s">
        <v>33</v>
      </c>
      <c r="E566" s="94">
        <f>IFERROR(VLOOKUP(A566,Estimate!A:Q,17,FALSE)," ")</f>
        <v>2000</v>
      </c>
      <c r="F566" s="202">
        <v>1</v>
      </c>
      <c r="G566" s="202">
        <v>1</v>
      </c>
      <c r="H566" s="203">
        <v>2512.46</v>
      </c>
      <c r="I566" s="203">
        <v>2512.46</v>
      </c>
      <c r="J566" s="203">
        <v>2512.46</v>
      </c>
      <c r="K566" s="203"/>
      <c r="L566" s="202"/>
      <c r="M566" s="204">
        <f t="shared" si="3210"/>
        <v>0</v>
      </c>
      <c r="N566" s="95"/>
      <c r="O566" s="204">
        <f t="shared" si="3210"/>
        <v>0</v>
      </c>
      <c r="P566" s="95"/>
      <c r="Q566" s="204">
        <f t="shared" ref="Q566:S566" si="3494">IFERROR(P566/$G566," ")</f>
        <v>0</v>
      </c>
      <c r="R566" s="95"/>
      <c r="S566" s="204">
        <f t="shared" si="3494"/>
        <v>0</v>
      </c>
      <c r="T566" s="95"/>
      <c r="U566" s="204">
        <f t="shared" ref="U566:W566" si="3495">IFERROR(T566/$G566," ")</f>
        <v>0</v>
      </c>
      <c r="V566" s="95"/>
      <c r="W566" s="204">
        <f t="shared" si="3495"/>
        <v>0</v>
      </c>
      <c r="X566" s="95"/>
      <c r="Y566" s="204">
        <f t="shared" ref="Y566:AA566" si="3496">IFERROR(X566/$G566," ")</f>
        <v>0</v>
      </c>
      <c r="Z566" s="95"/>
      <c r="AA566" s="204">
        <f t="shared" si="3496"/>
        <v>0</v>
      </c>
      <c r="AB566" s="95"/>
      <c r="AC566" s="204">
        <f t="shared" ref="AC566:AE566" si="3497">IFERROR(AB566/$G566," ")</f>
        <v>0</v>
      </c>
      <c r="AD566" s="95"/>
      <c r="AE566" s="204">
        <f t="shared" si="3497"/>
        <v>0</v>
      </c>
      <c r="AF566" s="95"/>
      <c r="AG566" s="204">
        <f t="shared" ref="AG566:AI566" si="3498">IFERROR(AF566/$G566," ")</f>
        <v>0</v>
      </c>
      <c r="AH566" s="95">
        <v>1</v>
      </c>
      <c r="AI566" s="204">
        <f t="shared" si="3498"/>
        <v>1</v>
      </c>
      <c r="AJ566" s="95">
        <v>1</v>
      </c>
      <c r="AK566" s="204">
        <f t="shared" ref="AK566:AM566" si="3499">IFERROR(AJ566/$G566," ")</f>
        <v>1</v>
      </c>
      <c r="AL566" s="95">
        <v>1</v>
      </c>
      <c r="AM566" s="204">
        <f t="shared" si="3499"/>
        <v>1</v>
      </c>
      <c r="AN566" s="95"/>
      <c r="AO566" s="94">
        <f t="shared" si="3217"/>
        <v>0</v>
      </c>
      <c r="AP566" s="94">
        <f t="shared" si="3207"/>
        <v>0</v>
      </c>
      <c r="AQ566" s="94">
        <f t="shared" si="3208"/>
        <v>0</v>
      </c>
      <c r="AR566" s="94">
        <f t="shared" si="3421"/>
        <v>0</v>
      </c>
      <c r="AS566" s="94">
        <f t="shared" si="3219"/>
        <v>0</v>
      </c>
      <c r="AT566" s="94">
        <f t="shared" si="3220"/>
        <v>0</v>
      </c>
      <c r="AU566" s="94">
        <f t="shared" si="3221"/>
        <v>0</v>
      </c>
      <c r="AV566" s="94">
        <f t="shared" si="3222"/>
        <v>0</v>
      </c>
      <c r="AW566" s="94">
        <f t="shared" si="3223"/>
        <v>0</v>
      </c>
      <c r="AX566" s="94">
        <f t="shared" si="3224"/>
        <v>0</v>
      </c>
      <c r="AY566" s="94">
        <f t="shared" si="3225"/>
        <v>0</v>
      </c>
      <c r="AZ566" s="94">
        <f t="shared" si="3226"/>
        <v>2512.46</v>
      </c>
      <c r="BA566" s="94">
        <f t="shared" si="3227"/>
        <v>2512.46</v>
      </c>
      <c r="BB566" s="94">
        <f t="shared" si="3228"/>
        <v>2512.46</v>
      </c>
    </row>
    <row r="567" spans="1:54" x14ac:dyDescent="0.25">
      <c r="A567" s="80"/>
      <c r="B567" s="95" t="s">
        <v>2917</v>
      </c>
      <c r="C567" s="201" t="s">
        <v>497</v>
      </c>
      <c r="D567" s="80" t="s">
        <v>783</v>
      </c>
      <c r="E567" s="94" t="str">
        <f>IFERROR(VLOOKUP(A567,Estimate!A:Q,17,FALSE)," ")</f>
        <v xml:space="preserve"> </v>
      </c>
      <c r="F567" s="202" t="s">
        <v>781</v>
      </c>
      <c r="G567" s="202" t="s">
        <v>781</v>
      </c>
      <c r="H567" s="203" t="s">
        <v>781</v>
      </c>
      <c r="I567" s="203" t="s">
        <v>781</v>
      </c>
      <c r="J567" s="203" t="s">
        <v>781</v>
      </c>
      <c r="K567" s="203"/>
      <c r="L567" s="202" t="s">
        <v>781</v>
      </c>
      <c r="M567" s="204" t="str">
        <f t="shared" si="3210"/>
        <v xml:space="preserve"> </v>
      </c>
      <c r="N567" s="95" t="s">
        <v>781</v>
      </c>
      <c r="O567" s="204" t="str">
        <f t="shared" si="3210"/>
        <v xml:space="preserve"> </v>
      </c>
      <c r="P567" s="95" t="s">
        <v>781</v>
      </c>
      <c r="Q567" s="204" t="str">
        <f t="shared" ref="Q567:S567" si="3500">IFERROR(P567/$G567," ")</f>
        <v xml:space="preserve"> </v>
      </c>
      <c r="R567" s="95" t="s">
        <v>781</v>
      </c>
      <c r="S567" s="204" t="str">
        <f t="shared" si="3500"/>
        <v xml:space="preserve"> </v>
      </c>
      <c r="T567" s="95" t="s">
        <v>781</v>
      </c>
      <c r="U567" s="204" t="str">
        <f t="shared" ref="U567:W567" si="3501">IFERROR(T567/$G567," ")</f>
        <v xml:space="preserve"> </v>
      </c>
      <c r="V567" s="95" t="s">
        <v>781</v>
      </c>
      <c r="W567" s="204" t="str">
        <f t="shared" si="3501"/>
        <v xml:space="preserve"> </v>
      </c>
      <c r="X567" s="95" t="s">
        <v>781</v>
      </c>
      <c r="Y567" s="204" t="str">
        <f t="shared" ref="Y567:AA567" si="3502">IFERROR(X567/$G567," ")</f>
        <v xml:space="preserve"> </v>
      </c>
      <c r="Z567" s="95" t="s">
        <v>781</v>
      </c>
      <c r="AA567" s="204" t="str">
        <f t="shared" si="3502"/>
        <v xml:space="preserve"> </v>
      </c>
      <c r="AB567" s="95" t="s">
        <v>781</v>
      </c>
      <c r="AC567" s="204" t="str">
        <f t="shared" ref="AC567:AE567" si="3503">IFERROR(AB567/$G567," ")</f>
        <v xml:space="preserve"> </v>
      </c>
      <c r="AD567" s="95" t="s">
        <v>781</v>
      </c>
      <c r="AE567" s="204" t="str">
        <f t="shared" si="3503"/>
        <v xml:space="preserve"> </v>
      </c>
      <c r="AF567" s="95" t="s">
        <v>781</v>
      </c>
      <c r="AG567" s="204" t="str">
        <f t="shared" ref="AG567:AI567" si="3504">IFERROR(AF567/$G567," ")</f>
        <v xml:space="preserve"> </v>
      </c>
      <c r="AH567" s="95" t="s">
        <v>781</v>
      </c>
      <c r="AI567" s="204" t="str">
        <f t="shared" si="3504"/>
        <v xml:space="preserve"> </v>
      </c>
      <c r="AJ567" s="95" t="s">
        <v>781</v>
      </c>
      <c r="AK567" s="204" t="str">
        <f t="shared" ref="AK567:AM567" si="3505">IFERROR(AJ567/$G567," ")</f>
        <v xml:space="preserve"> </v>
      </c>
      <c r="AL567" s="95" t="s">
        <v>781</v>
      </c>
      <c r="AM567" s="204" t="str">
        <f t="shared" si="3505"/>
        <v xml:space="preserve"> </v>
      </c>
      <c r="AN567" s="95"/>
      <c r="AO567" s="94" t="str">
        <f t="shared" si="3217"/>
        <v xml:space="preserve"> </v>
      </c>
      <c r="AP567" s="94" t="str">
        <f t="shared" si="3207"/>
        <v xml:space="preserve"> </v>
      </c>
      <c r="AQ567" s="94" t="str">
        <f t="shared" si="3208"/>
        <v xml:space="preserve"> </v>
      </c>
      <c r="AR567" s="94" t="str">
        <f t="shared" si="3421"/>
        <v xml:space="preserve"> </v>
      </c>
      <c r="AS567" s="94" t="str">
        <f t="shared" si="3219"/>
        <v xml:space="preserve"> </v>
      </c>
      <c r="AT567" s="94" t="str">
        <f t="shared" si="3220"/>
        <v xml:space="preserve"> </v>
      </c>
      <c r="AU567" s="94" t="str">
        <f t="shared" si="3221"/>
        <v xml:space="preserve"> </v>
      </c>
      <c r="AV567" s="94" t="str">
        <f t="shared" si="3222"/>
        <v xml:space="preserve"> </v>
      </c>
      <c r="AW567" s="94" t="str">
        <f t="shared" si="3223"/>
        <v xml:space="preserve"> </v>
      </c>
      <c r="AX567" s="94" t="str">
        <f t="shared" si="3224"/>
        <v xml:space="preserve"> </v>
      </c>
      <c r="AY567" s="94" t="str">
        <f t="shared" si="3225"/>
        <v xml:space="preserve"> </v>
      </c>
      <c r="AZ567" s="94" t="str">
        <f t="shared" si="3226"/>
        <v xml:space="preserve"> </v>
      </c>
      <c r="BA567" s="94" t="str">
        <f t="shared" si="3227"/>
        <v xml:space="preserve"> </v>
      </c>
      <c r="BB567" s="94" t="str">
        <f t="shared" si="3228"/>
        <v xml:space="preserve"> </v>
      </c>
    </row>
    <row r="568" spans="1:54" ht="30" x14ac:dyDescent="0.25">
      <c r="A568" s="80">
        <v>227</v>
      </c>
      <c r="B568" s="95" t="s">
        <v>2898</v>
      </c>
      <c r="C568" s="201" t="s">
        <v>410</v>
      </c>
      <c r="D568" s="80" t="s">
        <v>33</v>
      </c>
      <c r="E568" s="94">
        <f>IFERROR(VLOOKUP(A568,Estimate!A:Q,17,FALSE)," ")</f>
        <v>1652</v>
      </c>
      <c r="F568" s="202">
        <v>1</v>
      </c>
      <c r="G568" s="202">
        <v>1</v>
      </c>
      <c r="H568" s="203">
        <v>2075.29</v>
      </c>
      <c r="I568" s="203">
        <v>2075.29</v>
      </c>
      <c r="J568" s="203">
        <v>2075.29</v>
      </c>
      <c r="K568" s="203"/>
      <c r="L568" s="202"/>
      <c r="M568" s="204">
        <f t="shared" si="3210"/>
        <v>0</v>
      </c>
      <c r="N568" s="95"/>
      <c r="O568" s="204">
        <f t="shared" si="3210"/>
        <v>0</v>
      </c>
      <c r="P568" s="95"/>
      <c r="Q568" s="204">
        <f t="shared" ref="Q568:S568" si="3506">IFERROR(P568/$G568," ")</f>
        <v>0</v>
      </c>
      <c r="R568" s="95"/>
      <c r="S568" s="204">
        <f t="shared" si="3506"/>
        <v>0</v>
      </c>
      <c r="T568" s="95"/>
      <c r="U568" s="204">
        <f t="shared" ref="U568:W568" si="3507">IFERROR(T568/$G568," ")</f>
        <v>0</v>
      </c>
      <c r="V568" s="95"/>
      <c r="W568" s="204">
        <f t="shared" si="3507"/>
        <v>0</v>
      </c>
      <c r="X568" s="95">
        <v>0.5</v>
      </c>
      <c r="Y568" s="204">
        <f t="shared" ref="Y568:AA568" si="3508">IFERROR(X568/$G568," ")</f>
        <v>0.5</v>
      </c>
      <c r="Z568" s="95">
        <v>0.5</v>
      </c>
      <c r="AA568" s="204">
        <f t="shared" si="3508"/>
        <v>0.5</v>
      </c>
      <c r="AB568" s="95">
        <v>0.5</v>
      </c>
      <c r="AC568" s="204">
        <f t="shared" ref="AC568:AE568" si="3509">IFERROR(AB568/$G568," ")</f>
        <v>0.5</v>
      </c>
      <c r="AD568" s="95">
        <v>1</v>
      </c>
      <c r="AE568" s="204">
        <f t="shared" si="3509"/>
        <v>1</v>
      </c>
      <c r="AF568" s="95">
        <v>1</v>
      </c>
      <c r="AG568" s="204">
        <f t="shared" ref="AG568:AI568" si="3510">IFERROR(AF568/$G568," ")</f>
        <v>1</v>
      </c>
      <c r="AH568" s="95">
        <v>1</v>
      </c>
      <c r="AI568" s="204">
        <f t="shared" si="3510"/>
        <v>1</v>
      </c>
      <c r="AJ568" s="95">
        <v>1</v>
      </c>
      <c r="AK568" s="204">
        <f t="shared" ref="AK568:AM568" si="3511">IFERROR(AJ568/$G568," ")</f>
        <v>1</v>
      </c>
      <c r="AL568" s="95">
        <v>1</v>
      </c>
      <c r="AM568" s="204">
        <f t="shared" si="3511"/>
        <v>1</v>
      </c>
      <c r="AN568" s="95"/>
      <c r="AO568" s="94">
        <f t="shared" si="3217"/>
        <v>0</v>
      </c>
      <c r="AP568" s="94">
        <f t="shared" si="3207"/>
        <v>0</v>
      </c>
      <c r="AQ568" s="94">
        <f t="shared" si="3208"/>
        <v>0</v>
      </c>
      <c r="AR568" s="94">
        <f t="shared" si="3421"/>
        <v>0</v>
      </c>
      <c r="AS568" s="94">
        <f t="shared" si="3219"/>
        <v>0</v>
      </c>
      <c r="AT568" s="94">
        <f t="shared" si="3220"/>
        <v>0</v>
      </c>
      <c r="AU568" s="94">
        <f t="shared" si="3221"/>
        <v>1037.645</v>
      </c>
      <c r="AV568" s="94">
        <f t="shared" si="3222"/>
        <v>1037.645</v>
      </c>
      <c r="AW568" s="94">
        <f t="shared" si="3223"/>
        <v>1037.645</v>
      </c>
      <c r="AX568" s="94">
        <f t="shared" si="3224"/>
        <v>2075.29</v>
      </c>
      <c r="AY568" s="94">
        <f t="shared" si="3225"/>
        <v>2075.29</v>
      </c>
      <c r="AZ568" s="94">
        <f t="shared" si="3226"/>
        <v>2075.29</v>
      </c>
      <c r="BA568" s="94">
        <f t="shared" si="3227"/>
        <v>2075.29</v>
      </c>
      <c r="BB568" s="94">
        <f t="shared" si="3228"/>
        <v>2075.29</v>
      </c>
    </row>
    <row r="569" spans="1:54" x14ac:dyDescent="0.25">
      <c r="A569" s="80">
        <v>228</v>
      </c>
      <c r="B569" s="95">
        <v>679</v>
      </c>
      <c r="C569" s="201" t="s">
        <v>745</v>
      </c>
      <c r="D569" s="80" t="s">
        <v>29</v>
      </c>
      <c r="E569" s="94">
        <f>IFERROR(VLOOKUP(A569,Estimate!A:Q,17,FALSE)," ")</f>
        <v>4215</v>
      </c>
      <c r="F569" s="202">
        <v>1</v>
      </c>
      <c r="G569" s="202">
        <v>1</v>
      </c>
      <c r="H569" s="203">
        <v>5295</v>
      </c>
      <c r="I569" s="203">
        <v>5295</v>
      </c>
      <c r="J569" s="203">
        <v>5295</v>
      </c>
      <c r="K569" s="203"/>
      <c r="L569" s="202"/>
      <c r="M569" s="204">
        <f t="shared" si="3210"/>
        <v>0</v>
      </c>
      <c r="N569" s="95"/>
      <c r="O569" s="204">
        <f t="shared" si="3210"/>
        <v>0</v>
      </c>
      <c r="P569" s="95"/>
      <c r="Q569" s="204">
        <f t="shared" ref="Q569:S569" si="3512">IFERROR(P569/$G569," ")</f>
        <v>0</v>
      </c>
      <c r="R569" s="95"/>
      <c r="S569" s="204">
        <f t="shared" si="3512"/>
        <v>0</v>
      </c>
      <c r="T569" s="95"/>
      <c r="U569" s="204">
        <f t="shared" ref="U569:W569" si="3513">IFERROR(T569/$G569," ")</f>
        <v>0</v>
      </c>
      <c r="V569" s="95"/>
      <c r="W569" s="204">
        <f t="shared" si="3513"/>
        <v>0</v>
      </c>
      <c r="X569" s="95"/>
      <c r="Y569" s="204">
        <f t="shared" ref="Y569:AA569" si="3514">IFERROR(X569/$G569," ")</f>
        <v>0</v>
      </c>
      <c r="Z569" s="95"/>
      <c r="AA569" s="204">
        <f t="shared" si="3514"/>
        <v>0</v>
      </c>
      <c r="AB569" s="95"/>
      <c r="AC569" s="204">
        <f t="shared" ref="AC569:AE569" si="3515">IFERROR(AB569/$G569," ")</f>
        <v>0</v>
      </c>
      <c r="AD569" s="95">
        <v>1</v>
      </c>
      <c r="AE569" s="204">
        <f t="shared" si="3515"/>
        <v>1</v>
      </c>
      <c r="AF569" s="95">
        <v>1</v>
      </c>
      <c r="AG569" s="204">
        <f t="shared" ref="AG569:AI569" si="3516">IFERROR(AF569/$G569," ")</f>
        <v>1</v>
      </c>
      <c r="AH569" s="95">
        <v>1</v>
      </c>
      <c r="AI569" s="204">
        <f t="shared" si="3516"/>
        <v>1</v>
      </c>
      <c r="AJ569" s="95">
        <v>1</v>
      </c>
      <c r="AK569" s="204">
        <f t="shared" ref="AK569:AM569" si="3517">IFERROR(AJ569/$G569," ")</f>
        <v>1</v>
      </c>
      <c r="AL569" s="95">
        <v>1</v>
      </c>
      <c r="AM569" s="204">
        <f t="shared" si="3517"/>
        <v>1</v>
      </c>
      <c r="AN569" s="95"/>
      <c r="AO569" s="94">
        <f t="shared" si="3217"/>
        <v>0</v>
      </c>
      <c r="AP569" s="94">
        <f t="shared" si="3207"/>
        <v>0</v>
      </c>
      <c r="AQ569" s="94">
        <f t="shared" si="3208"/>
        <v>0</v>
      </c>
      <c r="AR569" s="94">
        <f t="shared" si="3421"/>
        <v>0</v>
      </c>
      <c r="AS569" s="94">
        <f t="shared" si="3219"/>
        <v>0</v>
      </c>
      <c r="AT569" s="94">
        <f t="shared" si="3220"/>
        <v>0</v>
      </c>
      <c r="AU569" s="94">
        <f t="shared" si="3221"/>
        <v>0</v>
      </c>
      <c r="AV569" s="94">
        <f t="shared" si="3222"/>
        <v>0</v>
      </c>
      <c r="AW569" s="94">
        <f t="shared" si="3223"/>
        <v>0</v>
      </c>
      <c r="AX569" s="94">
        <f t="shared" si="3224"/>
        <v>5295</v>
      </c>
      <c r="AY569" s="94">
        <f t="shared" si="3225"/>
        <v>5295</v>
      </c>
      <c r="AZ569" s="94">
        <f t="shared" si="3226"/>
        <v>5295</v>
      </c>
      <c r="BA569" s="94">
        <f t="shared" si="3227"/>
        <v>5295</v>
      </c>
      <c r="BB569" s="94">
        <f t="shared" si="3228"/>
        <v>5295</v>
      </c>
    </row>
    <row r="570" spans="1:54" x14ac:dyDescent="0.25">
      <c r="A570" s="80"/>
      <c r="B570" s="95" t="s">
        <v>2417</v>
      </c>
      <c r="C570" s="201" t="s">
        <v>2837</v>
      </c>
      <c r="D570" s="80" t="s">
        <v>783</v>
      </c>
      <c r="E570" s="94" t="str">
        <f>IFERROR(VLOOKUP(A570,Estimate!A:Q,17,FALSE)," ")</f>
        <v xml:space="preserve"> </v>
      </c>
      <c r="F570" s="202" t="s">
        <v>781</v>
      </c>
      <c r="G570" s="202" t="s">
        <v>781</v>
      </c>
      <c r="H570" s="203" t="s">
        <v>781</v>
      </c>
      <c r="I570" s="203" t="s">
        <v>781</v>
      </c>
      <c r="J570" s="203" t="s">
        <v>781</v>
      </c>
      <c r="K570" s="203"/>
      <c r="L570" s="202" t="s">
        <v>781</v>
      </c>
      <c r="M570" s="204" t="str">
        <f t="shared" si="3210"/>
        <v xml:space="preserve"> </v>
      </c>
      <c r="N570" s="95" t="s">
        <v>781</v>
      </c>
      <c r="O570" s="204" t="str">
        <f t="shared" si="3210"/>
        <v xml:space="preserve"> </v>
      </c>
      <c r="P570" s="95" t="s">
        <v>781</v>
      </c>
      <c r="Q570" s="204" t="str">
        <f t="shared" ref="Q570:S570" si="3518">IFERROR(P570/$G570," ")</f>
        <v xml:space="preserve"> </v>
      </c>
      <c r="R570" s="95" t="s">
        <v>781</v>
      </c>
      <c r="S570" s="204" t="str">
        <f t="shared" si="3518"/>
        <v xml:space="preserve"> </v>
      </c>
      <c r="T570" s="95" t="s">
        <v>781</v>
      </c>
      <c r="U570" s="204" t="str">
        <f t="shared" ref="U570:W570" si="3519">IFERROR(T570/$G570," ")</f>
        <v xml:space="preserve"> </v>
      </c>
      <c r="V570" s="95" t="s">
        <v>781</v>
      </c>
      <c r="W570" s="204" t="str">
        <f t="shared" si="3519"/>
        <v xml:space="preserve"> </v>
      </c>
      <c r="X570" s="95" t="s">
        <v>781</v>
      </c>
      <c r="Y570" s="204" t="str">
        <f t="shared" ref="Y570:AA570" si="3520">IFERROR(X570/$G570," ")</f>
        <v xml:space="preserve"> </v>
      </c>
      <c r="Z570" s="95" t="s">
        <v>781</v>
      </c>
      <c r="AA570" s="204" t="str">
        <f t="shared" si="3520"/>
        <v xml:space="preserve"> </v>
      </c>
      <c r="AB570" s="95" t="s">
        <v>781</v>
      </c>
      <c r="AC570" s="204" t="str">
        <f t="shared" ref="AC570:AE570" si="3521">IFERROR(AB570/$G570," ")</f>
        <v xml:space="preserve"> </v>
      </c>
      <c r="AD570" s="95" t="s">
        <v>781</v>
      </c>
      <c r="AE570" s="204" t="str">
        <f t="shared" si="3521"/>
        <v xml:space="preserve"> </v>
      </c>
      <c r="AF570" s="95" t="s">
        <v>781</v>
      </c>
      <c r="AG570" s="204" t="str">
        <f t="shared" ref="AG570:AI570" si="3522">IFERROR(AF570/$G570," ")</f>
        <v xml:space="preserve"> </v>
      </c>
      <c r="AH570" s="95" t="s">
        <v>781</v>
      </c>
      <c r="AI570" s="204" t="str">
        <f t="shared" si="3522"/>
        <v xml:space="preserve"> </v>
      </c>
      <c r="AJ570" s="95" t="s">
        <v>781</v>
      </c>
      <c r="AK570" s="204" t="str">
        <f t="shared" ref="AK570:AM570" si="3523">IFERROR(AJ570/$G570," ")</f>
        <v xml:space="preserve"> </v>
      </c>
      <c r="AL570" s="95" t="s">
        <v>781</v>
      </c>
      <c r="AM570" s="204" t="str">
        <f t="shared" si="3523"/>
        <v xml:space="preserve"> </v>
      </c>
      <c r="AN570" s="95"/>
      <c r="AO570" s="94" t="str">
        <f t="shared" si="3217"/>
        <v xml:space="preserve"> </v>
      </c>
      <c r="AP570" s="94" t="str">
        <f t="shared" si="3207"/>
        <v xml:space="preserve"> </v>
      </c>
      <c r="AQ570" s="94" t="str">
        <f t="shared" si="3208"/>
        <v xml:space="preserve"> </v>
      </c>
      <c r="AR570" s="94" t="str">
        <f t="shared" si="3421"/>
        <v xml:space="preserve"> </v>
      </c>
      <c r="AS570" s="94" t="str">
        <f t="shared" si="3219"/>
        <v xml:space="preserve"> </v>
      </c>
      <c r="AT570" s="94" t="str">
        <f t="shared" si="3220"/>
        <v xml:space="preserve"> </v>
      </c>
      <c r="AU570" s="94" t="str">
        <f t="shared" si="3221"/>
        <v xml:space="preserve"> </v>
      </c>
      <c r="AV570" s="94" t="str">
        <f t="shared" si="3222"/>
        <v xml:space="preserve"> </v>
      </c>
      <c r="AW570" s="94" t="str">
        <f t="shared" si="3223"/>
        <v xml:space="preserve"> </v>
      </c>
      <c r="AX570" s="94" t="str">
        <f t="shared" si="3224"/>
        <v xml:space="preserve"> </v>
      </c>
      <c r="AY570" s="94" t="str">
        <f t="shared" si="3225"/>
        <v xml:space="preserve"> </v>
      </c>
      <c r="AZ570" s="94" t="str">
        <f t="shared" si="3226"/>
        <v xml:space="preserve"> </v>
      </c>
      <c r="BA570" s="94" t="str">
        <f t="shared" si="3227"/>
        <v xml:space="preserve"> </v>
      </c>
      <c r="BB570" s="94" t="str">
        <f t="shared" si="3228"/>
        <v xml:space="preserve"> </v>
      </c>
    </row>
    <row r="571" spans="1:54" x14ac:dyDescent="0.25">
      <c r="A571" s="80"/>
      <c r="B571" s="95" t="s">
        <v>2417</v>
      </c>
      <c r="C571" s="201" t="s">
        <v>136</v>
      </c>
      <c r="D571" s="80" t="s">
        <v>783</v>
      </c>
      <c r="E571" s="94" t="str">
        <f>IFERROR(VLOOKUP(A571,Estimate!A:Q,17,FALSE)," ")</f>
        <v xml:space="preserve"> </v>
      </c>
      <c r="F571" s="202" t="s">
        <v>781</v>
      </c>
      <c r="G571" s="202" t="s">
        <v>781</v>
      </c>
      <c r="H571" s="203" t="s">
        <v>781</v>
      </c>
      <c r="I571" s="203" t="s">
        <v>781</v>
      </c>
      <c r="J571" s="203" t="s">
        <v>781</v>
      </c>
      <c r="K571" s="203"/>
      <c r="L571" s="202" t="s">
        <v>781</v>
      </c>
      <c r="M571" s="204" t="str">
        <f t="shared" si="3210"/>
        <v xml:space="preserve"> </v>
      </c>
      <c r="N571" s="95" t="s">
        <v>781</v>
      </c>
      <c r="O571" s="204" t="str">
        <f t="shared" si="3210"/>
        <v xml:space="preserve"> </v>
      </c>
      <c r="P571" s="95" t="s">
        <v>781</v>
      </c>
      <c r="Q571" s="204" t="str">
        <f t="shared" ref="Q571:S571" si="3524">IFERROR(P571/$G571," ")</f>
        <v xml:space="preserve"> </v>
      </c>
      <c r="R571" s="95" t="s">
        <v>781</v>
      </c>
      <c r="S571" s="204" t="str">
        <f t="shared" si="3524"/>
        <v xml:space="preserve"> </v>
      </c>
      <c r="T571" s="95" t="s">
        <v>781</v>
      </c>
      <c r="U571" s="204" t="str">
        <f t="shared" ref="U571:W571" si="3525">IFERROR(T571/$G571," ")</f>
        <v xml:space="preserve"> </v>
      </c>
      <c r="V571" s="95" t="s">
        <v>781</v>
      </c>
      <c r="W571" s="204" t="str">
        <f t="shared" si="3525"/>
        <v xml:space="preserve"> </v>
      </c>
      <c r="X571" s="95" t="s">
        <v>781</v>
      </c>
      <c r="Y571" s="204" t="str">
        <f t="shared" ref="Y571:AA571" si="3526">IFERROR(X571/$G571," ")</f>
        <v xml:space="preserve"> </v>
      </c>
      <c r="Z571" s="95" t="s">
        <v>781</v>
      </c>
      <c r="AA571" s="204" t="str">
        <f t="shared" si="3526"/>
        <v xml:space="preserve"> </v>
      </c>
      <c r="AB571" s="95" t="s">
        <v>781</v>
      </c>
      <c r="AC571" s="204" t="str">
        <f t="shared" ref="AC571:AE571" si="3527">IFERROR(AB571/$G571," ")</f>
        <v xml:space="preserve"> </v>
      </c>
      <c r="AD571" s="95" t="s">
        <v>781</v>
      </c>
      <c r="AE571" s="204" t="str">
        <f t="shared" si="3527"/>
        <v xml:space="preserve"> </v>
      </c>
      <c r="AF571" s="95" t="s">
        <v>781</v>
      </c>
      <c r="AG571" s="204" t="str">
        <f t="shared" ref="AG571:AI571" si="3528">IFERROR(AF571/$G571," ")</f>
        <v xml:space="preserve"> </v>
      </c>
      <c r="AH571" s="95" t="s">
        <v>781</v>
      </c>
      <c r="AI571" s="204" t="str">
        <f t="shared" si="3528"/>
        <v xml:space="preserve"> </v>
      </c>
      <c r="AJ571" s="95" t="s">
        <v>781</v>
      </c>
      <c r="AK571" s="204" t="str">
        <f t="shared" ref="AK571:AM571" si="3529">IFERROR(AJ571/$G571," ")</f>
        <v xml:space="preserve"> </v>
      </c>
      <c r="AL571" s="95" t="s">
        <v>781</v>
      </c>
      <c r="AM571" s="204" t="str">
        <f t="shared" si="3529"/>
        <v xml:space="preserve"> </v>
      </c>
      <c r="AN571" s="95"/>
      <c r="AO571" s="94" t="str">
        <f t="shared" si="3217"/>
        <v xml:space="preserve"> </v>
      </c>
      <c r="AP571" s="94" t="str">
        <f t="shared" si="3207"/>
        <v xml:space="preserve"> </v>
      </c>
      <c r="AQ571" s="94" t="str">
        <f t="shared" si="3208"/>
        <v xml:space="preserve"> </v>
      </c>
      <c r="AR571" s="94" t="str">
        <f t="shared" si="3421"/>
        <v xml:space="preserve"> </v>
      </c>
      <c r="AS571" s="94" t="str">
        <f t="shared" si="3219"/>
        <v xml:space="preserve"> </v>
      </c>
      <c r="AT571" s="94" t="str">
        <f t="shared" si="3220"/>
        <v xml:space="preserve"> </v>
      </c>
      <c r="AU571" s="94" t="str">
        <f t="shared" si="3221"/>
        <v xml:space="preserve"> </v>
      </c>
      <c r="AV571" s="94" t="str">
        <f t="shared" si="3222"/>
        <v xml:space="preserve"> </v>
      </c>
      <c r="AW571" s="94" t="str">
        <f t="shared" si="3223"/>
        <v xml:space="preserve"> </v>
      </c>
      <c r="AX571" s="94" t="str">
        <f t="shared" si="3224"/>
        <v xml:space="preserve"> </v>
      </c>
      <c r="AY571" s="94" t="str">
        <f t="shared" si="3225"/>
        <v xml:space="preserve"> </v>
      </c>
      <c r="AZ571" s="94" t="str">
        <f t="shared" si="3226"/>
        <v xml:space="preserve"> </v>
      </c>
      <c r="BA571" s="94" t="str">
        <f t="shared" si="3227"/>
        <v xml:space="preserve"> </v>
      </c>
      <c r="BB571" s="94" t="str">
        <f t="shared" si="3228"/>
        <v xml:space="preserve"> </v>
      </c>
    </row>
    <row r="572" spans="1:54" x14ac:dyDescent="0.25">
      <c r="A572" s="80"/>
      <c r="B572" s="95" t="s">
        <v>2880</v>
      </c>
      <c r="C572" s="201" t="s">
        <v>231</v>
      </c>
      <c r="D572" s="80" t="s">
        <v>783</v>
      </c>
      <c r="E572" s="94" t="str">
        <f>IFERROR(VLOOKUP(A572,Estimate!A:Q,17,FALSE)," ")</f>
        <v xml:space="preserve"> </v>
      </c>
      <c r="F572" s="202" t="s">
        <v>781</v>
      </c>
      <c r="G572" s="202" t="s">
        <v>781</v>
      </c>
      <c r="H572" s="203" t="s">
        <v>781</v>
      </c>
      <c r="I572" s="203" t="s">
        <v>781</v>
      </c>
      <c r="J572" s="203" t="s">
        <v>781</v>
      </c>
      <c r="K572" s="203"/>
      <c r="L572" s="202" t="s">
        <v>781</v>
      </c>
      <c r="M572" s="204" t="str">
        <f t="shared" si="3210"/>
        <v xml:space="preserve"> </v>
      </c>
      <c r="N572" s="95" t="s">
        <v>781</v>
      </c>
      <c r="O572" s="204" t="str">
        <f t="shared" si="3210"/>
        <v xml:space="preserve"> </v>
      </c>
      <c r="P572" s="95" t="s">
        <v>781</v>
      </c>
      <c r="Q572" s="204" t="str">
        <f t="shared" ref="Q572:S572" si="3530">IFERROR(P572/$G572," ")</f>
        <v xml:space="preserve"> </v>
      </c>
      <c r="R572" s="95" t="s">
        <v>781</v>
      </c>
      <c r="S572" s="204" t="str">
        <f t="shared" si="3530"/>
        <v xml:space="preserve"> </v>
      </c>
      <c r="T572" s="95" t="s">
        <v>781</v>
      </c>
      <c r="U572" s="204" t="str">
        <f t="shared" ref="U572:W572" si="3531">IFERROR(T572/$G572," ")</f>
        <v xml:space="preserve"> </v>
      </c>
      <c r="V572" s="95" t="s">
        <v>781</v>
      </c>
      <c r="W572" s="204" t="str">
        <f t="shared" si="3531"/>
        <v xml:space="preserve"> </v>
      </c>
      <c r="X572" s="95" t="s">
        <v>781</v>
      </c>
      <c r="Y572" s="204" t="str">
        <f t="shared" ref="Y572:AA572" si="3532">IFERROR(X572/$G572," ")</f>
        <v xml:space="preserve"> </v>
      </c>
      <c r="Z572" s="95" t="s">
        <v>781</v>
      </c>
      <c r="AA572" s="204" t="str">
        <f t="shared" si="3532"/>
        <v xml:space="preserve"> </v>
      </c>
      <c r="AB572" s="95" t="s">
        <v>781</v>
      </c>
      <c r="AC572" s="204" t="str">
        <f t="shared" ref="AC572:AE572" si="3533">IFERROR(AB572/$G572," ")</f>
        <v xml:space="preserve"> </v>
      </c>
      <c r="AD572" s="95" t="s">
        <v>781</v>
      </c>
      <c r="AE572" s="204" t="str">
        <f t="shared" si="3533"/>
        <v xml:space="preserve"> </v>
      </c>
      <c r="AF572" s="95" t="s">
        <v>781</v>
      </c>
      <c r="AG572" s="204" t="str">
        <f t="shared" ref="AG572:AI572" si="3534">IFERROR(AF572/$G572," ")</f>
        <v xml:space="preserve"> </v>
      </c>
      <c r="AH572" s="95" t="s">
        <v>781</v>
      </c>
      <c r="AI572" s="204" t="str">
        <f t="shared" si="3534"/>
        <v xml:space="preserve"> </v>
      </c>
      <c r="AJ572" s="95" t="s">
        <v>781</v>
      </c>
      <c r="AK572" s="204" t="str">
        <f t="shared" ref="AK572:AM572" si="3535">IFERROR(AJ572/$G572," ")</f>
        <v xml:space="preserve"> </v>
      </c>
      <c r="AL572" s="95" t="s">
        <v>781</v>
      </c>
      <c r="AM572" s="204" t="str">
        <f t="shared" si="3535"/>
        <v xml:space="preserve"> </v>
      </c>
      <c r="AN572" s="95"/>
      <c r="AO572" s="94" t="str">
        <f t="shared" si="3217"/>
        <v xml:space="preserve"> </v>
      </c>
      <c r="AP572" s="94" t="str">
        <f t="shared" si="3207"/>
        <v xml:space="preserve"> </v>
      </c>
      <c r="AQ572" s="94" t="str">
        <f t="shared" si="3208"/>
        <v xml:space="preserve"> </v>
      </c>
      <c r="AR572" s="94" t="str">
        <f t="shared" si="3421"/>
        <v xml:space="preserve"> </v>
      </c>
      <c r="AS572" s="94" t="str">
        <f t="shared" si="3219"/>
        <v xml:space="preserve"> </v>
      </c>
      <c r="AT572" s="94" t="str">
        <f t="shared" si="3220"/>
        <v xml:space="preserve"> </v>
      </c>
      <c r="AU572" s="94" t="str">
        <f t="shared" si="3221"/>
        <v xml:space="preserve"> </v>
      </c>
      <c r="AV572" s="94" t="str">
        <f t="shared" si="3222"/>
        <v xml:space="preserve"> </v>
      </c>
      <c r="AW572" s="94" t="str">
        <f t="shared" si="3223"/>
        <v xml:space="preserve"> </v>
      </c>
      <c r="AX572" s="94" t="str">
        <f t="shared" si="3224"/>
        <v xml:space="preserve"> </v>
      </c>
      <c r="AY572" s="94" t="str">
        <f t="shared" si="3225"/>
        <v xml:space="preserve"> </v>
      </c>
      <c r="AZ572" s="94" t="str">
        <f t="shared" si="3226"/>
        <v xml:space="preserve"> </v>
      </c>
      <c r="BA572" s="94" t="str">
        <f t="shared" si="3227"/>
        <v xml:space="preserve"> </v>
      </c>
      <c r="BB572" s="94" t="str">
        <f t="shared" si="3228"/>
        <v xml:space="preserve"> </v>
      </c>
    </row>
    <row r="573" spans="1:54" ht="30" x14ac:dyDescent="0.25">
      <c r="A573" s="80"/>
      <c r="B573" s="95" t="s">
        <v>2899</v>
      </c>
      <c r="C573" s="201" t="s">
        <v>415</v>
      </c>
      <c r="D573" s="80" t="s">
        <v>783</v>
      </c>
      <c r="E573" s="94" t="str">
        <f>IFERROR(VLOOKUP(A573,Estimate!A:Q,17,FALSE)," ")</f>
        <v xml:space="preserve"> </v>
      </c>
      <c r="F573" s="202" t="s">
        <v>781</v>
      </c>
      <c r="G573" s="202" t="s">
        <v>781</v>
      </c>
      <c r="H573" s="203" t="s">
        <v>781</v>
      </c>
      <c r="I573" s="203" t="s">
        <v>781</v>
      </c>
      <c r="J573" s="203" t="s">
        <v>781</v>
      </c>
      <c r="K573" s="203"/>
      <c r="L573" s="202" t="s">
        <v>781</v>
      </c>
      <c r="M573" s="204" t="str">
        <f t="shared" si="3210"/>
        <v xml:space="preserve"> </v>
      </c>
      <c r="N573" s="95" t="s">
        <v>781</v>
      </c>
      <c r="O573" s="204" t="str">
        <f t="shared" si="3210"/>
        <v xml:space="preserve"> </v>
      </c>
      <c r="P573" s="95" t="s">
        <v>781</v>
      </c>
      <c r="Q573" s="204" t="str">
        <f t="shared" ref="Q573:S573" si="3536">IFERROR(P573/$G573," ")</f>
        <v xml:space="preserve"> </v>
      </c>
      <c r="R573" s="95" t="s">
        <v>781</v>
      </c>
      <c r="S573" s="204" t="str">
        <f t="shared" si="3536"/>
        <v xml:space="preserve"> </v>
      </c>
      <c r="T573" s="95" t="s">
        <v>781</v>
      </c>
      <c r="U573" s="204" t="str">
        <f t="shared" ref="U573:W573" si="3537">IFERROR(T573/$G573," ")</f>
        <v xml:space="preserve"> </v>
      </c>
      <c r="V573" s="95" t="s">
        <v>781</v>
      </c>
      <c r="W573" s="204" t="str">
        <f t="shared" si="3537"/>
        <v xml:space="preserve"> </v>
      </c>
      <c r="X573" s="95" t="s">
        <v>781</v>
      </c>
      <c r="Y573" s="204" t="str">
        <f t="shared" ref="Y573:AA573" si="3538">IFERROR(X573/$G573," ")</f>
        <v xml:space="preserve"> </v>
      </c>
      <c r="Z573" s="95" t="s">
        <v>781</v>
      </c>
      <c r="AA573" s="204" t="str">
        <f t="shared" si="3538"/>
        <v xml:space="preserve"> </v>
      </c>
      <c r="AB573" s="95" t="s">
        <v>781</v>
      </c>
      <c r="AC573" s="204" t="str">
        <f t="shared" ref="AC573:AE573" si="3539">IFERROR(AB573/$G573," ")</f>
        <v xml:space="preserve"> </v>
      </c>
      <c r="AD573" s="95" t="s">
        <v>781</v>
      </c>
      <c r="AE573" s="204" t="str">
        <f t="shared" si="3539"/>
        <v xml:space="preserve"> </v>
      </c>
      <c r="AF573" s="95" t="s">
        <v>781</v>
      </c>
      <c r="AG573" s="204" t="str">
        <f t="shared" ref="AG573:AI573" si="3540">IFERROR(AF573/$G573," ")</f>
        <v xml:space="preserve"> </v>
      </c>
      <c r="AH573" s="95" t="s">
        <v>781</v>
      </c>
      <c r="AI573" s="204" t="str">
        <f t="shared" si="3540"/>
        <v xml:space="preserve"> </v>
      </c>
      <c r="AJ573" s="95" t="s">
        <v>781</v>
      </c>
      <c r="AK573" s="204" t="str">
        <f t="shared" ref="AK573:AM573" si="3541">IFERROR(AJ573/$G573," ")</f>
        <v xml:space="preserve"> </v>
      </c>
      <c r="AL573" s="95" t="s">
        <v>781</v>
      </c>
      <c r="AM573" s="204" t="str">
        <f t="shared" si="3541"/>
        <v xml:space="preserve"> </v>
      </c>
      <c r="AN573" s="95"/>
      <c r="AO573" s="94" t="str">
        <f t="shared" si="3217"/>
        <v xml:space="preserve"> </v>
      </c>
      <c r="AP573" s="94" t="str">
        <f t="shared" si="3207"/>
        <v xml:space="preserve"> </v>
      </c>
      <c r="AQ573" s="94" t="str">
        <f t="shared" si="3208"/>
        <v xml:space="preserve"> </v>
      </c>
      <c r="AR573" s="94" t="str">
        <f t="shared" si="3421"/>
        <v xml:space="preserve"> </v>
      </c>
      <c r="AS573" s="94" t="str">
        <f t="shared" si="3219"/>
        <v xml:space="preserve"> </v>
      </c>
      <c r="AT573" s="94" t="str">
        <f t="shared" si="3220"/>
        <v xml:space="preserve"> </v>
      </c>
      <c r="AU573" s="94" t="str">
        <f t="shared" si="3221"/>
        <v xml:space="preserve"> </v>
      </c>
      <c r="AV573" s="94" t="str">
        <f t="shared" si="3222"/>
        <v xml:space="preserve"> </v>
      </c>
      <c r="AW573" s="94" t="str">
        <f t="shared" si="3223"/>
        <v xml:space="preserve"> </v>
      </c>
      <c r="AX573" s="94" t="str">
        <f t="shared" si="3224"/>
        <v xml:space="preserve"> </v>
      </c>
      <c r="AY573" s="94" t="str">
        <f t="shared" si="3225"/>
        <v xml:space="preserve"> </v>
      </c>
      <c r="AZ573" s="94" t="str">
        <f t="shared" si="3226"/>
        <v xml:space="preserve"> </v>
      </c>
      <c r="BA573" s="94" t="str">
        <f t="shared" si="3227"/>
        <v xml:space="preserve"> </v>
      </c>
      <c r="BB573" s="94" t="str">
        <f t="shared" si="3228"/>
        <v xml:space="preserve"> </v>
      </c>
    </row>
    <row r="574" spans="1:54" x14ac:dyDescent="0.25">
      <c r="A574" s="80">
        <v>229</v>
      </c>
      <c r="B574" s="95" t="s">
        <v>2882</v>
      </c>
      <c r="C574" s="201" t="s">
        <v>750</v>
      </c>
      <c r="D574" s="80" t="s">
        <v>29</v>
      </c>
      <c r="E574" s="94">
        <f>IFERROR(VLOOKUP(A574,Estimate!A:Q,17,FALSE)," ")</f>
        <v>785</v>
      </c>
      <c r="F574" s="202">
        <v>1</v>
      </c>
      <c r="G574" s="202">
        <v>1</v>
      </c>
      <c r="H574" s="203">
        <v>986.14</v>
      </c>
      <c r="I574" s="203">
        <v>986.14</v>
      </c>
      <c r="J574" s="203">
        <v>986.14</v>
      </c>
      <c r="K574" s="203"/>
      <c r="L574" s="202"/>
      <c r="M574" s="204">
        <f t="shared" si="3210"/>
        <v>0</v>
      </c>
      <c r="N574" s="95"/>
      <c r="O574" s="204">
        <f t="shared" si="3210"/>
        <v>0</v>
      </c>
      <c r="P574" s="95"/>
      <c r="Q574" s="204">
        <f t="shared" ref="Q574:S574" si="3542">IFERROR(P574/$G574," ")</f>
        <v>0</v>
      </c>
      <c r="R574" s="95"/>
      <c r="S574" s="204">
        <f t="shared" si="3542"/>
        <v>0</v>
      </c>
      <c r="T574" s="95"/>
      <c r="U574" s="204">
        <f t="shared" ref="U574:W574" si="3543">IFERROR(T574/$G574," ")</f>
        <v>0</v>
      </c>
      <c r="V574" s="95"/>
      <c r="W574" s="204">
        <f t="shared" si="3543"/>
        <v>0</v>
      </c>
      <c r="X574" s="95"/>
      <c r="Y574" s="204">
        <f t="shared" ref="Y574:AA574" si="3544">IFERROR(X574/$G574," ")</f>
        <v>0</v>
      </c>
      <c r="Z574" s="95">
        <v>1</v>
      </c>
      <c r="AA574" s="204">
        <f t="shared" si="3544"/>
        <v>1</v>
      </c>
      <c r="AB574" s="95">
        <v>1</v>
      </c>
      <c r="AC574" s="204">
        <f t="shared" ref="AC574:AE574" si="3545">IFERROR(AB574/$G574," ")</f>
        <v>1</v>
      </c>
      <c r="AD574" s="95">
        <v>1</v>
      </c>
      <c r="AE574" s="204">
        <f t="shared" si="3545"/>
        <v>1</v>
      </c>
      <c r="AF574" s="95">
        <v>1</v>
      </c>
      <c r="AG574" s="204">
        <f t="shared" ref="AG574:AI574" si="3546">IFERROR(AF574/$G574," ")</f>
        <v>1</v>
      </c>
      <c r="AH574" s="95">
        <v>1</v>
      </c>
      <c r="AI574" s="204">
        <f t="shared" si="3546"/>
        <v>1</v>
      </c>
      <c r="AJ574" s="95">
        <v>1</v>
      </c>
      <c r="AK574" s="204">
        <f t="shared" ref="AK574:AM574" si="3547">IFERROR(AJ574/$G574," ")</f>
        <v>1</v>
      </c>
      <c r="AL574" s="95">
        <v>1</v>
      </c>
      <c r="AM574" s="204">
        <f t="shared" si="3547"/>
        <v>1</v>
      </c>
      <c r="AN574" s="95"/>
      <c r="AO574" s="94">
        <f t="shared" si="3217"/>
        <v>0</v>
      </c>
      <c r="AP574" s="94">
        <f t="shared" si="3207"/>
        <v>0</v>
      </c>
      <c r="AQ574" s="94">
        <f t="shared" si="3208"/>
        <v>0</v>
      </c>
      <c r="AR574" s="94">
        <f t="shared" si="3421"/>
        <v>0</v>
      </c>
      <c r="AS574" s="94">
        <f t="shared" si="3219"/>
        <v>0</v>
      </c>
      <c r="AT574" s="94">
        <f t="shared" si="3220"/>
        <v>0</v>
      </c>
      <c r="AU574" s="94">
        <f t="shared" si="3221"/>
        <v>0</v>
      </c>
      <c r="AV574" s="94">
        <f t="shared" si="3222"/>
        <v>986.14</v>
      </c>
      <c r="AW574" s="94">
        <f t="shared" si="3223"/>
        <v>986.14</v>
      </c>
      <c r="AX574" s="94">
        <f t="shared" si="3224"/>
        <v>986.14</v>
      </c>
      <c r="AY574" s="94">
        <f t="shared" si="3225"/>
        <v>986.14</v>
      </c>
      <c r="AZ574" s="94">
        <f t="shared" si="3226"/>
        <v>986.14</v>
      </c>
      <c r="BA574" s="94">
        <f t="shared" si="3227"/>
        <v>986.14</v>
      </c>
      <c r="BB574" s="94">
        <f t="shared" si="3228"/>
        <v>986.14</v>
      </c>
    </row>
    <row r="575" spans="1:54" x14ac:dyDescent="0.25">
      <c r="A575" s="80">
        <v>230</v>
      </c>
      <c r="B575" s="95" t="s">
        <v>2892</v>
      </c>
      <c r="C575" s="201" t="s">
        <v>752</v>
      </c>
      <c r="D575" s="80" t="s">
        <v>29</v>
      </c>
      <c r="E575" s="94">
        <f>IFERROR(VLOOKUP(A575,Estimate!A:Q,17,FALSE)," ")</f>
        <v>2493.92</v>
      </c>
      <c r="F575" s="202">
        <v>3</v>
      </c>
      <c r="G575" s="202">
        <v>3</v>
      </c>
      <c r="H575" s="203">
        <v>1044.31</v>
      </c>
      <c r="I575" s="203">
        <v>3132.93</v>
      </c>
      <c r="J575" s="203">
        <v>3132.93</v>
      </c>
      <c r="K575" s="203"/>
      <c r="L575" s="202"/>
      <c r="M575" s="204">
        <f t="shared" si="3210"/>
        <v>0</v>
      </c>
      <c r="N575" s="95"/>
      <c r="O575" s="204">
        <f t="shared" si="3210"/>
        <v>0</v>
      </c>
      <c r="P575" s="95"/>
      <c r="Q575" s="204">
        <f t="shared" ref="Q575:S575" si="3548">IFERROR(P575/$G575," ")</f>
        <v>0</v>
      </c>
      <c r="R575" s="95"/>
      <c r="S575" s="204">
        <f t="shared" si="3548"/>
        <v>0</v>
      </c>
      <c r="T575" s="95"/>
      <c r="U575" s="204">
        <f t="shared" ref="U575:W575" si="3549">IFERROR(T575/$G575," ")</f>
        <v>0</v>
      </c>
      <c r="V575" s="95"/>
      <c r="W575" s="204">
        <f t="shared" si="3549"/>
        <v>0</v>
      </c>
      <c r="X575" s="95"/>
      <c r="Y575" s="204">
        <f t="shared" ref="Y575:AA575" si="3550">IFERROR(X575/$G575," ")</f>
        <v>0</v>
      </c>
      <c r="Z575" s="95">
        <v>3</v>
      </c>
      <c r="AA575" s="204">
        <f t="shared" si="3550"/>
        <v>1</v>
      </c>
      <c r="AB575" s="95">
        <v>3</v>
      </c>
      <c r="AC575" s="204">
        <f t="shared" ref="AC575:AE575" si="3551">IFERROR(AB575/$G575," ")</f>
        <v>1</v>
      </c>
      <c r="AD575" s="95">
        <v>3</v>
      </c>
      <c r="AE575" s="204">
        <f t="shared" si="3551"/>
        <v>1</v>
      </c>
      <c r="AF575" s="95">
        <v>3</v>
      </c>
      <c r="AG575" s="204">
        <f t="shared" ref="AG575:AI575" si="3552">IFERROR(AF575/$G575," ")</f>
        <v>1</v>
      </c>
      <c r="AH575" s="95">
        <v>3</v>
      </c>
      <c r="AI575" s="204">
        <f t="shared" si="3552"/>
        <v>1</v>
      </c>
      <c r="AJ575" s="95">
        <v>3</v>
      </c>
      <c r="AK575" s="204">
        <f t="shared" ref="AK575:AM575" si="3553">IFERROR(AJ575/$G575," ")</f>
        <v>1</v>
      </c>
      <c r="AL575" s="95">
        <v>3</v>
      </c>
      <c r="AM575" s="204">
        <f t="shared" si="3553"/>
        <v>1</v>
      </c>
      <c r="AN575" s="95"/>
      <c r="AO575" s="94">
        <f t="shared" si="3217"/>
        <v>0</v>
      </c>
      <c r="AP575" s="94">
        <f t="shared" si="3207"/>
        <v>0</v>
      </c>
      <c r="AQ575" s="94">
        <f t="shared" si="3208"/>
        <v>0</v>
      </c>
      <c r="AR575" s="94">
        <f t="shared" si="3421"/>
        <v>0</v>
      </c>
      <c r="AS575" s="94">
        <f t="shared" si="3219"/>
        <v>0</v>
      </c>
      <c r="AT575" s="94">
        <f t="shared" si="3220"/>
        <v>0</v>
      </c>
      <c r="AU575" s="94">
        <f t="shared" si="3221"/>
        <v>0</v>
      </c>
      <c r="AV575" s="94">
        <f t="shared" si="3222"/>
        <v>3132.93</v>
      </c>
      <c r="AW575" s="94">
        <f t="shared" si="3223"/>
        <v>3132.93</v>
      </c>
      <c r="AX575" s="94">
        <f t="shared" si="3224"/>
        <v>3132.93</v>
      </c>
      <c r="AY575" s="94">
        <f t="shared" si="3225"/>
        <v>3132.93</v>
      </c>
      <c r="AZ575" s="94">
        <f t="shared" si="3226"/>
        <v>3132.93</v>
      </c>
      <c r="BA575" s="94">
        <f t="shared" si="3227"/>
        <v>3132.93</v>
      </c>
      <c r="BB575" s="94">
        <f t="shared" si="3228"/>
        <v>3132.93</v>
      </c>
    </row>
    <row r="576" spans="1:54" x14ac:dyDescent="0.25">
      <c r="A576" s="80">
        <v>231</v>
      </c>
      <c r="B576" s="95" t="s">
        <v>2899</v>
      </c>
      <c r="C576" s="201" t="s">
        <v>679</v>
      </c>
      <c r="D576" s="80" t="s">
        <v>107</v>
      </c>
      <c r="E576" s="94">
        <f>IFERROR(VLOOKUP(A576,Estimate!A:Q,17,FALSE)," ")</f>
        <v>1282.1199999999999</v>
      </c>
      <c r="F576" s="202">
        <v>18</v>
      </c>
      <c r="G576" s="202">
        <v>18</v>
      </c>
      <c r="H576" s="203">
        <v>89.48</v>
      </c>
      <c r="I576" s="203">
        <v>1610.64</v>
      </c>
      <c r="J576" s="203">
        <v>1610.64</v>
      </c>
      <c r="K576" s="203"/>
      <c r="L576" s="202"/>
      <c r="M576" s="204">
        <f t="shared" si="3210"/>
        <v>0</v>
      </c>
      <c r="N576" s="95"/>
      <c r="O576" s="204">
        <f t="shared" si="3210"/>
        <v>0</v>
      </c>
      <c r="P576" s="95"/>
      <c r="Q576" s="204">
        <f t="shared" ref="Q576:S576" si="3554">IFERROR(P576/$G576," ")</f>
        <v>0</v>
      </c>
      <c r="R576" s="95"/>
      <c r="S576" s="204">
        <f t="shared" si="3554"/>
        <v>0</v>
      </c>
      <c r="T576" s="95"/>
      <c r="U576" s="204">
        <f t="shared" ref="U576:W576" si="3555">IFERROR(T576/$G576," ")</f>
        <v>0</v>
      </c>
      <c r="V576" s="95"/>
      <c r="W576" s="204">
        <f t="shared" si="3555"/>
        <v>0</v>
      </c>
      <c r="X576" s="95"/>
      <c r="Y576" s="204">
        <f t="shared" ref="Y576:AA576" si="3556">IFERROR(X576/$G576," ")</f>
        <v>0</v>
      </c>
      <c r="Z576" s="95">
        <v>18</v>
      </c>
      <c r="AA576" s="204">
        <f t="shared" si="3556"/>
        <v>1</v>
      </c>
      <c r="AB576" s="95">
        <v>18</v>
      </c>
      <c r="AC576" s="204">
        <f t="shared" ref="AC576:AE576" si="3557">IFERROR(AB576/$G576," ")</f>
        <v>1</v>
      </c>
      <c r="AD576" s="95">
        <v>18</v>
      </c>
      <c r="AE576" s="204">
        <f t="shared" si="3557"/>
        <v>1</v>
      </c>
      <c r="AF576" s="95">
        <v>18</v>
      </c>
      <c r="AG576" s="204">
        <f t="shared" ref="AG576:AI576" si="3558">IFERROR(AF576/$G576," ")</f>
        <v>1</v>
      </c>
      <c r="AH576" s="95">
        <v>18</v>
      </c>
      <c r="AI576" s="204">
        <f t="shared" si="3558"/>
        <v>1</v>
      </c>
      <c r="AJ576" s="95">
        <v>18</v>
      </c>
      <c r="AK576" s="204">
        <f t="shared" ref="AK576:AM576" si="3559">IFERROR(AJ576/$G576," ")</f>
        <v>1</v>
      </c>
      <c r="AL576" s="95">
        <v>18</v>
      </c>
      <c r="AM576" s="204">
        <f t="shared" si="3559"/>
        <v>1</v>
      </c>
      <c r="AN576" s="95"/>
      <c r="AO576" s="94">
        <f t="shared" si="3217"/>
        <v>0</v>
      </c>
      <c r="AP576" s="94">
        <f t="shared" si="3207"/>
        <v>0</v>
      </c>
      <c r="AQ576" s="94">
        <f t="shared" si="3208"/>
        <v>0</v>
      </c>
      <c r="AR576" s="94">
        <f t="shared" si="3421"/>
        <v>0</v>
      </c>
      <c r="AS576" s="94">
        <f t="shared" si="3219"/>
        <v>0</v>
      </c>
      <c r="AT576" s="94">
        <f t="shared" si="3220"/>
        <v>0</v>
      </c>
      <c r="AU576" s="94">
        <f t="shared" si="3221"/>
        <v>0</v>
      </c>
      <c r="AV576" s="94">
        <f t="shared" si="3222"/>
        <v>1610.64</v>
      </c>
      <c r="AW576" s="94">
        <f t="shared" si="3223"/>
        <v>1610.64</v>
      </c>
      <c r="AX576" s="94">
        <f t="shared" si="3224"/>
        <v>1610.64</v>
      </c>
      <c r="AY576" s="94">
        <f t="shared" si="3225"/>
        <v>1610.64</v>
      </c>
      <c r="AZ576" s="94">
        <f t="shared" si="3226"/>
        <v>1610.64</v>
      </c>
      <c r="BA576" s="94">
        <f t="shared" si="3227"/>
        <v>1610.64</v>
      </c>
      <c r="BB576" s="94">
        <f t="shared" si="3228"/>
        <v>1610.64</v>
      </c>
    </row>
    <row r="577" spans="1:54" x14ac:dyDescent="0.25">
      <c r="A577" s="80"/>
      <c r="B577" s="95" t="s">
        <v>2863</v>
      </c>
      <c r="C577" s="201" t="s">
        <v>138</v>
      </c>
      <c r="D577" s="80" t="s">
        <v>783</v>
      </c>
      <c r="E577" s="94" t="str">
        <f>IFERROR(VLOOKUP(A577,Estimate!A:Q,17,FALSE)," ")</f>
        <v xml:space="preserve"> </v>
      </c>
      <c r="F577" s="202" t="s">
        <v>781</v>
      </c>
      <c r="G577" s="202" t="s">
        <v>781</v>
      </c>
      <c r="H577" s="203" t="s">
        <v>781</v>
      </c>
      <c r="I577" s="203" t="s">
        <v>781</v>
      </c>
      <c r="J577" s="203" t="s">
        <v>781</v>
      </c>
      <c r="K577" s="203"/>
      <c r="L577" s="202" t="s">
        <v>781</v>
      </c>
      <c r="M577" s="204" t="str">
        <f t="shared" si="3210"/>
        <v xml:space="preserve"> </v>
      </c>
      <c r="N577" s="95" t="s">
        <v>781</v>
      </c>
      <c r="O577" s="204" t="str">
        <f t="shared" si="3210"/>
        <v xml:space="preserve"> </v>
      </c>
      <c r="P577" s="95" t="s">
        <v>781</v>
      </c>
      <c r="Q577" s="204" t="str">
        <f t="shared" ref="Q577:S577" si="3560">IFERROR(P577/$G577," ")</f>
        <v xml:space="preserve"> </v>
      </c>
      <c r="R577" s="95" t="s">
        <v>781</v>
      </c>
      <c r="S577" s="204" t="str">
        <f t="shared" si="3560"/>
        <v xml:space="preserve"> </v>
      </c>
      <c r="T577" s="95" t="s">
        <v>781</v>
      </c>
      <c r="U577" s="204" t="str">
        <f t="shared" ref="U577:W577" si="3561">IFERROR(T577/$G577," ")</f>
        <v xml:space="preserve"> </v>
      </c>
      <c r="V577" s="95" t="s">
        <v>781</v>
      </c>
      <c r="W577" s="204" t="str">
        <f t="shared" si="3561"/>
        <v xml:space="preserve"> </v>
      </c>
      <c r="X577" s="95" t="s">
        <v>781</v>
      </c>
      <c r="Y577" s="204" t="str">
        <f t="shared" ref="Y577:AA577" si="3562">IFERROR(X577/$G577," ")</f>
        <v xml:space="preserve"> </v>
      </c>
      <c r="Z577" s="95" t="s">
        <v>781</v>
      </c>
      <c r="AA577" s="204" t="str">
        <f t="shared" si="3562"/>
        <v xml:space="preserve"> </v>
      </c>
      <c r="AB577" s="95" t="s">
        <v>781</v>
      </c>
      <c r="AC577" s="204" t="str">
        <f t="shared" ref="AC577:AE577" si="3563">IFERROR(AB577/$G577," ")</f>
        <v xml:space="preserve"> </v>
      </c>
      <c r="AD577" s="95" t="s">
        <v>781</v>
      </c>
      <c r="AE577" s="204" t="str">
        <f t="shared" si="3563"/>
        <v xml:space="preserve"> </v>
      </c>
      <c r="AF577" s="95" t="s">
        <v>781</v>
      </c>
      <c r="AG577" s="204" t="str">
        <f t="shared" ref="AG577:AI577" si="3564">IFERROR(AF577/$G577," ")</f>
        <v xml:space="preserve"> </v>
      </c>
      <c r="AH577" s="95" t="s">
        <v>781</v>
      </c>
      <c r="AI577" s="204" t="str">
        <f t="shared" si="3564"/>
        <v xml:space="preserve"> </v>
      </c>
      <c r="AJ577" s="95" t="s">
        <v>781</v>
      </c>
      <c r="AK577" s="204" t="str">
        <f t="shared" ref="AK577:AM577" si="3565">IFERROR(AJ577/$G577," ")</f>
        <v xml:space="preserve"> </v>
      </c>
      <c r="AL577" s="95" t="s">
        <v>781</v>
      </c>
      <c r="AM577" s="204" t="str">
        <f t="shared" si="3565"/>
        <v xml:space="preserve"> </v>
      </c>
      <c r="AN577" s="95"/>
      <c r="AO577" s="94" t="str">
        <f t="shared" si="3217"/>
        <v xml:space="preserve"> </v>
      </c>
      <c r="AP577" s="94" t="str">
        <f t="shared" si="3207"/>
        <v xml:space="preserve"> </v>
      </c>
      <c r="AQ577" s="94" t="str">
        <f t="shared" si="3208"/>
        <v xml:space="preserve"> </v>
      </c>
      <c r="AR577" s="94" t="str">
        <f t="shared" si="3421"/>
        <v xml:space="preserve"> </v>
      </c>
      <c r="AS577" s="94" t="str">
        <f t="shared" si="3219"/>
        <v xml:space="preserve"> </v>
      </c>
      <c r="AT577" s="94" t="str">
        <f t="shared" si="3220"/>
        <v xml:space="preserve"> </v>
      </c>
      <c r="AU577" s="94" t="str">
        <f t="shared" si="3221"/>
        <v xml:space="preserve"> </v>
      </c>
      <c r="AV577" s="94" t="str">
        <f t="shared" si="3222"/>
        <v xml:space="preserve"> </v>
      </c>
      <c r="AW577" s="94" t="str">
        <f t="shared" si="3223"/>
        <v xml:space="preserve"> </v>
      </c>
      <c r="AX577" s="94" t="str">
        <f t="shared" si="3224"/>
        <v xml:space="preserve"> </v>
      </c>
      <c r="AY577" s="94" t="str">
        <f t="shared" si="3225"/>
        <v xml:space="preserve"> </v>
      </c>
      <c r="AZ577" s="94" t="str">
        <f t="shared" si="3226"/>
        <v xml:space="preserve"> </v>
      </c>
      <c r="BA577" s="94" t="str">
        <f t="shared" si="3227"/>
        <v xml:space="preserve"> </v>
      </c>
      <c r="BB577" s="94" t="str">
        <f t="shared" si="3228"/>
        <v xml:space="preserve"> </v>
      </c>
    </row>
    <row r="578" spans="1:54" x14ac:dyDescent="0.25">
      <c r="A578" s="80"/>
      <c r="B578" s="95" t="s">
        <v>2864</v>
      </c>
      <c r="C578" s="201" t="s">
        <v>140</v>
      </c>
      <c r="D578" s="80" t="s">
        <v>783</v>
      </c>
      <c r="E578" s="94" t="str">
        <f>IFERROR(VLOOKUP(A578,Estimate!A:Q,17,FALSE)," ")</f>
        <v xml:space="preserve"> </v>
      </c>
      <c r="F578" s="202" t="s">
        <v>781</v>
      </c>
      <c r="G578" s="202" t="s">
        <v>781</v>
      </c>
      <c r="H578" s="203" t="s">
        <v>781</v>
      </c>
      <c r="I578" s="203" t="s">
        <v>781</v>
      </c>
      <c r="J578" s="203" t="s">
        <v>781</v>
      </c>
      <c r="K578" s="203"/>
      <c r="L578" s="202" t="s">
        <v>781</v>
      </c>
      <c r="M578" s="204" t="str">
        <f t="shared" si="3210"/>
        <v xml:space="preserve"> </v>
      </c>
      <c r="N578" s="95" t="s">
        <v>781</v>
      </c>
      <c r="O578" s="204" t="str">
        <f t="shared" si="3210"/>
        <v xml:space="preserve"> </v>
      </c>
      <c r="P578" s="95" t="s">
        <v>781</v>
      </c>
      <c r="Q578" s="204" t="str">
        <f t="shared" ref="Q578:S578" si="3566">IFERROR(P578/$G578," ")</f>
        <v xml:space="preserve"> </v>
      </c>
      <c r="R578" s="95" t="s">
        <v>781</v>
      </c>
      <c r="S578" s="204" t="str">
        <f t="shared" si="3566"/>
        <v xml:space="preserve"> </v>
      </c>
      <c r="T578" s="95" t="s">
        <v>781</v>
      </c>
      <c r="U578" s="204" t="str">
        <f t="shared" ref="U578:W578" si="3567">IFERROR(T578/$G578," ")</f>
        <v xml:space="preserve"> </v>
      </c>
      <c r="V578" s="95" t="s">
        <v>781</v>
      </c>
      <c r="W578" s="204" t="str">
        <f t="shared" si="3567"/>
        <v xml:space="preserve"> </v>
      </c>
      <c r="X578" s="95" t="s">
        <v>781</v>
      </c>
      <c r="Y578" s="204" t="str">
        <f t="shared" ref="Y578:AA578" si="3568">IFERROR(X578/$G578," ")</f>
        <v xml:space="preserve"> </v>
      </c>
      <c r="Z578" s="95" t="s">
        <v>781</v>
      </c>
      <c r="AA578" s="204" t="str">
        <f t="shared" si="3568"/>
        <v xml:space="preserve"> </v>
      </c>
      <c r="AB578" s="95" t="s">
        <v>781</v>
      </c>
      <c r="AC578" s="204" t="str">
        <f t="shared" ref="AC578:AE578" si="3569">IFERROR(AB578/$G578," ")</f>
        <v xml:space="preserve"> </v>
      </c>
      <c r="AD578" s="95" t="s">
        <v>781</v>
      </c>
      <c r="AE578" s="204" t="str">
        <f t="shared" si="3569"/>
        <v xml:space="preserve"> </v>
      </c>
      <c r="AF578" s="95" t="s">
        <v>781</v>
      </c>
      <c r="AG578" s="204" t="str">
        <f t="shared" ref="AG578:AI578" si="3570">IFERROR(AF578/$G578," ")</f>
        <v xml:space="preserve"> </v>
      </c>
      <c r="AH578" s="95" t="s">
        <v>781</v>
      </c>
      <c r="AI578" s="204" t="str">
        <f t="shared" si="3570"/>
        <v xml:space="preserve"> </v>
      </c>
      <c r="AJ578" s="95" t="s">
        <v>781</v>
      </c>
      <c r="AK578" s="204" t="str">
        <f t="shared" ref="AK578:AM578" si="3571">IFERROR(AJ578/$G578," ")</f>
        <v xml:space="preserve"> </v>
      </c>
      <c r="AL578" s="95" t="s">
        <v>781</v>
      </c>
      <c r="AM578" s="204" t="str">
        <f t="shared" si="3571"/>
        <v xml:space="preserve"> </v>
      </c>
      <c r="AN578" s="95"/>
      <c r="AO578" s="94" t="str">
        <f t="shared" si="3217"/>
        <v xml:space="preserve"> </v>
      </c>
      <c r="AP578" s="94" t="str">
        <f t="shared" si="3207"/>
        <v xml:space="preserve"> </v>
      </c>
      <c r="AQ578" s="94" t="str">
        <f t="shared" si="3208"/>
        <v xml:space="preserve"> </v>
      </c>
      <c r="AR578" s="94" t="str">
        <f t="shared" si="3421"/>
        <v xml:space="preserve"> </v>
      </c>
      <c r="AS578" s="94" t="str">
        <f t="shared" si="3219"/>
        <v xml:space="preserve"> </v>
      </c>
      <c r="AT578" s="94" t="str">
        <f t="shared" si="3220"/>
        <v xml:space="preserve"> </v>
      </c>
      <c r="AU578" s="94" t="str">
        <f t="shared" si="3221"/>
        <v xml:space="preserve"> </v>
      </c>
      <c r="AV578" s="94" t="str">
        <f t="shared" si="3222"/>
        <v xml:space="preserve"> </v>
      </c>
      <c r="AW578" s="94" t="str">
        <f t="shared" si="3223"/>
        <v xml:space="preserve"> </v>
      </c>
      <c r="AX578" s="94" t="str">
        <f t="shared" si="3224"/>
        <v xml:space="preserve"> </v>
      </c>
      <c r="AY578" s="94" t="str">
        <f t="shared" si="3225"/>
        <v xml:space="preserve"> </v>
      </c>
      <c r="AZ578" s="94" t="str">
        <f t="shared" si="3226"/>
        <v xml:space="preserve"> </v>
      </c>
      <c r="BA578" s="94" t="str">
        <f t="shared" si="3227"/>
        <v xml:space="preserve"> </v>
      </c>
      <c r="BB578" s="94" t="str">
        <f t="shared" si="3228"/>
        <v xml:space="preserve"> </v>
      </c>
    </row>
    <row r="579" spans="1:54" x14ac:dyDescent="0.25">
      <c r="A579" s="80">
        <v>232</v>
      </c>
      <c r="B579" s="95" t="s">
        <v>2884</v>
      </c>
      <c r="C579" s="201" t="s">
        <v>241</v>
      </c>
      <c r="D579" s="80" t="s">
        <v>107</v>
      </c>
      <c r="E579" s="94">
        <f>IFERROR(VLOOKUP(A579,Estimate!A:Q,17,FALSE)," ")</f>
        <v>892.5</v>
      </c>
      <c r="F579" s="202">
        <v>100</v>
      </c>
      <c r="G579" s="202">
        <v>100</v>
      </c>
      <c r="H579" s="203">
        <v>11.21</v>
      </c>
      <c r="I579" s="203">
        <v>1121</v>
      </c>
      <c r="J579" s="203">
        <v>1121</v>
      </c>
      <c r="K579" s="203"/>
      <c r="L579" s="202"/>
      <c r="M579" s="204">
        <f t="shared" si="3210"/>
        <v>0</v>
      </c>
      <c r="N579" s="95"/>
      <c r="O579" s="204">
        <f t="shared" si="3210"/>
        <v>0</v>
      </c>
      <c r="P579" s="95"/>
      <c r="Q579" s="204">
        <f t="shared" ref="Q579:S579" si="3572">IFERROR(P579/$G579," ")</f>
        <v>0</v>
      </c>
      <c r="R579" s="95"/>
      <c r="S579" s="204">
        <f t="shared" si="3572"/>
        <v>0</v>
      </c>
      <c r="T579" s="95"/>
      <c r="U579" s="204">
        <f t="shared" ref="U579:W579" si="3573">IFERROR(T579/$G579," ")</f>
        <v>0</v>
      </c>
      <c r="V579" s="95"/>
      <c r="W579" s="204">
        <f t="shared" si="3573"/>
        <v>0</v>
      </c>
      <c r="X579" s="95"/>
      <c r="Y579" s="204">
        <f t="shared" ref="Y579:AA579" si="3574">IFERROR(X579/$G579," ")</f>
        <v>0</v>
      </c>
      <c r="Z579" s="95"/>
      <c r="AA579" s="204">
        <f t="shared" si="3574"/>
        <v>0</v>
      </c>
      <c r="AB579" s="95"/>
      <c r="AC579" s="204">
        <f t="shared" ref="AC579:AE579" si="3575">IFERROR(AB579/$G579," ")</f>
        <v>0</v>
      </c>
      <c r="AD579" s="95"/>
      <c r="AE579" s="204">
        <f t="shared" si="3575"/>
        <v>0</v>
      </c>
      <c r="AF579" s="95">
        <v>100</v>
      </c>
      <c r="AG579" s="204">
        <f t="shared" ref="AG579:AI579" si="3576">IFERROR(AF579/$G579," ")</f>
        <v>1</v>
      </c>
      <c r="AH579" s="95">
        <v>100</v>
      </c>
      <c r="AI579" s="204">
        <f t="shared" si="3576"/>
        <v>1</v>
      </c>
      <c r="AJ579" s="95">
        <v>100</v>
      </c>
      <c r="AK579" s="204">
        <f t="shared" ref="AK579:AM579" si="3577">IFERROR(AJ579/$G579," ")</f>
        <v>1</v>
      </c>
      <c r="AL579" s="95">
        <v>100</v>
      </c>
      <c r="AM579" s="204">
        <f t="shared" si="3577"/>
        <v>1</v>
      </c>
      <c r="AN579" s="95"/>
      <c r="AO579" s="94">
        <f t="shared" si="3217"/>
        <v>0</v>
      </c>
      <c r="AP579" s="94">
        <f t="shared" si="3207"/>
        <v>0</v>
      </c>
      <c r="AQ579" s="94">
        <f t="shared" si="3208"/>
        <v>0</v>
      </c>
      <c r="AR579" s="94">
        <f t="shared" si="3421"/>
        <v>0</v>
      </c>
      <c r="AS579" s="94">
        <f t="shared" si="3219"/>
        <v>0</v>
      </c>
      <c r="AT579" s="94">
        <f t="shared" si="3220"/>
        <v>0</v>
      </c>
      <c r="AU579" s="94">
        <f t="shared" si="3221"/>
        <v>0</v>
      </c>
      <c r="AV579" s="94">
        <f t="shared" si="3222"/>
        <v>0</v>
      </c>
      <c r="AW579" s="94">
        <f t="shared" si="3223"/>
        <v>0</v>
      </c>
      <c r="AX579" s="94">
        <f t="shared" si="3224"/>
        <v>0</v>
      </c>
      <c r="AY579" s="94">
        <f t="shared" si="3225"/>
        <v>1121</v>
      </c>
      <c r="AZ579" s="94">
        <f t="shared" si="3226"/>
        <v>1121</v>
      </c>
      <c r="BA579" s="94">
        <f t="shared" si="3227"/>
        <v>1121</v>
      </c>
      <c r="BB579" s="94">
        <f t="shared" si="3228"/>
        <v>1121</v>
      </c>
    </row>
    <row r="580" spans="1:54" x14ac:dyDescent="0.25">
      <c r="A580" s="80"/>
      <c r="B580" s="95" t="s">
        <v>2417</v>
      </c>
      <c r="C580" s="201" t="s">
        <v>2837</v>
      </c>
      <c r="D580" s="80" t="s">
        <v>783</v>
      </c>
      <c r="E580" s="94" t="str">
        <f>IFERROR(VLOOKUP(A580,Estimate!A:Q,17,FALSE)," ")</f>
        <v xml:space="preserve"> </v>
      </c>
      <c r="F580" s="202" t="s">
        <v>781</v>
      </c>
      <c r="G580" s="202" t="s">
        <v>781</v>
      </c>
      <c r="H580" s="203" t="s">
        <v>781</v>
      </c>
      <c r="I580" s="203" t="s">
        <v>781</v>
      </c>
      <c r="J580" s="203" t="s">
        <v>781</v>
      </c>
      <c r="K580" s="203"/>
      <c r="L580" s="202" t="s">
        <v>781</v>
      </c>
      <c r="M580" s="204" t="str">
        <f t="shared" si="3210"/>
        <v xml:space="preserve"> </v>
      </c>
      <c r="N580" s="95" t="s">
        <v>781</v>
      </c>
      <c r="O580" s="204" t="str">
        <f t="shared" si="3210"/>
        <v xml:space="preserve"> </v>
      </c>
      <c r="P580" s="95" t="s">
        <v>781</v>
      </c>
      <c r="Q580" s="204" t="str">
        <f t="shared" ref="Q580:S580" si="3578">IFERROR(P580/$G580," ")</f>
        <v xml:space="preserve"> </v>
      </c>
      <c r="R580" s="95" t="s">
        <v>781</v>
      </c>
      <c r="S580" s="204" t="str">
        <f t="shared" si="3578"/>
        <v xml:space="preserve"> </v>
      </c>
      <c r="T580" s="95" t="s">
        <v>781</v>
      </c>
      <c r="U580" s="204" t="str">
        <f t="shared" ref="U580:W580" si="3579">IFERROR(T580/$G580," ")</f>
        <v xml:space="preserve"> </v>
      </c>
      <c r="V580" s="95" t="s">
        <v>781</v>
      </c>
      <c r="W580" s="204" t="str">
        <f t="shared" si="3579"/>
        <v xml:space="preserve"> </v>
      </c>
      <c r="X580" s="95" t="s">
        <v>781</v>
      </c>
      <c r="Y580" s="204" t="str">
        <f t="shared" ref="Y580:AA580" si="3580">IFERROR(X580/$G580," ")</f>
        <v xml:space="preserve"> </v>
      </c>
      <c r="Z580" s="95" t="s">
        <v>781</v>
      </c>
      <c r="AA580" s="204" t="str">
        <f t="shared" si="3580"/>
        <v xml:space="preserve"> </v>
      </c>
      <c r="AB580" s="95" t="s">
        <v>781</v>
      </c>
      <c r="AC580" s="204" t="str">
        <f t="shared" ref="AC580:AE580" si="3581">IFERROR(AB580/$G580," ")</f>
        <v xml:space="preserve"> </v>
      </c>
      <c r="AD580" s="95" t="s">
        <v>781</v>
      </c>
      <c r="AE580" s="204" t="str">
        <f t="shared" si="3581"/>
        <v xml:space="preserve"> </v>
      </c>
      <c r="AF580" s="95" t="s">
        <v>781</v>
      </c>
      <c r="AG580" s="204" t="str">
        <f t="shared" ref="AG580:AI580" si="3582">IFERROR(AF580/$G580," ")</f>
        <v xml:space="preserve"> </v>
      </c>
      <c r="AH580" s="95" t="s">
        <v>781</v>
      </c>
      <c r="AI580" s="204" t="str">
        <f t="shared" si="3582"/>
        <v xml:space="preserve"> </v>
      </c>
      <c r="AJ580" s="95" t="s">
        <v>781</v>
      </c>
      <c r="AK580" s="204" t="str">
        <f t="shared" ref="AK580:AM580" si="3583">IFERROR(AJ580/$G580," ")</f>
        <v xml:space="preserve"> </v>
      </c>
      <c r="AL580" s="95" t="s">
        <v>781</v>
      </c>
      <c r="AM580" s="204" t="str">
        <f t="shared" si="3583"/>
        <v xml:space="preserve"> </v>
      </c>
      <c r="AN580" s="95"/>
      <c r="AO580" s="94" t="str">
        <f t="shared" si="3217"/>
        <v xml:space="preserve"> </v>
      </c>
      <c r="AP580" s="94" t="str">
        <f t="shared" si="3207"/>
        <v xml:space="preserve"> </v>
      </c>
      <c r="AQ580" s="94" t="str">
        <f t="shared" si="3208"/>
        <v xml:space="preserve"> </v>
      </c>
      <c r="AR580" s="94" t="str">
        <f t="shared" si="3421"/>
        <v xml:space="preserve"> </v>
      </c>
      <c r="AS580" s="94" t="str">
        <f t="shared" si="3219"/>
        <v xml:space="preserve"> </v>
      </c>
      <c r="AT580" s="94" t="str">
        <f t="shared" si="3220"/>
        <v xml:space="preserve"> </v>
      </c>
      <c r="AU580" s="94" t="str">
        <f t="shared" si="3221"/>
        <v xml:space="preserve"> </v>
      </c>
      <c r="AV580" s="94" t="str">
        <f t="shared" si="3222"/>
        <v xml:space="preserve"> </v>
      </c>
      <c r="AW580" s="94" t="str">
        <f t="shared" si="3223"/>
        <v xml:space="preserve"> </v>
      </c>
      <c r="AX580" s="94" t="str">
        <f t="shared" si="3224"/>
        <v xml:space="preserve"> </v>
      </c>
      <c r="AY580" s="94" t="str">
        <f t="shared" si="3225"/>
        <v xml:space="preserve"> </v>
      </c>
      <c r="AZ580" s="94" t="str">
        <f t="shared" si="3226"/>
        <v xml:space="preserve"> </v>
      </c>
      <c r="BA580" s="94" t="str">
        <f t="shared" si="3227"/>
        <v xml:space="preserve"> </v>
      </c>
      <c r="BB580" s="94" t="str">
        <f t="shared" si="3228"/>
        <v xml:space="preserve"> </v>
      </c>
    </row>
    <row r="581" spans="1:54" x14ac:dyDescent="0.25">
      <c r="A581" s="80"/>
      <c r="B581" s="95" t="s">
        <v>2417</v>
      </c>
      <c r="C581" s="201" t="s">
        <v>418</v>
      </c>
      <c r="D581" s="80" t="s">
        <v>783</v>
      </c>
      <c r="E581" s="94" t="str">
        <f>IFERROR(VLOOKUP(A581,Estimate!A:Q,17,FALSE)," ")</f>
        <v xml:space="preserve"> </v>
      </c>
      <c r="F581" s="202" t="s">
        <v>781</v>
      </c>
      <c r="G581" s="202" t="s">
        <v>781</v>
      </c>
      <c r="H581" s="203" t="s">
        <v>781</v>
      </c>
      <c r="I581" s="203" t="s">
        <v>781</v>
      </c>
      <c r="J581" s="203" t="s">
        <v>781</v>
      </c>
      <c r="K581" s="203"/>
      <c r="L581" s="202" t="s">
        <v>781</v>
      </c>
      <c r="M581" s="204" t="str">
        <f t="shared" si="3210"/>
        <v xml:space="preserve"> </v>
      </c>
      <c r="N581" s="95" t="s">
        <v>781</v>
      </c>
      <c r="O581" s="204" t="str">
        <f t="shared" si="3210"/>
        <v xml:space="preserve"> </v>
      </c>
      <c r="P581" s="95" t="s">
        <v>781</v>
      </c>
      <c r="Q581" s="204" t="str">
        <f t="shared" ref="Q581:S581" si="3584">IFERROR(P581/$G581," ")</f>
        <v xml:space="preserve"> </v>
      </c>
      <c r="R581" s="95" t="s">
        <v>781</v>
      </c>
      <c r="S581" s="204" t="str">
        <f t="shared" si="3584"/>
        <v xml:space="preserve"> </v>
      </c>
      <c r="T581" s="95" t="s">
        <v>781</v>
      </c>
      <c r="U581" s="204" t="str">
        <f t="shared" ref="U581:W581" si="3585">IFERROR(T581/$G581," ")</f>
        <v xml:space="preserve"> </v>
      </c>
      <c r="V581" s="95" t="s">
        <v>781</v>
      </c>
      <c r="W581" s="204" t="str">
        <f t="shared" si="3585"/>
        <v xml:space="preserve"> </v>
      </c>
      <c r="X581" s="95" t="s">
        <v>781</v>
      </c>
      <c r="Y581" s="204" t="str">
        <f t="shared" ref="Y581:AA581" si="3586">IFERROR(X581/$G581," ")</f>
        <v xml:space="preserve"> </v>
      </c>
      <c r="Z581" s="95" t="s">
        <v>781</v>
      </c>
      <c r="AA581" s="204" t="str">
        <f t="shared" si="3586"/>
        <v xml:space="preserve"> </v>
      </c>
      <c r="AB581" s="95" t="s">
        <v>781</v>
      </c>
      <c r="AC581" s="204" t="str">
        <f t="shared" ref="AC581:AE581" si="3587">IFERROR(AB581/$G581," ")</f>
        <v xml:space="preserve"> </v>
      </c>
      <c r="AD581" s="95" t="s">
        <v>781</v>
      </c>
      <c r="AE581" s="204" t="str">
        <f t="shared" si="3587"/>
        <v xml:space="preserve"> </v>
      </c>
      <c r="AF581" s="95" t="s">
        <v>781</v>
      </c>
      <c r="AG581" s="204" t="str">
        <f t="shared" ref="AG581:AI581" si="3588">IFERROR(AF581/$G581," ")</f>
        <v xml:space="preserve"> </v>
      </c>
      <c r="AH581" s="95" t="s">
        <v>781</v>
      </c>
      <c r="AI581" s="204" t="str">
        <f t="shared" si="3588"/>
        <v xml:space="preserve"> </v>
      </c>
      <c r="AJ581" s="95" t="s">
        <v>781</v>
      </c>
      <c r="AK581" s="204" t="str">
        <f t="shared" ref="AK581:AM581" si="3589">IFERROR(AJ581/$G581," ")</f>
        <v xml:space="preserve"> </v>
      </c>
      <c r="AL581" s="95" t="s">
        <v>781</v>
      </c>
      <c r="AM581" s="204" t="str">
        <f t="shared" si="3589"/>
        <v xml:space="preserve"> </v>
      </c>
      <c r="AN581" s="95"/>
      <c r="AO581" s="94" t="str">
        <f t="shared" si="3217"/>
        <v xml:space="preserve"> </v>
      </c>
      <c r="AP581" s="94" t="str">
        <f t="shared" si="3207"/>
        <v xml:space="preserve"> </v>
      </c>
      <c r="AQ581" s="94" t="str">
        <f t="shared" si="3208"/>
        <v xml:space="preserve"> </v>
      </c>
      <c r="AR581" s="94" t="str">
        <f t="shared" si="3421"/>
        <v xml:space="preserve"> </v>
      </c>
      <c r="AS581" s="94" t="str">
        <f t="shared" si="3219"/>
        <v xml:space="preserve"> </v>
      </c>
      <c r="AT581" s="94" t="str">
        <f t="shared" si="3220"/>
        <v xml:space="preserve"> </v>
      </c>
      <c r="AU581" s="94" t="str">
        <f t="shared" si="3221"/>
        <v xml:space="preserve"> </v>
      </c>
      <c r="AV581" s="94" t="str">
        <f t="shared" si="3222"/>
        <v xml:space="preserve"> </v>
      </c>
      <c r="AW581" s="94" t="str">
        <f t="shared" si="3223"/>
        <v xml:space="preserve"> </v>
      </c>
      <c r="AX581" s="94" t="str">
        <f t="shared" si="3224"/>
        <v xml:space="preserve"> </v>
      </c>
      <c r="AY581" s="94" t="str">
        <f t="shared" si="3225"/>
        <v xml:space="preserve"> </v>
      </c>
      <c r="AZ581" s="94" t="str">
        <f t="shared" si="3226"/>
        <v xml:space="preserve"> </v>
      </c>
      <c r="BA581" s="94" t="str">
        <f t="shared" si="3227"/>
        <v xml:space="preserve"> </v>
      </c>
      <c r="BB581" s="94" t="str">
        <f t="shared" si="3228"/>
        <v xml:space="preserve"> </v>
      </c>
    </row>
    <row r="582" spans="1:54" x14ac:dyDescent="0.25">
      <c r="A582" s="80"/>
      <c r="B582" s="95" t="s">
        <v>2901</v>
      </c>
      <c r="C582" s="201" t="s">
        <v>420</v>
      </c>
      <c r="D582" s="80" t="s">
        <v>783</v>
      </c>
      <c r="E582" s="94" t="str">
        <f>IFERROR(VLOOKUP(A582,Estimate!A:Q,17,FALSE)," ")</f>
        <v xml:space="preserve"> </v>
      </c>
      <c r="F582" s="202" t="s">
        <v>781</v>
      </c>
      <c r="G582" s="202" t="s">
        <v>781</v>
      </c>
      <c r="H582" s="203" t="s">
        <v>781</v>
      </c>
      <c r="I582" s="203" t="s">
        <v>781</v>
      </c>
      <c r="J582" s="203" t="s">
        <v>781</v>
      </c>
      <c r="K582" s="203"/>
      <c r="L582" s="202" t="s">
        <v>781</v>
      </c>
      <c r="M582" s="204" t="str">
        <f t="shared" si="3210"/>
        <v xml:space="preserve"> </v>
      </c>
      <c r="N582" s="95" t="s">
        <v>781</v>
      </c>
      <c r="O582" s="204" t="str">
        <f t="shared" si="3210"/>
        <v xml:space="preserve"> </v>
      </c>
      <c r="P582" s="95" t="s">
        <v>781</v>
      </c>
      <c r="Q582" s="204" t="str">
        <f t="shared" ref="Q582:S582" si="3590">IFERROR(P582/$G582," ")</f>
        <v xml:space="preserve"> </v>
      </c>
      <c r="R582" s="95" t="s">
        <v>781</v>
      </c>
      <c r="S582" s="204" t="str">
        <f t="shared" si="3590"/>
        <v xml:space="preserve"> </v>
      </c>
      <c r="T582" s="95" t="s">
        <v>781</v>
      </c>
      <c r="U582" s="204" t="str">
        <f t="shared" ref="U582:W582" si="3591">IFERROR(T582/$G582," ")</f>
        <v xml:space="preserve"> </v>
      </c>
      <c r="V582" s="95" t="s">
        <v>781</v>
      </c>
      <c r="W582" s="204" t="str">
        <f t="shared" si="3591"/>
        <v xml:space="preserve"> </v>
      </c>
      <c r="X582" s="95" t="s">
        <v>781</v>
      </c>
      <c r="Y582" s="204" t="str">
        <f t="shared" ref="Y582:AA582" si="3592">IFERROR(X582/$G582," ")</f>
        <v xml:space="preserve"> </v>
      </c>
      <c r="Z582" s="95" t="s">
        <v>781</v>
      </c>
      <c r="AA582" s="204" t="str">
        <f t="shared" si="3592"/>
        <v xml:space="preserve"> </v>
      </c>
      <c r="AB582" s="95" t="s">
        <v>781</v>
      </c>
      <c r="AC582" s="204" t="str">
        <f t="shared" ref="AC582:AE582" si="3593">IFERROR(AB582/$G582," ")</f>
        <v xml:space="preserve"> </v>
      </c>
      <c r="AD582" s="95" t="s">
        <v>781</v>
      </c>
      <c r="AE582" s="204" t="str">
        <f t="shared" si="3593"/>
        <v xml:space="preserve"> </v>
      </c>
      <c r="AF582" s="95" t="s">
        <v>781</v>
      </c>
      <c r="AG582" s="204" t="str">
        <f t="shared" ref="AG582:AI582" si="3594">IFERROR(AF582/$G582," ")</f>
        <v xml:space="preserve"> </v>
      </c>
      <c r="AH582" s="95" t="s">
        <v>781</v>
      </c>
      <c r="AI582" s="204" t="str">
        <f t="shared" si="3594"/>
        <v xml:space="preserve"> </v>
      </c>
      <c r="AJ582" s="95" t="s">
        <v>781</v>
      </c>
      <c r="AK582" s="204" t="str">
        <f t="shared" ref="AK582:AM582" si="3595">IFERROR(AJ582/$G582," ")</f>
        <v xml:space="preserve"> </v>
      </c>
      <c r="AL582" s="95" t="s">
        <v>781</v>
      </c>
      <c r="AM582" s="204" t="str">
        <f t="shared" si="3595"/>
        <v xml:space="preserve"> </v>
      </c>
      <c r="AN582" s="95"/>
      <c r="AO582" s="94" t="str">
        <f t="shared" si="3217"/>
        <v xml:space="preserve"> </v>
      </c>
      <c r="AP582" s="94" t="str">
        <f t="shared" si="3207"/>
        <v xml:space="preserve"> </v>
      </c>
      <c r="AQ582" s="94" t="str">
        <f t="shared" si="3208"/>
        <v xml:space="preserve"> </v>
      </c>
      <c r="AR582" s="94" t="str">
        <f t="shared" si="3421"/>
        <v xml:space="preserve"> </v>
      </c>
      <c r="AS582" s="94" t="str">
        <f t="shared" si="3219"/>
        <v xml:space="preserve"> </v>
      </c>
      <c r="AT582" s="94" t="str">
        <f t="shared" si="3220"/>
        <v xml:space="preserve"> </v>
      </c>
      <c r="AU582" s="94" t="str">
        <f t="shared" si="3221"/>
        <v xml:space="preserve"> </v>
      </c>
      <c r="AV582" s="94" t="str">
        <f t="shared" si="3222"/>
        <v xml:space="preserve"> </v>
      </c>
      <c r="AW582" s="94" t="str">
        <f t="shared" si="3223"/>
        <v xml:space="preserve"> </v>
      </c>
      <c r="AX582" s="94" t="str">
        <f t="shared" si="3224"/>
        <v xml:space="preserve"> </v>
      </c>
      <c r="AY582" s="94" t="str">
        <f t="shared" si="3225"/>
        <v xml:space="preserve"> </v>
      </c>
      <c r="AZ582" s="94" t="str">
        <f t="shared" si="3226"/>
        <v xml:space="preserve"> </v>
      </c>
      <c r="BA582" s="94" t="str">
        <f t="shared" si="3227"/>
        <v xml:space="preserve"> </v>
      </c>
      <c r="BB582" s="94" t="str">
        <f t="shared" si="3228"/>
        <v xml:space="preserve"> </v>
      </c>
    </row>
    <row r="583" spans="1:54" x14ac:dyDescent="0.25">
      <c r="A583" s="80">
        <v>233</v>
      </c>
      <c r="B583" s="95">
        <v>1300</v>
      </c>
      <c r="C583" s="201" t="s">
        <v>686</v>
      </c>
      <c r="D583" s="80" t="s">
        <v>20</v>
      </c>
      <c r="E583" s="94">
        <f>IFERROR(VLOOKUP(A583,Estimate!A:Q,17,FALSE)," ")</f>
        <v>8000</v>
      </c>
      <c r="F583" s="202">
        <v>1</v>
      </c>
      <c r="G583" s="202">
        <v>1</v>
      </c>
      <c r="H583" s="203">
        <v>10049.82</v>
      </c>
      <c r="I583" s="203">
        <v>10049.82</v>
      </c>
      <c r="J583" s="203">
        <v>10049.82</v>
      </c>
      <c r="K583" s="203"/>
      <c r="L583" s="202"/>
      <c r="M583" s="204">
        <f t="shared" si="3210"/>
        <v>0</v>
      </c>
      <c r="N583" s="95"/>
      <c r="O583" s="204">
        <f t="shared" si="3210"/>
        <v>0</v>
      </c>
      <c r="P583" s="95"/>
      <c r="Q583" s="204">
        <f t="shared" ref="Q583:S583" si="3596">IFERROR(P583/$G583," ")</f>
        <v>0</v>
      </c>
      <c r="R583" s="95"/>
      <c r="S583" s="204">
        <f t="shared" si="3596"/>
        <v>0</v>
      </c>
      <c r="T583" s="95"/>
      <c r="U583" s="204">
        <f t="shared" ref="U583:W583" si="3597">IFERROR(T583/$G583," ")</f>
        <v>0</v>
      </c>
      <c r="V583" s="95"/>
      <c r="W583" s="204">
        <f t="shared" si="3597"/>
        <v>0</v>
      </c>
      <c r="X583" s="95">
        <v>1</v>
      </c>
      <c r="Y583" s="204">
        <f t="shared" ref="Y583:AA583" si="3598">IFERROR(X583/$G583," ")</f>
        <v>1</v>
      </c>
      <c r="Z583" s="95">
        <v>1</v>
      </c>
      <c r="AA583" s="204">
        <f t="shared" si="3598"/>
        <v>1</v>
      </c>
      <c r="AB583" s="95">
        <v>1</v>
      </c>
      <c r="AC583" s="204">
        <f t="shared" ref="AC583:AE583" si="3599">IFERROR(AB583/$G583," ")</f>
        <v>1</v>
      </c>
      <c r="AD583" s="95">
        <v>1</v>
      </c>
      <c r="AE583" s="204">
        <f t="shared" si="3599"/>
        <v>1</v>
      </c>
      <c r="AF583" s="95">
        <v>1</v>
      </c>
      <c r="AG583" s="204">
        <f t="shared" ref="AG583:AI583" si="3600">IFERROR(AF583/$G583," ")</f>
        <v>1</v>
      </c>
      <c r="AH583" s="95">
        <v>1</v>
      </c>
      <c r="AI583" s="204">
        <f t="shared" si="3600"/>
        <v>1</v>
      </c>
      <c r="AJ583" s="95">
        <v>1</v>
      </c>
      <c r="AK583" s="204">
        <f t="shared" ref="AK583:AM583" si="3601">IFERROR(AJ583/$G583," ")</f>
        <v>1</v>
      </c>
      <c r="AL583" s="95">
        <v>1</v>
      </c>
      <c r="AM583" s="204">
        <f t="shared" si="3601"/>
        <v>1</v>
      </c>
      <c r="AN583" s="95"/>
      <c r="AO583" s="94">
        <f t="shared" si="3217"/>
        <v>0</v>
      </c>
      <c r="AP583" s="94">
        <f t="shared" si="3207"/>
        <v>0</v>
      </c>
      <c r="AQ583" s="94">
        <f t="shared" si="3208"/>
        <v>0</v>
      </c>
      <c r="AR583" s="94">
        <f t="shared" si="3421"/>
        <v>0</v>
      </c>
      <c r="AS583" s="94">
        <f t="shared" si="3219"/>
        <v>0</v>
      </c>
      <c r="AT583" s="94">
        <f t="shared" si="3220"/>
        <v>0</v>
      </c>
      <c r="AU583" s="94">
        <f t="shared" si="3221"/>
        <v>10049.82</v>
      </c>
      <c r="AV583" s="94">
        <f t="shared" si="3222"/>
        <v>10049.82</v>
      </c>
      <c r="AW583" s="94">
        <f t="shared" si="3223"/>
        <v>10049.82</v>
      </c>
      <c r="AX583" s="94">
        <f t="shared" si="3224"/>
        <v>10049.82</v>
      </c>
      <c r="AY583" s="94">
        <f t="shared" si="3225"/>
        <v>10049.82</v>
      </c>
      <c r="AZ583" s="94">
        <f t="shared" si="3226"/>
        <v>10049.82</v>
      </c>
      <c r="BA583" s="94">
        <f t="shared" si="3227"/>
        <v>10049.82</v>
      </c>
      <c r="BB583" s="94">
        <f t="shared" si="3228"/>
        <v>10049.82</v>
      </c>
    </row>
    <row r="584" spans="1:54" x14ac:dyDescent="0.25">
      <c r="A584" s="80">
        <v>234</v>
      </c>
      <c r="B584" s="95">
        <v>1301</v>
      </c>
      <c r="C584" s="201" t="s">
        <v>514</v>
      </c>
      <c r="D584" s="80" t="s">
        <v>20</v>
      </c>
      <c r="E584" s="94">
        <f>IFERROR(VLOOKUP(A584,Estimate!A:Q,17,FALSE)," ")</f>
        <v>10980</v>
      </c>
      <c r="F584" s="202">
        <v>1</v>
      </c>
      <c r="G584" s="202">
        <v>1</v>
      </c>
      <c r="H584" s="203">
        <v>13793.38</v>
      </c>
      <c r="I584" s="203">
        <v>13793.38</v>
      </c>
      <c r="J584" s="203">
        <v>13793.38</v>
      </c>
      <c r="K584" s="203"/>
      <c r="L584" s="202"/>
      <c r="M584" s="204">
        <f t="shared" si="3210"/>
        <v>0</v>
      </c>
      <c r="N584" s="95"/>
      <c r="O584" s="204">
        <f t="shared" si="3210"/>
        <v>0</v>
      </c>
      <c r="P584" s="95"/>
      <c r="Q584" s="204">
        <f t="shared" ref="Q584:S584" si="3602">IFERROR(P584/$G584," ")</f>
        <v>0</v>
      </c>
      <c r="R584" s="95"/>
      <c r="S584" s="204">
        <f t="shared" si="3602"/>
        <v>0</v>
      </c>
      <c r="T584" s="95"/>
      <c r="U584" s="204">
        <f t="shared" ref="U584:W584" si="3603">IFERROR(T584/$G584," ")</f>
        <v>0</v>
      </c>
      <c r="V584" s="95"/>
      <c r="W584" s="204">
        <f t="shared" si="3603"/>
        <v>0</v>
      </c>
      <c r="X584" s="95">
        <v>1</v>
      </c>
      <c r="Y584" s="204">
        <f t="shared" ref="Y584:AA584" si="3604">IFERROR(X584/$G584," ")</f>
        <v>1</v>
      </c>
      <c r="Z584" s="95">
        <v>1</v>
      </c>
      <c r="AA584" s="204">
        <f t="shared" si="3604"/>
        <v>1</v>
      </c>
      <c r="AB584" s="95">
        <v>1</v>
      </c>
      <c r="AC584" s="204">
        <f t="shared" ref="AC584:AE584" si="3605">IFERROR(AB584/$G584," ")</f>
        <v>1</v>
      </c>
      <c r="AD584" s="95">
        <v>1</v>
      </c>
      <c r="AE584" s="204">
        <f t="shared" si="3605"/>
        <v>1</v>
      </c>
      <c r="AF584" s="95">
        <v>1</v>
      </c>
      <c r="AG584" s="204">
        <f t="shared" ref="AG584:AI584" si="3606">IFERROR(AF584/$G584," ")</f>
        <v>1</v>
      </c>
      <c r="AH584" s="95">
        <v>1</v>
      </c>
      <c r="AI584" s="204">
        <f t="shared" si="3606"/>
        <v>1</v>
      </c>
      <c r="AJ584" s="95">
        <v>1</v>
      </c>
      <c r="AK584" s="204">
        <f t="shared" ref="AK584:AM584" si="3607">IFERROR(AJ584/$G584," ")</f>
        <v>1</v>
      </c>
      <c r="AL584" s="95">
        <v>1</v>
      </c>
      <c r="AM584" s="204">
        <f t="shared" si="3607"/>
        <v>1</v>
      </c>
      <c r="AN584" s="95"/>
      <c r="AO584" s="94">
        <f t="shared" si="3217"/>
        <v>0</v>
      </c>
      <c r="AP584" s="94">
        <f t="shared" si="3207"/>
        <v>0</v>
      </c>
      <c r="AQ584" s="94">
        <f t="shared" si="3208"/>
        <v>0</v>
      </c>
      <c r="AR584" s="94">
        <f t="shared" ref="AR584" si="3608">IFERROR(S584*$J584," ")</f>
        <v>0</v>
      </c>
      <c r="AS584" s="94">
        <f t="shared" si="3219"/>
        <v>0</v>
      </c>
      <c r="AT584" s="94">
        <f t="shared" si="3220"/>
        <v>0</v>
      </c>
      <c r="AU584" s="94">
        <f t="shared" si="3221"/>
        <v>13793.38</v>
      </c>
      <c r="AV584" s="94">
        <f t="shared" si="3222"/>
        <v>13793.38</v>
      </c>
      <c r="AW584" s="94">
        <f t="shared" si="3223"/>
        <v>13793.38</v>
      </c>
      <c r="AX584" s="94">
        <f t="shared" si="3224"/>
        <v>13793.38</v>
      </c>
      <c r="AY584" s="94">
        <f t="shared" si="3225"/>
        <v>13793.38</v>
      </c>
      <c r="AZ584" s="94">
        <f t="shared" si="3226"/>
        <v>13793.38</v>
      </c>
      <c r="BA584" s="94">
        <f t="shared" si="3227"/>
        <v>13793.38</v>
      </c>
      <c r="BB584" s="94">
        <f t="shared" si="3228"/>
        <v>13793.38</v>
      </c>
    </row>
    <row r="585" spans="1:54" x14ac:dyDescent="0.25">
      <c r="A585" s="80"/>
      <c r="B585" s="95" t="s">
        <v>2417</v>
      </c>
      <c r="C585" s="201" t="s">
        <v>2837</v>
      </c>
      <c r="D585" s="80" t="s">
        <v>783</v>
      </c>
      <c r="E585" s="94" t="str">
        <f>IFERROR(VLOOKUP(A585,Estimate!A:Q,17,FALSE)," ")</f>
        <v xml:space="preserve"> </v>
      </c>
      <c r="F585" s="202" t="s">
        <v>781</v>
      </c>
      <c r="G585" s="202" t="s">
        <v>781</v>
      </c>
      <c r="H585" s="203" t="s">
        <v>781</v>
      </c>
      <c r="I585" s="203" t="s">
        <v>781</v>
      </c>
      <c r="J585" s="203" t="s">
        <v>781</v>
      </c>
      <c r="K585" s="203"/>
      <c r="L585" s="202" t="s">
        <v>781</v>
      </c>
      <c r="M585" s="204" t="str">
        <f t="shared" ref="M585:O646" si="3609">IFERROR(L585/$G585," ")</f>
        <v xml:space="preserve"> </v>
      </c>
      <c r="N585" s="95" t="s">
        <v>781</v>
      </c>
      <c r="O585" s="204" t="str">
        <f t="shared" si="3609"/>
        <v xml:space="preserve"> </v>
      </c>
      <c r="P585" s="95" t="s">
        <v>781</v>
      </c>
      <c r="Q585" s="204" t="str">
        <f t="shared" ref="Q585:S585" si="3610">IFERROR(P585/$G585," ")</f>
        <v xml:space="preserve"> </v>
      </c>
      <c r="R585" s="95" t="s">
        <v>781</v>
      </c>
      <c r="S585" s="204" t="str">
        <f t="shared" si="3610"/>
        <v xml:space="preserve"> </v>
      </c>
      <c r="T585" s="95" t="s">
        <v>781</v>
      </c>
      <c r="U585" s="204" t="str">
        <f t="shared" ref="U585:W585" si="3611">IFERROR(T585/$G585," ")</f>
        <v xml:space="preserve"> </v>
      </c>
      <c r="V585" s="95" t="s">
        <v>781</v>
      </c>
      <c r="W585" s="204" t="str">
        <f t="shared" si="3611"/>
        <v xml:space="preserve"> </v>
      </c>
      <c r="X585" s="95" t="s">
        <v>781</v>
      </c>
      <c r="Y585" s="204" t="str">
        <f t="shared" ref="Y585:AA585" si="3612">IFERROR(X585/$G585," ")</f>
        <v xml:space="preserve"> </v>
      </c>
      <c r="Z585" s="95" t="s">
        <v>781</v>
      </c>
      <c r="AA585" s="204" t="str">
        <f t="shared" si="3612"/>
        <v xml:space="preserve"> </v>
      </c>
      <c r="AB585" s="95" t="s">
        <v>781</v>
      </c>
      <c r="AC585" s="204" t="str">
        <f t="shared" ref="AC585:AE585" si="3613">IFERROR(AB585/$G585," ")</f>
        <v xml:space="preserve"> </v>
      </c>
      <c r="AD585" s="95" t="s">
        <v>781</v>
      </c>
      <c r="AE585" s="204" t="str">
        <f t="shared" si="3613"/>
        <v xml:space="preserve"> </v>
      </c>
      <c r="AF585" s="95" t="s">
        <v>781</v>
      </c>
      <c r="AG585" s="204" t="str">
        <f t="shared" ref="AG585:AI585" si="3614">IFERROR(AF585/$G585," ")</f>
        <v xml:space="preserve"> </v>
      </c>
      <c r="AH585" s="95" t="s">
        <v>781</v>
      </c>
      <c r="AI585" s="204" t="str">
        <f t="shared" si="3614"/>
        <v xml:space="preserve"> </v>
      </c>
      <c r="AJ585" s="95" t="s">
        <v>781</v>
      </c>
      <c r="AK585" s="204" t="str">
        <f t="shared" ref="AK585:AM585" si="3615">IFERROR(AJ585/$G585," ")</f>
        <v xml:space="preserve"> </v>
      </c>
      <c r="AL585" s="95" t="s">
        <v>781</v>
      </c>
      <c r="AM585" s="204" t="str">
        <f t="shared" si="3615"/>
        <v xml:space="preserve"> </v>
      </c>
      <c r="AN585" s="95"/>
      <c r="AO585" s="94" t="str">
        <f t="shared" ref="AO585:AO643" si="3616">IFERROR(M585*$J585," ")</f>
        <v xml:space="preserve"> </v>
      </c>
      <c r="AP585" s="94" t="str">
        <f t="shared" si="3207"/>
        <v xml:space="preserve"> </v>
      </c>
      <c r="AQ585" s="94" t="str">
        <f t="shared" si="3208"/>
        <v xml:space="preserve"> </v>
      </c>
      <c r="AR585" s="94" t="str">
        <f>IFERROR(S585*$J585," ")</f>
        <v xml:space="preserve"> </v>
      </c>
      <c r="AS585" s="94" t="str">
        <f>IFERROR(U585*$J585," ")</f>
        <v xml:space="preserve"> </v>
      </c>
      <c r="AT585" s="94" t="str">
        <f t="shared" ref="AT585:AT643" si="3617">IFERROR(W585*$J585," ")</f>
        <v xml:space="preserve"> </v>
      </c>
      <c r="AU585" s="94" t="str">
        <f t="shared" ref="AU585:AU643" si="3618">IFERROR(Y585*$J585," ")</f>
        <v xml:space="preserve"> </v>
      </c>
      <c r="AV585" s="94" t="str">
        <f t="shared" ref="AV585:AV643" si="3619">IFERROR(AA585*$J585," ")</f>
        <v xml:space="preserve"> </v>
      </c>
      <c r="AW585" s="94" t="str">
        <f t="shared" ref="AW585:AW643" si="3620">IFERROR(AC585*$J585," ")</f>
        <v xml:space="preserve"> </v>
      </c>
      <c r="AX585" s="94" t="str">
        <f t="shared" ref="AX585:AX643" si="3621">IFERROR(AE585*$J585," ")</f>
        <v xml:space="preserve"> </v>
      </c>
      <c r="AY585" s="94" t="str">
        <f t="shared" ref="AY585:AY643" si="3622">IFERROR(AG585*$J585," ")</f>
        <v xml:space="preserve"> </v>
      </c>
      <c r="AZ585" s="94" t="str">
        <f t="shared" ref="AZ585:AZ643" si="3623">IFERROR(AI585*$J585," ")</f>
        <v xml:space="preserve"> </v>
      </c>
      <c r="BA585" s="94" t="str">
        <f t="shared" ref="BA585:BA643" si="3624">IFERROR(AK585*$J585," ")</f>
        <v xml:space="preserve"> </v>
      </c>
      <c r="BB585" s="94" t="str">
        <f t="shared" ref="BB585:BB643" si="3625">IFERROR(AM585*$J585," ")</f>
        <v xml:space="preserve"> </v>
      </c>
    </row>
    <row r="586" spans="1:54" x14ac:dyDescent="0.25">
      <c r="A586" s="80"/>
      <c r="B586" s="95" t="s">
        <v>2417</v>
      </c>
      <c r="C586" s="201" t="s">
        <v>145</v>
      </c>
      <c r="D586" s="80" t="s">
        <v>783</v>
      </c>
      <c r="E586" s="94" t="str">
        <f>IFERROR(VLOOKUP(A586,Estimate!A:Q,17,FALSE)," ")</f>
        <v xml:space="preserve"> </v>
      </c>
      <c r="F586" s="202" t="s">
        <v>781</v>
      </c>
      <c r="G586" s="202" t="s">
        <v>781</v>
      </c>
      <c r="H586" s="203" t="s">
        <v>781</v>
      </c>
      <c r="I586" s="203" t="s">
        <v>781</v>
      </c>
      <c r="J586" s="203" t="s">
        <v>781</v>
      </c>
      <c r="K586" s="203"/>
      <c r="L586" s="202" t="s">
        <v>781</v>
      </c>
      <c r="M586" s="204" t="str">
        <f t="shared" si="3609"/>
        <v xml:space="preserve"> </v>
      </c>
      <c r="N586" s="95" t="s">
        <v>781</v>
      </c>
      <c r="O586" s="204" t="str">
        <f t="shared" si="3609"/>
        <v xml:space="preserve"> </v>
      </c>
      <c r="P586" s="95" t="s">
        <v>781</v>
      </c>
      <c r="Q586" s="204" t="str">
        <f t="shared" ref="Q586:S586" si="3626">IFERROR(P586/$G586," ")</f>
        <v xml:space="preserve"> </v>
      </c>
      <c r="R586" s="95" t="s">
        <v>781</v>
      </c>
      <c r="S586" s="204" t="str">
        <f t="shared" si="3626"/>
        <v xml:space="preserve"> </v>
      </c>
      <c r="T586" s="95" t="s">
        <v>781</v>
      </c>
      <c r="U586" s="204" t="str">
        <f t="shared" ref="U586:W586" si="3627">IFERROR(T586/$G586," ")</f>
        <v xml:space="preserve"> </v>
      </c>
      <c r="V586" s="95" t="s">
        <v>781</v>
      </c>
      <c r="W586" s="204" t="str">
        <f t="shared" si="3627"/>
        <v xml:space="preserve"> </v>
      </c>
      <c r="X586" s="95" t="s">
        <v>781</v>
      </c>
      <c r="Y586" s="204" t="str">
        <f t="shared" ref="Y586:AA586" si="3628">IFERROR(X586/$G586," ")</f>
        <v xml:space="preserve"> </v>
      </c>
      <c r="Z586" s="95" t="s">
        <v>781</v>
      </c>
      <c r="AA586" s="204" t="str">
        <f t="shared" si="3628"/>
        <v xml:space="preserve"> </v>
      </c>
      <c r="AB586" s="95" t="s">
        <v>781</v>
      </c>
      <c r="AC586" s="204" t="str">
        <f t="shared" ref="AC586:AE586" si="3629">IFERROR(AB586/$G586," ")</f>
        <v xml:space="preserve"> </v>
      </c>
      <c r="AD586" s="95" t="s">
        <v>781</v>
      </c>
      <c r="AE586" s="204" t="str">
        <f t="shared" si="3629"/>
        <v xml:space="preserve"> </v>
      </c>
      <c r="AF586" s="95" t="s">
        <v>781</v>
      </c>
      <c r="AG586" s="204" t="str">
        <f t="shared" ref="AG586:AI586" si="3630">IFERROR(AF586/$G586," ")</f>
        <v xml:space="preserve"> </v>
      </c>
      <c r="AH586" s="95" t="s">
        <v>781</v>
      </c>
      <c r="AI586" s="204" t="str">
        <f t="shared" si="3630"/>
        <v xml:space="preserve"> </v>
      </c>
      <c r="AJ586" s="95" t="s">
        <v>781</v>
      </c>
      <c r="AK586" s="204" t="str">
        <f t="shared" ref="AK586:AM586" si="3631">IFERROR(AJ586/$G586," ")</f>
        <v xml:space="preserve"> </v>
      </c>
      <c r="AL586" s="95" t="s">
        <v>781</v>
      </c>
      <c r="AM586" s="204" t="str">
        <f t="shared" si="3631"/>
        <v xml:space="preserve"> </v>
      </c>
      <c r="AN586" s="95"/>
      <c r="AO586" s="94" t="str">
        <f t="shared" si="3616"/>
        <v xml:space="preserve"> </v>
      </c>
      <c r="AP586" s="94" t="str">
        <f t="shared" si="3207"/>
        <v xml:space="preserve"> </v>
      </c>
      <c r="AQ586" s="94" t="str">
        <f t="shared" si="3208"/>
        <v xml:space="preserve"> </v>
      </c>
      <c r="AR586" s="94" t="str">
        <f>IFERROR(S586*$J586," ")</f>
        <v xml:space="preserve"> </v>
      </c>
      <c r="AS586" s="94" t="str">
        <f>IFERROR(U586*$J586," ")</f>
        <v xml:space="preserve"> </v>
      </c>
      <c r="AT586" s="94" t="str">
        <f t="shared" si="3617"/>
        <v xml:space="preserve"> </v>
      </c>
      <c r="AU586" s="94" t="str">
        <f t="shared" si="3618"/>
        <v xml:space="preserve"> </v>
      </c>
      <c r="AV586" s="94" t="str">
        <f t="shared" si="3619"/>
        <v xml:space="preserve"> </v>
      </c>
      <c r="AW586" s="94" t="str">
        <f t="shared" si="3620"/>
        <v xml:space="preserve"> </v>
      </c>
      <c r="AX586" s="94" t="str">
        <f t="shared" si="3621"/>
        <v xml:space="preserve"> </v>
      </c>
      <c r="AY586" s="94" t="str">
        <f t="shared" si="3622"/>
        <v xml:space="preserve"> </v>
      </c>
      <c r="AZ586" s="94" t="str">
        <f t="shared" si="3623"/>
        <v xml:space="preserve"> </v>
      </c>
      <c r="BA586" s="94" t="str">
        <f t="shared" si="3624"/>
        <v xml:space="preserve"> </v>
      </c>
      <c r="BB586" s="94" t="str">
        <f t="shared" si="3625"/>
        <v xml:space="preserve"> </v>
      </c>
    </row>
    <row r="587" spans="1:54" x14ac:dyDescent="0.25">
      <c r="A587" s="80">
        <v>235</v>
      </c>
      <c r="B587" s="95" t="s">
        <v>2417</v>
      </c>
      <c r="C587" s="201" t="s">
        <v>147</v>
      </c>
      <c r="D587" s="80" t="s">
        <v>20</v>
      </c>
      <c r="E587" s="94">
        <f>IFERROR(VLOOKUP(A587,Estimate!A:Q,17,FALSE)," ")</f>
        <v>2400</v>
      </c>
      <c r="F587" s="202">
        <v>1</v>
      </c>
      <c r="G587" s="202">
        <v>1</v>
      </c>
      <c r="H587" s="203">
        <v>3014.95</v>
      </c>
      <c r="I587" s="203">
        <v>3014.95</v>
      </c>
      <c r="J587" s="203">
        <v>3014.95</v>
      </c>
      <c r="K587" s="203"/>
      <c r="L587" s="202"/>
      <c r="M587" s="204">
        <f t="shared" si="3609"/>
        <v>0</v>
      </c>
      <c r="N587" s="95"/>
      <c r="O587" s="204">
        <f t="shared" si="3609"/>
        <v>0</v>
      </c>
      <c r="P587" s="95"/>
      <c r="Q587" s="204">
        <f t="shared" ref="Q587:S587" si="3632">IFERROR(P587/$G587," ")</f>
        <v>0</v>
      </c>
      <c r="R587" s="95"/>
      <c r="S587" s="204">
        <f t="shared" si="3632"/>
        <v>0</v>
      </c>
      <c r="T587" s="95"/>
      <c r="U587" s="204">
        <f t="shared" ref="U587:W587" si="3633">IFERROR(T587/$G587," ")</f>
        <v>0</v>
      </c>
      <c r="V587" s="95"/>
      <c r="W587" s="204">
        <f t="shared" si="3633"/>
        <v>0</v>
      </c>
      <c r="X587" s="95">
        <v>0.5</v>
      </c>
      <c r="Y587" s="204">
        <f t="shared" ref="Y587:AA587" si="3634">IFERROR(X587/$G587," ")</f>
        <v>0.5</v>
      </c>
      <c r="Z587" s="95">
        <v>0.7</v>
      </c>
      <c r="AA587" s="204">
        <f t="shared" si="3634"/>
        <v>0.7</v>
      </c>
      <c r="AB587" s="95">
        <v>0.7</v>
      </c>
      <c r="AC587" s="204">
        <f t="shared" ref="AC587:AE587" si="3635">IFERROR(AB587/$G587," ")</f>
        <v>0.7</v>
      </c>
      <c r="AD587" s="95">
        <v>0.95</v>
      </c>
      <c r="AE587" s="204">
        <f t="shared" si="3635"/>
        <v>0.95</v>
      </c>
      <c r="AF587" s="95">
        <v>1</v>
      </c>
      <c r="AG587" s="204">
        <f t="shared" ref="AG587:AI587" si="3636">IFERROR(AF587/$G587," ")</f>
        <v>1</v>
      </c>
      <c r="AH587" s="95">
        <v>1</v>
      </c>
      <c r="AI587" s="204">
        <f t="shared" si="3636"/>
        <v>1</v>
      </c>
      <c r="AJ587" s="95">
        <v>1</v>
      </c>
      <c r="AK587" s="204">
        <f t="shared" ref="AK587:AM587" si="3637">IFERROR(AJ587/$G587," ")</f>
        <v>1</v>
      </c>
      <c r="AL587" s="95">
        <v>1</v>
      </c>
      <c r="AM587" s="204">
        <f t="shared" si="3637"/>
        <v>1</v>
      </c>
      <c r="AN587" s="95"/>
      <c r="AO587" s="94">
        <f t="shared" si="3616"/>
        <v>0</v>
      </c>
      <c r="AP587" s="94">
        <f t="shared" si="3207"/>
        <v>0</v>
      </c>
      <c r="AQ587" s="94">
        <f t="shared" si="3208"/>
        <v>0</v>
      </c>
      <c r="AR587" s="94">
        <f>IFERROR(S587*$J587," ")</f>
        <v>0</v>
      </c>
      <c r="AS587" s="94">
        <f>IFERROR(U587*$J587," ")</f>
        <v>0</v>
      </c>
      <c r="AT587" s="94">
        <f t="shared" si="3617"/>
        <v>0</v>
      </c>
      <c r="AU587" s="94">
        <f t="shared" si="3618"/>
        <v>1507.4749999999999</v>
      </c>
      <c r="AV587" s="94">
        <f t="shared" si="3619"/>
        <v>2110.4649999999997</v>
      </c>
      <c r="AW587" s="94">
        <f t="shared" si="3620"/>
        <v>2110.4649999999997</v>
      </c>
      <c r="AX587" s="94">
        <f t="shared" si="3621"/>
        <v>2864.2024999999999</v>
      </c>
      <c r="AY587" s="94">
        <f t="shared" si="3622"/>
        <v>3014.95</v>
      </c>
      <c r="AZ587" s="94">
        <f t="shared" si="3623"/>
        <v>3014.95</v>
      </c>
      <c r="BA587" s="94">
        <f t="shared" si="3624"/>
        <v>3014.95</v>
      </c>
      <c r="BB587" s="94">
        <f t="shared" si="3625"/>
        <v>3014.95</v>
      </c>
    </row>
    <row r="588" spans="1:54" x14ac:dyDescent="0.25">
      <c r="A588" s="80"/>
      <c r="B588" s="95" t="s">
        <v>2417</v>
      </c>
      <c r="C588" s="201" t="s">
        <v>2837</v>
      </c>
      <c r="D588" s="80" t="s">
        <v>783</v>
      </c>
      <c r="E588" s="94" t="str">
        <f>IFERROR(VLOOKUP(A588,Estimate!A:Q,17,FALSE)," ")</f>
        <v xml:space="preserve"> </v>
      </c>
      <c r="F588" s="202" t="s">
        <v>781</v>
      </c>
      <c r="G588" s="202" t="s">
        <v>781</v>
      </c>
      <c r="H588" s="203" t="s">
        <v>781</v>
      </c>
      <c r="I588" s="203" t="s">
        <v>781</v>
      </c>
      <c r="J588" s="203" t="s">
        <v>781</v>
      </c>
      <c r="K588" s="203"/>
      <c r="L588" s="202" t="s">
        <v>781</v>
      </c>
      <c r="M588" s="204" t="str">
        <f t="shared" si="3609"/>
        <v xml:space="preserve"> </v>
      </c>
      <c r="N588" s="95" t="s">
        <v>781</v>
      </c>
      <c r="O588" s="204" t="str">
        <f t="shared" si="3609"/>
        <v xml:space="preserve"> </v>
      </c>
      <c r="P588" s="95" t="s">
        <v>781</v>
      </c>
      <c r="Q588" s="204" t="str">
        <f t="shared" ref="Q588:S588" si="3638">IFERROR(P588/$G588," ")</f>
        <v xml:space="preserve"> </v>
      </c>
      <c r="R588" s="95" t="s">
        <v>781</v>
      </c>
      <c r="S588" s="204" t="str">
        <f t="shared" si="3638"/>
        <v xml:space="preserve"> </v>
      </c>
      <c r="T588" s="95" t="s">
        <v>781</v>
      </c>
      <c r="U588" s="204" t="str">
        <f t="shared" ref="U588:W588" si="3639">IFERROR(T588/$G588," ")</f>
        <v xml:space="preserve"> </v>
      </c>
      <c r="V588" s="95" t="s">
        <v>781</v>
      </c>
      <c r="W588" s="204" t="str">
        <f t="shared" si="3639"/>
        <v xml:space="preserve"> </v>
      </c>
      <c r="X588" s="95" t="s">
        <v>781</v>
      </c>
      <c r="Y588" s="204" t="str">
        <f t="shared" ref="Y588:AA588" si="3640">IFERROR(X588/$G588," ")</f>
        <v xml:space="preserve"> </v>
      </c>
      <c r="Z588" s="95" t="s">
        <v>781</v>
      </c>
      <c r="AA588" s="204" t="str">
        <f t="shared" si="3640"/>
        <v xml:space="preserve"> </v>
      </c>
      <c r="AB588" s="95" t="s">
        <v>781</v>
      </c>
      <c r="AC588" s="204" t="str">
        <f t="shared" ref="AC588:AE588" si="3641">IFERROR(AB588/$G588," ")</f>
        <v xml:space="preserve"> </v>
      </c>
      <c r="AD588" s="95" t="s">
        <v>781</v>
      </c>
      <c r="AE588" s="204" t="str">
        <f t="shared" si="3641"/>
        <v xml:space="preserve"> </v>
      </c>
      <c r="AF588" s="95" t="s">
        <v>781</v>
      </c>
      <c r="AG588" s="204" t="str">
        <f t="shared" ref="AG588:AI588" si="3642">IFERROR(AF588/$G588," ")</f>
        <v xml:space="preserve"> </v>
      </c>
      <c r="AH588" s="95" t="s">
        <v>781</v>
      </c>
      <c r="AI588" s="204" t="str">
        <f t="shared" si="3642"/>
        <v xml:space="preserve"> </v>
      </c>
      <c r="AJ588" s="95" t="s">
        <v>781</v>
      </c>
      <c r="AK588" s="204" t="str">
        <f t="shared" ref="AK588:AM588" si="3643">IFERROR(AJ588/$G588," ")</f>
        <v xml:space="preserve"> </v>
      </c>
      <c r="AL588" s="95" t="s">
        <v>781</v>
      </c>
      <c r="AM588" s="204" t="str">
        <f t="shared" si="3643"/>
        <v xml:space="preserve"> </v>
      </c>
      <c r="AN588" s="95"/>
      <c r="AO588" s="94" t="str">
        <f t="shared" si="3616"/>
        <v xml:space="preserve"> </v>
      </c>
      <c r="AP588" s="94" t="str">
        <f t="shared" si="3207"/>
        <v xml:space="preserve"> </v>
      </c>
      <c r="AQ588" s="94" t="str">
        <f t="shared" si="3208"/>
        <v xml:space="preserve"> </v>
      </c>
      <c r="AR588" s="94" t="str">
        <f>IFERROR(S588*$J588," ")</f>
        <v xml:space="preserve"> </v>
      </c>
      <c r="AS588" s="94" t="str">
        <f>IFERROR(U588*$J588," ")</f>
        <v xml:space="preserve"> </v>
      </c>
      <c r="AT588" s="94" t="str">
        <f t="shared" si="3617"/>
        <v xml:space="preserve"> </v>
      </c>
      <c r="AU588" s="94" t="str">
        <f t="shared" si="3618"/>
        <v xml:space="preserve"> </v>
      </c>
      <c r="AV588" s="94" t="str">
        <f t="shared" si="3619"/>
        <v xml:space="preserve"> </v>
      </c>
      <c r="AW588" s="94" t="str">
        <f t="shared" si="3620"/>
        <v xml:space="preserve"> </v>
      </c>
      <c r="AX588" s="94" t="str">
        <f t="shared" si="3621"/>
        <v xml:space="preserve"> </v>
      </c>
      <c r="AY588" s="94" t="str">
        <f t="shared" si="3622"/>
        <v xml:space="preserve"> </v>
      </c>
      <c r="AZ588" s="94" t="str">
        <f t="shared" si="3623"/>
        <v xml:space="preserve"> </v>
      </c>
      <c r="BA588" s="94" t="str">
        <f t="shared" si="3624"/>
        <v xml:space="preserve"> </v>
      </c>
      <c r="BB588" s="94" t="str">
        <f t="shared" si="3625"/>
        <v xml:space="preserve"> </v>
      </c>
    </row>
    <row r="589" spans="1:54" x14ac:dyDescent="0.25">
      <c r="A589" s="80"/>
      <c r="B589" s="205" t="s">
        <v>2417</v>
      </c>
      <c r="C589" s="206" t="s">
        <v>1916</v>
      </c>
      <c r="D589" s="207" t="s">
        <v>783</v>
      </c>
      <c r="E589" s="94" t="str">
        <f>IFERROR(VLOOKUP(A589,Estimate!A:Q,17,FALSE)," ")</f>
        <v xml:space="preserve"> </v>
      </c>
      <c r="F589" s="208" t="s">
        <v>781</v>
      </c>
      <c r="G589" s="208" t="s">
        <v>781</v>
      </c>
      <c r="H589" s="209" t="s">
        <v>781</v>
      </c>
      <c r="I589" s="209">
        <v>494231.2</v>
      </c>
      <c r="J589" s="209" t="s">
        <v>781</v>
      </c>
      <c r="K589" s="209"/>
      <c r="L589" s="208" t="s">
        <v>781</v>
      </c>
      <c r="M589" s="204" t="str">
        <f t="shared" si="3609"/>
        <v xml:space="preserve"> </v>
      </c>
      <c r="N589" s="95" t="s">
        <v>781</v>
      </c>
      <c r="O589" s="204" t="str">
        <f t="shared" si="3609"/>
        <v xml:space="preserve"> </v>
      </c>
      <c r="P589" s="95" t="s">
        <v>781</v>
      </c>
      <c r="Q589" s="204" t="str">
        <f t="shared" ref="Q589:S589" si="3644">IFERROR(P589/$G589," ")</f>
        <v xml:space="preserve"> </v>
      </c>
      <c r="R589" s="95" t="s">
        <v>781</v>
      </c>
      <c r="S589" s="204" t="str">
        <f t="shared" si="3644"/>
        <v xml:space="preserve"> </v>
      </c>
      <c r="T589" s="95" t="s">
        <v>781</v>
      </c>
      <c r="U589" s="204" t="str">
        <f t="shared" ref="U589:W589" si="3645">IFERROR(T589/$G589," ")</f>
        <v xml:space="preserve"> </v>
      </c>
      <c r="V589" s="95" t="s">
        <v>781</v>
      </c>
      <c r="W589" s="204" t="str">
        <f t="shared" si="3645"/>
        <v xml:space="preserve"> </v>
      </c>
      <c r="X589" s="95" t="s">
        <v>781</v>
      </c>
      <c r="Y589" s="204" t="str">
        <f t="shared" ref="Y589:AA589" si="3646">IFERROR(X589/$G589," ")</f>
        <v xml:space="preserve"> </v>
      </c>
      <c r="Z589" s="95" t="s">
        <v>781</v>
      </c>
      <c r="AA589" s="204" t="str">
        <f t="shared" si="3646"/>
        <v xml:space="preserve"> </v>
      </c>
      <c r="AB589" s="95" t="s">
        <v>781</v>
      </c>
      <c r="AC589" s="204" t="str">
        <f t="shared" ref="AC589:AE589" si="3647">IFERROR(AB589/$G589," ")</f>
        <v xml:space="preserve"> </v>
      </c>
      <c r="AD589" s="95" t="s">
        <v>781</v>
      </c>
      <c r="AE589" s="204" t="str">
        <f t="shared" si="3647"/>
        <v xml:space="preserve"> </v>
      </c>
      <c r="AF589" s="95" t="s">
        <v>781</v>
      </c>
      <c r="AG589" s="204" t="str">
        <f t="shared" ref="AG589:AI589" si="3648">IFERROR(AF589/$G589," ")</f>
        <v xml:space="preserve"> </v>
      </c>
      <c r="AH589" s="95" t="s">
        <v>781</v>
      </c>
      <c r="AI589" s="204" t="str">
        <f t="shared" si="3648"/>
        <v xml:space="preserve"> </v>
      </c>
      <c r="AJ589" s="95" t="s">
        <v>781</v>
      </c>
      <c r="AK589" s="204" t="str">
        <f t="shared" ref="AK589:AM589" si="3649">IFERROR(AJ589/$G589," ")</f>
        <v xml:space="preserve"> </v>
      </c>
      <c r="AL589" s="95" t="s">
        <v>781</v>
      </c>
      <c r="AM589" s="204" t="str">
        <f t="shared" si="3649"/>
        <v xml:space="preserve"> </v>
      </c>
      <c r="AN589" s="95"/>
      <c r="AO589" s="94">
        <f>SUBTOTAL(9,AO8:AO587)</f>
        <v>126387.5491</v>
      </c>
      <c r="AP589" s="94">
        <f t="shared" ref="AP589:BB589" si="3650">SUBTOTAL(9,AP8:AP587)</f>
        <v>233953.71020000006</v>
      </c>
      <c r="AQ589" s="94">
        <f t="shared" si="3650"/>
        <v>257747.86410000004</v>
      </c>
      <c r="AR589" s="94">
        <f t="shared" si="3650"/>
        <v>406970.5352000001</v>
      </c>
      <c r="AS589" s="94">
        <f t="shared" si="3650"/>
        <v>600102.93310000014</v>
      </c>
      <c r="AT589" s="94">
        <f t="shared" si="3650"/>
        <v>776708.42830000003</v>
      </c>
      <c r="AU589" s="94">
        <f t="shared" si="3650"/>
        <v>1090716.0666000003</v>
      </c>
      <c r="AV589" s="94">
        <f t="shared" si="3650"/>
        <v>1536327.0370999991</v>
      </c>
      <c r="AW589" s="94">
        <f t="shared" si="3650"/>
        <v>1710427.2150999983</v>
      </c>
      <c r="AX589" s="94">
        <f t="shared" si="3650"/>
        <v>2095579.6308999988</v>
      </c>
      <c r="AY589" s="94">
        <f t="shared" si="3650"/>
        <v>2474626.6064000004</v>
      </c>
      <c r="AZ589" s="94">
        <f t="shared" si="3650"/>
        <v>2797336.2534000012</v>
      </c>
      <c r="BA589" s="94">
        <f t="shared" si="3650"/>
        <v>2791986.1034000013</v>
      </c>
      <c r="BB589" s="94">
        <f t="shared" si="3650"/>
        <v>2791986.1034000013</v>
      </c>
    </row>
    <row r="590" spans="1:54" x14ac:dyDescent="0.25">
      <c r="A590" s="80"/>
      <c r="B590" s="95" t="s">
        <v>781</v>
      </c>
      <c r="C590" s="201" t="s">
        <v>781</v>
      </c>
      <c r="D590" s="80" t="s">
        <v>781</v>
      </c>
      <c r="E590" s="94" t="str">
        <f>IFERROR(VLOOKUP(A590,Estimate!A:Q,17,FALSE)," ")</f>
        <v xml:space="preserve"> </v>
      </c>
      <c r="F590" s="202" t="s">
        <v>781</v>
      </c>
      <c r="G590" s="202" t="s">
        <v>781</v>
      </c>
      <c r="H590" s="203" t="s">
        <v>781</v>
      </c>
      <c r="I590" s="203" t="s">
        <v>781</v>
      </c>
      <c r="J590" s="203" t="s">
        <v>781</v>
      </c>
      <c r="K590" s="203"/>
      <c r="L590" s="202" t="s">
        <v>781</v>
      </c>
      <c r="M590" s="204" t="str">
        <f t="shared" si="3609"/>
        <v xml:space="preserve"> </v>
      </c>
      <c r="N590" s="95" t="s">
        <v>781</v>
      </c>
      <c r="O590" s="204" t="str">
        <f t="shared" si="3609"/>
        <v xml:space="preserve"> </v>
      </c>
      <c r="P590" s="95" t="s">
        <v>781</v>
      </c>
      <c r="Q590" s="204" t="str">
        <f t="shared" ref="Q590:S590" si="3651">IFERROR(P590/$G590," ")</f>
        <v xml:space="preserve"> </v>
      </c>
      <c r="R590" s="95" t="s">
        <v>781</v>
      </c>
      <c r="S590" s="204" t="str">
        <f t="shared" si="3651"/>
        <v xml:space="preserve"> </v>
      </c>
      <c r="T590" s="95" t="s">
        <v>781</v>
      </c>
      <c r="U590" s="204" t="str">
        <f t="shared" ref="U590:W590" si="3652">IFERROR(T590/$G590," ")</f>
        <v xml:space="preserve"> </v>
      </c>
      <c r="V590" s="95" t="s">
        <v>781</v>
      </c>
      <c r="W590" s="204" t="str">
        <f t="shared" si="3652"/>
        <v xml:space="preserve"> </v>
      </c>
      <c r="X590" s="95" t="s">
        <v>781</v>
      </c>
      <c r="Y590" s="204" t="str">
        <f t="shared" ref="Y590:AA590" si="3653">IFERROR(X590/$G590," ")</f>
        <v xml:space="preserve"> </v>
      </c>
      <c r="Z590" s="95" t="s">
        <v>781</v>
      </c>
      <c r="AA590" s="204" t="str">
        <f t="shared" si="3653"/>
        <v xml:space="preserve"> </v>
      </c>
      <c r="AB590" s="95" t="s">
        <v>781</v>
      </c>
      <c r="AC590" s="204" t="str">
        <f t="shared" ref="AC590:AE590" si="3654">IFERROR(AB590/$G590," ")</f>
        <v xml:space="preserve"> </v>
      </c>
      <c r="AD590" s="95" t="s">
        <v>781</v>
      </c>
      <c r="AE590" s="204" t="str">
        <f t="shared" si="3654"/>
        <v xml:space="preserve"> </v>
      </c>
      <c r="AF590" s="95" t="s">
        <v>781</v>
      </c>
      <c r="AG590" s="204" t="str">
        <f t="shared" ref="AG590:AI590" si="3655">IFERROR(AF590/$G590," ")</f>
        <v xml:space="preserve"> </v>
      </c>
      <c r="AH590" s="95" t="s">
        <v>781</v>
      </c>
      <c r="AI590" s="204" t="str">
        <f t="shared" si="3655"/>
        <v xml:space="preserve"> </v>
      </c>
      <c r="AJ590" s="95" t="s">
        <v>781</v>
      </c>
      <c r="AK590" s="204" t="str">
        <f t="shared" ref="AK590:AM590" si="3656">IFERROR(AJ590/$G590," ")</f>
        <v xml:space="preserve"> </v>
      </c>
      <c r="AL590" s="95" t="s">
        <v>781</v>
      </c>
      <c r="AM590" s="204" t="str">
        <f t="shared" si="3656"/>
        <v xml:space="preserve"> </v>
      </c>
      <c r="AN590" s="95"/>
      <c r="AO590" s="94" t="str">
        <f t="shared" si="3616"/>
        <v xml:space="preserve"> </v>
      </c>
      <c r="AP590" s="94" t="str">
        <f>IFERROR(O590*$J590," ")</f>
        <v xml:space="preserve"> </v>
      </c>
      <c r="AQ590" s="94" t="str">
        <f>IFERROR(Q590*$J590," ")</f>
        <v xml:space="preserve"> </v>
      </c>
      <c r="AR590" s="94" t="str">
        <f>IFERROR(S590*$J590," ")</f>
        <v xml:space="preserve"> </v>
      </c>
      <c r="AS590" s="94" t="str">
        <f>IFERROR(U590*$J590," ")</f>
        <v xml:space="preserve"> </v>
      </c>
      <c r="AT590" s="94" t="str">
        <f t="shared" si="3617"/>
        <v xml:space="preserve"> </v>
      </c>
      <c r="AU590" s="94" t="str">
        <f t="shared" si="3618"/>
        <v xml:space="preserve"> </v>
      </c>
      <c r="AV590" s="94" t="str">
        <f t="shared" si="3619"/>
        <v xml:space="preserve"> </v>
      </c>
      <c r="AW590" s="94" t="str">
        <f t="shared" si="3620"/>
        <v xml:space="preserve"> </v>
      </c>
      <c r="AX590" s="94" t="str">
        <f t="shared" si="3621"/>
        <v xml:space="preserve"> </v>
      </c>
      <c r="AY590" s="94" t="str">
        <f t="shared" si="3622"/>
        <v xml:space="preserve"> </v>
      </c>
      <c r="AZ590" s="94" t="str">
        <f t="shared" si="3623"/>
        <v xml:space="preserve"> </v>
      </c>
      <c r="BA590" s="94" t="str">
        <f t="shared" si="3624"/>
        <v xml:space="preserve"> </v>
      </c>
      <c r="BB590" s="94" t="str">
        <f t="shared" si="3625"/>
        <v xml:space="preserve"> </v>
      </c>
    </row>
    <row r="591" spans="1:54" x14ac:dyDescent="0.25">
      <c r="A591" s="197" t="s">
        <v>781</v>
      </c>
      <c r="B591" s="197" t="s">
        <v>781</v>
      </c>
      <c r="C591" s="198" t="s">
        <v>2936</v>
      </c>
      <c r="D591" s="196" t="s">
        <v>781</v>
      </c>
      <c r="E591" s="197" t="s">
        <v>781</v>
      </c>
      <c r="F591" s="199" t="s">
        <v>781</v>
      </c>
      <c r="G591" s="199" t="s">
        <v>781</v>
      </c>
      <c r="H591" s="200" t="s">
        <v>781</v>
      </c>
      <c r="I591" s="200" t="s">
        <v>781</v>
      </c>
      <c r="J591" s="200" t="s">
        <v>781</v>
      </c>
      <c r="K591" s="200"/>
      <c r="L591" s="199" t="s">
        <v>781</v>
      </c>
      <c r="M591" s="199" t="s">
        <v>781</v>
      </c>
      <c r="N591" s="199" t="s">
        <v>781</v>
      </c>
      <c r="O591" s="199" t="s">
        <v>781</v>
      </c>
      <c r="P591" s="199" t="s">
        <v>781</v>
      </c>
      <c r="Q591" s="199" t="s">
        <v>781</v>
      </c>
      <c r="R591" s="199" t="s">
        <v>781</v>
      </c>
      <c r="S591" s="199" t="s">
        <v>781</v>
      </c>
      <c r="T591" s="199" t="s">
        <v>781</v>
      </c>
      <c r="U591" s="199" t="s">
        <v>781</v>
      </c>
      <c r="V591" s="199" t="s">
        <v>781</v>
      </c>
      <c r="W591" s="199" t="s">
        <v>781</v>
      </c>
      <c r="X591" s="199" t="s">
        <v>781</v>
      </c>
      <c r="Y591" s="199" t="s">
        <v>781</v>
      </c>
      <c r="Z591" s="199" t="s">
        <v>781</v>
      </c>
      <c r="AA591" s="199" t="s">
        <v>781</v>
      </c>
      <c r="AB591" s="199" t="s">
        <v>781</v>
      </c>
      <c r="AC591" s="199" t="s">
        <v>781</v>
      </c>
      <c r="AD591" s="199" t="s">
        <v>781</v>
      </c>
      <c r="AE591" s="199" t="s">
        <v>781</v>
      </c>
      <c r="AF591" s="199" t="s">
        <v>781</v>
      </c>
      <c r="AG591" s="199" t="s">
        <v>781</v>
      </c>
      <c r="AH591" s="199" t="s">
        <v>781</v>
      </c>
      <c r="AI591" s="199" t="s">
        <v>781</v>
      </c>
      <c r="AJ591" s="199" t="s">
        <v>781</v>
      </c>
      <c r="AK591" s="199" t="s">
        <v>781</v>
      </c>
      <c r="AL591" s="199" t="s">
        <v>781</v>
      </c>
      <c r="AM591" s="199" t="s">
        <v>781</v>
      </c>
      <c r="AN591" s="199" t="s">
        <v>781</v>
      </c>
      <c r="AO591" s="199" t="s">
        <v>781</v>
      </c>
      <c r="AP591" s="199" t="s">
        <v>781</v>
      </c>
      <c r="AQ591" s="199" t="s">
        <v>781</v>
      </c>
      <c r="AR591" s="199" t="s">
        <v>781</v>
      </c>
      <c r="AS591" s="199" t="s">
        <v>781</v>
      </c>
      <c r="AT591" s="199" t="s">
        <v>781</v>
      </c>
      <c r="AU591" s="199" t="s">
        <v>781</v>
      </c>
      <c r="AV591" s="199" t="s">
        <v>781</v>
      </c>
      <c r="AW591" s="199" t="s">
        <v>781</v>
      </c>
      <c r="AX591" s="199" t="s">
        <v>781</v>
      </c>
      <c r="AY591" s="199" t="s">
        <v>781</v>
      </c>
      <c r="AZ591" s="199" t="s">
        <v>781</v>
      </c>
      <c r="BA591" s="199" t="s">
        <v>781</v>
      </c>
      <c r="BB591" s="199" t="s">
        <v>781</v>
      </c>
    </row>
    <row r="592" spans="1:54" x14ac:dyDescent="0.25">
      <c r="A592" s="80"/>
      <c r="B592" s="211"/>
      <c r="C592" s="212"/>
      <c r="D592" s="92"/>
      <c r="E592" s="94" t="str">
        <f>IFERROR(VLOOKUP(A592,Estimate!A:Q,17,FALSE)," ")</f>
        <v xml:space="preserve"> </v>
      </c>
      <c r="F592" s="213"/>
      <c r="G592" s="213"/>
      <c r="H592" s="214"/>
      <c r="I592" s="214"/>
      <c r="J592" s="214"/>
      <c r="K592" s="214"/>
      <c r="L592" s="213"/>
      <c r="M592" s="204" t="str">
        <f t="shared" si="3609"/>
        <v xml:space="preserve"> </v>
      </c>
      <c r="N592" s="95"/>
      <c r="O592" s="204" t="str">
        <f t="shared" si="3609"/>
        <v xml:space="preserve"> </v>
      </c>
      <c r="P592" s="95"/>
      <c r="Q592" s="204" t="str">
        <f t="shared" ref="Q592:S592" si="3657">IFERROR(P592/$G592," ")</f>
        <v xml:space="preserve"> </v>
      </c>
      <c r="R592" s="95"/>
      <c r="S592" s="204" t="str">
        <f t="shared" si="3657"/>
        <v xml:space="preserve"> </v>
      </c>
      <c r="T592" s="95"/>
      <c r="U592" s="204" t="str">
        <f t="shared" ref="U592:W592" si="3658">IFERROR(T592/$G592," ")</f>
        <v xml:space="preserve"> </v>
      </c>
      <c r="V592" s="95"/>
      <c r="W592" s="204" t="str">
        <f t="shared" si="3658"/>
        <v xml:space="preserve"> </v>
      </c>
      <c r="X592" s="95"/>
      <c r="Y592" s="204" t="str">
        <f t="shared" ref="Y592:AA592" si="3659">IFERROR(X592/$G592," ")</f>
        <v xml:space="preserve"> </v>
      </c>
      <c r="Z592" s="95"/>
      <c r="AA592" s="204" t="str">
        <f t="shared" si="3659"/>
        <v xml:space="preserve"> </v>
      </c>
      <c r="AB592" s="95"/>
      <c r="AC592" s="204" t="str">
        <f t="shared" ref="AC592:AE592" si="3660">IFERROR(AB592/$G592," ")</f>
        <v xml:space="preserve"> </v>
      </c>
      <c r="AD592" s="95"/>
      <c r="AE592" s="204" t="str">
        <f t="shared" si="3660"/>
        <v xml:space="preserve"> </v>
      </c>
      <c r="AF592" s="95"/>
      <c r="AG592" s="204" t="str">
        <f t="shared" ref="AG592:AI592" si="3661">IFERROR(AF592/$G592," ")</f>
        <v xml:space="preserve"> </v>
      </c>
      <c r="AH592" s="95"/>
      <c r="AI592" s="204" t="str">
        <f t="shared" si="3661"/>
        <v xml:space="preserve"> </v>
      </c>
      <c r="AJ592" s="95"/>
      <c r="AK592" s="204" t="str">
        <f t="shared" ref="AK592:AM592" si="3662">IFERROR(AJ592/$G592," ")</f>
        <v xml:space="preserve"> </v>
      </c>
      <c r="AL592" s="95"/>
      <c r="AM592" s="204" t="str">
        <f t="shared" si="3662"/>
        <v xml:space="preserve"> </v>
      </c>
      <c r="AN592" s="95"/>
      <c r="AO592" s="94" t="str">
        <f t="shared" si="3616"/>
        <v xml:space="preserve"> </v>
      </c>
      <c r="AP592" s="94" t="str">
        <f t="shared" ref="AP592:AP623" si="3663">IFERROR(O592*$J592," ")</f>
        <v xml:space="preserve"> </v>
      </c>
      <c r="AQ592" s="94" t="str">
        <f t="shared" ref="AQ592:AQ623" si="3664">IFERROR(Q592*$J592," ")</f>
        <v xml:space="preserve"> </v>
      </c>
      <c r="AR592" s="94" t="str">
        <f t="shared" ref="AR592:AR623" si="3665">IFERROR(S592*$J592," ")</f>
        <v xml:space="preserve"> </v>
      </c>
      <c r="AS592" s="94" t="str">
        <f t="shared" ref="AS592:AS603" si="3666">IFERROR(U592*$J592," ")</f>
        <v xml:space="preserve"> </v>
      </c>
      <c r="AT592" s="94" t="str">
        <f t="shared" si="3617"/>
        <v xml:space="preserve"> </v>
      </c>
      <c r="AU592" s="94" t="str">
        <f t="shared" si="3618"/>
        <v xml:space="preserve"> </v>
      </c>
      <c r="AV592" s="94" t="str">
        <f t="shared" si="3619"/>
        <v xml:space="preserve"> </v>
      </c>
      <c r="AW592" s="94" t="str">
        <f t="shared" si="3620"/>
        <v xml:space="preserve"> </v>
      </c>
      <c r="AX592" s="94" t="str">
        <f t="shared" si="3621"/>
        <v xml:space="preserve"> </v>
      </c>
      <c r="AY592" s="94" t="str">
        <f t="shared" si="3622"/>
        <v xml:space="preserve"> </v>
      </c>
      <c r="AZ592" s="94" t="str">
        <f t="shared" si="3623"/>
        <v xml:space="preserve"> </v>
      </c>
      <c r="BA592" s="94" t="str">
        <f t="shared" si="3624"/>
        <v xml:space="preserve"> </v>
      </c>
      <c r="BB592" s="94" t="str">
        <f t="shared" si="3625"/>
        <v xml:space="preserve"> </v>
      </c>
    </row>
    <row r="593" spans="1:54" ht="30" x14ac:dyDescent="0.25">
      <c r="A593" s="80" t="s">
        <v>2549</v>
      </c>
      <c r="B593" s="95" t="s">
        <v>2406</v>
      </c>
      <c r="C593" s="201" t="s">
        <v>2407</v>
      </c>
      <c r="D593" s="80" t="s">
        <v>89</v>
      </c>
      <c r="E593" s="94">
        <f>IFERROR(VLOOKUP(A593,Estimate!A:Q,17,FALSE)," ")</f>
        <v>1137.6074285714285</v>
      </c>
      <c r="F593" s="202">
        <v>242</v>
      </c>
      <c r="G593" s="202">
        <v>242</v>
      </c>
      <c r="H593" s="203">
        <v>5.29</v>
      </c>
      <c r="I593" s="203">
        <v>1280.18</v>
      </c>
      <c r="J593" s="203">
        <v>1280.18</v>
      </c>
      <c r="K593" s="203"/>
      <c r="L593" s="202"/>
      <c r="M593" s="204">
        <f t="shared" si="3609"/>
        <v>0</v>
      </c>
      <c r="N593" s="95">
        <v>242</v>
      </c>
      <c r="O593" s="204">
        <f t="shared" si="3609"/>
        <v>1</v>
      </c>
      <c r="P593" s="95">
        <v>242</v>
      </c>
      <c r="Q593" s="204">
        <f t="shared" ref="Q593:S593" si="3667">IFERROR(P593/$G593," ")</f>
        <v>1</v>
      </c>
      <c r="R593" s="95">
        <v>242</v>
      </c>
      <c r="S593" s="204">
        <f t="shared" si="3667"/>
        <v>1</v>
      </c>
      <c r="T593" s="95">
        <v>242</v>
      </c>
      <c r="U593" s="204">
        <f t="shared" ref="U593:W593" si="3668">IFERROR(T593/$G593," ")</f>
        <v>1</v>
      </c>
      <c r="V593" s="95">
        <v>242</v>
      </c>
      <c r="W593" s="204">
        <f t="shared" si="3668"/>
        <v>1</v>
      </c>
      <c r="X593" s="95">
        <v>242</v>
      </c>
      <c r="Y593" s="204">
        <f t="shared" ref="Y593:AA593" si="3669">IFERROR(X593/$G593," ")</f>
        <v>1</v>
      </c>
      <c r="Z593" s="95">
        <v>242</v>
      </c>
      <c r="AA593" s="204">
        <f t="shared" si="3669"/>
        <v>1</v>
      </c>
      <c r="AB593" s="95">
        <v>242</v>
      </c>
      <c r="AC593" s="204">
        <f t="shared" ref="AC593:AE593" si="3670">IFERROR(AB593/$G593," ")</f>
        <v>1</v>
      </c>
      <c r="AD593" s="95">
        <v>242</v>
      </c>
      <c r="AE593" s="204">
        <f t="shared" si="3670"/>
        <v>1</v>
      </c>
      <c r="AF593" s="95">
        <v>242</v>
      </c>
      <c r="AG593" s="204">
        <f t="shared" ref="AG593:AI593" si="3671">IFERROR(AF593/$G593," ")</f>
        <v>1</v>
      </c>
      <c r="AH593" s="95">
        <v>242</v>
      </c>
      <c r="AI593" s="204">
        <f t="shared" si="3671"/>
        <v>1</v>
      </c>
      <c r="AJ593" s="95">
        <v>242</v>
      </c>
      <c r="AK593" s="204">
        <f t="shared" ref="AK593:AM593" si="3672">IFERROR(AJ593/$G593," ")</f>
        <v>1</v>
      </c>
      <c r="AL593" s="95">
        <v>242</v>
      </c>
      <c r="AM593" s="204">
        <f t="shared" si="3672"/>
        <v>1</v>
      </c>
      <c r="AN593" s="95"/>
      <c r="AO593" s="94">
        <f t="shared" si="3616"/>
        <v>0</v>
      </c>
      <c r="AP593" s="94">
        <f t="shared" si="3663"/>
        <v>1280.18</v>
      </c>
      <c r="AQ593" s="94">
        <f t="shared" si="3664"/>
        <v>1280.18</v>
      </c>
      <c r="AR593" s="94">
        <f t="shared" si="3665"/>
        <v>1280.18</v>
      </c>
      <c r="AS593" s="94">
        <f t="shared" si="3666"/>
        <v>1280.18</v>
      </c>
      <c r="AT593" s="94">
        <f t="shared" si="3617"/>
        <v>1280.18</v>
      </c>
      <c r="AU593" s="94">
        <f t="shared" si="3618"/>
        <v>1280.18</v>
      </c>
      <c r="AV593" s="94">
        <f t="shared" si="3619"/>
        <v>1280.18</v>
      </c>
      <c r="AW593" s="94">
        <f t="shared" si="3620"/>
        <v>1280.18</v>
      </c>
      <c r="AX593" s="94">
        <f t="shared" si="3621"/>
        <v>1280.18</v>
      </c>
      <c r="AY593" s="94">
        <f t="shared" si="3622"/>
        <v>1280.18</v>
      </c>
      <c r="AZ593" s="94">
        <f t="shared" si="3623"/>
        <v>1280.18</v>
      </c>
      <c r="BA593" s="94">
        <f t="shared" si="3624"/>
        <v>1280.18</v>
      </c>
      <c r="BB593" s="94">
        <f t="shared" si="3625"/>
        <v>1280.18</v>
      </c>
    </row>
    <row r="594" spans="1:54" x14ac:dyDescent="0.25">
      <c r="A594" s="80" t="s">
        <v>2551</v>
      </c>
      <c r="B594" s="95" t="s">
        <v>2408</v>
      </c>
      <c r="C594" s="201" t="s">
        <v>2409</v>
      </c>
      <c r="D594" s="80" t="s">
        <v>29</v>
      </c>
      <c r="E594" s="94">
        <f>IFERROR(VLOOKUP(A594,Estimate!A:Q,17,FALSE)," ")</f>
        <v>2325</v>
      </c>
      <c r="F594" s="202">
        <v>1</v>
      </c>
      <c r="G594" s="202">
        <v>1</v>
      </c>
      <c r="H594" s="203">
        <v>3099</v>
      </c>
      <c r="I594" s="203">
        <v>9297</v>
      </c>
      <c r="J594" s="203">
        <v>9297</v>
      </c>
      <c r="K594" s="203"/>
      <c r="L594" s="202"/>
      <c r="M594" s="204">
        <f t="shared" si="3609"/>
        <v>0</v>
      </c>
      <c r="N594" s="95"/>
      <c r="O594" s="204">
        <f t="shared" si="3609"/>
        <v>0</v>
      </c>
      <c r="P594" s="95"/>
      <c r="Q594" s="204">
        <f t="shared" ref="Q594:S594" si="3673">IFERROR(P594/$G594," ")</f>
        <v>0</v>
      </c>
      <c r="R594" s="95">
        <v>1</v>
      </c>
      <c r="S594" s="204">
        <f t="shared" si="3673"/>
        <v>1</v>
      </c>
      <c r="T594" s="95">
        <v>1</v>
      </c>
      <c r="U594" s="204">
        <f t="shared" ref="U594:W594" si="3674">IFERROR(T594/$G594," ")</f>
        <v>1</v>
      </c>
      <c r="V594" s="95">
        <v>1</v>
      </c>
      <c r="W594" s="204">
        <f t="shared" si="3674"/>
        <v>1</v>
      </c>
      <c r="X594" s="95">
        <v>1</v>
      </c>
      <c r="Y594" s="204">
        <f t="shared" ref="Y594:AA594" si="3675">IFERROR(X594/$G594," ")</f>
        <v>1</v>
      </c>
      <c r="Z594" s="95">
        <v>1</v>
      </c>
      <c r="AA594" s="204">
        <f t="shared" si="3675"/>
        <v>1</v>
      </c>
      <c r="AB594" s="95">
        <v>1</v>
      </c>
      <c r="AC594" s="204">
        <f t="shared" ref="AC594:AE594" si="3676">IFERROR(AB594/$G594," ")</f>
        <v>1</v>
      </c>
      <c r="AD594" s="95">
        <v>1</v>
      </c>
      <c r="AE594" s="204">
        <f t="shared" si="3676"/>
        <v>1</v>
      </c>
      <c r="AF594" s="95">
        <v>1</v>
      </c>
      <c r="AG594" s="204">
        <f t="shared" ref="AG594:AI594" si="3677">IFERROR(AF594/$G594," ")</f>
        <v>1</v>
      </c>
      <c r="AH594" s="95">
        <v>3</v>
      </c>
      <c r="AI594" s="204">
        <f t="shared" si="3677"/>
        <v>3</v>
      </c>
      <c r="AJ594" s="95">
        <v>1</v>
      </c>
      <c r="AK594" s="204">
        <f t="shared" ref="AK594:AM594" si="3678">IFERROR(AJ594/$G594," ")</f>
        <v>1</v>
      </c>
      <c r="AL594" s="95">
        <v>1</v>
      </c>
      <c r="AM594" s="204">
        <f t="shared" si="3678"/>
        <v>1</v>
      </c>
      <c r="AN594" s="95"/>
      <c r="AO594" s="94">
        <f t="shared" si="3616"/>
        <v>0</v>
      </c>
      <c r="AP594" s="94">
        <f t="shared" si="3663"/>
        <v>0</v>
      </c>
      <c r="AQ594" s="94">
        <f t="shared" si="3664"/>
        <v>0</v>
      </c>
      <c r="AR594" s="94">
        <f t="shared" si="3665"/>
        <v>9297</v>
      </c>
      <c r="AS594" s="94">
        <f t="shared" si="3666"/>
        <v>9297</v>
      </c>
      <c r="AT594" s="94">
        <f t="shared" si="3617"/>
        <v>9297</v>
      </c>
      <c r="AU594" s="94">
        <f t="shared" si="3618"/>
        <v>9297</v>
      </c>
      <c r="AV594" s="94">
        <f t="shared" si="3619"/>
        <v>9297</v>
      </c>
      <c r="AW594" s="94">
        <f t="shared" si="3620"/>
        <v>9297</v>
      </c>
      <c r="AX594" s="94">
        <f t="shared" si="3621"/>
        <v>9297</v>
      </c>
      <c r="AY594" s="94">
        <f t="shared" si="3622"/>
        <v>9297</v>
      </c>
      <c r="AZ594" s="94">
        <f t="shared" si="3623"/>
        <v>27891</v>
      </c>
      <c r="BA594" s="94">
        <f t="shared" si="3624"/>
        <v>9297</v>
      </c>
      <c r="BB594" s="94">
        <f t="shared" si="3625"/>
        <v>9297</v>
      </c>
    </row>
    <row r="595" spans="1:54" x14ac:dyDescent="0.25">
      <c r="A595" s="80" t="s">
        <v>2552</v>
      </c>
      <c r="B595" s="95" t="s">
        <v>2412</v>
      </c>
      <c r="C595" s="201" t="s">
        <v>2413</v>
      </c>
      <c r="D595" s="80" t="s">
        <v>86</v>
      </c>
      <c r="E595" s="94">
        <f>IFERROR(VLOOKUP(A595,Estimate!A:Q,17,FALSE)," ")</f>
        <v>2264.9222760113848</v>
      </c>
      <c r="F595" s="202">
        <v>40</v>
      </c>
      <c r="G595" s="202">
        <v>40</v>
      </c>
      <c r="H595" s="203">
        <v>71.13</v>
      </c>
      <c r="I595" s="203">
        <v>2845.2</v>
      </c>
      <c r="J595" s="203">
        <v>2845.2</v>
      </c>
      <c r="K595" s="203"/>
      <c r="L595" s="202"/>
      <c r="M595" s="204">
        <f t="shared" si="3609"/>
        <v>0</v>
      </c>
      <c r="N595" s="95"/>
      <c r="O595" s="204">
        <f t="shared" si="3609"/>
        <v>0</v>
      </c>
      <c r="P595" s="95"/>
      <c r="Q595" s="204">
        <f t="shared" ref="Q595:S595" si="3679">IFERROR(P595/$G595," ")</f>
        <v>0</v>
      </c>
      <c r="R595" s="95"/>
      <c r="S595" s="204">
        <f t="shared" si="3679"/>
        <v>0</v>
      </c>
      <c r="T595" s="95">
        <v>20</v>
      </c>
      <c r="U595" s="204">
        <f t="shared" ref="U595:W595" si="3680">IFERROR(T595/$G595," ")</f>
        <v>0.5</v>
      </c>
      <c r="V595" s="95">
        <v>40</v>
      </c>
      <c r="W595" s="204">
        <f t="shared" si="3680"/>
        <v>1</v>
      </c>
      <c r="X595" s="95">
        <v>40</v>
      </c>
      <c r="Y595" s="204">
        <f t="shared" ref="Y595:AA595" si="3681">IFERROR(X595/$G595," ")</f>
        <v>1</v>
      </c>
      <c r="Z595" s="95">
        <v>40</v>
      </c>
      <c r="AA595" s="204">
        <f t="shared" si="3681"/>
        <v>1</v>
      </c>
      <c r="AB595" s="95">
        <v>40</v>
      </c>
      <c r="AC595" s="204">
        <f t="shared" ref="AC595:AE595" si="3682">IFERROR(AB595/$G595," ")</f>
        <v>1</v>
      </c>
      <c r="AD595" s="95">
        <v>40</v>
      </c>
      <c r="AE595" s="204">
        <f t="shared" si="3682"/>
        <v>1</v>
      </c>
      <c r="AF595" s="95">
        <v>40</v>
      </c>
      <c r="AG595" s="204">
        <f t="shared" ref="AG595:AI595" si="3683">IFERROR(AF595/$G595," ")</f>
        <v>1</v>
      </c>
      <c r="AH595" s="95">
        <v>40</v>
      </c>
      <c r="AI595" s="204">
        <f t="shared" si="3683"/>
        <v>1</v>
      </c>
      <c r="AJ595" s="95">
        <v>40</v>
      </c>
      <c r="AK595" s="204">
        <f t="shared" ref="AK595:AM595" si="3684">IFERROR(AJ595/$G595," ")</f>
        <v>1</v>
      </c>
      <c r="AL595" s="95">
        <v>40</v>
      </c>
      <c r="AM595" s="204">
        <f t="shared" si="3684"/>
        <v>1</v>
      </c>
      <c r="AN595" s="95"/>
      <c r="AO595" s="94">
        <f t="shared" si="3616"/>
        <v>0</v>
      </c>
      <c r="AP595" s="94">
        <f t="shared" si="3663"/>
        <v>0</v>
      </c>
      <c r="AQ595" s="94">
        <f t="shared" si="3664"/>
        <v>0</v>
      </c>
      <c r="AR595" s="94">
        <f t="shared" si="3665"/>
        <v>0</v>
      </c>
      <c r="AS595" s="94">
        <f t="shared" si="3666"/>
        <v>1422.6</v>
      </c>
      <c r="AT595" s="94">
        <f t="shared" si="3617"/>
        <v>2845.2</v>
      </c>
      <c r="AU595" s="94">
        <f t="shared" si="3618"/>
        <v>2845.2</v>
      </c>
      <c r="AV595" s="94">
        <f t="shared" si="3619"/>
        <v>2845.2</v>
      </c>
      <c r="AW595" s="94">
        <f t="shared" si="3620"/>
        <v>2845.2</v>
      </c>
      <c r="AX595" s="94">
        <f t="shared" si="3621"/>
        <v>2845.2</v>
      </c>
      <c r="AY595" s="94">
        <f t="shared" si="3622"/>
        <v>2845.2</v>
      </c>
      <c r="AZ595" s="94">
        <f t="shared" si="3623"/>
        <v>2845.2</v>
      </c>
      <c r="BA595" s="94">
        <f t="shared" si="3624"/>
        <v>2845.2</v>
      </c>
      <c r="BB595" s="94">
        <f t="shared" si="3625"/>
        <v>2845.2</v>
      </c>
    </row>
    <row r="596" spans="1:54" ht="30" x14ac:dyDescent="0.25">
      <c r="A596" s="80" t="s">
        <v>2556</v>
      </c>
      <c r="B596" s="201" t="s">
        <v>2428</v>
      </c>
      <c r="C596" s="201" t="s">
        <v>2555</v>
      </c>
      <c r="D596" s="80"/>
      <c r="E596" s="94">
        <f>IFERROR(VLOOKUP(A596,Estimate!A:Q,17,FALSE)," ")</f>
        <v>23859.346222222226</v>
      </c>
      <c r="F596" s="202">
        <v>1</v>
      </c>
      <c r="G596" s="202">
        <v>1</v>
      </c>
      <c r="H596" s="203">
        <v>28143.681799999998</v>
      </c>
      <c r="I596" s="203">
        <v>28143.681799999998</v>
      </c>
      <c r="J596" s="203">
        <v>28143.681799999998</v>
      </c>
      <c r="K596" s="203"/>
      <c r="L596" s="202"/>
      <c r="M596" s="204">
        <f t="shared" ref="M596" si="3685">IFERROR(L596/$G596," ")</f>
        <v>0</v>
      </c>
      <c r="N596" s="95"/>
      <c r="O596" s="204">
        <f t="shared" si="3609"/>
        <v>0</v>
      </c>
      <c r="P596" s="95"/>
      <c r="Q596" s="204">
        <f t="shared" ref="Q596:S596" si="3686">IFERROR(P596/$G596," ")</f>
        <v>0</v>
      </c>
      <c r="R596" s="95"/>
      <c r="S596" s="204">
        <f t="shared" si="3686"/>
        <v>0</v>
      </c>
      <c r="T596" s="95"/>
      <c r="U596" s="204">
        <f t="shared" ref="U596:W596" si="3687">IFERROR(T596/$G596," ")</f>
        <v>0</v>
      </c>
      <c r="V596" s="95"/>
      <c r="W596" s="204">
        <f t="shared" si="3687"/>
        <v>0</v>
      </c>
      <c r="X596" s="95">
        <v>1</v>
      </c>
      <c r="Y596" s="204">
        <f t="shared" ref="Y596:AA596" si="3688">IFERROR(X596/$G596," ")</f>
        <v>1</v>
      </c>
      <c r="Z596" s="95">
        <v>1</v>
      </c>
      <c r="AA596" s="204">
        <f t="shared" si="3688"/>
        <v>1</v>
      </c>
      <c r="AB596" s="95">
        <v>1</v>
      </c>
      <c r="AC596" s="204">
        <f t="shared" ref="AC596:AE596" si="3689">IFERROR(AB596/$G596," ")</f>
        <v>1</v>
      </c>
      <c r="AD596" s="95">
        <v>1</v>
      </c>
      <c r="AE596" s="204">
        <f t="shared" si="3689"/>
        <v>1</v>
      </c>
      <c r="AF596" s="95">
        <v>1</v>
      </c>
      <c r="AG596" s="204">
        <f t="shared" ref="AG596:AI596" si="3690">IFERROR(AF596/$G596," ")</f>
        <v>1</v>
      </c>
      <c r="AH596" s="95">
        <v>1</v>
      </c>
      <c r="AI596" s="204">
        <f t="shared" si="3690"/>
        <v>1</v>
      </c>
      <c r="AJ596" s="95">
        <v>1</v>
      </c>
      <c r="AK596" s="204">
        <f t="shared" ref="AK596:AM596" si="3691">IFERROR(AJ596/$G596," ")</f>
        <v>1</v>
      </c>
      <c r="AL596" s="95">
        <v>1</v>
      </c>
      <c r="AM596" s="204">
        <f t="shared" si="3691"/>
        <v>1</v>
      </c>
      <c r="AN596" s="95"/>
      <c r="AO596" s="94">
        <f t="shared" si="3616"/>
        <v>0</v>
      </c>
      <c r="AP596" s="94">
        <f t="shared" si="3663"/>
        <v>0</v>
      </c>
      <c r="AQ596" s="94">
        <f t="shared" si="3664"/>
        <v>0</v>
      </c>
      <c r="AR596" s="94">
        <f t="shared" si="3665"/>
        <v>0</v>
      </c>
      <c r="AS596" s="94">
        <f t="shared" si="3666"/>
        <v>0</v>
      </c>
      <c r="AT596" s="94">
        <f t="shared" si="3617"/>
        <v>0</v>
      </c>
      <c r="AU596" s="94">
        <f t="shared" si="3618"/>
        <v>28143.681799999998</v>
      </c>
      <c r="AV596" s="94">
        <f t="shared" si="3619"/>
        <v>28143.681799999998</v>
      </c>
      <c r="AW596" s="94">
        <f t="shared" si="3620"/>
        <v>28143.681799999998</v>
      </c>
      <c r="AX596" s="94">
        <f t="shared" si="3621"/>
        <v>28143.681799999998</v>
      </c>
      <c r="AY596" s="94">
        <f t="shared" si="3622"/>
        <v>28143.681799999998</v>
      </c>
      <c r="AZ596" s="94">
        <f t="shared" si="3623"/>
        <v>28143.681799999998</v>
      </c>
      <c r="BA596" s="94">
        <f t="shared" si="3624"/>
        <v>28143.681799999998</v>
      </c>
      <c r="BB596" s="94">
        <f t="shared" si="3625"/>
        <v>28143.681799999998</v>
      </c>
    </row>
    <row r="597" spans="1:54" x14ac:dyDescent="0.25">
      <c r="A597" s="80" t="s">
        <v>2557</v>
      </c>
      <c r="B597" s="201" t="s">
        <v>2444</v>
      </c>
      <c r="C597" s="201" t="s">
        <v>2445</v>
      </c>
      <c r="D597" s="80"/>
      <c r="E597" s="94">
        <f>IFERROR(VLOOKUP(A597,Estimate!A:Q,17,FALSE)," ")</f>
        <v>691.11930232558143</v>
      </c>
      <c r="F597" s="202">
        <v>1</v>
      </c>
      <c r="G597" s="202">
        <v>1</v>
      </c>
      <c r="H597" s="203">
        <v>1431.13</v>
      </c>
      <c r="I597" s="203">
        <v>1431.13</v>
      </c>
      <c r="J597" s="203">
        <v>1431.13</v>
      </c>
      <c r="K597" s="203"/>
      <c r="L597" s="202"/>
      <c r="M597" s="204">
        <f t="shared" ref="M597" si="3692">IFERROR(L597/$G597," ")</f>
        <v>0</v>
      </c>
      <c r="N597" s="95"/>
      <c r="O597" s="204">
        <f t="shared" si="3609"/>
        <v>0</v>
      </c>
      <c r="P597" s="95"/>
      <c r="Q597" s="204">
        <f t="shared" ref="Q597:S597" si="3693">IFERROR(P597/$G597," ")</f>
        <v>0</v>
      </c>
      <c r="R597" s="95"/>
      <c r="S597" s="204">
        <f t="shared" si="3693"/>
        <v>0</v>
      </c>
      <c r="T597" s="95"/>
      <c r="U597" s="204">
        <f t="shared" ref="U597:W597" si="3694">IFERROR(T597/$G597," ")</f>
        <v>0</v>
      </c>
      <c r="V597" s="95"/>
      <c r="W597" s="204">
        <f t="shared" si="3694"/>
        <v>0</v>
      </c>
      <c r="X597" s="95">
        <v>0.95330000000000004</v>
      </c>
      <c r="Y597" s="204">
        <f t="shared" ref="Y597:AA597" si="3695">IFERROR(X597/$G597," ")</f>
        <v>0.95330000000000004</v>
      </c>
      <c r="Z597" s="95">
        <v>0.95330000000000004</v>
      </c>
      <c r="AA597" s="204">
        <f t="shared" si="3695"/>
        <v>0.95330000000000004</v>
      </c>
      <c r="AB597" s="95">
        <v>0.95330000000000004</v>
      </c>
      <c r="AC597" s="204">
        <f t="shared" ref="AC597:AE597" si="3696">IFERROR(AB597/$G597," ")</f>
        <v>0.95330000000000004</v>
      </c>
      <c r="AD597" s="95">
        <v>0.95330000000000004</v>
      </c>
      <c r="AE597" s="204">
        <f t="shared" si="3696"/>
        <v>0.95330000000000004</v>
      </c>
      <c r="AF597" s="95">
        <v>0.95330000000000004</v>
      </c>
      <c r="AG597" s="204">
        <f t="shared" ref="AG597:AI597" si="3697">IFERROR(AF597/$G597," ")</f>
        <v>0.95330000000000004</v>
      </c>
      <c r="AH597" s="95">
        <v>0.95330000000000004</v>
      </c>
      <c r="AI597" s="204">
        <f t="shared" si="3697"/>
        <v>0.95330000000000004</v>
      </c>
      <c r="AJ597" s="95">
        <v>0.95330000000000004</v>
      </c>
      <c r="AK597" s="204">
        <f t="shared" ref="AK597:AM597" si="3698">IFERROR(AJ597/$G597," ")</f>
        <v>0.95330000000000004</v>
      </c>
      <c r="AL597" s="95">
        <v>0.95330000000000004</v>
      </c>
      <c r="AM597" s="204">
        <f t="shared" si="3698"/>
        <v>0.95330000000000004</v>
      </c>
      <c r="AN597" s="95"/>
      <c r="AO597" s="94">
        <f t="shared" si="3616"/>
        <v>0</v>
      </c>
      <c r="AP597" s="94">
        <f t="shared" si="3663"/>
        <v>0</v>
      </c>
      <c r="AQ597" s="94">
        <f t="shared" si="3664"/>
        <v>0</v>
      </c>
      <c r="AR597" s="94">
        <f t="shared" si="3665"/>
        <v>0</v>
      </c>
      <c r="AS597" s="94">
        <f t="shared" si="3666"/>
        <v>0</v>
      </c>
      <c r="AT597" s="94">
        <f t="shared" si="3617"/>
        <v>0</v>
      </c>
      <c r="AU597" s="94">
        <f t="shared" si="3618"/>
        <v>1364.2962290000003</v>
      </c>
      <c r="AV597" s="94">
        <f t="shared" si="3619"/>
        <v>1364.2962290000003</v>
      </c>
      <c r="AW597" s="94">
        <f t="shared" si="3620"/>
        <v>1364.2962290000003</v>
      </c>
      <c r="AX597" s="94">
        <f t="shared" si="3621"/>
        <v>1364.2962290000003</v>
      </c>
      <c r="AY597" s="94">
        <f t="shared" si="3622"/>
        <v>1364.2962290000003</v>
      </c>
      <c r="AZ597" s="94">
        <f t="shared" si="3623"/>
        <v>1364.2962290000003</v>
      </c>
      <c r="BA597" s="94">
        <f t="shared" si="3624"/>
        <v>1364.2962290000003</v>
      </c>
      <c r="BB597" s="94">
        <f t="shared" si="3625"/>
        <v>1364.2962290000003</v>
      </c>
    </row>
    <row r="598" spans="1:54" x14ac:dyDescent="0.25">
      <c r="A598" s="80" t="s">
        <v>2559</v>
      </c>
      <c r="B598" s="201" t="s">
        <v>2447</v>
      </c>
      <c r="C598" s="201" t="s">
        <v>2448</v>
      </c>
      <c r="D598" s="80"/>
      <c r="E598" s="94">
        <f>IFERROR(VLOOKUP(A598,Estimate!A:Q,17,FALSE)," ")</f>
        <v>1086.1193023255814</v>
      </c>
      <c r="F598" s="202">
        <v>1</v>
      </c>
      <c r="G598" s="202">
        <v>1</v>
      </c>
      <c r="H598" s="203">
        <v>1346.14</v>
      </c>
      <c r="I598" s="203">
        <v>1346.14</v>
      </c>
      <c r="J598" s="203">
        <v>1346.14</v>
      </c>
      <c r="K598" s="203"/>
      <c r="L598" s="202"/>
      <c r="M598" s="204">
        <f t="shared" ref="M598" si="3699">IFERROR(L598/$G598," ")</f>
        <v>0</v>
      </c>
      <c r="N598" s="95"/>
      <c r="O598" s="204">
        <f t="shared" si="3609"/>
        <v>0</v>
      </c>
      <c r="P598" s="95"/>
      <c r="Q598" s="204">
        <f t="shared" ref="Q598:S598" si="3700">IFERROR(P598/$G598," ")</f>
        <v>0</v>
      </c>
      <c r="R598" s="95"/>
      <c r="S598" s="204">
        <f t="shared" si="3700"/>
        <v>0</v>
      </c>
      <c r="T598" s="95"/>
      <c r="U598" s="204">
        <f t="shared" ref="U598:W598" si="3701">IFERROR(T598/$G598," ")</f>
        <v>0</v>
      </c>
      <c r="V598" s="95"/>
      <c r="W598" s="204">
        <f t="shared" si="3701"/>
        <v>0</v>
      </c>
      <c r="X598" s="95">
        <v>1</v>
      </c>
      <c r="Y598" s="204">
        <f t="shared" ref="Y598:AA598" si="3702">IFERROR(X598/$G598," ")</f>
        <v>1</v>
      </c>
      <c r="Z598" s="95">
        <v>1</v>
      </c>
      <c r="AA598" s="204">
        <f t="shared" si="3702"/>
        <v>1</v>
      </c>
      <c r="AB598" s="95">
        <v>1</v>
      </c>
      <c r="AC598" s="204">
        <f t="shared" ref="AC598:AE598" si="3703">IFERROR(AB598/$G598," ")</f>
        <v>1</v>
      </c>
      <c r="AD598" s="95">
        <v>1</v>
      </c>
      <c r="AE598" s="204">
        <f t="shared" si="3703"/>
        <v>1</v>
      </c>
      <c r="AF598" s="95">
        <v>1</v>
      </c>
      <c r="AG598" s="204">
        <f t="shared" ref="AG598:AI598" si="3704">IFERROR(AF598/$G598," ")</f>
        <v>1</v>
      </c>
      <c r="AH598" s="95">
        <v>1</v>
      </c>
      <c r="AI598" s="204">
        <f t="shared" si="3704"/>
        <v>1</v>
      </c>
      <c r="AJ598" s="95">
        <v>1</v>
      </c>
      <c r="AK598" s="204">
        <f t="shared" ref="AK598:AM598" si="3705">IFERROR(AJ598/$G598," ")</f>
        <v>1</v>
      </c>
      <c r="AL598" s="95">
        <v>1</v>
      </c>
      <c r="AM598" s="204">
        <f t="shared" si="3705"/>
        <v>1</v>
      </c>
      <c r="AN598" s="95"/>
      <c r="AO598" s="94">
        <f t="shared" si="3616"/>
        <v>0</v>
      </c>
      <c r="AP598" s="94">
        <f t="shared" si="3663"/>
        <v>0</v>
      </c>
      <c r="AQ598" s="94">
        <f t="shared" si="3664"/>
        <v>0</v>
      </c>
      <c r="AR598" s="94">
        <f t="shared" si="3665"/>
        <v>0</v>
      </c>
      <c r="AS598" s="94">
        <f t="shared" si="3666"/>
        <v>0</v>
      </c>
      <c r="AT598" s="94">
        <f t="shared" si="3617"/>
        <v>0</v>
      </c>
      <c r="AU598" s="94">
        <f t="shared" si="3618"/>
        <v>1346.14</v>
      </c>
      <c r="AV598" s="94">
        <f t="shared" si="3619"/>
        <v>1346.14</v>
      </c>
      <c r="AW598" s="94">
        <f t="shared" si="3620"/>
        <v>1346.14</v>
      </c>
      <c r="AX598" s="94">
        <f t="shared" si="3621"/>
        <v>1346.14</v>
      </c>
      <c r="AY598" s="94">
        <f t="shared" si="3622"/>
        <v>1346.14</v>
      </c>
      <c r="AZ598" s="94">
        <f t="shared" si="3623"/>
        <v>1346.14</v>
      </c>
      <c r="BA598" s="94">
        <f t="shared" si="3624"/>
        <v>1346.14</v>
      </c>
      <c r="BB598" s="94">
        <f t="shared" si="3625"/>
        <v>1346.14</v>
      </c>
    </row>
    <row r="599" spans="1:54" x14ac:dyDescent="0.25">
      <c r="A599" s="80"/>
      <c r="B599" s="95" t="s">
        <v>781</v>
      </c>
      <c r="C599" s="201" t="s">
        <v>781</v>
      </c>
      <c r="D599" s="80" t="s">
        <v>781</v>
      </c>
      <c r="E599" s="94" t="str">
        <f>IFERROR(VLOOKUP(A599,Estimate!A:Q,17,FALSE)," ")</f>
        <v xml:space="preserve"> </v>
      </c>
      <c r="F599" s="202" t="s">
        <v>781</v>
      </c>
      <c r="G599" s="202" t="s">
        <v>781</v>
      </c>
      <c r="H599" s="203" t="s">
        <v>781</v>
      </c>
      <c r="I599" s="203" t="s">
        <v>781</v>
      </c>
      <c r="J599" s="203" t="s">
        <v>781</v>
      </c>
      <c r="K599" s="203"/>
      <c r="L599" s="202" t="s">
        <v>781</v>
      </c>
      <c r="M599" s="204" t="str">
        <f t="shared" si="3609"/>
        <v xml:space="preserve"> </v>
      </c>
      <c r="N599" s="95" t="s">
        <v>781</v>
      </c>
      <c r="O599" s="204" t="str">
        <f t="shared" si="3609"/>
        <v xml:space="preserve"> </v>
      </c>
      <c r="P599" s="95" t="s">
        <v>781</v>
      </c>
      <c r="Q599" s="204" t="str">
        <f t="shared" ref="Q599:S599" si="3706">IFERROR(P599/$G599," ")</f>
        <v xml:space="preserve"> </v>
      </c>
      <c r="R599" s="95" t="s">
        <v>781</v>
      </c>
      <c r="S599" s="204" t="str">
        <f t="shared" si="3706"/>
        <v xml:space="preserve"> </v>
      </c>
      <c r="T599" s="95" t="s">
        <v>781</v>
      </c>
      <c r="U599" s="204" t="str">
        <f t="shared" ref="U599:W599" si="3707">IFERROR(T599/$G599," ")</f>
        <v xml:space="preserve"> </v>
      </c>
      <c r="V599" s="95" t="s">
        <v>781</v>
      </c>
      <c r="W599" s="204" t="str">
        <f t="shared" si="3707"/>
        <v xml:space="preserve"> </v>
      </c>
      <c r="X599" s="95" t="s">
        <v>781</v>
      </c>
      <c r="Y599" s="204" t="str">
        <f t="shared" ref="Y599:AA599" si="3708">IFERROR(X599/$G599," ")</f>
        <v xml:space="preserve"> </v>
      </c>
      <c r="Z599" s="95" t="s">
        <v>781</v>
      </c>
      <c r="AA599" s="204" t="str">
        <f t="shared" si="3708"/>
        <v xml:space="preserve"> </v>
      </c>
      <c r="AB599" s="95" t="s">
        <v>781</v>
      </c>
      <c r="AC599" s="204" t="str">
        <f t="shared" ref="AC599:AE599" si="3709">IFERROR(AB599/$G599," ")</f>
        <v xml:space="preserve"> </v>
      </c>
      <c r="AD599" s="95" t="s">
        <v>781</v>
      </c>
      <c r="AE599" s="204" t="str">
        <f t="shared" si="3709"/>
        <v xml:space="preserve"> </v>
      </c>
      <c r="AF599" s="95" t="s">
        <v>781</v>
      </c>
      <c r="AG599" s="204" t="str">
        <f t="shared" ref="AG599:AI599" si="3710">IFERROR(AF599/$G599," ")</f>
        <v xml:space="preserve"> </v>
      </c>
      <c r="AH599" s="95" t="s">
        <v>781</v>
      </c>
      <c r="AI599" s="204" t="str">
        <f t="shared" si="3710"/>
        <v xml:space="preserve"> </v>
      </c>
      <c r="AJ599" s="95" t="s">
        <v>781</v>
      </c>
      <c r="AK599" s="204" t="str">
        <f t="shared" ref="AK599:AM599" si="3711">IFERROR(AJ599/$G599," ")</f>
        <v xml:space="preserve"> </v>
      </c>
      <c r="AL599" s="95" t="s">
        <v>781</v>
      </c>
      <c r="AM599" s="204" t="str">
        <f t="shared" si="3711"/>
        <v xml:space="preserve"> </v>
      </c>
      <c r="AN599" s="95"/>
      <c r="AO599" s="94" t="str">
        <f t="shared" si="3616"/>
        <v xml:space="preserve"> </v>
      </c>
      <c r="AP599" s="94" t="str">
        <f t="shared" si="3663"/>
        <v xml:space="preserve"> </v>
      </c>
      <c r="AQ599" s="94" t="str">
        <f t="shared" si="3664"/>
        <v xml:space="preserve"> </v>
      </c>
      <c r="AR599" s="94" t="str">
        <f t="shared" si="3665"/>
        <v xml:space="preserve"> </v>
      </c>
      <c r="AS599" s="94" t="str">
        <f t="shared" si="3666"/>
        <v xml:space="preserve"> </v>
      </c>
      <c r="AT599" s="94" t="str">
        <f t="shared" si="3617"/>
        <v xml:space="preserve"> </v>
      </c>
      <c r="AU599" s="94" t="str">
        <f t="shared" si="3618"/>
        <v xml:space="preserve"> </v>
      </c>
      <c r="AV599" s="94" t="str">
        <f t="shared" si="3619"/>
        <v xml:space="preserve"> </v>
      </c>
      <c r="AW599" s="94" t="str">
        <f t="shared" si="3620"/>
        <v xml:space="preserve"> </v>
      </c>
      <c r="AX599" s="94" t="str">
        <f t="shared" si="3621"/>
        <v xml:space="preserve"> </v>
      </c>
      <c r="AY599" s="94" t="str">
        <f t="shared" si="3622"/>
        <v xml:space="preserve"> </v>
      </c>
      <c r="AZ599" s="94" t="str">
        <f t="shared" si="3623"/>
        <v xml:space="preserve"> </v>
      </c>
      <c r="BA599" s="94" t="str">
        <f t="shared" si="3624"/>
        <v xml:space="preserve"> </v>
      </c>
      <c r="BB599" s="94" t="str">
        <f t="shared" si="3625"/>
        <v xml:space="preserve"> </v>
      </c>
    </row>
    <row r="600" spans="1:54" x14ac:dyDescent="0.25">
      <c r="A600" s="80" t="s">
        <v>2561</v>
      </c>
      <c r="B600" s="95" t="s">
        <v>2410</v>
      </c>
      <c r="C600" s="201" t="s">
        <v>2411</v>
      </c>
      <c r="D600" s="80" t="s">
        <v>83</v>
      </c>
      <c r="E600" s="94">
        <f>IFERROR(VLOOKUP(A600,Estimate!A:Q,17,FALSE)," ")</f>
        <v>16668.696964912284</v>
      </c>
      <c r="F600" s="202">
        <v>2797</v>
      </c>
      <c r="G600" s="202">
        <v>2797</v>
      </c>
      <c r="H600" s="203">
        <v>7.49</v>
      </c>
      <c r="I600" s="203">
        <v>20949.53</v>
      </c>
      <c r="J600" s="203">
        <v>20949.53</v>
      </c>
      <c r="K600" s="203"/>
      <c r="L600" s="202"/>
      <c r="M600" s="204">
        <f t="shared" si="3609"/>
        <v>0</v>
      </c>
      <c r="N600" s="95"/>
      <c r="O600" s="204">
        <f t="shared" si="3609"/>
        <v>0</v>
      </c>
      <c r="P600" s="95"/>
      <c r="Q600" s="204">
        <f t="shared" ref="Q600:S600" si="3712">IFERROR(P600/$G600," ")</f>
        <v>0</v>
      </c>
      <c r="R600" s="95">
        <v>880</v>
      </c>
      <c r="S600" s="204">
        <f t="shared" si="3712"/>
        <v>0.31462281015373617</v>
      </c>
      <c r="T600" s="95">
        <v>2377</v>
      </c>
      <c r="U600" s="204">
        <f t="shared" ref="U600:W600" si="3713">IFERROR(T600/$G600," ")</f>
        <v>0.84983911333571682</v>
      </c>
      <c r="V600" s="95">
        <v>2377</v>
      </c>
      <c r="W600" s="204">
        <f t="shared" si="3713"/>
        <v>0.84983911333571682</v>
      </c>
      <c r="X600" s="95">
        <v>2797</v>
      </c>
      <c r="Y600" s="204">
        <f t="shared" ref="Y600:AA600" si="3714">IFERROR(X600/$G600," ")</f>
        <v>1</v>
      </c>
      <c r="Z600" s="95">
        <v>2797</v>
      </c>
      <c r="AA600" s="204">
        <f t="shared" si="3714"/>
        <v>1</v>
      </c>
      <c r="AB600" s="95">
        <v>2797</v>
      </c>
      <c r="AC600" s="204">
        <f t="shared" ref="AC600:AE600" si="3715">IFERROR(AB600/$G600," ")</f>
        <v>1</v>
      </c>
      <c r="AD600" s="95">
        <v>2797</v>
      </c>
      <c r="AE600" s="204">
        <f t="shared" si="3715"/>
        <v>1</v>
      </c>
      <c r="AF600" s="95">
        <v>2797</v>
      </c>
      <c r="AG600" s="204">
        <f t="shared" ref="AG600:AI600" si="3716">IFERROR(AF600/$G600," ")</f>
        <v>1</v>
      </c>
      <c r="AH600" s="95">
        <v>2797</v>
      </c>
      <c r="AI600" s="204">
        <f t="shared" si="3716"/>
        <v>1</v>
      </c>
      <c r="AJ600" s="95">
        <v>2797</v>
      </c>
      <c r="AK600" s="204">
        <f t="shared" ref="AK600:AM600" si="3717">IFERROR(AJ600/$G600," ")</f>
        <v>1</v>
      </c>
      <c r="AL600" s="95">
        <v>2797</v>
      </c>
      <c r="AM600" s="204">
        <f t="shared" si="3717"/>
        <v>1</v>
      </c>
      <c r="AN600" s="95"/>
      <c r="AO600" s="94">
        <f t="shared" si="3616"/>
        <v>0</v>
      </c>
      <c r="AP600" s="94">
        <f t="shared" si="3663"/>
        <v>0</v>
      </c>
      <c r="AQ600" s="94">
        <f t="shared" si="3664"/>
        <v>0</v>
      </c>
      <c r="AR600" s="94">
        <f t="shared" si="3665"/>
        <v>6591.2</v>
      </c>
      <c r="AS600" s="94">
        <f t="shared" si="3666"/>
        <v>17803.73</v>
      </c>
      <c r="AT600" s="94">
        <f t="shared" si="3617"/>
        <v>17803.73</v>
      </c>
      <c r="AU600" s="94">
        <f t="shared" si="3618"/>
        <v>20949.53</v>
      </c>
      <c r="AV600" s="94">
        <f t="shared" si="3619"/>
        <v>20949.53</v>
      </c>
      <c r="AW600" s="94">
        <f t="shared" si="3620"/>
        <v>20949.53</v>
      </c>
      <c r="AX600" s="94">
        <f t="shared" si="3621"/>
        <v>20949.53</v>
      </c>
      <c r="AY600" s="94">
        <f t="shared" si="3622"/>
        <v>20949.53</v>
      </c>
      <c r="AZ600" s="94">
        <f t="shared" si="3623"/>
        <v>20949.53</v>
      </c>
      <c r="BA600" s="94">
        <f t="shared" si="3624"/>
        <v>20949.53</v>
      </c>
      <c r="BB600" s="94">
        <f t="shared" si="3625"/>
        <v>20949.53</v>
      </c>
    </row>
    <row r="601" spans="1:54" ht="30" x14ac:dyDescent="0.25">
      <c r="A601" s="80" t="s">
        <v>2564</v>
      </c>
      <c r="B601" s="201" t="s">
        <v>2414</v>
      </c>
      <c r="C601" s="201" t="s">
        <v>2415</v>
      </c>
      <c r="D601" s="80"/>
      <c r="E601" s="94">
        <f>IFERROR(VLOOKUP(A601,Estimate!A:Q,17,FALSE)," ")</f>
        <v>12004.175999999999</v>
      </c>
      <c r="F601" s="202">
        <v>1</v>
      </c>
      <c r="G601" s="202">
        <v>1</v>
      </c>
      <c r="H601" s="203">
        <v>17209.88</v>
      </c>
      <c r="I601" s="203">
        <v>17209.88</v>
      </c>
      <c r="J601" s="203">
        <v>17209.88</v>
      </c>
      <c r="K601" s="203"/>
      <c r="L601" s="202"/>
      <c r="M601" s="204">
        <f t="shared" si="3609"/>
        <v>0</v>
      </c>
      <c r="N601" s="95"/>
      <c r="O601" s="204">
        <f t="shared" si="3609"/>
        <v>0</v>
      </c>
      <c r="P601" s="95"/>
      <c r="Q601" s="204">
        <f t="shared" ref="Q601:S601" si="3718">IFERROR(P601/$G601," ")</f>
        <v>0</v>
      </c>
      <c r="R601" s="95"/>
      <c r="S601" s="204">
        <f t="shared" si="3718"/>
        <v>0</v>
      </c>
      <c r="T601" s="95"/>
      <c r="U601" s="204">
        <f t="shared" ref="U601:W601" si="3719">IFERROR(T601/$G601," ")</f>
        <v>0</v>
      </c>
      <c r="V601" s="95">
        <v>1</v>
      </c>
      <c r="W601" s="204">
        <f t="shared" si="3719"/>
        <v>1</v>
      </c>
      <c r="X601" s="95">
        <v>1</v>
      </c>
      <c r="Y601" s="204">
        <f t="shared" ref="Y601:AA601" si="3720">IFERROR(X601/$G601," ")</f>
        <v>1</v>
      </c>
      <c r="Z601" s="95">
        <v>1</v>
      </c>
      <c r="AA601" s="204">
        <f t="shared" si="3720"/>
        <v>1</v>
      </c>
      <c r="AB601" s="95">
        <v>1</v>
      </c>
      <c r="AC601" s="204">
        <f t="shared" ref="AC601:AE601" si="3721">IFERROR(AB601/$G601," ")</f>
        <v>1</v>
      </c>
      <c r="AD601" s="95">
        <v>1</v>
      </c>
      <c r="AE601" s="204">
        <f t="shared" si="3721"/>
        <v>1</v>
      </c>
      <c r="AF601" s="95">
        <v>1</v>
      </c>
      <c r="AG601" s="204">
        <f t="shared" ref="AG601:AI601" si="3722">IFERROR(AF601/$G601," ")</f>
        <v>1</v>
      </c>
      <c r="AH601" s="95">
        <v>1</v>
      </c>
      <c r="AI601" s="204">
        <f t="shared" si="3722"/>
        <v>1</v>
      </c>
      <c r="AJ601" s="95">
        <v>1</v>
      </c>
      <c r="AK601" s="204">
        <f t="shared" ref="AK601:AM601" si="3723">IFERROR(AJ601/$G601," ")</f>
        <v>1</v>
      </c>
      <c r="AL601" s="95">
        <v>1</v>
      </c>
      <c r="AM601" s="204">
        <f t="shared" si="3723"/>
        <v>1</v>
      </c>
      <c r="AN601" s="95"/>
      <c r="AO601" s="94">
        <f t="shared" si="3616"/>
        <v>0</v>
      </c>
      <c r="AP601" s="94">
        <f t="shared" si="3663"/>
        <v>0</v>
      </c>
      <c r="AQ601" s="94">
        <f t="shared" si="3664"/>
        <v>0</v>
      </c>
      <c r="AR601" s="94">
        <f t="shared" si="3665"/>
        <v>0</v>
      </c>
      <c r="AS601" s="94">
        <f t="shared" si="3666"/>
        <v>0</v>
      </c>
      <c r="AT601" s="94">
        <f t="shared" si="3617"/>
        <v>17209.88</v>
      </c>
      <c r="AU601" s="94">
        <f t="shared" si="3618"/>
        <v>17209.88</v>
      </c>
      <c r="AV601" s="94">
        <f t="shared" si="3619"/>
        <v>17209.88</v>
      </c>
      <c r="AW601" s="94">
        <f t="shared" si="3620"/>
        <v>17209.88</v>
      </c>
      <c r="AX601" s="94">
        <f t="shared" si="3621"/>
        <v>17209.88</v>
      </c>
      <c r="AY601" s="94">
        <f t="shared" si="3622"/>
        <v>17209.88</v>
      </c>
      <c r="AZ601" s="94">
        <f t="shared" si="3623"/>
        <v>17209.88</v>
      </c>
      <c r="BA601" s="94">
        <f t="shared" si="3624"/>
        <v>17209.88</v>
      </c>
      <c r="BB601" s="94">
        <f t="shared" si="3625"/>
        <v>17209.88</v>
      </c>
    </row>
    <row r="602" spans="1:54" ht="30" x14ac:dyDescent="0.25">
      <c r="A602" s="80" t="s">
        <v>2571</v>
      </c>
      <c r="B602" s="201" t="s">
        <v>2451</v>
      </c>
      <c r="C602" s="201" t="s">
        <v>2576</v>
      </c>
      <c r="D602" s="80"/>
      <c r="E602" s="94">
        <f>IFERROR(VLOOKUP(A602,Estimate!A:Q,17,FALSE)," ")</f>
        <v>42341</v>
      </c>
      <c r="F602" s="202">
        <v>1</v>
      </c>
      <c r="G602" s="202">
        <v>1</v>
      </c>
      <c r="H602" s="203">
        <v>47821.61</v>
      </c>
      <c r="I602" s="203">
        <v>47821.61</v>
      </c>
      <c r="J602" s="203">
        <v>47821.61</v>
      </c>
      <c r="K602" s="203"/>
      <c r="L602" s="202"/>
      <c r="M602" s="204">
        <f t="shared" si="3609"/>
        <v>0</v>
      </c>
      <c r="N602" s="95"/>
      <c r="O602" s="204">
        <f t="shared" si="3609"/>
        <v>0</v>
      </c>
      <c r="P602" s="95"/>
      <c r="Q602" s="204">
        <f t="shared" ref="Q602:S602" si="3724">IFERROR(P602/$G602," ")</f>
        <v>0</v>
      </c>
      <c r="R602" s="95"/>
      <c r="S602" s="204">
        <f t="shared" si="3724"/>
        <v>0</v>
      </c>
      <c r="T602" s="95"/>
      <c r="U602" s="204">
        <f t="shared" ref="U602:W602" si="3725">IFERROR(T602/$G602," ")</f>
        <v>0</v>
      </c>
      <c r="V602" s="95">
        <v>0.97430000000000005</v>
      </c>
      <c r="W602" s="204">
        <f t="shared" si="3725"/>
        <v>0.97430000000000005</v>
      </c>
      <c r="X602" s="95">
        <v>1</v>
      </c>
      <c r="Y602" s="204">
        <f t="shared" ref="Y602:AA602" si="3726">IFERROR(X602/$G602," ")</f>
        <v>1</v>
      </c>
      <c r="Z602" s="95">
        <v>1</v>
      </c>
      <c r="AA602" s="204">
        <f t="shared" si="3726"/>
        <v>1</v>
      </c>
      <c r="AB602" s="95">
        <v>1</v>
      </c>
      <c r="AC602" s="204">
        <f t="shared" ref="AC602:AE602" si="3727">IFERROR(AB602/$G602," ")</f>
        <v>1</v>
      </c>
      <c r="AD602" s="95">
        <v>1</v>
      </c>
      <c r="AE602" s="204">
        <f t="shared" si="3727"/>
        <v>1</v>
      </c>
      <c r="AF602" s="95">
        <v>1</v>
      </c>
      <c r="AG602" s="204">
        <f t="shared" ref="AG602:AI602" si="3728">IFERROR(AF602/$G602," ")</f>
        <v>1</v>
      </c>
      <c r="AH602" s="95">
        <v>1</v>
      </c>
      <c r="AI602" s="204">
        <f t="shared" si="3728"/>
        <v>1</v>
      </c>
      <c r="AJ602" s="95">
        <v>1</v>
      </c>
      <c r="AK602" s="204">
        <f t="shared" ref="AK602:AM602" si="3729">IFERROR(AJ602/$G602," ")</f>
        <v>1</v>
      </c>
      <c r="AL602" s="95">
        <v>1</v>
      </c>
      <c r="AM602" s="204">
        <f t="shared" si="3729"/>
        <v>1</v>
      </c>
      <c r="AN602" s="95"/>
      <c r="AO602" s="94">
        <f t="shared" si="3616"/>
        <v>0</v>
      </c>
      <c r="AP602" s="94">
        <f t="shared" si="3663"/>
        <v>0</v>
      </c>
      <c r="AQ602" s="94">
        <f t="shared" si="3664"/>
        <v>0</v>
      </c>
      <c r="AR602" s="94">
        <f t="shared" si="3665"/>
        <v>0</v>
      </c>
      <c r="AS602" s="94">
        <f t="shared" si="3666"/>
        <v>0</v>
      </c>
      <c r="AT602" s="94">
        <f t="shared" si="3617"/>
        <v>46592.594623000005</v>
      </c>
      <c r="AU602" s="94">
        <f t="shared" si="3618"/>
        <v>47821.61</v>
      </c>
      <c r="AV602" s="94">
        <f t="shared" si="3619"/>
        <v>47821.61</v>
      </c>
      <c r="AW602" s="94">
        <f t="shared" si="3620"/>
        <v>47821.61</v>
      </c>
      <c r="AX602" s="94">
        <f t="shared" si="3621"/>
        <v>47821.61</v>
      </c>
      <c r="AY602" s="94">
        <f t="shared" si="3622"/>
        <v>47821.61</v>
      </c>
      <c r="AZ602" s="94">
        <f t="shared" si="3623"/>
        <v>47821.61</v>
      </c>
      <c r="BA602" s="94">
        <f t="shared" si="3624"/>
        <v>47821.61</v>
      </c>
      <c r="BB602" s="94">
        <f t="shared" si="3625"/>
        <v>47821.61</v>
      </c>
    </row>
    <row r="603" spans="1:54" ht="30" x14ac:dyDescent="0.25">
      <c r="A603" s="80" t="s">
        <v>2579</v>
      </c>
      <c r="B603" s="95" t="s">
        <v>2427</v>
      </c>
      <c r="C603" s="201" t="s">
        <v>2937</v>
      </c>
      <c r="D603" s="80" t="s">
        <v>82</v>
      </c>
      <c r="E603" s="94">
        <f>IFERROR(VLOOKUP(A603,Estimate!A:Q,17,FALSE)," ")</f>
        <v>891.26100000000008</v>
      </c>
      <c r="F603" s="202">
        <v>3.29</v>
      </c>
      <c r="G603" s="202">
        <v>3.29</v>
      </c>
      <c r="H603" s="203">
        <v>277.67</v>
      </c>
      <c r="I603" s="203">
        <v>913.53</v>
      </c>
      <c r="J603" s="203">
        <v>913.53430000000003</v>
      </c>
      <c r="K603" s="203"/>
      <c r="L603" s="202"/>
      <c r="M603" s="204">
        <f t="shared" si="3609"/>
        <v>0</v>
      </c>
      <c r="N603" s="95"/>
      <c r="O603" s="204">
        <f t="shared" si="3609"/>
        <v>0</v>
      </c>
      <c r="P603" s="95"/>
      <c r="Q603" s="204">
        <f t="shared" ref="Q603:S603" si="3730">IFERROR(P603/$G603," ")</f>
        <v>0</v>
      </c>
      <c r="R603" s="95"/>
      <c r="S603" s="204">
        <f t="shared" si="3730"/>
        <v>0</v>
      </c>
      <c r="T603" s="95"/>
      <c r="U603" s="204">
        <f t="shared" ref="U603:W603" si="3731">IFERROR(T603/$G603," ")</f>
        <v>0</v>
      </c>
      <c r="V603" s="95"/>
      <c r="W603" s="204">
        <f t="shared" si="3731"/>
        <v>0</v>
      </c>
      <c r="X603" s="95"/>
      <c r="Y603" s="204">
        <f t="shared" ref="Y603:AA603" si="3732">IFERROR(X603/$G603," ")</f>
        <v>0</v>
      </c>
      <c r="Z603" s="95">
        <v>3.29</v>
      </c>
      <c r="AA603" s="204">
        <f t="shared" si="3732"/>
        <v>1</v>
      </c>
      <c r="AB603" s="95">
        <v>3.29</v>
      </c>
      <c r="AC603" s="204">
        <f t="shared" ref="AC603:AE603" si="3733">IFERROR(AB603/$G603," ")</f>
        <v>1</v>
      </c>
      <c r="AD603" s="95">
        <v>3.29</v>
      </c>
      <c r="AE603" s="204">
        <f t="shared" si="3733"/>
        <v>1</v>
      </c>
      <c r="AF603" s="95">
        <v>3.29</v>
      </c>
      <c r="AG603" s="204">
        <f t="shared" ref="AG603:AI603" si="3734">IFERROR(AF603/$G603," ")</f>
        <v>1</v>
      </c>
      <c r="AH603" s="95">
        <v>3.29</v>
      </c>
      <c r="AI603" s="204">
        <f t="shared" si="3734"/>
        <v>1</v>
      </c>
      <c r="AJ603" s="95">
        <v>3.29</v>
      </c>
      <c r="AK603" s="204">
        <f t="shared" ref="AK603:AM603" si="3735">IFERROR(AJ603/$G603," ")</f>
        <v>1</v>
      </c>
      <c r="AL603" s="95">
        <v>3.29</v>
      </c>
      <c r="AM603" s="204">
        <f t="shared" si="3735"/>
        <v>1</v>
      </c>
      <c r="AN603" s="95"/>
      <c r="AO603" s="94">
        <f t="shared" si="3616"/>
        <v>0</v>
      </c>
      <c r="AP603" s="94">
        <f t="shared" si="3663"/>
        <v>0</v>
      </c>
      <c r="AQ603" s="94">
        <f t="shared" si="3664"/>
        <v>0</v>
      </c>
      <c r="AR603" s="94">
        <f t="shared" si="3665"/>
        <v>0</v>
      </c>
      <c r="AS603" s="94">
        <f t="shared" si="3666"/>
        <v>0</v>
      </c>
      <c r="AT603" s="94">
        <f t="shared" si="3617"/>
        <v>0</v>
      </c>
      <c r="AU603" s="94">
        <f t="shared" si="3618"/>
        <v>0</v>
      </c>
      <c r="AV603" s="94">
        <f t="shared" si="3619"/>
        <v>913.53430000000003</v>
      </c>
      <c r="AW603" s="94">
        <f t="shared" si="3620"/>
        <v>913.53430000000003</v>
      </c>
      <c r="AX603" s="94">
        <f t="shared" si="3621"/>
        <v>913.53430000000003</v>
      </c>
      <c r="AY603" s="94">
        <f t="shared" si="3622"/>
        <v>913.53430000000003</v>
      </c>
      <c r="AZ603" s="94">
        <f t="shared" si="3623"/>
        <v>913.53430000000003</v>
      </c>
      <c r="BA603" s="94">
        <f t="shared" si="3624"/>
        <v>913.53430000000003</v>
      </c>
      <c r="BB603" s="94">
        <f t="shared" si="3625"/>
        <v>913.53430000000003</v>
      </c>
    </row>
    <row r="604" spans="1:54" x14ac:dyDescent="0.25">
      <c r="A604" s="80" t="s">
        <v>2580</v>
      </c>
      <c r="B604" s="95" t="s">
        <v>2431</v>
      </c>
      <c r="C604" s="201" t="s">
        <v>2432</v>
      </c>
      <c r="D604" s="80" t="s">
        <v>2416</v>
      </c>
      <c r="E604" s="94">
        <f>IFERROR(VLOOKUP(A604,Estimate!A:Q,17,FALSE)," ")</f>
        <v>5434.4400000000005</v>
      </c>
      <c r="F604" s="202">
        <v>1</v>
      </c>
      <c r="G604" s="202">
        <v>1</v>
      </c>
      <c r="H604" s="203">
        <v>9626.4</v>
      </c>
      <c r="I604" s="203">
        <v>9626.4</v>
      </c>
      <c r="J604" s="203">
        <v>9626.4</v>
      </c>
      <c r="K604" s="203"/>
      <c r="L604" s="202"/>
      <c r="M604" s="204">
        <f t="shared" si="3609"/>
        <v>0</v>
      </c>
      <c r="N604" s="95"/>
      <c r="O604" s="204">
        <f t="shared" si="3609"/>
        <v>0</v>
      </c>
      <c r="P604" s="95"/>
      <c r="Q604" s="204">
        <f t="shared" ref="Q604:S604" si="3736">IFERROR(P604/$G604," ")</f>
        <v>0</v>
      </c>
      <c r="R604" s="95"/>
      <c r="S604" s="204">
        <f t="shared" si="3736"/>
        <v>0</v>
      </c>
      <c r="T604" s="95"/>
      <c r="U604" s="204">
        <f t="shared" ref="U604:W604" si="3737">IFERROR(T604/$G604," ")</f>
        <v>0</v>
      </c>
      <c r="V604" s="95"/>
      <c r="W604" s="204">
        <f t="shared" si="3737"/>
        <v>0</v>
      </c>
      <c r="X604" s="95">
        <v>1</v>
      </c>
      <c r="Y604" s="204">
        <f t="shared" ref="Y604:AA604" si="3738">IFERROR(X604/$G604," ")</f>
        <v>1</v>
      </c>
      <c r="Z604" s="95">
        <v>1</v>
      </c>
      <c r="AA604" s="204">
        <f t="shared" si="3738"/>
        <v>1</v>
      </c>
      <c r="AB604" s="95">
        <v>1</v>
      </c>
      <c r="AC604" s="204">
        <f t="shared" ref="AC604:AE604" si="3739">IFERROR(AB604/$G604," ")</f>
        <v>1</v>
      </c>
      <c r="AD604" s="95">
        <v>1</v>
      </c>
      <c r="AE604" s="204">
        <f t="shared" si="3739"/>
        <v>1</v>
      </c>
      <c r="AF604" s="95">
        <v>1</v>
      </c>
      <c r="AG604" s="204">
        <f t="shared" ref="AG604:AI604" si="3740">IFERROR(AF604/$G604," ")</f>
        <v>1</v>
      </c>
      <c r="AH604" s="95">
        <v>1</v>
      </c>
      <c r="AI604" s="204">
        <f t="shared" si="3740"/>
        <v>1</v>
      </c>
      <c r="AJ604" s="95">
        <v>1</v>
      </c>
      <c r="AK604" s="204">
        <f t="shared" ref="AK604:AM604" si="3741">IFERROR(AJ604/$G604," ")</f>
        <v>1</v>
      </c>
      <c r="AL604" s="95">
        <v>1</v>
      </c>
      <c r="AM604" s="204">
        <f t="shared" si="3741"/>
        <v>1</v>
      </c>
      <c r="AN604" s="95"/>
      <c r="AO604" s="94">
        <f t="shared" si="3616"/>
        <v>0</v>
      </c>
      <c r="AP604" s="94">
        <f t="shared" si="3663"/>
        <v>0</v>
      </c>
      <c r="AQ604" s="94">
        <f t="shared" si="3664"/>
        <v>0</v>
      </c>
      <c r="AR604" s="94">
        <f t="shared" si="3665"/>
        <v>0</v>
      </c>
      <c r="AS604" s="94">
        <f t="shared" ref="AS604:AS643" si="3742">IFERROR(U604*$J604," ")</f>
        <v>0</v>
      </c>
      <c r="AT604" s="94">
        <f t="shared" si="3617"/>
        <v>0</v>
      </c>
      <c r="AU604" s="94">
        <f t="shared" si="3618"/>
        <v>9626.4</v>
      </c>
      <c r="AV604" s="94">
        <f t="shared" si="3619"/>
        <v>9626.4</v>
      </c>
      <c r="AW604" s="94">
        <f t="shared" si="3620"/>
        <v>9626.4</v>
      </c>
      <c r="AX604" s="94">
        <f t="shared" si="3621"/>
        <v>9626.4</v>
      </c>
      <c r="AY604" s="94">
        <f t="shared" si="3622"/>
        <v>9626.4</v>
      </c>
      <c r="AZ604" s="94">
        <f t="shared" si="3623"/>
        <v>9626.4</v>
      </c>
      <c r="BA604" s="94">
        <f t="shared" si="3624"/>
        <v>9626.4</v>
      </c>
      <c r="BB604" s="94">
        <f t="shared" si="3625"/>
        <v>9626.4</v>
      </c>
    </row>
    <row r="605" spans="1:54" ht="45" x14ac:dyDescent="0.25">
      <c r="A605" s="80" t="s">
        <v>2581</v>
      </c>
      <c r="B605" s="95" t="s">
        <v>2423</v>
      </c>
      <c r="C605" s="201" t="s">
        <v>2424</v>
      </c>
      <c r="D605" s="80" t="s">
        <v>2416</v>
      </c>
      <c r="E605" s="94">
        <f>IFERROR(VLOOKUP(A605,Estimate!A:Q,17,FALSE)," ")</f>
        <v>6552.7400000000007</v>
      </c>
      <c r="F605" s="202">
        <v>1</v>
      </c>
      <c r="G605" s="202">
        <v>1</v>
      </c>
      <c r="H605" s="203">
        <v>10907.12</v>
      </c>
      <c r="I605" s="203">
        <v>10907.12</v>
      </c>
      <c r="J605" s="203">
        <v>10907.12</v>
      </c>
      <c r="K605" s="203"/>
      <c r="L605" s="202"/>
      <c r="M605" s="204">
        <f t="shared" si="3609"/>
        <v>0</v>
      </c>
      <c r="N605" s="95"/>
      <c r="O605" s="204">
        <f t="shared" si="3609"/>
        <v>0</v>
      </c>
      <c r="P605" s="95"/>
      <c r="Q605" s="204">
        <f t="shared" ref="Q605:S605" si="3743">IFERROR(P605/$G605," ")</f>
        <v>0</v>
      </c>
      <c r="R605" s="95"/>
      <c r="S605" s="204">
        <f t="shared" si="3743"/>
        <v>0</v>
      </c>
      <c r="T605" s="95"/>
      <c r="U605" s="204">
        <f t="shared" ref="U605:W605" si="3744">IFERROR(T605/$G605," ")</f>
        <v>0</v>
      </c>
      <c r="V605" s="95">
        <v>1</v>
      </c>
      <c r="W605" s="204">
        <f t="shared" si="3744"/>
        <v>1</v>
      </c>
      <c r="X605" s="95">
        <v>1</v>
      </c>
      <c r="Y605" s="204">
        <f t="shared" ref="Y605:AA605" si="3745">IFERROR(X605/$G605," ")</f>
        <v>1</v>
      </c>
      <c r="Z605" s="95">
        <v>1</v>
      </c>
      <c r="AA605" s="204">
        <f t="shared" si="3745"/>
        <v>1</v>
      </c>
      <c r="AB605" s="95">
        <v>1</v>
      </c>
      <c r="AC605" s="204">
        <f t="shared" ref="AC605:AE605" si="3746">IFERROR(AB605/$G605," ")</f>
        <v>1</v>
      </c>
      <c r="AD605" s="95">
        <v>1</v>
      </c>
      <c r="AE605" s="204">
        <f t="shared" si="3746"/>
        <v>1</v>
      </c>
      <c r="AF605" s="95">
        <v>1</v>
      </c>
      <c r="AG605" s="204">
        <f t="shared" ref="AG605:AI605" si="3747">IFERROR(AF605/$G605," ")</f>
        <v>1</v>
      </c>
      <c r="AH605" s="95">
        <v>1</v>
      </c>
      <c r="AI605" s="204">
        <f t="shared" si="3747"/>
        <v>1</v>
      </c>
      <c r="AJ605" s="95">
        <v>1</v>
      </c>
      <c r="AK605" s="204">
        <f t="shared" ref="AK605:AM605" si="3748">IFERROR(AJ605/$G605," ")</f>
        <v>1</v>
      </c>
      <c r="AL605" s="95">
        <v>1</v>
      </c>
      <c r="AM605" s="204">
        <f t="shared" si="3748"/>
        <v>1</v>
      </c>
      <c r="AN605" s="95"/>
      <c r="AO605" s="94">
        <f t="shared" si="3616"/>
        <v>0</v>
      </c>
      <c r="AP605" s="94">
        <f t="shared" si="3663"/>
        <v>0</v>
      </c>
      <c r="AQ605" s="94">
        <f t="shared" si="3664"/>
        <v>0</v>
      </c>
      <c r="AR605" s="94">
        <f t="shared" si="3665"/>
        <v>0</v>
      </c>
      <c r="AS605" s="94">
        <f t="shared" si="3742"/>
        <v>0</v>
      </c>
      <c r="AT605" s="94">
        <f t="shared" si="3617"/>
        <v>10907.12</v>
      </c>
      <c r="AU605" s="94">
        <f t="shared" si="3618"/>
        <v>10907.12</v>
      </c>
      <c r="AV605" s="94">
        <f t="shared" si="3619"/>
        <v>10907.12</v>
      </c>
      <c r="AW605" s="94">
        <f t="shared" si="3620"/>
        <v>10907.12</v>
      </c>
      <c r="AX605" s="94">
        <f t="shared" si="3621"/>
        <v>10907.12</v>
      </c>
      <c r="AY605" s="94">
        <f t="shared" si="3622"/>
        <v>10907.12</v>
      </c>
      <c r="AZ605" s="94">
        <f t="shared" si="3623"/>
        <v>10907.12</v>
      </c>
      <c r="BA605" s="94">
        <f t="shared" si="3624"/>
        <v>10907.12</v>
      </c>
      <c r="BB605" s="94">
        <f t="shared" si="3625"/>
        <v>10907.12</v>
      </c>
    </row>
    <row r="606" spans="1:54" x14ac:dyDescent="0.25">
      <c r="A606" s="80" t="s">
        <v>2584</v>
      </c>
      <c r="B606" s="201" t="s">
        <v>2479</v>
      </c>
      <c r="C606" s="201" t="s">
        <v>2480</v>
      </c>
      <c r="D606" s="80"/>
      <c r="E606" s="94">
        <f>IFERROR(VLOOKUP(A606,Estimate!A:Q,17,FALSE)," ")</f>
        <v>15632.44331111111</v>
      </c>
      <c r="F606" s="202">
        <v>1</v>
      </c>
      <c r="G606" s="202">
        <v>1</v>
      </c>
      <c r="H606" s="203">
        <v>11011.2796</v>
      </c>
      <c r="I606" s="203">
        <v>11011.2796</v>
      </c>
      <c r="J606" s="203">
        <v>11011.2796</v>
      </c>
      <c r="K606" s="203"/>
      <c r="L606" s="202"/>
      <c r="M606" s="204">
        <f t="shared" si="3609"/>
        <v>0</v>
      </c>
      <c r="N606" s="95"/>
      <c r="O606" s="204">
        <f t="shared" si="3609"/>
        <v>0</v>
      </c>
      <c r="P606" s="95"/>
      <c r="Q606" s="204">
        <f t="shared" ref="Q606:S606" si="3749">IFERROR(P606/$G606," ")</f>
        <v>0</v>
      </c>
      <c r="R606" s="95"/>
      <c r="S606" s="204">
        <f t="shared" si="3749"/>
        <v>0</v>
      </c>
      <c r="T606" s="95"/>
      <c r="U606" s="204">
        <f t="shared" ref="U606:W606" si="3750">IFERROR(T606/$G606," ")</f>
        <v>0</v>
      </c>
      <c r="V606" s="95"/>
      <c r="W606" s="204">
        <f t="shared" si="3750"/>
        <v>0</v>
      </c>
      <c r="X606" s="95"/>
      <c r="Y606" s="204">
        <f t="shared" ref="Y606:AA606" si="3751">IFERROR(X606/$G606," ")</f>
        <v>0</v>
      </c>
      <c r="Z606" s="95">
        <v>0.92730000000000001</v>
      </c>
      <c r="AA606" s="204">
        <f t="shared" si="3751"/>
        <v>0.92730000000000001</v>
      </c>
      <c r="AB606" s="95">
        <v>1</v>
      </c>
      <c r="AC606" s="204">
        <f t="shared" ref="AC606:AE606" si="3752">IFERROR(AB606/$G606," ")</f>
        <v>1</v>
      </c>
      <c r="AD606" s="95">
        <v>1</v>
      </c>
      <c r="AE606" s="204">
        <f t="shared" si="3752"/>
        <v>1</v>
      </c>
      <c r="AF606" s="95">
        <v>1</v>
      </c>
      <c r="AG606" s="204">
        <f t="shared" ref="AG606:AI606" si="3753">IFERROR(AF606/$G606," ")</f>
        <v>1</v>
      </c>
      <c r="AH606" s="95">
        <v>1</v>
      </c>
      <c r="AI606" s="204">
        <f t="shared" si="3753"/>
        <v>1</v>
      </c>
      <c r="AJ606" s="95">
        <v>1</v>
      </c>
      <c r="AK606" s="204">
        <f t="shared" ref="AK606:AM606" si="3754">IFERROR(AJ606/$G606," ")</f>
        <v>1</v>
      </c>
      <c r="AL606" s="95">
        <v>1</v>
      </c>
      <c r="AM606" s="204">
        <f t="shared" si="3754"/>
        <v>1</v>
      </c>
      <c r="AN606" s="95"/>
      <c r="AO606" s="94">
        <f t="shared" si="3616"/>
        <v>0</v>
      </c>
      <c r="AP606" s="94">
        <f t="shared" si="3663"/>
        <v>0</v>
      </c>
      <c r="AQ606" s="94">
        <f t="shared" si="3664"/>
        <v>0</v>
      </c>
      <c r="AR606" s="94">
        <f t="shared" si="3665"/>
        <v>0</v>
      </c>
      <c r="AS606" s="94">
        <f t="shared" si="3742"/>
        <v>0</v>
      </c>
      <c r="AT606" s="94">
        <f t="shared" si="3617"/>
        <v>0</v>
      </c>
      <c r="AU606" s="94">
        <f t="shared" si="3618"/>
        <v>0</v>
      </c>
      <c r="AV606" s="94">
        <f t="shared" si="3619"/>
        <v>10210.75957308</v>
      </c>
      <c r="AW606" s="94">
        <f t="shared" si="3620"/>
        <v>11011.2796</v>
      </c>
      <c r="AX606" s="94">
        <f t="shared" si="3621"/>
        <v>11011.2796</v>
      </c>
      <c r="AY606" s="94">
        <f t="shared" si="3622"/>
        <v>11011.2796</v>
      </c>
      <c r="AZ606" s="94">
        <f t="shared" si="3623"/>
        <v>11011.2796</v>
      </c>
      <c r="BA606" s="94">
        <f t="shared" si="3624"/>
        <v>11011.2796</v>
      </c>
      <c r="BB606" s="94">
        <f t="shared" si="3625"/>
        <v>11011.2796</v>
      </c>
    </row>
    <row r="607" spans="1:54" ht="45" x14ac:dyDescent="0.25">
      <c r="A607" s="80" t="s">
        <v>2596</v>
      </c>
      <c r="B607" s="95" t="s">
        <v>2490</v>
      </c>
      <c r="C607" s="201" t="s">
        <v>2491</v>
      </c>
      <c r="D607" s="80" t="s">
        <v>86</v>
      </c>
      <c r="E607" s="94">
        <f>IFERROR(VLOOKUP(A607,Estimate!A:Q,17,FALSE)," ")</f>
        <v>2169.1999999999998</v>
      </c>
      <c r="F607" s="202">
        <v>11.6</v>
      </c>
      <c r="G607" s="202">
        <v>11.6</v>
      </c>
      <c r="H607" s="203">
        <v>1043</v>
      </c>
      <c r="I607" s="203">
        <v>12098.8</v>
      </c>
      <c r="J607" s="203">
        <v>12098.8</v>
      </c>
      <c r="K607" s="203"/>
      <c r="L607" s="202"/>
      <c r="M607" s="204">
        <f t="shared" si="3609"/>
        <v>0</v>
      </c>
      <c r="N607" s="95"/>
      <c r="O607" s="204">
        <f t="shared" si="3609"/>
        <v>0</v>
      </c>
      <c r="P607" s="95"/>
      <c r="Q607" s="204">
        <f t="shared" ref="Q607:S607" si="3755">IFERROR(P607/$G607," ")</f>
        <v>0</v>
      </c>
      <c r="R607" s="95"/>
      <c r="S607" s="204">
        <f t="shared" si="3755"/>
        <v>0</v>
      </c>
      <c r="T607" s="95"/>
      <c r="U607" s="204">
        <f t="shared" ref="U607:W607" si="3756">IFERROR(T607/$G607," ")</f>
        <v>0</v>
      </c>
      <c r="V607" s="95"/>
      <c r="W607" s="204">
        <f t="shared" si="3756"/>
        <v>0</v>
      </c>
      <c r="X607" s="95"/>
      <c r="Y607" s="204">
        <f t="shared" ref="Y607:AA607" si="3757">IFERROR(X607/$G607," ")</f>
        <v>0</v>
      </c>
      <c r="Z607" s="95">
        <v>11.6</v>
      </c>
      <c r="AA607" s="204">
        <f t="shared" si="3757"/>
        <v>1</v>
      </c>
      <c r="AB607" s="95">
        <v>11.6</v>
      </c>
      <c r="AC607" s="204">
        <f t="shared" ref="AC607:AE607" si="3758">IFERROR(AB607/$G607," ")</f>
        <v>1</v>
      </c>
      <c r="AD607" s="95">
        <v>11.6</v>
      </c>
      <c r="AE607" s="204">
        <f t="shared" si="3758"/>
        <v>1</v>
      </c>
      <c r="AF607" s="95">
        <v>11.6</v>
      </c>
      <c r="AG607" s="204">
        <f t="shared" ref="AG607:AI607" si="3759">IFERROR(AF607/$G607," ")</f>
        <v>1</v>
      </c>
      <c r="AH607" s="95">
        <v>11.6</v>
      </c>
      <c r="AI607" s="204">
        <f t="shared" si="3759"/>
        <v>1</v>
      </c>
      <c r="AJ607" s="95">
        <v>11.6</v>
      </c>
      <c r="AK607" s="204">
        <f t="shared" ref="AK607:AM607" si="3760">IFERROR(AJ607/$G607," ")</f>
        <v>1</v>
      </c>
      <c r="AL607" s="95">
        <v>11.6</v>
      </c>
      <c r="AM607" s="204">
        <f t="shared" si="3760"/>
        <v>1</v>
      </c>
      <c r="AN607" s="95"/>
      <c r="AO607" s="94">
        <f t="shared" si="3616"/>
        <v>0</v>
      </c>
      <c r="AP607" s="94">
        <f t="shared" si="3663"/>
        <v>0</v>
      </c>
      <c r="AQ607" s="94">
        <f t="shared" si="3664"/>
        <v>0</v>
      </c>
      <c r="AR607" s="94">
        <f t="shared" si="3665"/>
        <v>0</v>
      </c>
      <c r="AS607" s="94">
        <f t="shared" si="3742"/>
        <v>0</v>
      </c>
      <c r="AT607" s="94">
        <f t="shared" si="3617"/>
        <v>0</v>
      </c>
      <c r="AU607" s="94">
        <f t="shared" si="3618"/>
        <v>0</v>
      </c>
      <c r="AV607" s="94">
        <f t="shared" si="3619"/>
        <v>12098.8</v>
      </c>
      <c r="AW607" s="94">
        <f t="shared" si="3620"/>
        <v>12098.8</v>
      </c>
      <c r="AX607" s="94">
        <f t="shared" si="3621"/>
        <v>12098.8</v>
      </c>
      <c r="AY607" s="94">
        <f t="shared" si="3622"/>
        <v>12098.8</v>
      </c>
      <c r="AZ607" s="94">
        <f t="shared" si="3623"/>
        <v>12098.8</v>
      </c>
      <c r="BA607" s="94">
        <f t="shared" si="3624"/>
        <v>12098.8</v>
      </c>
      <c r="BB607" s="94">
        <f t="shared" si="3625"/>
        <v>12098.8</v>
      </c>
    </row>
    <row r="608" spans="1:54" ht="45" x14ac:dyDescent="0.25">
      <c r="A608" s="80" t="s">
        <v>2597</v>
      </c>
      <c r="B608" s="95" t="s">
        <v>2421</v>
      </c>
      <c r="C608" s="201" t="s">
        <v>2422</v>
      </c>
      <c r="D608" s="80" t="s">
        <v>48</v>
      </c>
      <c r="E608" s="94">
        <f>IFERROR(VLOOKUP(A608,Estimate!A:Q,17,FALSE)," ")</f>
        <v>325</v>
      </c>
      <c r="F608" s="202">
        <v>2</v>
      </c>
      <c r="G608" s="202">
        <v>2</v>
      </c>
      <c r="H608" s="203">
        <v>375</v>
      </c>
      <c r="I608" s="203">
        <v>750</v>
      </c>
      <c r="J608" s="203">
        <v>750</v>
      </c>
      <c r="K608" s="203"/>
      <c r="L608" s="202"/>
      <c r="M608" s="204">
        <f t="shared" si="3609"/>
        <v>0</v>
      </c>
      <c r="N608" s="95"/>
      <c r="O608" s="204">
        <f t="shared" si="3609"/>
        <v>0</v>
      </c>
      <c r="P608" s="95"/>
      <c r="Q608" s="204">
        <f t="shared" ref="Q608:S608" si="3761">IFERROR(P608/$G608," ")</f>
        <v>0</v>
      </c>
      <c r="R608" s="95"/>
      <c r="S608" s="204">
        <f t="shared" si="3761"/>
        <v>0</v>
      </c>
      <c r="T608" s="95"/>
      <c r="U608" s="204">
        <f t="shared" ref="U608:W608" si="3762">IFERROR(T608/$G608," ")</f>
        <v>0</v>
      </c>
      <c r="V608" s="95">
        <v>2</v>
      </c>
      <c r="W608" s="204">
        <f t="shared" si="3762"/>
        <v>1</v>
      </c>
      <c r="X608" s="95">
        <v>2</v>
      </c>
      <c r="Y608" s="204">
        <f t="shared" ref="Y608:AA608" si="3763">IFERROR(X608/$G608," ")</f>
        <v>1</v>
      </c>
      <c r="Z608" s="95">
        <v>2</v>
      </c>
      <c r="AA608" s="204">
        <f t="shared" si="3763"/>
        <v>1</v>
      </c>
      <c r="AB608" s="95">
        <v>2</v>
      </c>
      <c r="AC608" s="204">
        <f t="shared" ref="AC608:AE608" si="3764">IFERROR(AB608/$G608," ")</f>
        <v>1</v>
      </c>
      <c r="AD608" s="95">
        <v>2</v>
      </c>
      <c r="AE608" s="204">
        <f t="shared" si="3764"/>
        <v>1</v>
      </c>
      <c r="AF608" s="95">
        <v>2</v>
      </c>
      <c r="AG608" s="204">
        <f t="shared" ref="AG608:AI608" si="3765">IFERROR(AF608/$G608," ")</f>
        <v>1</v>
      </c>
      <c r="AH608" s="95">
        <v>2</v>
      </c>
      <c r="AI608" s="204">
        <f t="shared" si="3765"/>
        <v>1</v>
      </c>
      <c r="AJ608" s="95">
        <v>2</v>
      </c>
      <c r="AK608" s="204">
        <f t="shared" ref="AK608:AM608" si="3766">IFERROR(AJ608/$G608," ")</f>
        <v>1</v>
      </c>
      <c r="AL608" s="95">
        <v>2</v>
      </c>
      <c r="AM608" s="204">
        <f t="shared" si="3766"/>
        <v>1</v>
      </c>
      <c r="AN608" s="95"/>
      <c r="AO608" s="94">
        <f t="shared" si="3616"/>
        <v>0</v>
      </c>
      <c r="AP608" s="94">
        <f t="shared" si="3663"/>
        <v>0</v>
      </c>
      <c r="AQ608" s="94">
        <f t="shared" si="3664"/>
        <v>0</v>
      </c>
      <c r="AR608" s="94">
        <f t="shared" si="3665"/>
        <v>0</v>
      </c>
      <c r="AS608" s="94">
        <f t="shared" si="3742"/>
        <v>0</v>
      </c>
      <c r="AT608" s="94">
        <f t="shared" si="3617"/>
        <v>750</v>
      </c>
      <c r="AU608" s="94">
        <f t="shared" si="3618"/>
        <v>750</v>
      </c>
      <c r="AV608" s="94">
        <f t="shared" si="3619"/>
        <v>750</v>
      </c>
      <c r="AW608" s="94">
        <f t="shared" si="3620"/>
        <v>750</v>
      </c>
      <c r="AX608" s="94">
        <f t="shared" si="3621"/>
        <v>750</v>
      </c>
      <c r="AY608" s="94">
        <f t="shared" si="3622"/>
        <v>750</v>
      </c>
      <c r="AZ608" s="94">
        <f t="shared" si="3623"/>
        <v>750</v>
      </c>
      <c r="BA608" s="94">
        <f t="shared" si="3624"/>
        <v>750</v>
      </c>
      <c r="BB608" s="94">
        <f t="shared" si="3625"/>
        <v>750</v>
      </c>
    </row>
    <row r="609" spans="1:54" x14ac:dyDescent="0.25">
      <c r="A609" s="80"/>
      <c r="B609" s="95"/>
      <c r="C609" s="201"/>
      <c r="D609" s="80"/>
      <c r="E609" s="94" t="str">
        <f>IFERROR(VLOOKUP(A609,Estimate!A:Q,17,FALSE)," ")</f>
        <v xml:space="preserve"> </v>
      </c>
      <c r="F609" s="202"/>
      <c r="G609" s="202"/>
      <c r="H609" s="203"/>
      <c r="I609" s="203"/>
      <c r="J609" s="203"/>
      <c r="K609" s="203"/>
      <c r="L609" s="202"/>
      <c r="M609" s="204" t="str">
        <f t="shared" si="3609"/>
        <v xml:space="preserve"> </v>
      </c>
      <c r="N609" s="95"/>
      <c r="O609" s="204" t="str">
        <f t="shared" si="3609"/>
        <v xml:space="preserve"> </v>
      </c>
      <c r="P609" s="95"/>
      <c r="Q609" s="204" t="str">
        <f t="shared" ref="Q609:S609" si="3767">IFERROR(P609/$G609," ")</f>
        <v xml:space="preserve"> </v>
      </c>
      <c r="R609" s="95"/>
      <c r="S609" s="204" t="str">
        <f t="shared" si="3767"/>
        <v xml:space="preserve"> </v>
      </c>
      <c r="T609" s="95"/>
      <c r="U609" s="204" t="str">
        <f t="shared" ref="U609:W609" si="3768">IFERROR(T609/$G609," ")</f>
        <v xml:space="preserve"> </v>
      </c>
      <c r="V609" s="95"/>
      <c r="W609" s="204" t="str">
        <f t="shared" si="3768"/>
        <v xml:space="preserve"> </v>
      </c>
      <c r="X609" s="95"/>
      <c r="Y609" s="204" t="str">
        <f t="shared" ref="Y609:AA609" si="3769">IFERROR(X609/$G609," ")</f>
        <v xml:space="preserve"> </v>
      </c>
      <c r="Z609" s="95"/>
      <c r="AA609" s="204" t="str">
        <f t="shared" si="3769"/>
        <v xml:space="preserve"> </v>
      </c>
      <c r="AB609" s="95"/>
      <c r="AC609" s="204" t="str">
        <f t="shared" ref="AC609:AE609" si="3770">IFERROR(AB609/$G609," ")</f>
        <v xml:space="preserve"> </v>
      </c>
      <c r="AD609" s="95"/>
      <c r="AE609" s="204" t="str">
        <f t="shared" si="3770"/>
        <v xml:space="preserve"> </v>
      </c>
      <c r="AF609" s="95"/>
      <c r="AG609" s="204" t="str">
        <f t="shared" ref="AG609:AI609" si="3771">IFERROR(AF609/$G609," ")</f>
        <v xml:space="preserve"> </v>
      </c>
      <c r="AH609" s="95"/>
      <c r="AI609" s="204" t="str">
        <f t="shared" si="3771"/>
        <v xml:space="preserve"> </v>
      </c>
      <c r="AJ609" s="95"/>
      <c r="AK609" s="204" t="str">
        <f t="shared" ref="AK609:AM609" si="3772">IFERROR(AJ609/$G609," ")</f>
        <v xml:space="preserve"> </v>
      </c>
      <c r="AL609" s="95"/>
      <c r="AM609" s="204" t="str">
        <f t="shared" si="3772"/>
        <v xml:space="preserve"> </v>
      </c>
      <c r="AN609" s="95"/>
      <c r="AO609" s="94" t="str">
        <f t="shared" si="3616"/>
        <v xml:space="preserve"> </v>
      </c>
      <c r="AP609" s="94" t="str">
        <f t="shared" si="3663"/>
        <v xml:space="preserve"> </v>
      </c>
      <c r="AQ609" s="94" t="str">
        <f t="shared" si="3664"/>
        <v xml:space="preserve"> </v>
      </c>
      <c r="AR609" s="94" t="str">
        <f t="shared" si="3665"/>
        <v xml:space="preserve"> </v>
      </c>
      <c r="AS609" s="94" t="str">
        <f t="shared" si="3742"/>
        <v xml:space="preserve"> </v>
      </c>
      <c r="AT609" s="94" t="str">
        <f t="shared" si="3617"/>
        <v xml:space="preserve"> </v>
      </c>
      <c r="AU609" s="94" t="str">
        <f t="shared" si="3618"/>
        <v xml:space="preserve"> </v>
      </c>
      <c r="AV609" s="94" t="str">
        <f t="shared" si="3619"/>
        <v xml:space="preserve"> </v>
      </c>
      <c r="AW609" s="94" t="str">
        <f t="shared" si="3620"/>
        <v xml:space="preserve"> </v>
      </c>
      <c r="AX609" s="94" t="str">
        <f t="shared" si="3621"/>
        <v xml:space="preserve"> </v>
      </c>
      <c r="AY609" s="94" t="str">
        <f t="shared" si="3622"/>
        <v xml:space="preserve"> </v>
      </c>
      <c r="AZ609" s="94" t="str">
        <f t="shared" si="3623"/>
        <v xml:space="preserve"> </v>
      </c>
      <c r="BA609" s="94" t="str">
        <f t="shared" si="3624"/>
        <v xml:space="preserve"> </v>
      </c>
      <c r="BB609" s="94" t="str">
        <f t="shared" si="3625"/>
        <v xml:space="preserve"> </v>
      </c>
    </row>
    <row r="610" spans="1:54" ht="30" x14ac:dyDescent="0.25">
      <c r="A610" s="80" t="s">
        <v>2598</v>
      </c>
      <c r="B610" s="201" t="s">
        <v>2453</v>
      </c>
      <c r="C610" s="201" t="s">
        <v>2454</v>
      </c>
      <c r="D610" s="80"/>
      <c r="E610" s="94">
        <f>IFERROR(VLOOKUP(A610,Estimate!A:Q,17,FALSE)," ")</f>
        <v>2308.0209302325584</v>
      </c>
      <c r="F610" s="202">
        <v>1</v>
      </c>
      <c r="G610" s="202">
        <v>1</v>
      </c>
      <c r="H610" s="203">
        <v>5256.2</v>
      </c>
      <c r="I610" s="203">
        <v>5256.2</v>
      </c>
      <c r="J610" s="203">
        <v>5256.2</v>
      </c>
      <c r="K610" s="203"/>
      <c r="L610" s="202"/>
      <c r="M610" s="204">
        <f t="shared" si="3609"/>
        <v>0</v>
      </c>
      <c r="N610" s="95"/>
      <c r="O610" s="204">
        <f t="shared" si="3609"/>
        <v>0</v>
      </c>
      <c r="P610" s="95"/>
      <c r="Q610" s="204">
        <f t="shared" ref="Q610:S610" si="3773">IFERROR(P610/$G610," ")</f>
        <v>0</v>
      </c>
      <c r="R610" s="95"/>
      <c r="S610" s="204">
        <f t="shared" si="3773"/>
        <v>0</v>
      </c>
      <c r="T610" s="95"/>
      <c r="U610" s="204">
        <f t="shared" ref="U610:W610" si="3774">IFERROR(T610/$G610," ")</f>
        <v>0</v>
      </c>
      <c r="V610" s="95">
        <v>0.49180000000000001</v>
      </c>
      <c r="W610" s="204">
        <f t="shared" si="3774"/>
        <v>0.49180000000000001</v>
      </c>
      <c r="X610" s="95">
        <v>0.49180000000000001</v>
      </c>
      <c r="Y610" s="204">
        <f t="shared" ref="Y610:AA610" si="3775">IFERROR(X610/$G610," ")</f>
        <v>0.49180000000000001</v>
      </c>
      <c r="Z610" s="95">
        <v>0.49180000000000001</v>
      </c>
      <c r="AA610" s="204">
        <f t="shared" si="3775"/>
        <v>0.49180000000000001</v>
      </c>
      <c r="AB610" s="95">
        <v>0.49180000000000001</v>
      </c>
      <c r="AC610" s="204">
        <f t="shared" ref="AC610:AE610" si="3776">IFERROR(AB610/$G610," ")</f>
        <v>0.49180000000000001</v>
      </c>
      <c r="AD610" s="95">
        <v>1</v>
      </c>
      <c r="AE610" s="204">
        <f t="shared" si="3776"/>
        <v>1</v>
      </c>
      <c r="AF610" s="95">
        <v>1</v>
      </c>
      <c r="AG610" s="204">
        <f t="shared" ref="AG610:AI610" si="3777">IFERROR(AF610/$G610," ")</f>
        <v>1</v>
      </c>
      <c r="AH610" s="95">
        <v>1</v>
      </c>
      <c r="AI610" s="204">
        <f t="shared" si="3777"/>
        <v>1</v>
      </c>
      <c r="AJ610" s="95">
        <v>1</v>
      </c>
      <c r="AK610" s="204">
        <f t="shared" ref="AK610:AM610" si="3778">IFERROR(AJ610/$G610," ")</f>
        <v>1</v>
      </c>
      <c r="AL610" s="95">
        <v>1</v>
      </c>
      <c r="AM610" s="204">
        <f t="shared" si="3778"/>
        <v>1</v>
      </c>
      <c r="AN610" s="95"/>
      <c r="AO610" s="94">
        <f t="shared" si="3616"/>
        <v>0</v>
      </c>
      <c r="AP610" s="94">
        <f t="shared" si="3663"/>
        <v>0</v>
      </c>
      <c r="AQ610" s="94">
        <f t="shared" si="3664"/>
        <v>0</v>
      </c>
      <c r="AR610" s="94">
        <f t="shared" si="3665"/>
        <v>0</v>
      </c>
      <c r="AS610" s="94">
        <f t="shared" si="3742"/>
        <v>0</v>
      </c>
      <c r="AT610" s="94">
        <f t="shared" si="3617"/>
        <v>2584.9991599999998</v>
      </c>
      <c r="AU610" s="94">
        <f t="shared" si="3618"/>
        <v>2584.9991599999998</v>
      </c>
      <c r="AV610" s="94">
        <f t="shared" si="3619"/>
        <v>2584.9991599999998</v>
      </c>
      <c r="AW610" s="94">
        <f t="shared" si="3620"/>
        <v>2584.9991599999998</v>
      </c>
      <c r="AX610" s="94">
        <f t="shared" si="3621"/>
        <v>5256.2</v>
      </c>
      <c r="AY610" s="94">
        <f t="shared" si="3622"/>
        <v>5256.2</v>
      </c>
      <c r="AZ610" s="94">
        <f t="shared" si="3623"/>
        <v>5256.2</v>
      </c>
      <c r="BA610" s="94">
        <f t="shared" si="3624"/>
        <v>5256.2</v>
      </c>
      <c r="BB610" s="94">
        <f t="shared" si="3625"/>
        <v>5256.2</v>
      </c>
    </row>
    <row r="611" spans="1:54" ht="30" x14ac:dyDescent="0.25">
      <c r="A611" s="80" t="s">
        <v>2604</v>
      </c>
      <c r="B611" s="95" t="s">
        <v>2425</v>
      </c>
      <c r="C611" s="201" t="s">
        <v>2938</v>
      </c>
      <c r="D611" s="80" t="s">
        <v>89</v>
      </c>
      <c r="E611" s="94">
        <f>IFERROR(VLOOKUP(A611,Estimate!A:Q,17,FALSE)," ")</f>
        <v>5723.08</v>
      </c>
      <c r="F611" s="202">
        <v>44</v>
      </c>
      <c r="G611" s="202">
        <v>44</v>
      </c>
      <c r="H611" s="203">
        <v>175.6</v>
      </c>
      <c r="I611" s="203">
        <v>7726.4</v>
      </c>
      <c r="J611" s="203">
        <v>7726.4</v>
      </c>
      <c r="K611" s="203"/>
      <c r="L611" s="202"/>
      <c r="M611" s="204">
        <f t="shared" si="3609"/>
        <v>0</v>
      </c>
      <c r="N611" s="95"/>
      <c r="O611" s="204">
        <f t="shared" si="3609"/>
        <v>0</v>
      </c>
      <c r="P611" s="95"/>
      <c r="Q611" s="204">
        <f t="shared" ref="Q611:S611" si="3779">IFERROR(P611/$G611," ")</f>
        <v>0</v>
      </c>
      <c r="R611" s="95"/>
      <c r="S611" s="204">
        <f t="shared" si="3779"/>
        <v>0</v>
      </c>
      <c r="T611" s="95"/>
      <c r="U611" s="204">
        <f t="shared" ref="U611:W611" si="3780">IFERROR(T611/$G611," ")</f>
        <v>0</v>
      </c>
      <c r="V611" s="95"/>
      <c r="W611" s="204">
        <f t="shared" si="3780"/>
        <v>0</v>
      </c>
      <c r="X611" s="95"/>
      <c r="Y611" s="204">
        <f t="shared" ref="Y611:AA611" si="3781">IFERROR(X611/$G611," ")</f>
        <v>0</v>
      </c>
      <c r="Z611" s="95">
        <v>44</v>
      </c>
      <c r="AA611" s="204">
        <f t="shared" si="3781"/>
        <v>1</v>
      </c>
      <c r="AB611" s="95">
        <v>44</v>
      </c>
      <c r="AC611" s="204">
        <f t="shared" ref="AC611:AE611" si="3782">IFERROR(AB611/$G611," ")</f>
        <v>1</v>
      </c>
      <c r="AD611" s="95">
        <v>44</v>
      </c>
      <c r="AE611" s="204">
        <f t="shared" si="3782"/>
        <v>1</v>
      </c>
      <c r="AF611" s="95">
        <v>44</v>
      </c>
      <c r="AG611" s="204">
        <f t="shared" ref="AG611:AI611" si="3783">IFERROR(AF611/$G611," ")</f>
        <v>1</v>
      </c>
      <c r="AH611" s="95">
        <v>44</v>
      </c>
      <c r="AI611" s="204">
        <f t="shared" si="3783"/>
        <v>1</v>
      </c>
      <c r="AJ611" s="95">
        <v>44</v>
      </c>
      <c r="AK611" s="204">
        <f t="shared" ref="AK611:AM611" si="3784">IFERROR(AJ611/$G611," ")</f>
        <v>1</v>
      </c>
      <c r="AL611" s="95">
        <v>44</v>
      </c>
      <c r="AM611" s="204">
        <f t="shared" si="3784"/>
        <v>1</v>
      </c>
      <c r="AN611" s="95"/>
      <c r="AO611" s="94">
        <f t="shared" si="3616"/>
        <v>0</v>
      </c>
      <c r="AP611" s="94">
        <f t="shared" si="3663"/>
        <v>0</v>
      </c>
      <c r="AQ611" s="94">
        <f t="shared" si="3664"/>
        <v>0</v>
      </c>
      <c r="AR611" s="94">
        <f t="shared" si="3665"/>
        <v>0</v>
      </c>
      <c r="AS611" s="94">
        <f t="shared" si="3742"/>
        <v>0</v>
      </c>
      <c r="AT611" s="94">
        <f t="shared" si="3617"/>
        <v>0</v>
      </c>
      <c r="AU611" s="94">
        <f t="shared" si="3618"/>
        <v>0</v>
      </c>
      <c r="AV611" s="94">
        <f t="shared" si="3619"/>
        <v>7726.4</v>
      </c>
      <c r="AW611" s="94">
        <f t="shared" si="3620"/>
        <v>7726.4</v>
      </c>
      <c r="AX611" s="94">
        <f t="shared" si="3621"/>
        <v>7726.4</v>
      </c>
      <c r="AY611" s="94">
        <f t="shared" si="3622"/>
        <v>7726.4</v>
      </c>
      <c r="AZ611" s="94">
        <f t="shared" si="3623"/>
        <v>7726.4</v>
      </c>
      <c r="BA611" s="94">
        <f t="shared" si="3624"/>
        <v>7726.4</v>
      </c>
      <c r="BB611" s="94">
        <f t="shared" si="3625"/>
        <v>7726.4</v>
      </c>
    </row>
    <row r="612" spans="1:54" ht="30" x14ac:dyDescent="0.25">
      <c r="A612" s="80" t="s">
        <v>2607</v>
      </c>
      <c r="B612" s="95" t="s">
        <v>2433</v>
      </c>
      <c r="C612" s="201" t="s">
        <v>2939</v>
      </c>
      <c r="D612" s="80" t="s">
        <v>83</v>
      </c>
      <c r="E612" s="94">
        <f>IFERROR(VLOOKUP(A612,Estimate!A:Q,17,FALSE)," ")</f>
        <v>5486.63</v>
      </c>
      <c r="F612" s="202">
        <v>400</v>
      </c>
      <c r="G612" s="202">
        <v>400</v>
      </c>
      <c r="H612" s="203">
        <v>19.86</v>
      </c>
      <c r="I612" s="203">
        <v>7944</v>
      </c>
      <c r="J612" s="203">
        <v>7944</v>
      </c>
      <c r="K612" s="203"/>
      <c r="L612" s="202"/>
      <c r="M612" s="204">
        <f t="shared" si="3609"/>
        <v>0</v>
      </c>
      <c r="N612" s="95"/>
      <c r="O612" s="204">
        <f t="shared" si="3609"/>
        <v>0</v>
      </c>
      <c r="P612" s="95"/>
      <c r="Q612" s="204">
        <f t="shared" ref="Q612:S612" si="3785">IFERROR(P612/$G612," ")</f>
        <v>0</v>
      </c>
      <c r="R612" s="95"/>
      <c r="S612" s="204">
        <f t="shared" si="3785"/>
        <v>0</v>
      </c>
      <c r="T612" s="95"/>
      <c r="U612" s="204">
        <f t="shared" ref="U612:W612" si="3786">IFERROR(T612/$G612," ")</f>
        <v>0</v>
      </c>
      <c r="V612" s="95"/>
      <c r="W612" s="204">
        <f t="shared" si="3786"/>
        <v>0</v>
      </c>
      <c r="X612" s="95">
        <v>400</v>
      </c>
      <c r="Y612" s="204">
        <f t="shared" ref="Y612:AA612" si="3787">IFERROR(X612/$G612," ")</f>
        <v>1</v>
      </c>
      <c r="Z612" s="95">
        <v>400</v>
      </c>
      <c r="AA612" s="204">
        <f t="shared" si="3787"/>
        <v>1</v>
      </c>
      <c r="AB612" s="95">
        <v>400</v>
      </c>
      <c r="AC612" s="204">
        <f t="shared" ref="AC612:AE612" si="3788">IFERROR(AB612/$G612," ")</f>
        <v>1</v>
      </c>
      <c r="AD612" s="95">
        <v>400</v>
      </c>
      <c r="AE612" s="204">
        <f t="shared" si="3788"/>
        <v>1</v>
      </c>
      <c r="AF612" s="95">
        <v>400</v>
      </c>
      <c r="AG612" s="204">
        <f t="shared" ref="AG612:AI612" si="3789">IFERROR(AF612/$G612," ")</f>
        <v>1</v>
      </c>
      <c r="AH612" s="95">
        <v>400</v>
      </c>
      <c r="AI612" s="204">
        <f t="shared" si="3789"/>
        <v>1</v>
      </c>
      <c r="AJ612" s="95">
        <v>400</v>
      </c>
      <c r="AK612" s="204">
        <f t="shared" ref="AK612:AM612" si="3790">IFERROR(AJ612/$G612," ")</f>
        <v>1</v>
      </c>
      <c r="AL612" s="95">
        <v>400</v>
      </c>
      <c r="AM612" s="204">
        <f t="shared" si="3790"/>
        <v>1</v>
      </c>
      <c r="AN612" s="95"/>
      <c r="AO612" s="94">
        <f t="shared" si="3616"/>
        <v>0</v>
      </c>
      <c r="AP612" s="94">
        <f t="shared" si="3663"/>
        <v>0</v>
      </c>
      <c r="AQ612" s="94">
        <f t="shared" si="3664"/>
        <v>0</v>
      </c>
      <c r="AR612" s="94">
        <f t="shared" si="3665"/>
        <v>0</v>
      </c>
      <c r="AS612" s="94">
        <f t="shared" si="3742"/>
        <v>0</v>
      </c>
      <c r="AT612" s="94">
        <f t="shared" si="3617"/>
        <v>0</v>
      </c>
      <c r="AU612" s="94">
        <f t="shared" si="3618"/>
        <v>7944</v>
      </c>
      <c r="AV612" s="94">
        <f t="shared" si="3619"/>
        <v>7944</v>
      </c>
      <c r="AW612" s="94">
        <f t="shared" si="3620"/>
        <v>7944</v>
      </c>
      <c r="AX612" s="94">
        <f t="shared" si="3621"/>
        <v>7944</v>
      </c>
      <c r="AY612" s="94">
        <f t="shared" si="3622"/>
        <v>7944</v>
      </c>
      <c r="AZ612" s="94">
        <f t="shared" si="3623"/>
        <v>7944</v>
      </c>
      <c r="BA612" s="94">
        <f t="shared" si="3624"/>
        <v>7944</v>
      </c>
      <c r="BB612" s="94">
        <f t="shared" si="3625"/>
        <v>7944</v>
      </c>
    </row>
    <row r="613" spans="1:54" ht="30" x14ac:dyDescent="0.25">
      <c r="A613" s="80" t="s">
        <v>2611</v>
      </c>
      <c r="B613" s="201" t="s">
        <v>2484</v>
      </c>
      <c r="C613" s="201" t="s">
        <v>2485</v>
      </c>
      <c r="D613" s="80"/>
      <c r="E613" s="94">
        <f>IFERROR(VLOOKUP(A613,Estimate!A:Q,17,FALSE)," ")</f>
        <v>45538.59986842105</v>
      </c>
      <c r="F613" s="202">
        <v>1</v>
      </c>
      <c r="G613" s="202">
        <v>1</v>
      </c>
      <c r="H613" s="203">
        <v>71559.400999999998</v>
      </c>
      <c r="I613" s="203">
        <v>71559.400999999998</v>
      </c>
      <c r="J613" s="203">
        <v>71559.400999999998</v>
      </c>
      <c r="K613" s="203"/>
      <c r="L613" s="202"/>
      <c r="M613" s="204">
        <f t="shared" si="3609"/>
        <v>0</v>
      </c>
      <c r="N613" s="95"/>
      <c r="O613" s="204">
        <f t="shared" si="3609"/>
        <v>0</v>
      </c>
      <c r="P613" s="95"/>
      <c r="Q613" s="204">
        <f t="shared" ref="Q613:S613" si="3791">IFERROR(P613/$G613," ")</f>
        <v>0</v>
      </c>
      <c r="R613" s="95"/>
      <c r="S613" s="204">
        <f t="shared" si="3791"/>
        <v>0</v>
      </c>
      <c r="T613" s="95"/>
      <c r="U613" s="204">
        <f t="shared" ref="U613:W613" si="3792">IFERROR(T613/$G613," ")</f>
        <v>0</v>
      </c>
      <c r="V613" s="95"/>
      <c r="W613" s="204">
        <f t="shared" si="3792"/>
        <v>0</v>
      </c>
      <c r="X613" s="95"/>
      <c r="Y613" s="204">
        <f t="shared" ref="Y613:AA613" si="3793">IFERROR(X613/$G613," ")</f>
        <v>0</v>
      </c>
      <c r="Z613" s="95">
        <v>1</v>
      </c>
      <c r="AA613" s="204">
        <f t="shared" si="3793"/>
        <v>1</v>
      </c>
      <c r="AB613" s="95">
        <v>1</v>
      </c>
      <c r="AC613" s="204">
        <f t="shared" ref="AC613:AE613" si="3794">IFERROR(AB613/$G613," ")</f>
        <v>1</v>
      </c>
      <c r="AD613" s="95">
        <v>1</v>
      </c>
      <c r="AE613" s="204">
        <f t="shared" si="3794"/>
        <v>1</v>
      </c>
      <c r="AF613" s="95">
        <v>1</v>
      </c>
      <c r="AG613" s="204">
        <f t="shared" ref="AG613:AI613" si="3795">IFERROR(AF613/$G613," ")</f>
        <v>1</v>
      </c>
      <c r="AH613" s="95">
        <v>1</v>
      </c>
      <c r="AI613" s="204">
        <f t="shared" si="3795"/>
        <v>1</v>
      </c>
      <c r="AJ613" s="95">
        <v>1</v>
      </c>
      <c r="AK613" s="204">
        <f t="shared" ref="AK613:AM613" si="3796">IFERROR(AJ613/$G613," ")</f>
        <v>1</v>
      </c>
      <c r="AL613" s="95">
        <v>1</v>
      </c>
      <c r="AM613" s="204">
        <f t="shared" si="3796"/>
        <v>1</v>
      </c>
      <c r="AN613" s="95"/>
      <c r="AO613" s="94">
        <f t="shared" si="3616"/>
        <v>0</v>
      </c>
      <c r="AP613" s="94">
        <f t="shared" si="3663"/>
        <v>0</v>
      </c>
      <c r="AQ613" s="94">
        <f t="shared" si="3664"/>
        <v>0</v>
      </c>
      <c r="AR613" s="94">
        <f t="shared" si="3665"/>
        <v>0</v>
      </c>
      <c r="AS613" s="94">
        <f t="shared" si="3742"/>
        <v>0</v>
      </c>
      <c r="AT613" s="94">
        <f t="shared" si="3617"/>
        <v>0</v>
      </c>
      <c r="AU613" s="94">
        <f t="shared" si="3618"/>
        <v>0</v>
      </c>
      <c r="AV613" s="94">
        <f t="shared" si="3619"/>
        <v>71559.400999999998</v>
      </c>
      <c r="AW613" s="94">
        <f t="shared" si="3620"/>
        <v>71559.400999999998</v>
      </c>
      <c r="AX613" s="94">
        <f t="shared" si="3621"/>
        <v>71559.400999999998</v>
      </c>
      <c r="AY613" s="94">
        <f t="shared" si="3622"/>
        <v>71559.400999999998</v>
      </c>
      <c r="AZ613" s="94">
        <f t="shared" si="3623"/>
        <v>71559.400999999998</v>
      </c>
      <c r="BA613" s="94">
        <f t="shared" si="3624"/>
        <v>71559.400999999998</v>
      </c>
      <c r="BB613" s="94">
        <f t="shared" si="3625"/>
        <v>71559.400999999998</v>
      </c>
    </row>
    <row r="614" spans="1:54" x14ac:dyDescent="0.25">
      <c r="A614" s="80"/>
      <c r="B614" s="95"/>
      <c r="C614" s="201"/>
      <c r="D614" s="80"/>
      <c r="E614" s="94" t="str">
        <f>IFERROR(VLOOKUP(A614,Estimate!A:Q,17,FALSE)," ")</f>
        <v xml:space="preserve"> </v>
      </c>
      <c r="F614" s="202"/>
      <c r="G614" s="202"/>
      <c r="H614" s="203"/>
      <c r="I614" s="203"/>
      <c r="J614" s="203"/>
      <c r="K614" s="203"/>
      <c r="L614" s="202"/>
      <c r="M614" s="204" t="str">
        <f t="shared" si="3609"/>
        <v xml:space="preserve"> </v>
      </c>
      <c r="N614" s="95"/>
      <c r="O614" s="204" t="str">
        <f t="shared" si="3609"/>
        <v xml:space="preserve"> </v>
      </c>
      <c r="P614" s="95"/>
      <c r="Q614" s="204" t="str">
        <f t="shared" ref="Q614:S614" si="3797">IFERROR(P614/$G614," ")</f>
        <v xml:space="preserve"> </v>
      </c>
      <c r="R614" s="95"/>
      <c r="S614" s="204" t="str">
        <f t="shared" si="3797"/>
        <v xml:space="preserve"> </v>
      </c>
      <c r="T614" s="95"/>
      <c r="U614" s="204" t="str">
        <f t="shared" ref="U614:W614" si="3798">IFERROR(T614/$G614," ")</f>
        <v xml:space="preserve"> </v>
      </c>
      <c r="V614" s="95"/>
      <c r="W614" s="204" t="str">
        <f t="shared" si="3798"/>
        <v xml:space="preserve"> </v>
      </c>
      <c r="X614" s="95"/>
      <c r="Y614" s="204" t="str">
        <f t="shared" ref="Y614:AA614" si="3799">IFERROR(X614/$G614," ")</f>
        <v xml:space="preserve"> </v>
      </c>
      <c r="Z614" s="95"/>
      <c r="AA614" s="204" t="str">
        <f t="shared" si="3799"/>
        <v xml:space="preserve"> </v>
      </c>
      <c r="AB614" s="95"/>
      <c r="AC614" s="204" t="str">
        <f t="shared" ref="AC614:AE614" si="3800">IFERROR(AB614/$G614," ")</f>
        <v xml:space="preserve"> </v>
      </c>
      <c r="AD614" s="95"/>
      <c r="AE614" s="204" t="str">
        <f t="shared" si="3800"/>
        <v xml:space="preserve"> </v>
      </c>
      <c r="AF614" s="95"/>
      <c r="AG614" s="204" t="str">
        <f t="shared" ref="AG614:AI614" si="3801">IFERROR(AF614/$G614," ")</f>
        <v xml:space="preserve"> </v>
      </c>
      <c r="AH614" s="95"/>
      <c r="AI614" s="204" t="str">
        <f t="shared" si="3801"/>
        <v xml:space="preserve"> </v>
      </c>
      <c r="AJ614" s="95"/>
      <c r="AK614" s="204" t="str">
        <f t="shared" ref="AK614:AM614" si="3802">IFERROR(AJ614/$G614," ")</f>
        <v xml:space="preserve"> </v>
      </c>
      <c r="AL614" s="95"/>
      <c r="AM614" s="204" t="str">
        <f t="shared" si="3802"/>
        <v xml:space="preserve"> </v>
      </c>
      <c r="AN614" s="95"/>
      <c r="AO614" s="94" t="str">
        <f t="shared" si="3616"/>
        <v xml:space="preserve"> </v>
      </c>
      <c r="AP614" s="94" t="str">
        <f t="shared" si="3663"/>
        <v xml:space="preserve"> </v>
      </c>
      <c r="AQ614" s="94" t="str">
        <f t="shared" si="3664"/>
        <v xml:space="preserve"> </v>
      </c>
      <c r="AR614" s="94" t="str">
        <f t="shared" si="3665"/>
        <v xml:space="preserve"> </v>
      </c>
      <c r="AS614" s="94" t="str">
        <f t="shared" si="3742"/>
        <v xml:space="preserve"> </v>
      </c>
      <c r="AT614" s="94" t="str">
        <f t="shared" si="3617"/>
        <v xml:space="preserve"> </v>
      </c>
      <c r="AU614" s="94" t="str">
        <f t="shared" si="3618"/>
        <v xml:space="preserve"> </v>
      </c>
      <c r="AV614" s="94" t="str">
        <f t="shared" si="3619"/>
        <v xml:space="preserve"> </v>
      </c>
      <c r="AW614" s="94" t="str">
        <f t="shared" si="3620"/>
        <v xml:space="preserve"> </v>
      </c>
      <c r="AX614" s="94" t="str">
        <f t="shared" si="3621"/>
        <v xml:space="preserve"> </v>
      </c>
      <c r="AY614" s="94" t="str">
        <f t="shared" si="3622"/>
        <v xml:space="preserve"> </v>
      </c>
      <c r="AZ614" s="94" t="str">
        <f t="shared" si="3623"/>
        <v xml:space="preserve"> </v>
      </c>
      <c r="BA614" s="94" t="str">
        <f t="shared" si="3624"/>
        <v xml:space="preserve"> </v>
      </c>
      <c r="BB614" s="94" t="str">
        <f t="shared" si="3625"/>
        <v xml:space="preserve"> </v>
      </c>
    </row>
    <row r="615" spans="1:54" s="138" customFormat="1" x14ac:dyDescent="0.25">
      <c r="A615" s="215" t="s">
        <v>2619</v>
      </c>
      <c r="B615" s="216" t="s">
        <v>2434</v>
      </c>
      <c r="C615" s="216" t="s">
        <v>2435</v>
      </c>
      <c r="D615" s="215"/>
      <c r="E615" s="217">
        <f>IFERROR(VLOOKUP(A615,Estimate!A:Q,17,FALSE)," ")</f>
        <v>21720.472398507034</v>
      </c>
      <c r="F615" s="218">
        <v>1</v>
      </c>
      <c r="G615" s="218">
        <v>1</v>
      </c>
      <c r="H615" s="219">
        <v>114107.662</v>
      </c>
      <c r="I615" s="219">
        <v>114107.662</v>
      </c>
      <c r="J615" s="219">
        <v>114107.662</v>
      </c>
      <c r="K615" s="219"/>
      <c r="L615" s="218"/>
      <c r="M615" s="220">
        <f t="shared" si="3609"/>
        <v>0</v>
      </c>
      <c r="N615" s="221"/>
      <c r="O615" s="220">
        <f t="shared" si="3609"/>
        <v>0</v>
      </c>
      <c r="P615" s="221"/>
      <c r="Q615" s="220">
        <f t="shared" ref="Q615:S615" si="3803">IFERROR(P615/$G615," ")</f>
        <v>0</v>
      </c>
      <c r="R615" s="221"/>
      <c r="S615" s="220">
        <f t="shared" si="3803"/>
        <v>0</v>
      </c>
      <c r="T615" s="221"/>
      <c r="U615" s="220">
        <f t="shared" ref="U615:W615" si="3804">IFERROR(T615/$G615," ")</f>
        <v>0</v>
      </c>
      <c r="V615" s="221"/>
      <c r="W615" s="220">
        <f t="shared" si="3804"/>
        <v>0</v>
      </c>
      <c r="X615" s="221">
        <v>0.36509999999999998</v>
      </c>
      <c r="Y615" s="220">
        <f t="shared" ref="Y615:AA615" si="3805">IFERROR(X615/$G615," ")</f>
        <v>0.36509999999999998</v>
      </c>
      <c r="Z615" s="221">
        <v>0.37580000000000002</v>
      </c>
      <c r="AA615" s="220">
        <f t="shared" si="3805"/>
        <v>0.37580000000000002</v>
      </c>
      <c r="AB615" s="221">
        <v>0.37580000000000002</v>
      </c>
      <c r="AC615" s="220">
        <f t="shared" ref="AC615:AE615" si="3806">IFERROR(AB615/$G615," ")</f>
        <v>0.37580000000000002</v>
      </c>
      <c r="AD615" s="221">
        <v>0.62849999999999995</v>
      </c>
      <c r="AE615" s="220">
        <f t="shared" si="3806"/>
        <v>0.62849999999999995</v>
      </c>
      <c r="AF615" s="221">
        <v>0.62849999999999995</v>
      </c>
      <c r="AG615" s="220">
        <f t="shared" ref="AG615:AI615" si="3807">IFERROR(AF615/$G615," ")</f>
        <v>0.62849999999999995</v>
      </c>
      <c r="AH615" s="221">
        <v>0.62849999999999995</v>
      </c>
      <c r="AI615" s="220">
        <f t="shared" si="3807"/>
        <v>0.62849999999999995</v>
      </c>
      <c r="AJ615" s="221">
        <v>0.63929999999999998</v>
      </c>
      <c r="AK615" s="220">
        <f t="shared" ref="AK615:AM615" si="3808">IFERROR(AJ615/$G615," ")</f>
        <v>0.63929999999999998</v>
      </c>
      <c r="AL615" s="221">
        <v>0.63929999999999998</v>
      </c>
      <c r="AM615" s="220">
        <f t="shared" si="3808"/>
        <v>0.63929999999999998</v>
      </c>
      <c r="AN615" s="221"/>
      <c r="AO615" s="217">
        <f t="shared" si="3616"/>
        <v>0</v>
      </c>
      <c r="AP615" s="217">
        <f t="shared" si="3663"/>
        <v>0</v>
      </c>
      <c r="AQ615" s="217">
        <f t="shared" si="3664"/>
        <v>0</v>
      </c>
      <c r="AR615" s="217">
        <f t="shared" si="3665"/>
        <v>0</v>
      </c>
      <c r="AS615" s="217">
        <f t="shared" si="3742"/>
        <v>0</v>
      </c>
      <c r="AT615" s="217">
        <f t="shared" si="3617"/>
        <v>0</v>
      </c>
      <c r="AU615" s="217">
        <f t="shared" si="3618"/>
        <v>41660.707396199999</v>
      </c>
      <c r="AV615" s="217">
        <f t="shared" si="3619"/>
        <v>42881.659379600002</v>
      </c>
      <c r="AW615" s="217">
        <f t="shared" si="3620"/>
        <v>42881.659379600002</v>
      </c>
      <c r="AX615" s="217">
        <f t="shared" si="3621"/>
        <v>71716.665566999989</v>
      </c>
      <c r="AY615" s="217">
        <f t="shared" si="3622"/>
        <v>71716.665566999989</v>
      </c>
      <c r="AZ615" s="217">
        <f t="shared" si="3623"/>
        <v>71716.665566999989</v>
      </c>
      <c r="BA615" s="217">
        <f t="shared" si="3624"/>
        <v>72949.028316600001</v>
      </c>
      <c r="BB615" s="217">
        <f t="shared" si="3625"/>
        <v>72949.028316600001</v>
      </c>
    </row>
    <row r="616" spans="1:54" ht="30" x14ac:dyDescent="0.25">
      <c r="A616" s="80" t="s">
        <v>2632</v>
      </c>
      <c r="B616" s="201" t="s">
        <v>2457</v>
      </c>
      <c r="C616" s="201" t="s">
        <v>2458</v>
      </c>
      <c r="D616" s="80"/>
      <c r="E616" s="94">
        <f>IFERROR(VLOOKUP(A616,Estimate!A:Q,17,FALSE)," ")</f>
        <v>191104.07029122807</v>
      </c>
      <c r="F616" s="202">
        <v>1</v>
      </c>
      <c r="G616" s="202">
        <v>1</v>
      </c>
      <c r="H616" s="203">
        <v>256458.0748</v>
      </c>
      <c r="I616" s="203">
        <v>256458.0748</v>
      </c>
      <c r="J616" s="203">
        <v>256458.0748</v>
      </c>
      <c r="K616" s="203"/>
      <c r="L616" s="202"/>
      <c r="M616" s="204">
        <f t="shared" si="3609"/>
        <v>0</v>
      </c>
      <c r="N616" s="95"/>
      <c r="O616" s="204">
        <f t="shared" si="3609"/>
        <v>0</v>
      </c>
      <c r="P616" s="95"/>
      <c r="Q616" s="204">
        <f t="shared" ref="Q616:S616" si="3809">IFERROR(P616/$G616," ")</f>
        <v>0</v>
      </c>
      <c r="R616" s="95"/>
      <c r="S616" s="204">
        <f t="shared" si="3809"/>
        <v>0</v>
      </c>
      <c r="T616" s="95"/>
      <c r="U616" s="204">
        <f t="shared" ref="U616:W616" si="3810">IFERROR(T616/$G616," ")</f>
        <v>0</v>
      </c>
      <c r="V616" s="95"/>
      <c r="W616" s="204">
        <f t="shared" si="3810"/>
        <v>0</v>
      </c>
      <c r="X616" s="95">
        <v>0.87390000000000001</v>
      </c>
      <c r="Y616" s="204">
        <f t="shared" ref="Y616:AA616" si="3811">IFERROR(X616/$G616," ")</f>
        <v>0.87390000000000001</v>
      </c>
      <c r="Z616" s="95">
        <v>1.1287</v>
      </c>
      <c r="AA616" s="204">
        <f t="shared" si="3811"/>
        <v>1.1287</v>
      </c>
      <c r="AB616" s="95">
        <v>1.1654</v>
      </c>
      <c r="AC616" s="204">
        <f t="shared" ref="AC616:AE616" si="3812">IFERROR(AB616/$G616," ")</f>
        <v>1.1654</v>
      </c>
      <c r="AD616" s="95">
        <v>1</v>
      </c>
      <c r="AE616" s="204">
        <f t="shared" si="3812"/>
        <v>1</v>
      </c>
      <c r="AF616" s="95">
        <v>1</v>
      </c>
      <c r="AG616" s="204">
        <f t="shared" ref="AG616:AI616" si="3813">IFERROR(AF616/$G616," ")</f>
        <v>1</v>
      </c>
      <c r="AH616" s="95">
        <v>1</v>
      </c>
      <c r="AI616" s="204">
        <f t="shared" si="3813"/>
        <v>1</v>
      </c>
      <c r="AJ616" s="95">
        <v>1</v>
      </c>
      <c r="AK616" s="204">
        <f t="shared" ref="AK616:AM616" si="3814">IFERROR(AJ616/$G616," ")</f>
        <v>1</v>
      </c>
      <c r="AL616" s="95">
        <v>1</v>
      </c>
      <c r="AM616" s="204">
        <f t="shared" si="3814"/>
        <v>1</v>
      </c>
      <c r="AN616" s="95"/>
      <c r="AO616" s="94">
        <f t="shared" si="3616"/>
        <v>0</v>
      </c>
      <c r="AP616" s="94">
        <f t="shared" si="3663"/>
        <v>0</v>
      </c>
      <c r="AQ616" s="94">
        <f t="shared" si="3664"/>
        <v>0</v>
      </c>
      <c r="AR616" s="94">
        <f t="shared" si="3665"/>
        <v>0</v>
      </c>
      <c r="AS616" s="94">
        <f t="shared" si="3742"/>
        <v>0</v>
      </c>
      <c r="AT616" s="94">
        <f t="shared" si="3617"/>
        <v>0</v>
      </c>
      <c r="AU616" s="94">
        <f t="shared" si="3618"/>
        <v>224118.71156771999</v>
      </c>
      <c r="AV616" s="94">
        <f t="shared" si="3619"/>
        <v>289464.22902676003</v>
      </c>
      <c r="AW616" s="94">
        <f t="shared" si="3620"/>
        <v>298876.24037191999</v>
      </c>
      <c r="AX616" s="94">
        <f t="shared" si="3621"/>
        <v>256458.0748</v>
      </c>
      <c r="AY616" s="94">
        <f t="shared" si="3622"/>
        <v>256458.0748</v>
      </c>
      <c r="AZ616" s="94">
        <f t="shared" si="3623"/>
        <v>256458.0748</v>
      </c>
      <c r="BA616" s="94">
        <f t="shared" si="3624"/>
        <v>256458.0748</v>
      </c>
      <c r="BB616" s="94">
        <f t="shared" si="3625"/>
        <v>256458.0748</v>
      </c>
    </row>
    <row r="617" spans="1:54" ht="30" x14ac:dyDescent="0.25">
      <c r="A617" s="80" t="s">
        <v>2673</v>
      </c>
      <c r="B617" s="95" t="s">
        <v>2494</v>
      </c>
      <c r="C617" s="201" t="s">
        <v>2495</v>
      </c>
      <c r="D617" s="80" t="s">
        <v>2416</v>
      </c>
      <c r="E617" s="94">
        <f>IFERROR(VLOOKUP(A617,Estimate!A:Q,17,FALSE)," ")</f>
        <v>9500</v>
      </c>
      <c r="F617" s="202">
        <v>1</v>
      </c>
      <c r="G617" s="202">
        <v>1</v>
      </c>
      <c r="H617" s="203">
        <v>10938.21</v>
      </c>
      <c r="I617" s="203">
        <v>10938.21</v>
      </c>
      <c r="J617" s="203">
        <v>10938.21</v>
      </c>
      <c r="K617" s="203"/>
      <c r="L617" s="202"/>
      <c r="M617" s="204">
        <f t="shared" si="3609"/>
        <v>0</v>
      </c>
      <c r="N617" s="95"/>
      <c r="O617" s="204">
        <f t="shared" si="3609"/>
        <v>0</v>
      </c>
      <c r="P617" s="95"/>
      <c r="Q617" s="204">
        <f t="shared" ref="Q617:S617" si="3815">IFERROR(P617/$G617," ")</f>
        <v>0</v>
      </c>
      <c r="R617" s="95"/>
      <c r="S617" s="204">
        <f t="shared" si="3815"/>
        <v>0</v>
      </c>
      <c r="T617" s="95"/>
      <c r="U617" s="204">
        <f t="shared" ref="U617:W617" si="3816">IFERROR(T617/$G617," ")</f>
        <v>0</v>
      </c>
      <c r="V617" s="95"/>
      <c r="W617" s="204">
        <f t="shared" si="3816"/>
        <v>0</v>
      </c>
      <c r="X617" s="95"/>
      <c r="Y617" s="204">
        <f t="shared" ref="Y617:AA617" si="3817">IFERROR(X617/$G617," ")</f>
        <v>0</v>
      </c>
      <c r="Z617" s="95"/>
      <c r="AA617" s="204">
        <f t="shared" si="3817"/>
        <v>0</v>
      </c>
      <c r="AB617" s="95">
        <v>1</v>
      </c>
      <c r="AC617" s="204">
        <f t="shared" ref="AC617:AE617" si="3818">IFERROR(AB617/$G617," ")</f>
        <v>1</v>
      </c>
      <c r="AD617" s="95">
        <v>1</v>
      </c>
      <c r="AE617" s="204">
        <f t="shared" si="3818"/>
        <v>1</v>
      </c>
      <c r="AF617" s="95">
        <v>1</v>
      </c>
      <c r="AG617" s="204">
        <f t="shared" ref="AG617:AI617" si="3819">IFERROR(AF617/$G617," ")</f>
        <v>1</v>
      </c>
      <c r="AH617" s="95">
        <v>1</v>
      </c>
      <c r="AI617" s="204">
        <f t="shared" si="3819"/>
        <v>1</v>
      </c>
      <c r="AJ617" s="95">
        <v>1</v>
      </c>
      <c r="AK617" s="204">
        <f t="shared" ref="AK617:AM617" si="3820">IFERROR(AJ617/$G617," ")</f>
        <v>1</v>
      </c>
      <c r="AL617" s="95">
        <v>1</v>
      </c>
      <c r="AM617" s="204">
        <f t="shared" si="3820"/>
        <v>1</v>
      </c>
      <c r="AN617" s="95"/>
      <c r="AO617" s="94">
        <f t="shared" si="3616"/>
        <v>0</v>
      </c>
      <c r="AP617" s="94">
        <f t="shared" si="3663"/>
        <v>0</v>
      </c>
      <c r="AQ617" s="94">
        <f t="shared" si="3664"/>
        <v>0</v>
      </c>
      <c r="AR617" s="94">
        <f t="shared" si="3665"/>
        <v>0</v>
      </c>
      <c r="AS617" s="94">
        <f t="shared" si="3742"/>
        <v>0</v>
      </c>
      <c r="AT617" s="94">
        <f t="shared" si="3617"/>
        <v>0</v>
      </c>
      <c r="AU617" s="94">
        <f t="shared" si="3618"/>
        <v>0</v>
      </c>
      <c r="AV617" s="94">
        <f t="shared" si="3619"/>
        <v>0</v>
      </c>
      <c r="AW617" s="94">
        <f t="shared" si="3620"/>
        <v>10938.21</v>
      </c>
      <c r="AX617" s="94">
        <f t="shared" si="3621"/>
        <v>10938.21</v>
      </c>
      <c r="AY617" s="94">
        <f t="shared" si="3622"/>
        <v>10938.21</v>
      </c>
      <c r="AZ617" s="94">
        <f t="shared" si="3623"/>
        <v>10938.21</v>
      </c>
      <c r="BA617" s="94">
        <f t="shared" si="3624"/>
        <v>10938.21</v>
      </c>
      <c r="BB617" s="94">
        <f t="shared" si="3625"/>
        <v>10938.21</v>
      </c>
    </row>
    <row r="618" spans="1:54" ht="30" x14ac:dyDescent="0.25">
      <c r="A618" s="80" t="s">
        <v>2673</v>
      </c>
      <c r="B618" s="95" t="s">
        <v>2525</v>
      </c>
      <c r="C618" s="201" t="s">
        <v>2526</v>
      </c>
      <c r="D618" s="80" t="s">
        <v>2416</v>
      </c>
      <c r="E618" s="94">
        <f>IFERROR(VLOOKUP(A618,Estimate!A:Q,17,FALSE)," ")</f>
        <v>9500</v>
      </c>
      <c r="F618" s="202">
        <v>1</v>
      </c>
      <c r="G618" s="202">
        <v>1</v>
      </c>
      <c r="H618" s="203">
        <v>3689.5</v>
      </c>
      <c r="I618" s="203">
        <v>3689.5</v>
      </c>
      <c r="J618" s="203">
        <v>3689.5</v>
      </c>
      <c r="K618" s="203"/>
      <c r="L618" s="202"/>
      <c r="M618" s="204">
        <f t="shared" si="3609"/>
        <v>0</v>
      </c>
      <c r="N618" s="95"/>
      <c r="O618" s="204">
        <f t="shared" si="3609"/>
        <v>0</v>
      </c>
      <c r="P618" s="95"/>
      <c r="Q618" s="204">
        <f t="shared" ref="Q618:S618" si="3821">IFERROR(P618/$G618," ")</f>
        <v>0</v>
      </c>
      <c r="R618" s="95"/>
      <c r="S618" s="204">
        <f t="shared" si="3821"/>
        <v>0</v>
      </c>
      <c r="T618" s="95"/>
      <c r="U618" s="204">
        <f t="shared" ref="U618:W618" si="3822">IFERROR(T618/$G618," ")</f>
        <v>0</v>
      </c>
      <c r="V618" s="95"/>
      <c r="W618" s="204">
        <f t="shared" si="3822"/>
        <v>0</v>
      </c>
      <c r="X618" s="95"/>
      <c r="Y618" s="204">
        <f t="shared" ref="Y618:AA618" si="3823">IFERROR(X618/$G618," ")</f>
        <v>0</v>
      </c>
      <c r="Z618" s="95"/>
      <c r="AA618" s="204">
        <f t="shared" si="3823"/>
        <v>0</v>
      </c>
      <c r="AB618" s="95"/>
      <c r="AC618" s="204">
        <f t="shared" ref="AC618:AE618" si="3824">IFERROR(AB618/$G618," ")</f>
        <v>0</v>
      </c>
      <c r="AD618" s="95"/>
      <c r="AE618" s="204">
        <f t="shared" si="3824"/>
        <v>0</v>
      </c>
      <c r="AF618" s="95">
        <v>1</v>
      </c>
      <c r="AG618" s="204">
        <f t="shared" ref="AG618:AI618" si="3825">IFERROR(AF618/$G618," ")</f>
        <v>1</v>
      </c>
      <c r="AH618" s="95">
        <v>1</v>
      </c>
      <c r="AI618" s="204">
        <f t="shared" si="3825"/>
        <v>1</v>
      </c>
      <c r="AJ618" s="95">
        <v>1</v>
      </c>
      <c r="AK618" s="204">
        <f t="shared" ref="AK618:AM618" si="3826">IFERROR(AJ618/$G618," ")</f>
        <v>1</v>
      </c>
      <c r="AL618" s="95">
        <v>1</v>
      </c>
      <c r="AM618" s="204">
        <f t="shared" si="3826"/>
        <v>1</v>
      </c>
      <c r="AN618" s="95"/>
      <c r="AO618" s="94">
        <f t="shared" si="3616"/>
        <v>0</v>
      </c>
      <c r="AP618" s="94">
        <f t="shared" si="3663"/>
        <v>0</v>
      </c>
      <c r="AQ618" s="94">
        <f t="shared" si="3664"/>
        <v>0</v>
      </c>
      <c r="AR618" s="94">
        <f t="shared" si="3665"/>
        <v>0</v>
      </c>
      <c r="AS618" s="94">
        <f t="shared" si="3742"/>
        <v>0</v>
      </c>
      <c r="AT618" s="94">
        <f t="shared" si="3617"/>
        <v>0</v>
      </c>
      <c r="AU618" s="94">
        <f t="shared" si="3618"/>
        <v>0</v>
      </c>
      <c r="AV618" s="94">
        <f t="shared" si="3619"/>
        <v>0</v>
      </c>
      <c r="AW618" s="94">
        <f t="shared" si="3620"/>
        <v>0</v>
      </c>
      <c r="AX618" s="94">
        <f t="shared" si="3621"/>
        <v>0</v>
      </c>
      <c r="AY618" s="94">
        <f t="shared" si="3622"/>
        <v>3689.5</v>
      </c>
      <c r="AZ618" s="94">
        <f t="shared" si="3623"/>
        <v>3689.5</v>
      </c>
      <c r="BA618" s="94">
        <f t="shared" si="3624"/>
        <v>3689.5</v>
      </c>
      <c r="BB618" s="94">
        <f t="shared" si="3625"/>
        <v>3689.5</v>
      </c>
    </row>
    <row r="619" spans="1:54" x14ac:dyDescent="0.25">
      <c r="A619" s="80" t="s">
        <v>2670</v>
      </c>
      <c r="B619" s="95" t="s">
        <v>2492</v>
      </c>
      <c r="C619" s="201" t="s">
        <v>2493</v>
      </c>
      <c r="D619" s="80" t="s">
        <v>83</v>
      </c>
      <c r="E619" s="94">
        <f>IFERROR(VLOOKUP(A619,Estimate!A:Q,17,FALSE)," ")</f>
        <v>40195.5239</v>
      </c>
      <c r="F619" s="202">
        <v>2765</v>
      </c>
      <c r="G619" s="202">
        <v>2765</v>
      </c>
      <c r="H619" s="203">
        <v>19.399999999999999</v>
      </c>
      <c r="I619" s="203">
        <v>53641</v>
      </c>
      <c r="J619" s="203">
        <v>53641</v>
      </c>
      <c r="K619" s="203"/>
      <c r="L619" s="202"/>
      <c r="M619" s="204">
        <f t="shared" si="3609"/>
        <v>0</v>
      </c>
      <c r="N619" s="95"/>
      <c r="O619" s="204">
        <f t="shared" si="3609"/>
        <v>0</v>
      </c>
      <c r="P619" s="95"/>
      <c r="Q619" s="204">
        <f t="shared" ref="Q619:S619" si="3827">IFERROR(P619/$G619," ")</f>
        <v>0</v>
      </c>
      <c r="R619" s="95"/>
      <c r="S619" s="204">
        <f t="shared" si="3827"/>
        <v>0</v>
      </c>
      <c r="T619" s="95"/>
      <c r="U619" s="204">
        <f t="shared" ref="U619:W619" si="3828">IFERROR(T619/$G619," ")</f>
        <v>0</v>
      </c>
      <c r="V619" s="95"/>
      <c r="W619" s="204">
        <f t="shared" si="3828"/>
        <v>0</v>
      </c>
      <c r="X619" s="95"/>
      <c r="Y619" s="204">
        <f t="shared" ref="Y619:AA619" si="3829">IFERROR(X619/$G619," ")</f>
        <v>0</v>
      </c>
      <c r="Z619" s="95"/>
      <c r="AA619" s="204">
        <f t="shared" si="3829"/>
        <v>0</v>
      </c>
      <c r="AB619" s="95">
        <v>2765</v>
      </c>
      <c r="AC619" s="204">
        <f t="shared" ref="AC619:AE619" si="3830">IFERROR(AB619/$G619," ")</f>
        <v>1</v>
      </c>
      <c r="AD619" s="95">
        <v>2765</v>
      </c>
      <c r="AE619" s="204">
        <f t="shared" si="3830"/>
        <v>1</v>
      </c>
      <c r="AF619" s="95">
        <v>2765</v>
      </c>
      <c r="AG619" s="204">
        <f t="shared" ref="AG619:AI619" si="3831">IFERROR(AF619/$G619," ")</f>
        <v>1</v>
      </c>
      <c r="AH619" s="95">
        <v>2765</v>
      </c>
      <c r="AI619" s="204">
        <f t="shared" si="3831"/>
        <v>1</v>
      </c>
      <c r="AJ619" s="95">
        <v>2765</v>
      </c>
      <c r="AK619" s="204">
        <f t="shared" ref="AK619:AM619" si="3832">IFERROR(AJ619/$G619," ")</f>
        <v>1</v>
      </c>
      <c r="AL619" s="95">
        <v>2765</v>
      </c>
      <c r="AM619" s="204">
        <f t="shared" si="3832"/>
        <v>1</v>
      </c>
      <c r="AN619" s="95"/>
      <c r="AO619" s="94">
        <f t="shared" si="3616"/>
        <v>0</v>
      </c>
      <c r="AP619" s="94">
        <f t="shared" si="3663"/>
        <v>0</v>
      </c>
      <c r="AQ619" s="94">
        <f t="shared" si="3664"/>
        <v>0</v>
      </c>
      <c r="AR619" s="94">
        <f t="shared" si="3665"/>
        <v>0</v>
      </c>
      <c r="AS619" s="94">
        <f t="shared" si="3742"/>
        <v>0</v>
      </c>
      <c r="AT619" s="94">
        <f t="shared" si="3617"/>
        <v>0</v>
      </c>
      <c r="AU619" s="94">
        <f t="shared" si="3618"/>
        <v>0</v>
      </c>
      <c r="AV619" s="94">
        <f t="shared" si="3619"/>
        <v>0</v>
      </c>
      <c r="AW619" s="94">
        <f t="shared" si="3620"/>
        <v>53641</v>
      </c>
      <c r="AX619" s="94">
        <f t="shared" si="3621"/>
        <v>53641</v>
      </c>
      <c r="AY619" s="94">
        <f t="shared" si="3622"/>
        <v>53641</v>
      </c>
      <c r="AZ619" s="94">
        <f t="shared" si="3623"/>
        <v>53641</v>
      </c>
      <c r="BA619" s="94">
        <f t="shared" si="3624"/>
        <v>53641</v>
      </c>
      <c r="BB619" s="94">
        <f t="shared" si="3625"/>
        <v>53641</v>
      </c>
    </row>
    <row r="620" spans="1:54" x14ac:dyDescent="0.25">
      <c r="A620" s="80" t="s">
        <v>2674</v>
      </c>
      <c r="B620" s="95" t="s">
        <v>2496</v>
      </c>
      <c r="C620" s="201" t="s">
        <v>2497</v>
      </c>
      <c r="D620" s="80" t="s">
        <v>83</v>
      </c>
      <c r="E620" s="94">
        <f>IFERROR(VLOOKUP(A620,Estimate!A:Q,17,FALSE)," ")</f>
        <v>17187.240000000002</v>
      </c>
      <c r="F620" s="202">
        <v>2765</v>
      </c>
      <c r="G620" s="202">
        <v>2765</v>
      </c>
      <c r="H620" s="203">
        <v>8.18</v>
      </c>
      <c r="I620" s="203">
        <v>22617.7</v>
      </c>
      <c r="J620" s="203">
        <v>22617.7</v>
      </c>
      <c r="K620" s="203"/>
      <c r="L620" s="202"/>
      <c r="M620" s="204">
        <f t="shared" si="3609"/>
        <v>0</v>
      </c>
      <c r="N620" s="95"/>
      <c r="O620" s="204">
        <f t="shared" si="3609"/>
        <v>0</v>
      </c>
      <c r="P620" s="95"/>
      <c r="Q620" s="204">
        <f t="shared" ref="Q620:S620" si="3833">IFERROR(P620/$G620," ")</f>
        <v>0</v>
      </c>
      <c r="R620" s="95"/>
      <c r="S620" s="204">
        <f t="shared" si="3833"/>
        <v>0</v>
      </c>
      <c r="T620" s="95"/>
      <c r="U620" s="204">
        <f t="shared" ref="U620:W620" si="3834">IFERROR(T620/$G620," ")</f>
        <v>0</v>
      </c>
      <c r="V620" s="95"/>
      <c r="W620" s="204">
        <f t="shared" si="3834"/>
        <v>0</v>
      </c>
      <c r="X620" s="95"/>
      <c r="Y620" s="204">
        <f t="shared" ref="Y620:AA620" si="3835">IFERROR(X620/$G620," ")</f>
        <v>0</v>
      </c>
      <c r="Z620" s="95"/>
      <c r="AA620" s="204">
        <f t="shared" si="3835"/>
        <v>0</v>
      </c>
      <c r="AB620" s="95">
        <v>2765</v>
      </c>
      <c r="AC620" s="204">
        <f t="shared" ref="AC620:AE620" si="3836">IFERROR(AB620/$G620," ")</f>
        <v>1</v>
      </c>
      <c r="AD620" s="95">
        <v>2765</v>
      </c>
      <c r="AE620" s="204">
        <f t="shared" si="3836"/>
        <v>1</v>
      </c>
      <c r="AF620" s="95">
        <v>2765</v>
      </c>
      <c r="AG620" s="204">
        <f t="shared" ref="AG620:AI620" si="3837">IFERROR(AF620/$G620," ")</f>
        <v>1</v>
      </c>
      <c r="AH620" s="95">
        <v>2765</v>
      </c>
      <c r="AI620" s="204">
        <f t="shared" si="3837"/>
        <v>1</v>
      </c>
      <c r="AJ620" s="95">
        <v>2765</v>
      </c>
      <c r="AK620" s="204">
        <f t="shared" ref="AK620:AM620" si="3838">IFERROR(AJ620/$G620," ")</f>
        <v>1</v>
      </c>
      <c r="AL620" s="95">
        <v>2765</v>
      </c>
      <c r="AM620" s="204">
        <f t="shared" si="3838"/>
        <v>1</v>
      </c>
      <c r="AN620" s="95"/>
      <c r="AO620" s="94">
        <f t="shared" si="3616"/>
        <v>0</v>
      </c>
      <c r="AP620" s="94">
        <f t="shared" si="3663"/>
        <v>0</v>
      </c>
      <c r="AQ620" s="94">
        <f t="shared" si="3664"/>
        <v>0</v>
      </c>
      <c r="AR620" s="94">
        <f t="shared" si="3665"/>
        <v>0</v>
      </c>
      <c r="AS620" s="94">
        <f t="shared" si="3742"/>
        <v>0</v>
      </c>
      <c r="AT620" s="94">
        <f t="shared" si="3617"/>
        <v>0</v>
      </c>
      <c r="AU620" s="94">
        <f t="shared" si="3618"/>
        <v>0</v>
      </c>
      <c r="AV620" s="94">
        <f t="shared" si="3619"/>
        <v>0</v>
      </c>
      <c r="AW620" s="94">
        <f t="shared" si="3620"/>
        <v>22617.7</v>
      </c>
      <c r="AX620" s="94">
        <f t="shared" si="3621"/>
        <v>22617.7</v>
      </c>
      <c r="AY620" s="94">
        <f t="shared" si="3622"/>
        <v>22617.7</v>
      </c>
      <c r="AZ620" s="94">
        <f t="shared" si="3623"/>
        <v>22617.7</v>
      </c>
      <c r="BA620" s="94">
        <f t="shared" si="3624"/>
        <v>22617.7</v>
      </c>
      <c r="BB620" s="94">
        <f t="shared" si="3625"/>
        <v>22617.7</v>
      </c>
    </row>
    <row r="621" spans="1:54" ht="30" x14ac:dyDescent="0.25">
      <c r="A621" s="80" t="s">
        <v>2675</v>
      </c>
      <c r="B621" s="95" t="s">
        <v>2498</v>
      </c>
      <c r="C621" s="201" t="s">
        <v>2499</v>
      </c>
      <c r="D621" s="80" t="s">
        <v>86</v>
      </c>
      <c r="E621" s="94">
        <f>IFERROR(VLOOKUP(A621,Estimate!A:Q,17,FALSE)," ")</f>
        <v>4460</v>
      </c>
      <c r="F621" s="202">
        <v>5</v>
      </c>
      <c r="G621" s="202">
        <v>5</v>
      </c>
      <c r="H621" s="203">
        <v>1083</v>
      </c>
      <c r="I621" s="203">
        <v>5415</v>
      </c>
      <c r="J621" s="203">
        <v>5415</v>
      </c>
      <c r="K621" s="203"/>
      <c r="L621" s="202"/>
      <c r="M621" s="204">
        <f t="shared" si="3609"/>
        <v>0</v>
      </c>
      <c r="N621" s="95"/>
      <c r="O621" s="204">
        <f t="shared" si="3609"/>
        <v>0</v>
      </c>
      <c r="P621" s="95"/>
      <c r="Q621" s="204">
        <f t="shared" ref="Q621:S621" si="3839">IFERROR(P621/$G621," ")</f>
        <v>0</v>
      </c>
      <c r="R621" s="95"/>
      <c r="S621" s="204">
        <f t="shared" si="3839"/>
        <v>0</v>
      </c>
      <c r="T621" s="95"/>
      <c r="U621" s="204">
        <f t="shared" ref="U621:W621" si="3840">IFERROR(T621/$G621," ")</f>
        <v>0</v>
      </c>
      <c r="V621" s="95"/>
      <c r="W621" s="204">
        <f t="shared" si="3840"/>
        <v>0</v>
      </c>
      <c r="X621" s="95"/>
      <c r="Y621" s="204">
        <f t="shared" ref="Y621:AA621" si="3841">IFERROR(X621/$G621," ")</f>
        <v>0</v>
      </c>
      <c r="Z621" s="95"/>
      <c r="AA621" s="204">
        <f t="shared" si="3841"/>
        <v>0</v>
      </c>
      <c r="AB621" s="95">
        <v>5</v>
      </c>
      <c r="AC621" s="204">
        <f t="shared" ref="AC621:AE621" si="3842">IFERROR(AB621/$G621," ")</f>
        <v>1</v>
      </c>
      <c r="AD621" s="95">
        <v>5</v>
      </c>
      <c r="AE621" s="204">
        <f t="shared" si="3842"/>
        <v>1</v>
      </c>
      <c r="AF621" s="95">
        <v>5</v>
      </c>
      <c r="AG621" s="204">
        <f t="shared" ref="AG621:AI621" si="3843">IFERROR(AF621/$G621," ")</f>
        <v>1</v>
      </c>
      <c r="AH621" s="95">
        <v>5</v>
      </c>
      <c r="AI621" s="204">
        <f t="shared" si="3843"/>
        <v>1</v>
      </c>
      <c r="AJ621" s="95">
        <v>5</v>
      </c>
      <c r="AK621" s="204">
        <f t="shared" ref="AK621:AM621" si="3844">IFERROR(AJ621/$G621," ")</f>
        <v>1</v>
      </c>
      <c r="AL621" s="95">
        <v>5</v>
      </c>
      <c r="AM621" s="204">
        <f t="shared" si="3844"/>
        <v>1</v>
      </c>
      <c r="AN621" s="95"/>
      <c r="AO621" s="94">
        <f t="shared" si="3616"/>
        <v>0</v>
      </c>
      <c r="AP621" s="94">
        <f t="shared" si="3663"/>
        <v>0</v>
      </c>
      <c r="AQ621" s="94">
        <f t="shared" si="3664"/>
        <v>0</v>
      </c>
      <c r="AR621" s="94">
        <f t="shared" si="3665"/>
        <v>0</v>
      </c>
      <c r="AS621" s="94">
        <f t="shared" si="3742"/>
        <v>0</v>
      </c>
      <c r="AT621" s="94">
        <f t="shared" si="3617"/>
        <v>0</v>
      </c>
      <c r="AU621" s="94">
        <f t="shared" si="3618"/>
        <v>0</v>
      </c>
      <c r="AV621" s="94">
        <f t="shared" si="3619"/>
        <v>0</v>
      </c>
      <c r="AW621" s="94">
        <f t="shared" si="3620"/>
        <v>5415</v>
      </c>
      <c r="AX621" s="94">
        <f t="shared" si="3621"/>
        <v>5415</v>
      </c>
      <c r="AY621" s="94">
        <f t="shared" si="3622"/>
        <v>5415</v>
      </c>
      <c r="AZ621" s="94">
        <f t="shared" si="3623"/>
        <v>5415</v>
      </c>
      <c r="BA621" s="94">
        <f t="shared" si="3624"/>
        <v>5415</v>
      </c>
      <c r="BB621" s="94">
        <f t="shared" si="3625"/>
        <v>5415</v>
      </c>
    </row>
    <row r="622" spans="1:54" ht="30" x14ac:dyDescent="0.25">
      <c r="A622" s="80" t="s">
        <v>2676</v>
      </c>
      <c r="B622" s="95" t="s">
        <v>2500</v>
      </c>
      <c r="C622" s="201" t="s">
        <v>2501</v>
      </c>
      <c r="D622" s="80" t="s">
        <v>29</v>
      </c>
      <c r="E622" s="94">
        <f>IFERROR(VLOOKUP(A622,Estimate!A:Q,17,FALSE)," ")</f>
        <v>465.02476190476182</v>
      </c>
      <c r="F622" s="202">
        <v>1</v>
      </c>
      <c r="G622" s="202">
        <v>1</v>
      </c>
      <c r="H622" s="203">
        <v>1044.31</v>
      </c>
      <c r="I622" s="203">
        <v>1044.31</v>
      </c>
      <c r="J622" s="203">
        <v>1044.31</v>
      </c>
      <c r="K622" s="203"/>
      <c r="L622" s="202"/>
      <c r="M622" s="204">
        <f t="shared" si="3609"/>
        <v>0</v>
      </c>
      <c r="N622" s="95"/>
      <c r="O622" s="204">
        <f t="shared" si="3609"/>
        <v>0</v>
      </c>
      <c r="P622" s="95"/>
      <c r="Q622" s="204">
        <f t="shared" ref="Q622:S622" si="3845">IFERROR(P622/$G622," ")</f>
        <v>0</v>
      </c>
      <c r="R622" s="95"/>
      <c r="S622" s="204">
        <f t="shared" si="3845"/>
        <v>0</v>
      </c>
      <c r="T622" s="95"/>
      <c r="U622" s="204">
        <f t="shared" ref="U622:W622" si="3846">IFERROR(T622/$G622," ")</f>
        <v>0</v>
      </c>
      <c r="V622" s="95"/>
      <c r="W622" s="204">
        <f t="shared" si="3846"/>
        <v>0</v>
      </c>
      <c r="X622" s="95"/>
      <c r="Y622" s="204">
        <f t="shared" ref="Y622:AA622" si="3847">IFERROR(X622/$G622," ")</f>
        <v>0</v>
      </c>
      <c r="Z622" s="95"/>
      <c r="AA622" s="204">
        <f t="shared" si="3847"/>
        <v>0</v>
      </c>
      <c r="AB622" s="95">
        <v>1</v>
      </c>
      <c r="AC622" s="204">
        <f t="shared" ref="AC622:AE622" si="3848">IFERROR(AB622/$G622," ")</f>
        <v>1</v>
      </c>
      <c r="AD622" s="95">
        <v>1</v>
      </c>
      <c r="AE622" s="204">
        <f t="shared" si="3848"/>
        <v>1</v>
      </c>
      <c r="AF622" s="95">
        <v>1</v>
      </c>
      <c r="AG622" s="204">
        <f t="shared" ref="AG622:AI622" si="3849">IFERROR(AF622/$G622," ")</f>
        <v>1</v>
      </c>
      <c r="AH622" s="95">
        <v>1</v>
      </c>
      <c r="AI622" s="204">
        <f t="shared" si="3849"/>
        <v>1</v>
      </c>
      <c r="AJ622" s="95">
        <v>1</v>
      </c>
      <c r="AK622" s="204">
        <f t="shared" ref="AK622:AM622" si="3850">IFERROR(AJ622/$G622," ")</f>
        <v>1</v>
      </c>
      <c r="AL622" s="95">
        <v>1</v>
      </c>
      <c r="AM622" s="204">
        <f t="shared" si="3850"/>
        <v>1</v>
      </c>
      <c r="AN622" s="95"/>
      <c r="AO622" s="94">
        <f t="shared" si="3616"/>
        <v>0</v>
      </c>
      <c r="AP622" s="94">
        <f t="shared" si="3663"/>
        <v>0</v>
      </c>
      <c r="AQ622" s="94">
        <f t="shared" si="3664"/>
        <v>0</v>
      </c>
      <c r="AR622" s="94">
        <f t="shared" si="3665"/>
        <v>0</v>
      </c>
      <c r="AS622" s="94">
        <f t="shared" si="3742"/>
        <v>0</v>
      </c>
      <c r="AT622" s="94">
        <f t="shared" si="3617"/>
        <v>0</v>
      </c>
      <c r="AU622" s="94">
        <f t="shared" si="3618"/>
        <v>0</v>
      </c>
      <c r="AV622" s="94">
        <f t="shared" si="3619"/>
        <v>0</v>
      </c>
      <c r="AW622" s="94">
        <f t="shared" si="3620"/>
        <v>1044.31</v>
      </c>
      <c r="AX622" s="94">
        <f t="shared" si="3621"/>
        <v>1044.31</v>
      </c>
      <c r="AY622" s="94">
        <f t="shared" si="3622"/>
        <v>1044.31</v>
      </c>
      <c r="AZ622" s="94">
        <f t="shared" si="3623"/>
        <v>1044.31</v>
      </c>
      <c r="BA622" s="94">
        <f t="shared" si="3624"/>
        <v>1044.31</v>
      </c>
      <c r="BB622" s="94">
        <f t="shared" si="3625"/>
        <v>1044.31</v>
      </c>
    </row>
    <row r="623" spans="1:54" x14ac:dyDescent="0.25">
      <c r="A623" s="80"/>
      <c r="B623" s="95"/>
      <c r="C623" s="201"/>
      <c r="D623" s="80"/>
      <c r="E623" s="94" t="str">
        <f>IFERROR(VLOOKUP(A623,Estimate!A:Q,17,FALSE)," ")</f>
        <v xml:space="preserve"> </v>
      </c>
      <c r="F623" s="202"/>
      <c r="G623" s="202"/>
      <c r="H623" s="203"/>
      <c r="I623" s="203"/>
      <c r="J623" s="203"/>
      <c r="K623" s="203"/>
      <c r="L623" s="202"/>
      <c r="M623" s="204" t="str">
        <f t="shared" si="3609"/>
        <v xml:space="preserve"> </v>
      </c>
      <c r="N623" s="95"/>
      <c r="O623" s="204" t="str">
        <f t="shared" si="3609"/>
        <v xml:space="preserve"> </v>
      </c>
      <c r="P623" s="95"/>
      <c r="Q623" s="204" t="str">
        <f t="shared" ref="Q623:S623" si="3851">IFERROR(P623/$G623," ")</f>
        <v xml:space="preserve"> </v>
      </c>
      <c r="R623" s="95"/>
      <c r="S623" s="204" t="str">
        <f t="shared" si="3851"/>
        <v xml:space="preserve"> </v>
      </c>
      <c r="T623" s="95"/>
      <c r="U623" s="204" t="str">
        <f t="shared" ref="U623:W623" si="3852">IFERROR(T623/$G623," ")</f>
        <v xml:space="preserve"> </v>
      </c>
      <c r="V623" s="95"/>
      <c r="W623" s="204" t="str">
        <f t="shared" si="3852"/>
        <v xml:space="preserve"> </v>
      </c>
      <c r="X623" s="95"/>
      <c r="Y623" s="204" t="str">
        <f t="shared" ref="Y623:AA623" si="3853">IFERROR(X623/$G623," ")</f>
        <v xml:space="preserve"> </v>
      </c>
      <c r="Z623" s="95"/>
      <c r="AA623" s="204" t="str">
        <f t="shared" si="3853"/>
        <v xml:space="preserve"> </v>
      </c>
      <c r="AB623" s="95"/>
      <c r="AC623" s="204" t="str">
        <f t="shared" ref="AC623:AE623" si="3854">IFERROR(AB623/$G623," ")</f>
        <v xml:space="preserve"> </v>
      </c>
      <c r="AD623" s="95"/>
      <c r="AE623" s="204" t="str">
        <f t="shared" si="3854"/>
        <v xml:space="preserve"> </v>
      </c>
      <c r="AF623" s="95"/>
      <c r="AG623" s="204" t="str">
        <f t="shared" ref="AG623:AI623" si="3855">IFERROR(AF623/$G623," ")</f>
        <v xml:space="preserve"> </v>
      </c>
      <c r="AH623" s="95"/>
      <c r="AI623" s="204" t="str">
        <f t="shared" si="3855"/>
        <v xml:space="preserve"> </v>
      </c>
      <c r="AJ623" s="95"/>
      <c r="AK623" s="204" t="str">
        <f t="shared" ref="AK623:AM623" si="3856">IFERROR(AJ623/$G623," ")</f>
        <v xml:space="preserve"> </v>
      </c>
      <c r="AL623" s="95"/>
      <c r="AM623" s="204" t="str">
        <f t="shared" si="3856"/>
        <v xml:space="preserve"> </v>
      </c>
      <c r="AN623" s="95"/>
      <c r="AO623" s="94" t="str">
        <f t="shared" si="3616"/>
        <v xml:space="preserve"> </v>
      </c>
      <c r="AP623" s="94" t="str">
        <f t="shared" si="3663"/>
        <v xml:space="preserve"> </v>
      </c>
      <c r="AQ623" s="94" t="str">
        <f t="shared" si="3664"/>
        <v xml:space="preserve"> </v>
      </c>
      <c r="AR623" s="94" t="str">
        <f t="shared" si="3665"/>
        <v xml:space="preserve"> </v>
      </c>
      <c r="AS623" s="94" t="str">
        <f t="shared" si="3742"/>
        <v xml:space="preserve"> </v>
      </c>
      <c r="AT623" s="94" t="str">
        <f t="shared" si="3617"/>
        <v xml:space="preserve"> </v>
      </c>
      <c r="AU623" s="94" t="str">
        <f t="shared" si="3618"/>
        <v xml:space="preserve"> </v>
      </c>
      <c r="AV623" s="94" t="str">
        <f t="shared" si="3619"/>
        <v xml:space="preserve"> </v>
      </c>
      <c r="AW623" s="94" t="str">
        <f t="shared" si="3620"/>
        <v xml:space="preserve"> </v>
      </c>
      <c r="AX623" s="94" t="str">
        <f t="shared" si="3621"/>
        <v xml:space="preserve"> </v>
      </c>
      <c r="AY623" s="94" t="str">
        <f t="shared" si="3622"/>
        <v xml:space="preserve"> </v>
      </c>
      <c r="AZ623" s="94" t="str">
        <f t="shared" si="3623"/>
        <v xml:space="preserve"> </v>
      </c>
      <c r="BA623" s="94" t="str">
        <f t="shared" si="3624"/>
        <v xml:space="preserve"> </v>
      </c>
      <c r="BB623" s="94" t="str">
        <f t="shared" si="3625"/>
        <v xml:space="preserve"> </v>
      </c>
    </row>
    <row r="624" spans="1:54" ht="30" x14ac:dyDescent="0.25">
      <c r="A624" s="80" t="s">
        <v>2680</v>
      </c>
      <c r="B624" s="95" t="s">
        <v>2502</v>
      </c>
      <c r="C624" s="201" t="s">
        <v>2503</v>
      </c>
      <c r="D624" s="80" t="s">
        <v>29</v>
      </c>
      <c r="E624" s="94">
        <f>IFERROR(VLOOKUP(A624,Estimate!A:Q,17,FALSE)," ")</f>
        <v>2493.92</v>
      </c>
      <c r="F624" s="202">
        <v>3</v>
      </c>
      <c r="G624" s="202">
        <v>3</v>
      </c>
      <c r="H624" s="203">
        <v>779.43</v>
      </c>
      <c r="I624" s="203">
        <v>2338.29</v>
      </c>
      <c r="J624" s="203">
        <v>2338.29</v>
      </c>
      <c r="K624" s="203"/>
      <c r="L624" s="202"/>
      <c r="M624" s="204">
        <f t="shared" si="3609"/>
        <v>0</v>
      </c>
      <c r="N624" s="95"/>
      <c r="O624" s="204">
        <f t="shared" si="3609"/>
        <v>0</v>
      </c>
      <c r="P624" s="95"/>
      <c r="Q624" s="204">
        <f t="shared" ref="Q624:S624" si="3857">IFERROR(P624/$G624," ")</f>
        <v>0</v>
      </c>
      <c r="R624" s="95"/>
      <c r="S624" s="204">
        <f t="shared" si="3857"/>
        <v>0</v>
      </c>
      <c r="T624" s="95"/>
      <c r="U624" s="204">
        <f t="shared" ref="U624:W624" si="3858">IFERROR(T624/$G624," ")</f>
        <v>0</v>
      </c>
      <c r="V624" s="95"/>
      <c r="W624" s="204">
        <f t="shared" si="3858"/>
        <v>0</v>
      </c>
      <c r="X624" s="95"/>
      <c r="Y624" s="204">
        <f t="shared" ref="Y624:AA624" si="3859">IFERROR(X624/$G624," ")</f>
        <v>0</v>
      </c>
      <c r="Z624" s="95"/>
      <c r="AA624" s="204">
        <f t="shared" si="3859"/>
        <v>0</v>
      </c>
      <c r="AB624" s="95">
        <v>3</v>
      </c>
      <c r="AC624" s="204">
        <f t="shared" ref="AC624:AE624" si="3860">IFERROR(AB624/$G624," ")</f>
        <v>1</v>
      </c>
      <c r="AD624" s="95">
        <v>3</v>
      </c>
      <c r="AE624" s="204">
        <f t="shared" si="3860"/>
        <v>1</v>
      </c>
      <c r="AF624" s="95">
        <v>3</v>
      </c>
      <c r="AG624" s="204">
        <f t="shared" ref="AG624:AI624" si="3861">IFERROR(AF624/$G624," ")</f>
        <v>1</v>
      </c>
      <c r="AH624" s="95">
        <v>3</v>
      </c>
      <c r="AI624" s="204">
        <f t="shared" si="3861"/>
        <v>1</v>
      </c>
      <c r="AJ624" s="95">
        <v>3</v>
      </c>
      <c r="AK624" s="204">
        <f t="shared" ref="AK624:AM624" si="3862">IFERROR(AJ624/$G624," ")</f>
        <v>1</v>
      </c>
      <c r="AL624" s="95">
        <v>3</v>
      </c>
      <c r="AM624" s="204">
        <f t="shared" si="3862"/>
        <v>1</v>
      </c>
      <c r="AN624" s="95"/>
      <c r="AO624" s="94">
        <f t="shared" si="3616"/>
        <v>0</v>
      </c>
      <c r="AP624" s="94">
        <f t="shared" ref="AP624:AP643" si="3863">IFERROR(O624*$J624," ")</f>
        <v>0</v>
      </c>
      <c r="AQ624" s="94">
        <f t="shared" ref="AQ624:AQ643" si="3864">IFERROR(Q624*$J624," ")</f>
        <v>0</v>
      </c>
      <c r="AR624" s="94">
        <f t="shared" ref="AR624:AR643" si="3865">IFERROR(S624*$J624," ")</f>
        <v>0</v>
      </c>
      <c r="AS624" s="94">
        <f t="shared" si="3742"/>
        <v>0</v>
      </c>
      <c r="AT624" s="94">
        <f t="shared" si="3617"/>
        <v>0</v>
      </c>
      <c r="AU624" s="94">
        <f t="shared" si="3618"/>
        <v>0</v>
      </c>
      <c r="AV624" s="94">
        <f t="shared" si="3619"/>
        <v>0</v>
      </c>
      <c r="AW624" s="94">
        <f t="shared" si="3620"/>
        <v>2338.29</v>
      </c>
      <c r="AX624" s="94">
        <f t="shared" si="3621"/>
        <v>2338.29</v>
      </c>
      <c r="AY624" s="94">
        <f t="shared" si="3622"/>
        <v>2338.29</v>
      </c>
      <c r="AZ624" s="94">
        <f t="shared" si="3623"/>
        <v>2338.29</v>
      </c>
      <c r="BA624" s="94">
        <f t="shared" si="3624"/>
        <v>2338.29</v>
      </c>
      <c r="BB624" s="94">
        <f t="shared" si="3625"/>
        <v>2338.29</v>
      </c>
    </row>
    <row r="625" spans="1:54" ht="30" x14ac:dyDescent="0.25">
      <c r="A625" s="80" t="s">
        <v>2682</v>
      </c>
      <c r="B625" s="95" t="s">
        <v>2506</v>
      </c>
      <c r="C625" s="201" t="s">
        <v>2940</v>
      </c>
      <c r="D625" s="80" t="s">
        <v>83</v>
      </c>
      <c r="E625" s="94">
        <f>IFERROR(VLOOKUP(A625,Estimate!A:Q,17,FALSE)," ")</f>
        <v>1787.8473684210528</v>
      </c>
      <c r="F625" s="202">
        <v>300</v>
      </c>
      <c r="G625" s="202">
        <v>300</v>
      </c>
      <c r="H625" s="203">
        <v>7.49</v>
      </c>
      <c r="I625" s="203">
        <v>2247</v>
      </c>
      <c r="J625" s="203">
        <v>2247</v>
      </c>
      <c r="K625" s="203"/>
      <c r="L625" s="202"/>
      <c r="M625" s="204">
        <f t="shared" si="3609"/>
        <v>0</v>
      </c>
      <c r="N625" s="95"/>
      <c r="O625" s="204">
        <f t="shared" si="3609"/>
        <v>0</v>
      </c>
      <c r="P625" s="95"/>
      <c r="Q625" s="204">
        <f t="shared" ref="Q625:S625" si="3866">IFERROR(P625/$G625," ")</f>
        <v>0</v>
      </c>
      <c r="R625" s="95"/>
      <c r="S625" s="204">
        <f t="shared" si="3866"/>
        <v>0</v>
      </c>
      <c r="T625" s="95"/>
      <c r="U625" s="204">
        <f t="shared" ref="U625:W625" si="3867">IFERROR(T625/$G625," ")</f>
        <v>0</v>
      </c>
      <c r="V625" s="95"/>
      <c r="W625" s="204">
        <f t="shared" si="3867"/>
        <v>0</v>
      </c>
      <c r="X625" s="95"/>
      <c r="Y625" s="204">
        <f t="shared" ref="Y625:AA625" si="3868">IFERROR(X625/$G625," ")</f>
        <v>0</v>
      </c>
      <c r="Z625" s="95"/>
      <c r="AA625" s="204">
        <f t="shared" si="3868"/>
        <v>0</v>
      </c>
      <c r="AB625" s="95">
        <v>300</v>
      </c>
      <c r="AC625" s="204">
        <f t="shared" ref="AC625:AE625" si="3869">IFERROR(AB625/$G625," ")</f>
        <v>1</v>
      </c>
      <c r="AD625" s="95">
        <v>300</v>
      </c>
      <c r="AE625" s="204">
        <f t="shared" si="3869"/>
        <v>1</v>
      </c>
      <c r="AF625" s="95">
        <v>300</v>
      </c>
      <c r="AG625" s="204">
        <f t="shared" ref="AG625:AI625" si="3870">IFERROR(AF625/$G625," ")</f>
        <v>1</v>
      </c>
      <c r="AH625" s="95">
        <v>300</v>
      </c>
      <c r="AI625" s="204">
        <f t="shared" si="3870"/>
        <v>1</v>
      </c>
      <c r="AJ625" s="95">
        <v>300</v>
      </c>
      <c r="AK625" s="204">
        <f t="shared" ref="AK625:AM625" si="3871">IFERROR(AJ625/$G625," ")</f>
        <v>1</v>
      </c>
      <c r="AL625" s="95">
        <v>300</v>
      </c>
      <c r="AM625" s="204">
        <f t="shared" si="3871"/>
        <v>1</v>
      </c>
      <c r="AN625" s="95"/>
      <c r="AO625" s="94">
        <f t="shared" si="3616"/>
        <v>0</v>
      </c>
      <c r="AP625" s="94">
        <f t="shared" si="3863"/>
        <v>0</v>
      </c>
      <c r="AQ625" s="94">
        <f t="shared" si="3864"/>
        <v>0</v>
      </c>
      <c r="AR625" s="94">
        <f t="shared" si="3865"/>
        <v>0</v>
      </c>
      <c r="AS625" s="94">
        <f t="shared" si="3742"/>
        <v>0</v>
      </c>
      <c r="AT625" s="94">
        <f t="shared" si="3617"/>
        <v>0</v>
      </c>
      <c r="AU625" s="94">
        <f t="shared" si="3618"/>
        <v>0</v>
      </c>
      <c r="AV625" s="94">
        <f t="shared" si="3619"/>
        <v>0</v>
      </c>
      <c r="AW625" s="94">
        <f t="shared" si="3620"/>
        <v>2247</v>
      </c>
      <c r="AX625" s="94">
        <f t="shared" si="3621"/>
        <v>2247</v>
      </c>
      <c r="AY625" s="94">
        <f t="shared" si="3622"/>
        <v>2247</v>
      </c>
      <c r="AZ625" s="94">
        <f t="shared" si="3623"/>
        <v>2247</v>
      </c>
      <c r="BA625" s="94">
        <f t="shared" si="3624"/>
        <v>2247</v>
      </c>
      <c r="BB625" s="94">
        <f t="shared" si="3625"/>
        <v>2247</v>
      </c>
    </row>
    <row r="626" spans="1:54" ht="30" x14ac:dyDescent="0.25">
      <c r="A626" s="80" t="s">
        <v>2689</v>
      </c>
      <c r="B626" s="95" t="s">
        <v>2507</v>
      </c>
      <c r="C626" s="201" t="s">
        <v>2941</v>
      </c>
      <c r="D626" s="80" t="s">
        <v>2416</v>
      </c>
      <c r="E626" s="94">
        <f>IFERROR(VLOOKUP(A626,Estimate!A:Q,17,FALSE)," ")</f>
        <v>39008.612420000005</v>
      </c>
      <c r="F626" s="202">
        <v>1</v>
      </c>
      <c r="G626" s="202">
        <v>1</v>
      </c>
      <c r="H626" s="203">
        <v>109011.77</v>
      </c>
      <c r="I626" s="203">
        <v>109011.77</v>
      </c>
      <c r="J626" s="203">
        <v>109011.77</v>
      </c>
      <c r="K626" s="203"/>
      <c r="L626" s="202"/>
      <c r="M626" s="204">
        <f t="shared" si="3609"/>
        <v>0</v>
      </c>
      <c r="N626" s="95"/>
      <c r="O626" s="204">
        <f t="shared" si="3609"/>
        <v>0</v>
      </c>
      <c r="P626" s="95"/>
      <c r="Q626" s="204">
        <f t="shared" ref="Q626:S626" si="3872">IFERROR(P626/$G626," ")</f>
        <v>0</v>
      </c>
      <c r="R626" s="95"/>
      <c r="S626" s="204">
        <f t="shared" si="3872"/>
        <v>0</v>
      </c>
      <c r="T626" s="95"/>
      <c r="U626" s="204">
        <f t="shared" ref="U626:W626" si="3873">IFERROR(T626/$G626," ")</f>
        <v>0</v>
      </c>
      <c r="V626" s="95"/>
      <c r="W626" s="204">
        <f t="shared" si="3873"/>
        <v>0</v>
      </c>
      <c r="X626" s="95"/>
      <c r="Y626" s="204">
        <f t="shared" ref="Y626:AA626" si="3874">IFERROR(X626/$G626," ")</f>
        <v>0</v>
      </c>
      <c r="Z626" s="95"/>
      <c r="AA626" s="204">
        <f t="shared" si="3874"/>
        <v>0</v>
      </c>
      <c r="AB626" s="95"/>
      <c r="AC626" s="204">
        <f t="shared" ref="AC626:AE626" si="3875">IFERROR(AB626/$G626," ")</f>
        <v>0</v>
      </c>
      <c r="AD626" s="95"/>
      <c r="AE626" s="204">
        <f t="shared" si="3875"/>
        <v>0</v>
      </c>
      <c r="AF626" s="95">
        <v>1</v>
      </c>
      <c r="AG626" s="204">
        <f t="shared" ref="AG626:AI626" si="3876">IFERROR(AF626/$G626," ")</f>
        <v>1</v>
      </c>
      <c r="AH626" s="95">
        <v>1</v>
      </c>
      <c r="AI626" s="204">
        <f t="shared" si="3876"/>
        <v>1</v>
      </c>
      <c r="AJ626" s="95">
        <v>1</v>
      </c>
      <c r="AK626" s="204">
        <f t="shared" ref="AK626:AM626" si="3877">IFERROR(AJ626/$G626," ")</f>
        <v>1</v>
      </c>
      <c r="AL626" s="95">
        <v>1</v>
      </c>
      <c r="AM626" s="204">
        <f t="shared" si="3877"/>
        <v>1</v>
      </c>
      <c r="AN626" s="95"/>
      <c r="AO626" s="94">
        <f t="shared" si="3616"/>
        <v>0</v>
      </c>
      <c r="AP626" s="94">
        <f t="shared" si="3863"/>
        <v>0</v>
      </c>
      <c r="AQ626" s="94">
        <f t="shared" si="3864"/>
        <v>0</v>
      </c>
      <c r="AR626" s="94">
        <f t="shared" si="3865"/>
        <v>0</v>
      </c>
      <c r="AS626" s="94">
        <f t="shared" si="3742"/>
        <v>0</v>
      </c>
      <c r="AT626" s="94">
        <f t="shared" si="3617"/>
        <v>0</v>
      </c>
      <c r="AU626" s="94">
        <f t="shared" si="3618"/>
        <v>0</v>
      </c>
      <c r="AV626" s="94">
        <f t="shared" si="3619"/>
        <v>0</v>
      </c>
      <c r="AW626" s="94">
        <f t="shared" si="3620"/>
        <v>0</v>
      </c>
      <c r="AX626" s="94">
        <f t="shared" si="3621"/>
        <v>0</v>
      </c>
      <c r="AY626" s="94">
        <f t="shared" si="3622"/>
        <v>109011.77</v>
      </c>
      <c r="AZ626" s="94">
        <f t="shared" si="3623"/>
        <v>109011.77</v>
      </c>
      <c r="BA626" s="94">
        <f t="shared" si="3624"/>
        <v>109011.77</v>
      </c>
      <c r="BB626" s="94">
        <f t="shared" si="3625"/>
        <v>109011.77</v>
      </c>
    </row>
    <row r="627" spans="1:54" x14ac:dyDescent="0.25">
      <c r="A627" s="80"/>
      <c r="B627" s="95"/>
      <c r="C627" s="201"/>
      <c r="D627" s="80"/>
      <c r="E627" s="94" t="str">
        <f>IFERROR(VLOOKUP(A627,Estimate!A:Q,17,FALSE)," ")</f>
        <v xml:space="preserve"> </v>
      </c>
      <c r="F627" s="202"/>
      <c r="G627" s="202"/>
      <c r="H627" s="203"/>
      <c r="I627" s="203"/>
      <c r="J627" s="203"/>
      <c r="K627" s="203"/>
      <c r="L627" s="202"/>
      <c r="M627" s="204" t="str">
        <f t="shared" si="3609"/>
        <v xml:space="preserve"> </v>
      </c>
      <c r="N627" s="95"/>
      <c r="O627" s="204" t="str">
        <f t="shared" si="3609"/>
        <v xml:space="preserve"> </v>
      </c>
      <c r="P627" s="95"/>
      <c r="Q627" s="204" t="str">
        <f t="shared" ref="Q627:S627" si="3878">IFERROR(P627/$G627," ")</f>
        <v xml:space="preserve"> </v>
      </c>
      <c r="R627" s="95"/>
      <c r="S627" s="204" t="str">
        <f t="shared" si="3878"/>
        <v xml:space="preserve"> </v>
      </c>
      <c r="T627" s="95"/>
      <c r="U627" s="204" t="str">
        <f t="shared" ref="U627:W627" si="3879">IFERROR(T627/$G627," ")</f>
        <v xml:space="preserve"> </v>
      </c>
      <c r="V627" s="95"/>
      <c r="W627" s="204" t="str">
        <f t="shared" si="3879"/>
        <v xml:space="preserve"> </v>
      </c>
      <c r="X627" s="95"/>
      <c r="Y627" s="204" t="str">
        <f t="shared" ref="Y627:AA627" si="3880">IFERROR(X627/$G627," ")</f>
        <v xml:space="preserve"> </v>
      </c>
      <c r="Z627" s="95"/>
      <c r="AA627" s="204" t="str">
        <f t="shared" si="3880"/>
        <v xml:space="preserve"> </v>
      </c>
      <c r="AB627" s="95"/>
      <c r="AC627" s="204" t="str">
        <f t="shared" ref="AC627:AE627" si="3881">IFERROR(AB627/$G627," ")</f>
        <v xml:space="preserve"> </v>
      </c>
      <c r="AD627" s="95"/>
      <c r="AE627" s="204" t="str">
        <f t="shared" si="3881"/>
        <v xml:space="preserve"> </v>
      </c>
      <c r="AF627" s="95"/>
      <c r="AG627" s="204" t="str">
        <f t="shared" ref="AG627:AI627" si="3882">IFERROR(AF627/$G627," ")</f>
        <v xml:space="preserve"> </v>
      </c>
      <c r="AH627" s="95"/>
      <c r="AI627" s="204" t="str">
        <f t="shared" si="3882"/>
        <v xml:space="preserve"> </v>
      </c>
      <c r="AJ627" s="95"/>
      <c r="AK627" s="204" t="str">
        <f t="shared" ref="AK627:AM627" si="3883">IFERROR(AJ627/$G627," ")</f>
        <v xml:space="preserve"> </v>
      </c>
      <c r="AL627" s="95"/>
      <c r="AM627" s="204" t="str">
        <f t="shared" si="3883"/>
        <v xml:space="preserve"> </v>
      </c>
      <c r="AN627" s="95"/>
      <c r="AO627" s="94" t="str">
        <f t="shared" si="3616"/>
        <v xml:space="preserve"> </v>
      </c>
      <c r="AP627" s="94" t="str">
        <f t="shared" si="3863"/>
        <v xml:space="preserve"> </v>
      </c>
      <c r="AQ627" s="94" t="str">
        <f t="shared" si="3864"/>
        <v xml:space="preserve"> </v>
      </c>
      <c r="AR627" s="94" t="str">
        <f t="shared" si="3865"/>
        <v xml:space="preserve"> </v>
      </c>
      <c r="AS627" s="94" t="str">
        <f t="shared" si="3742"/>
        <v xml:space="preserve"> </v>
      </c>
      <c r="AT627" s="94" t="str">
        <f t="shared" si="3617"/>
        <v xml:space="preserve"> </v>
      </c>
      <c r="AU627" s="94" t="str">
        <f t="shared" si="3618"/>
        <v xml:space="preserve"> </v>
      </c>
      <c r="AV627" s="94" t="str">
        <f t="shared" si="3619"/>
        <v xml:space="preserve"> </v>
      </c>
      <c r="AW627" s="94" t="str">
        <f t="shared" si="3620"/>
        <v xml:space="preserve"> </v>
      </c>
      <c r="AX627" s="94" t="str">
        <f t="shared" si="3621"/>
        <v xml:space="preserve"> </v>
      </c>
      <c r="AY627" s="94" t="str">
        <f t="shared" si="3622"/>
        <v xml:space="preserve"> </v>
      </c>
      <c r="AZ627" s="94" t="str">
        <f t="shared" si="3623"/>
        <v xml:space="preserve"> </v>
      </c>
      <c r="BA627" s="94" t="str">
        <f t="shared" si="3624"/>
        <v xml:space="preserve"> </v>
      </c>
      <c r="BB627" s="94" t="str">
        <f t="shared" si="3625"/>
        <v xml:space="preserve"> </v>
      </c>
    </row>
    <row r="628" spans="1:54" ht="30" x14ac:dyDescent="0.25">
      <c r="A628" s="80" t="s">
        <v>2696</v>
      </c>
      <c r="B628" s="95" t="s">
        <v>2504</v>
      </c>
      <c r="C628" s="201" t="s">
        <v>2505</v>
      </c>
      <c r="D628" s="80" t="s">
        <v>2416</v>
      </c>
      <c r="E628" s="94">
        <f>IFERROR(VLOOKUP(A628,Estimate!A:Q,17,FALSE)," ")</f>
        <v>36365</v>
      </c>
      <c r="F628" s="202">
        <v>1</v>
      </c>
      <c r="G628" s="202">
        <v>1</v>
      </c>
      <c r="H628" s="203">
        <v>47514</v>
      </c>
      <c r="I628" s="203">
        <v>47514</v>
      </c>
      <c r="J628" s="203">
        <v>47514</v>
      </c>
      <c r="K628" s="203"/>
      <c r="L628" s="202"/>
      <c r="M628" s="204">
        <f t="shared" si="3609"/>
        <v>0</v>
      </c>
      <c r="N628" s="95"/>
      <c r="O628" s="204">
        <f t="shared" si="3609"/>
        <v>0</v>
      </c>
      <c r="P628" s="95"/>
      <c r="Q628" s="204">
        <f t="shared" ref="Q628:S628" si="3884">IFERROR(P628/$G628," ")</f>
        <v>0</v>
      </c>
      <c r="R628" s="95"/>
      <c r="S628" s="204">
        <f t="shared" si="3884"/>
        <v>0</v>
      </c>
      <c r="T628" s="95"/>
      <c r="U628" s="204">
        <f t="shared" ref="U628:W628" si="3885">IFERROR(T628/$G628," ")</f>
        <v>0</v>
      </c>
      <c r="V628" s="95"/>
      <c r="W628" s="204">
        <f t="shared" si="3885"/>
        <v>0</v>
      </c>
      <c r="X628" s="95"/>
      <c r="Y628" s="204">
        <f t="shared" ref="Y628:AA628" si="3886">IFERROR(X628/$G628," ")</f>
        <v>0</v>
      </c>
      <c r="Z628" s="95"/>
      <c r="AA628" s="204">
        <f t="shared" si="3886"/>
        <v>0</v>
      </c>
      <c r="AB628" s="95"/>
      <c r="AC628" s="204">
        <f t="shared" ref="AC628:AE628" si="3887">IFERROR(AB628/$G628," ")</f>
        <v>0</v>
      </c>
      <c r="AD628" s="95">
        <v>1</v>
      </c>
      <c r="AE628" s="204">
        <f t="shared" si="3887"/>
        <v>1</v>
      </c>
      <c r="AF628" s="95">
        <v>1</v>
      </c>
      <c r="AG628" s="204">
        <f t="shared" ref="AG628:AI628" si="3888">IFERROR(AF628/$G628," ")</f>
        <v>1</v>
      </c>
      <c r="AH628" s="95">
        <v>1</v>
      </c>
      <c r="AI628" s="204">
        <f t="shared" si="3888"/>
        <v>1</v>
      </c>
      <c r="AJ628" s="95">
        <v>1</v>
      </c>
      <c r="AK628" s="204">
        <f t="shared" ref="AK628:AM628" si="3889">IFERROR(AJ628/$G628," ")</f>
        <v>1</v>
      </c>
      <c r="AL628" s="95">
        <v>1</v>
      </c>
      <c r="AM628" s="204">
        <f t="shared" si="3889"/>
        <v>1</v>
      </c>
      <c r="AN628" s="95"/>
      <c r="AO628" s="94">
        <f t="shared" si="3616"/>
        <v>0</v>
      </c>
      <c r="AP628" s="94">
        <f t="shared" si="3863"/>
        <v>0</v>
      </c>
      <c r="AQ628" s="94">
        <f t="shared" si="3864"/>
        <v>0</v>
      </c>
      <c r="AR628" s="94">
        <f t="shared" si="3865"/>
        <v>0</v>
      </c>
      <c r="AS628" s="94">
        <f t="shared" si="3742"/>
        <v>0</v>
      </c>
      <c r="AT628" s="94">
        <f t="shared" si="3617"/>
        <v>0</v>
      </c>
      <c r="AU628" s="94">
        <f t="shared" si="3618"/>
        <v>0</v>
      </c>
      <c r="AV628" s="94">
        <f t="shared" si="3619"/>
        <v>0</v>
      </c>
      <c r="AW628" s="94">
        <f t="shared" si="3620"/>
        <v>0</v>
      </c>
      <c r="AX628" s="94">
        <f t="shared" si="3621"/>
        <v>47514</v>
      </c>
      <c r="AY628" s="94">
        <f t="shared" si="3622"/>
        <v>47514</v>
      </c>
      <c r="AZ628" s="94">
        <f t="shared" si="3623"/>
        <v>47514</v>
      </c>
      <c r="BA628" s="94">
        <f t="shared" si="3624"/>
        <v>47514</v>
      </c>
      <c r="BB628" s="94">
        <f t="shared" si="3625"/>
        <v>47514</v>
      </c>
    </row>
    <row r="629" spans="1:54" x14ac:dyDescent="0.25">
      <c r="A629" s="80" t="s">
        <v>2698</v>
      </c>
      <c r="B629" s="201" t="s">
        <v>2512</v>
      </c>
      <c r="C629" s="201" t="s">
        <v>2513</v>
      </c>
      <c r="D629" s="80"/>
      <c r="E629" s="94">
        <f>IFERROR(VLOOKUP(A629,Estimate!A:Q,17,FALSE)," ")</f>
        <v>22972.428315789475</v>
      </c>
      <c r="F629" s="202">
        <v>1</v>
      </c>
      <c r="G629" s="202">
        <v>1</v>
      </c>
      <c r="H629" s="203">
        <v>49564.473599999998</v>
      </c>
      <c r="I629" s="203">
        <v>49564.473599999998</v>
      </c>
      <c r="J629" s="203">
        <v>49564.473599999998</v>
      </c>
      <c r="K629" s="203"/>
      <c r="L629" s="202"/>
      <c r="M629" s="204">
        <f t="shared" si="3609"/>
        <v>0</v>
      </c>
      <c r="N629" s="95"/>
      <c r="O629" s="204">
        <f t="shared" si="3609"/>
        <v>0</v>
      </c>
      <c r="P629" s="95"/>
      <c r="Q629" s="204">
        <f t="shared" ref="Q629:S629" si="3890">IFERROR(P629/$G629," ")</f>
        <v>0</v>
      </c>
      <c r="R629" s="95"/>
      <c r="S629" s="204">
        <f t="shared" si="3890"/>
        <v>0</v>
      </c>
      <c r="T629" s="95"/>
      <c r="U629" s="204">
        <f t="shared" ref="U629:W629" si="3891">IFERROR(T629/$G629," ")</f>
        <v>0</v>
      </c>
      <c r="V629" s="95"/>
      <c r="W629" s="204">
        <f t="shared" si="3891"/>
        <v>0</v>
      </c>
      <c r="X629" s="95"/>
      <c r="Y629" s="204">
        <f t="shared" ref="Y629:AA629" si="3892">IFERROR(X629/$G629," ")</f>
        <v>0</v>
      </c>
      <c r="Z629" s="95"/>
      <c r="AA629" s="204">
        <f t="shared" si="3892"/>
        <v>0</v>
      </c>
      <c r="AB629" s="95"/>
      <c r="AC629" s="204">
        <f t="shared" ref="AC629:AE629" si="3893">IFERROR(AB629/$G629," ")</f>
        <v>0</v>
      </c>
      <c r="AD629" s="95"/>
      <c r="AE629" s="204">
        <f t="shared" si="3893"/>
        <v>0</v>
      </c>
      <c r="AF629" s="95">
        <v>1</v>
      </c>
      <c r="AG629" s="204">
        <f t="shared" ref="AG629:AI629" si="3894">IFERROR(AF629/$G629," ")</f>
        <v>1</v>
      </c>
      <c r="AH629" s="95">
        <v>1</v>
      </c>
      <c r="AI629" s="204">
        <f t="shared" si="3894"/>
        <v>1</v>
      </c>
      <c r="AJ629" s="95">
        <v>1</v>
      </c>
      <c r="AK629" s="204">
        <f t="shared" ref="AK629:AM629" si="3895">IFERROR(AJ629/$G629," ")</f>
        <v>1</v>
      </c>
      <c r="AL629" s="95">
        <v>1</v>
      </c>
      <c r="AM629" s="204">
        <f t="shared" si="3895"/>
        <v>1</v>
      </c>
      <c r="AN629" s="95"/>
      <c r="AO629" s="94">
        <f t="shared" si="3616"/>
        <v>0</v>
      </c>
      <c r="AP629" s="94">
        <f t="shared" si="3863"/>
        <v>0</v>
      </c>
      <c r="AQ629" s="94">
        <f t="shared" si="3864"/>
        <v>0</v>
      </c>
      <c r="AR629" s="94">
        <f t="shared" si="3865"/>
        <v>0</v>
      </c>
      <c r="AS629" s="94">
        <f t="shared" si="3742"/>
        <v>0</v>
      </c>
      <c r="AT629" s="94">
        <f t="shared" si="3617"/>
        <v>0</v>
      </c>
      <c r="AU629" s="94">
        <f t="shared" si="3618"/>
        <v>0</v>
      </c>
      <c r="AV629" s="94">
        <f t="shared" si="3619"/>
        <v>0</v>
      </c>
      <c r="AW629" s="94">
        <f t="shared" si="3620"/>
        <v>0</v>
      </c>
      <c r="AX629" s="94">
        <f t="shared" si="3621"/>
        <v>0</v>
      </c>
      <c r="AY629" s="94">
        <f t="shared" si="3622"/>
        <v>49564.473599999998</v>
      </c>
      <c r="AZ629" s="94">
        <f t="shared" si="3623"/>
        <v>49564.473599999998</v>
      </c>
      <c r="BA629" s="94">
        <f t="shared" si="3624"/>
        <v>49564.473599999998</v>
      </c>
      <c r="BB629" s="94">
        <f t="shared" si="3625"/>
        <v>49564.473599999998</v>
      </c>
    </row>
    <row r="630" spans="1:54" x14ac:dyDescent="0.25">
      <c r="A630" s="80" t="s">
        <v>2697</v>
      </c>
      <c r="B630" s="95" t="s">
        <v>2510</v>
      </c>
      <c r="C630" s="201" t="s">
        <v>2511</v>
      </c>
      <c r="D630" s="80" t="s">
        <v>2416</v>
      </c>
      <c r="E630" s="94">
        <f>IFERROR(VLOOKUP(A630,Estimate!A:Q,17,FALSE)," ")</f>
        <v>5000</v>
      </c>
      <c r="F630" s="202">
        <v>1</v>
      </c>
      <c r="G630" s="202">
        <v>1</v>
      </c>
      <c r="H630" s="203">
        <v>5914</v>
      </c>
      <c r="I630" s="203">
        <v>5914</v>
      </c>
      <c r="J630" s="203">
        <v>5914</v>
      </c>
      <c r="K630" s="203"/>
      <c r="L630" s="202"/>
      <c r="M630" s="204">
        <f t="shared" si="3609"/>
        <v>0</v>
      </c>
      <c r="N630" s="95"/>
      <c r="O630" s="204">
        <f t="shared" si="3609"/>
        <v>0</v>
      </c>
      <c r="P630" s="95"/>
      <c r="Q630" s="204">
        <f t="shared" ref="Q630:S630" si="3896">IFERROR(P630/$G630," ")</f>
        <v>0</v>
      </c>
      <c r="R630" s="95"/>
      <c r="S630" s="204">
        <f t="shared" si="3896"/>
        <v>0</v>
      </c>
      <c r="T630" s="95"/>
      <c r="U630" s="204">
        <f t="shared" ref="U630:W630" si="3897">IFERROR(T630/$G630," ")</f>
        <v>0</v>
      </c>
      <c r="V630" s="95"/>
      <c r="W630" s="204">
        <f t="shared" si="3897"/>
        <v>0</v>
      </c>
      <c r="X630" s="95"/>
      <c r="Y630" s="204">
        <f t="shared" ref="Y630:AA630" si="3898">IFERROR(X630/$G630," ")</f>
        <v>0</v>
      </c>
      <c r="Z630" s="95"/>
      <c r="AA630" s="204">
        <f t="shared" si="3898"/>
        <v>0</v>
      </c>
      <c r="AB630" s="95"/>
      <c r="AC630" s="204">
        <f t="shared" ref="AC630:AE630" si="3899">IFERROR(AB630/$G630," ")</f>
        <v>0</v>
      </c>
      <c r="AD630" s="95"/>
      <c r="AE630" s="204">
        <f t="shared" si="3899"/>
        <v>0</v>
      </c>
      <c r="AF630" s="95">
        <v>1</v>
      </c>
      <c r="AG630" s="204">
        <f t="shared" ref="AG630:AI630" si="3900">IFERROR(AF630/$G630," ")</f>
        <v>1</v>
      </c>
      <c r="AH630" s="95">
        <v>1</v>
      </c>
      <c r="AI630" s="204">
        <f t="shared" si="3900"/>
        <v>1</v>
      </c>
      <c r="AJ630" s="95">
        <v>1</v>
      </c>
      <c r="AK630" s="204">
        <f t="shared" ref="AK630:AM630" si="3901">IFERROR(AJ630/$G630," ")</f>
        <v>1</v>
      </c>
      <c r="AL630" s="95">
        <v>1</v>
      </c>
      <c r="AM630" s="204">
        <f t="shared" si="3901"/>
        <v>1</v>
      </c>
      <c r="AN630" s="95"/>
      <c r="AO630" s="94">
        <f t="shared" si="3616"/>
        <v>0</v>
      </c>
      <c r="AP630" s="94">
        <f t="shared" si="3863"/>
        <v>0</v>
      </c>
      <c r="AQ630" s="94">
        <f t="shared" si="3864"/>
        <v>0</v>
      </c>
      <c r="AR630" s="94">
        <f t="shared" si="3865"/>
        <v>0</v>
      </c>
      <c r="AS630" s="94">
        <f t="shared" si="3742"/>
        <v>0</v>
      </c>
      <c r="AT630" s="94">
        <f t="shared" si="3617"/>
        <v>0</v>
      </c>
      <c r="AU630" s="94">
        <f t="shared" si="3618"/>
        <v>0</v>
      </c>
      <c r="AV630" s="94">
        <f t="shared" si="3619"/>
        <v>0</v>
      </c>
      <c r="AW630" s="94">
        <f t="shared" si="3620"/>
        <v>0</v>
      </c>
      <c r="AX630" s="94">
        <f t="shared" si="3621"/>
        <v>0</v>
      </c>
      <c r="AY630" s="94">
        <f t="shared" si="3622"/>
        <v>5914</v>
      </c>
      <c r="AZ630" s="94">
        <f t="shared" si="3623"/>
        <v>5914</v>
      </c>
      <c r="BA630" s="94">
        <f t="shared" si="3624"/>
        <v>5914</v>
      </c>
      <c r="BB630" s="94">
        <f t="shared" si="3625"/>
        <v>5914</v>
      </c>
    </row>
    <row r="631" spans="1:54" x14ac:dyDescent="0.25">
      <c r="A631" s="80" t="s">
        <v>2710</v>
      </c>
      <c r="B631" s="95" t="s">
        <v>2536</v>
      </c>
      <c r="C631" s="201" t="s">
        <v>2537</v>
      </c>
      <c r="D631" s="80" t="s">
        <v>2416</v>
      </c>
      <c r="E631" s="94">
        <f>IFERROR(VLOOKUP(A631,Estimate!A:Q,17,FALSE)," ")</f>
        <v>9050</v>
      </c>
      <c r="F631" s="202">
        <v>1</v>
      </c>
      <c r="G631" s="202">
        <v>1</v>
      </c>
      <c r="H631" s="203">
        <v>12325</v>
      </c>
      <c r="I631" s="203">
        <v>12325</v>
      </c>
      <c r="J631" s="203">
        <v>12325</v>
      </c>
      <c r="K631" s="203"/>
      <c r="L631" s="202"/>
      <c r="M631" s="204">
        <f t="shared" si="3609"/>
        <v>0</v>
      </c>
      <c r="N631" s="95"/>
      <c r="O631" s="204">
        <f t="shared" si="3609"/>
        <v>0</v>
      </c>
      <c r="P631" s="95"/>
      <c r="Q631" s="204">
        <f t="shared" ref="Q631:S631" si="3902">IFERROR(P631/$G631," ")</f>
        <v>0</v>
      </c>
      <c r="R631" s="95"/>
      <c r="S631" s="204">
        <f t="shared" si="3902"/>
        <v>0</v>
      </c>
      <c r="T631" s="95"/>
      <c r="U631" s="204">
        <f t="shared" ref="U631:W631" si="3903">IFERROR(T631/$G631," ")</f>
        <v>0</v>
      </c>
      <c r="V631" s="95"/>
      <c r="W631" s="204">
        <f t="shared" si="3903"/>
        <v>0</v>
      </c>
      <c r="X631" s="95"/>
      <c r="Y631" s="204">
        <f t="shared" ref="Y631:AA631" si="3904">IFERROR(X631/$G631," ")</f>
        <v>0</v>
      </c>
      <c r="Z631" s="95"/>
      <c r="AA631" s="204">
        <f t="shared" si="3904"/>
        <v>0</v>
      </c>
      <c r="AB631" s="95"/>
      <c r="AC631" s="204">
        <f t="shared" ref="AC631:AE631" si="3905">IFERROR(AB631/$G631," ")</f>
        <v>0</v>
      </c>
      <c r="AD631" s="95"/>
      <c r="AE631" s="204">
        <f t="shared" si="3905"/>
        <v>0</v>
      </c>
      <c r="AF631" s="95"/>
      <c r="AG631" s="204">
        <f t="shared" ref="AG631:AI631" si="3906">IFERROR(AF631/$G631," ")</f>
        <v>0</v>
      </c>
      <c r="AH631" s="95">
        <v>1</v>
      </c>
      <c r="AI631" s="204">
        <f t="shared" si="3906"/>
        <v>1</v>
      </c>
      <c r="AJ631" s="95">
        <v>1</v>
      </c>
      <c r="AK631" s="204">
        <f t="shared" ref="AK631:AM631" si="3907">IFERROR(AJ631/$G631," ")</f>
        <v>1</v>
      </c>
      <c r="AL631" s="95">
        <v>1</v>
      </c>
      <c r="AM631" s="204">
        <f t="shared" si="3907"/>
        <v>1</v>
      </c>
      <c r="AN631" s="95"/>
      <c r="AO631" s="94">
        <f t="shared" si="3616"/>
        <v>0</v>
      </c>
      <c r="AP631" s="94">
        <f t="shared" si="3863"/>
        <v>0</v>
      </c>
      <c r="AQ631" s="94">
        <f t="shared" si="3864"/>
        <v>0</v>
      </c>
      <c r="AR631" s="94">
        <f t="shared" si="3865"/>
        <v>0</v>
      </c>
      <c r="AS631" s="94">
        <f t="shared" si="3742"/>
        <v>0</v>
      </c>
      <c r="AT631" s="94">
        <f t="shared" si="3617"/>
        <v>0</v>
      </c>
      <c r="AU631" s="94">
        <f t="shared" si="3618"/>
        <v>0</v>
      </c>
      <c r="AV631" s="94">
        <f t="shared" si="3619"/>
        <v>0</v>
      </c>
      <c r="AW631" s="94">
        <f t="shared" si="3620"/>
        <v>0</v>
      </c>
      <c r="AX631" s="94">
        <f t="shared" si="3621"/>
        <v>0</v>
      </c>
      <c r="AY631" s="94">
        <f t="shared" si="3622"/>
        <v>0</v>
      </c>
      <c r="AZ631" s="94">
        <f t="shared" si="3623"/>
        <v>12325</v>
      </c>
      <c r="BA631" s="94">
        <f t="shared" si="3624"/>
        <v>12325</v>
      </c>
      <c r="BB631" s="94">
        <f t="shared" si="3625"/>
        <v>12325</v>
      </c>
    </row>
    <row r="632" spans="1:54" x14ac:dyDescent="0.25">
      <c r="A632" s="80" t="s">
        <v>2711</v>
      </c>
      <c r="B632" s="95" t="s">
        <v>2538</v>
      </c>
      <c r="C632" s="201" t="s">
        <v>2539</v>
      </c>
      <c r="D632" s="80" t="s">
        <v>2416</v>
      </c>
      <c r="E632" s="94">
        <f>IFERROR(VLOOKUP(A632,Estimate!A:Q,17,FALSE)," ")</f>
        <v>446</v>
      </c>
      <c r="F632" s="202">
        <v>1</v>
      </c>
      <c r="G632" s="202">
        <v>1</v>
      </c>
      <c r="H632" s="203">
        <v>493.08</v>
      </c>
      <c r="I632" s="203">
        <v>493.08</v>
      </c>
      <c r="J632" s="203">
        <v>493.08</v>
      </c>
      <c r="K632" s="203"/>
      <c r="L632" s="202"/>
      <c r="M632" s="204">
        <f t="shared" si="3609"/>
        <v>0</v>
      </c>
      <c r="N632" s="95"/>
      <c r="O632" s="204">
        <f t="shared" si="3609"/>
        <v>0</v>
      </c>
      <c r="P632" s="95"/>
      <c r="Q632" s="204">
        <f t="shared" ref="Q632:S632" si="3908">IFERROR(P632/$G632," ")</f>
        <v>0</v>
      </c>
      <c r="R632" s="95"/>
      <c r="S632" s="204">
        <f t="shared" si="3908"/>
        <v>0</v>
      </c>
      <c r="T632" s="95"/>
      <c r="U632" s="204">
        <f t="shared" ref="U632:W632" si="3909">IFERROR(T632/$G632," ")</f>
        <v>0</v>
      </c>
      <c r="V632" s="95"/>
      <c r="W632" s="204">
        <f t="shared" si="3909"/>
        <v>0</v>
      </c>
      <c r="X632" s="95"/>
      <c r="Y632" s="204">
        <f t="shared" ref="Y632:AA632" si="3910">IFERROR(X632/$G632," ")</f>
        <v>0</v>
      </c>
      <c r="Z632" s="95"/>
      <c r="AA632" s="204">
        <f t="shared" si="3910"/>
        <v>0</v>
      </c>
      <c r="AB632" s="95"/>
      <c r="AC632" s="204">
        <f t="shared" ref="AC632:AE632" si="3911">IFERROR(AB632/$G632," ")</f>
        <v>0</v>
      </c>
      <c r="AD632" s="95"/>
      <c r="AE632" s="204">
        <f t="shared" si="3911"/>
        <v>0</v>
      </c>
      <c r="AF632" s="95"/>
      <c r="AG632" s="204">
        <f t="shared" ref="AG632:AI632" si="3912">IFERROR(AF632/$G632," ")</f>
        <v>0</v>
      </c>
      <c r="AH632" s="95">
        <v>1</v>
      </c>
      <c r="AI632" s="204">
        <f t="shared" si="3912"/>
        <v>1</v>
      </c>
      <c r="AJ632" s="95">
        <v>1</v>
      </c>
      <c r="AK632" s="204">
        <f t="shared" ref="AK632:AM632" si="3913">IFERROR(AJ632/$G632," ")</f>
        <v>1</v>
      </c>
      <c r="AL632" s="95">
        <v>1</v>
      </c>
      <c r="AM632" s="204">
        <f t="shared" si="3913"/>
        <v>1</v>
      </c>
      <c r="AN632" s="95"/>
      <c r="AO632" s="94">
        <f t="shared" si="3616"/>
        <v>0</v>
      </c>
      <c r="AP632" s="94">
        <f t="shared" si="3863"/>
        <v>0</v>
      </c>
      <c r="AQ632" s="94">
        <f t="shared" si="3864"/>
        <v>0</v>
      </c>
      <c r="AR632" s="94">
        <f t="shared" si="3865"/>
        <v>0</v>
      </c>
      <c r="AS632" s="94">
        <f t="shared" si="3742"/>
        <v>0</v>
      </c>
      <c r="AT632" s="94">
        <f t="shared" si="3617"/>
        <v>0</v>
      </c>
      <c r="AU632" s="94">
        <f t="shared" si="3618"/>
        <v>0</v>
      </c>
      <c r="AV632" s="94">
        <f t="shared" si="3619"/>
        <v>0</v>
      </c>
      <c r="AW632" s="94">
        <f t="shared" si="3620"/>
        <v>0</v>
      </c>
      <c r="AX632" s="94">
        <f t="shared" si="3621"/>
        <v>0</v>
      </c>
      <c r="AY632" s="94">
        <f t="shared" si="3622"/>
        <v>0</v>
      </c>
      <c r="AZ632" s="94">
        <f t="shared" si="3623"/>
        <v>493.08</v>
      </c>
      <c r="BA632" s="94">
        <f t="shared" si="3624"/>
        <v>493.08</v>
      </c>
      <c r="BB632" s="94">
        <f t="shared" si="3625"/>
        <v>493.08</v>
      </c>
    </row>
    <row r="633" spans="1:54" x14ac:dyDescent="0.25">
      <c r="A633" s="80" t="s">
        <v>2712</v>
      </c>
      <c r="B633" s="95" t="s">
        <v>2534</v>
      </c>
      <c r="C633" s="201" t="s">
        <v>2535</v>
      </c>
      <c r="D633" s="80" t="s">
        <v>83</v>
      </c>
      <c r="E633" s="94">
        <f>IFERROR(VLOOKUP(A633,Estimate!A:Q,17,FALSE)," ")</f>
        <v>831.3066666666665</v>
      </c>
      <c r="F633" s="202">
        <v>8.4</v>
      </c>
      <c r="G633" s="202">
        <v>8.4</v>
      </c>
      <c r="H633" s="203">
        <v>89</v>
      </c>
      <c r="I633" s="203">
        <v>747.6</v>
      </c>
      <c r="J633" s="203">
        <v>747.6</v>
      </c>
      <c r="K633" s="203"/>
      <c r="L633" s="202"/>
      <c r="M633" s="204">
        <f t="shared" si="3609"/>
        <v>0</v>
      </c>
      <c r="N633" s="95"/>
      <c r="O633" s="204">
        <f t="shared" si="3609"/>
        <v>0</v>
      </c>
      <c r="P633" s="95"/>
      <c r="Q633" s="204">
        <f t="shared" ref="Q633:S633" si="3914">IFERROR(P633/$G633," ")</f>
        <v>0</v>
      </c>
      <c r="R633" s="95"/>
      <c r="S633" s="204">
        <f t="shared" si="3914"/>
        <v>0</v>
      </c>
      <c r="T633" s="95"/>
      <c r="U633" s="204">
        <f t="shared" ref="U633:W633" si="3915">IFERROR(T633/$G633," ")</f>
        <v>0</v>
      </c>
      <c r="V633" s="95"/>
      <c r="W633" s="204">
        <f t="shared" si="3915"/>
        <v>0</v>
      </c>
      <c r="X633" s="95"/>
      <c r="Y633" s="204">
        <f t="shared" ref="Y633:AA633" si="3916">IFERROR(X633/$G633," ")</f>
        <v>0</v>
      </c>
      <c r="Z633" s="95"/>
      <c r="AA633" s="204">
        <f t="shared" si="3916"/>
        <v>0</v>
      </c>
      <c r="AB633" s="95"/>
      <c r="AC633" s="204">
        <f t="shared" ref="AC633:AE633" si="3917">IFERROR(AB633/$G633," ")</f>
        <v>0</v>
      </c>
      <c r="AD633" s="95"/>
      <c r="AE633" s="204">
        <f t="shared" si="3917"/>
        <v>0</v>
      </c>
      <c r="AF633" s="95"/>
      <c r="AG633" s="204">
        <f t="shared" ref="AG633:AI633" si="3918">IFERROR(AF633/$G633," ")</f>
        <v>0</v>
      </c>
      <c r="AH633" s="95">
        <v>8.4</v>
      </c>
      <c r="AI633" s="204">
        <f t="shared" si="3918"/>
        <v>1</v>
      </c>
      <c r="AJ633" s="95">
        <v>8.4</v>
      </c>
      <c r="AK633" s="204">
        <f t="shared" ref="AK633:AM633" si="3919">IFERROR(AJ633/$G633," ")</f>
        <v>1</v>
      </c>
      <c r="AL633" s="95">
        <v>8.4</v>
      </c>
      <c r="AM633" s="204">
        <f t="shared" si="3919"/>
        <v>1</v>
      </c>
      <c r="AN633" s="95"/>
      <c r="AO633" s="94">
        <f t="shared" si="3616"/>
        <v>0</v>
      </c>
      <c r="AP633" s="94">
        <f t="shared" si="3863"/>
        <v>0</v>
      </c>
      <c r="AQ633" s="94">
        <f t="shared" si="3864"/>
        <v>0</v>
      </c>
      <c r="AR633" s="94">
        <f t="shared" si="3865"/>
        <v>0</v>
      </c>
      <c r="AS633" s="94">
        <f t="shared" si="3742"/>
        <v>0</v>
      </c>
      <c r="AT633" s="94">
        <f t="shared" si="3617"/>
        <v>0</v>
      </c>
      <c r="AU633" s="94">
        <f t="shared" si="3618"/>
        <v>0</v>
      </c>
      <c r="AV633" s="94">
        <f t="shared" si="3619"/>
        <v>0</v>
      </c>
      <c r="AW633" s="94">
        <f t="shared" si="3620"/>
        <v>0</v>
      </c>
      <c r="AX633" s="94">
        <f t="shared" si="3621"/>
        <v>0</v>
      </c>
      <c r="AY633" s="94">
        <f t="shared" si="3622"/>
        <v>0</v>
      </c>
      <c r="AZ633" s="94">
        <f t="shared" si="3623"/>
        <v>747.6</v>
      </c>
      <c r="BA633" s="94">
        <f t="shared" si="3624"/>
        <v>747.6</v>
      </c>
      <c r="BB633" s="94">
        <f t="shared" si="3625"/>
        <v>747.6</v>
      </c>
    </row>
    <row r="634" spans="1:54" x14ac:dyDescent="0.25">
      <c r="A634" s="80" t="s">
        <v>2714</v>
      </c>
      <c r="B634" s="95" t="s">
        <v>2542</v>
      </c>
      <c r="C634" s="201" t="s">
        <v>2942</v>
      </c>
      <c r="D634" s="80" t="s">
        <v>2416</v>
      </c>
      <c r="E634" s="94">
        <f>IFERROR(VLOOKUP(A634,Estimate!A:Q,17,FALSE)," ")</f>
        <v>2960</v>
      </c>
      <c r="F634" s="202">
        <v>1</v>
      </c>
      <c r="G634" s="202">
        <v>1</v>
      </c>
      <c r="H634" s="203">
        <v>4062.6</v>
      </c>
      <c r="I634" s="203">
        <v>4062.6</v>
      </c>
      <c r="J634" s="203">
        <v>4062.6</v>
      </c>
      <c r="K634" s="203"/>
      <c r="L634" s="202"/>
      <c r="M634" s="204">
        <f t="shared" si="3609"/>
        <v>0</v>
      </c>
      <c r="N634" s="95"/>
      <c r="O634" s="204">
        <f t="shared" si="3609"/>
        <v>0</v>
      </c>
      <c r="P634" s="95"/>
      <c r="Q634" s="204">
        <f t="shared" ref="Q634:S634" si="3920">IFERROR(P634/$G634," ")</f>
        <v>0</v>
      </c>
      <c r="R634" s="95"/>
      <c r="S634" s="204">
        <f t="shared" si="3920"/>
        <v>0</v>
      </c>
      <c r="T634" s="95"/>
      <c r="U634" s="204">
        <f t="shared" ref="U634:W634" si="3921">IFERROR(T634/$G634," ")</f>
        <v>0</v>
      </c>
      <c r="V634" s="95"/>
      <c r="W634" s="204">
        <f t="shared" si="3921"/>
        <v>0</v>
      </c>
      <c r="X634" s="95"/>
      <c r="Y634" s="204">
        <f t="shared" ref="Y634:AA634" si="3922">IFERROR(X634/$G634," ")</f>
        <v>0</v>
      </c>
      <c r="Z634" s="95"/>
      <c r="AA634" s="204">
        <f t="shared" si="3922"/>
        <v>0</v>
      </c>
      <c r="AB634" s="95"/>
      <c r="AC634" s="204">
        <f t="shared" ref="AC634:AE634" si="3923">IFERROR(AB634/$G634," ")</f>
        <v>0</v>
      </c>
      <c r="AD634" s="95"/>
      <c r="AE634" s="204">
        <f t="shared" si="3923"/>
        <v>0</v>
      </c>
      <c r="AF634" s="95"/>
      <c r="AG634" s="204">
        <f t="shared" ref="AG634:AI634" si="3924">IFERROR(AF634/$G634," ")</f>
        <v>0</v>
      </c>
      <c r="AH634" s="95"/>
      <c r="AI634" s="204">
        <f t="shared" si="3924"/>
        <v>0</v>
      </c>
      <c r="AJ634" s="95">
        <v>1</v>
      </c>
      <c r="AK634" s="204">
        <f t="shared" ref="AK634:AM634" si="3925">IFERROR(AJ634/$G634," ")</f>
        <v>1</v>
      </c>
      <c r="AL634" s="95">
        <v>1</v>
      </c>
      <c r="AM634" s="204">
        <f t="shared" si="3925"/>
        <v>1</v>
      </c>
      <c r="AN634" s="95"/>
      <c r="AO634" s="94">
        <f t="shared" si="3616"/>
        <v>0</v>
      </c>
      <c r="AP634" s="94">
        <f t="shared" si="3863"/>
        <v>0</v>
      </c>
      <c r="AQ634" s="94">
        <f t="shared" si="3864"/>
        <v>0</v>
      </c>
      <c r="AR634" s="94">
        <f t="shared" si="3865"/>
        <v>0</v>
      </c>
      <c r="AS634" s="94">
        <f t="shared" si="3742"/>
        <v>0</v>
      </c>
      <c r="AT634" s="94">
        <f t="shared" si="3617"/>
        <v>0</v>
      </c>
      <c r="AU634" s="94">
        <f t="shared" si="3618"/>
        <v>0</v>
      </c>
      <c r="AV634" s="94">
        <f t="shared" si="3619"/>
        <v>0</v>
      </c>
      <c r="AW634" s="94">
        <f t="shared" si="3620"/>
        <v>0</v>
      </c>
      <c r="AX634" s="94">
        <f t="shared" si="3621"/>
        <v>0</v>
      </c>
      <c r="AY634" s="94">
        <f t="shared" si="3622"/>
        <v>0</v>
      </c>
      <c r="AZ634" s="94">
        <f t="shared" si="3623"/>
        <v>0</v>
      </c>
      <c r="BA634" s="94">
        <f t="shared" si="3624"/>
        <v>4062.6</v>
      </c>
      <c r="BB634" s="94">
        <f t="shared" si="3625"/>
        <v>4062.6</v>
      </c>
    </row>
    <row r="635" spans="1:54" x14ac:dyDescent="0.25">
      <c r="A635" s="80"/>
      <c r="B635" s="95"/>
      <c r="C635" s="201"/>
      <c r="D635" s="80"/>
      <c r="E635" s="94" t="str">
        <f>IFERROR(VLOOKUP(A635,Estimate!A:Q,17,FALSE)," ")</f>
        <v xml:space="preserve"> </v>
      </c>
      <c r="F635" s="202"/>
      <c r="G635" s="202"/>
      <c r="H635" s="203"/>
      <c r="I635" s="203"/>
      <c r="J635" s="203"/>
      <c r="K635" s="203"/>
      <c r="L635" s="202"/>
      <c r="M635" s="204" t="str">
        <f t="shared" si="3609"/>
        <v xml:space="preserve"> </v>
      </c>
      <c r="N635" s="95"/>
      <c r="O635" s="204" t="str">
        <f t="shared" si="3609"/>
        <v xml:space="preserve"> </v>
      </c>
      <c r="P635" s="95"/>
      <c r="Q635" s="204" t="str">
        <f t="shared" ref="Q635:S635" si="3926">IFERROR(P635/$G635," ")</f>
        <v xml:space="preserve"> </v>
      </c>
      <c r="R635" s="95"/>
      <c r="S635" s="204" t="str">
        <f t="shared" si="3926"/>
        <v xml:space="preserve"> </v>
      </c>
      <c r="T635" s="95"/>
      <c r="U635" s="204" t="str">
        <f t="shared" ref="U635:W635" si="3927">IFERROR(T635/$G635," ")</f>
        <v xml:space="preserve"> </v>
      </c>
      <c r="V635" s="95"/>
      <c r="W635" s="204" t="str">
        <f t="shared" si="3927"/>
        <v xml:space="preserve"> </v>
      </c>
      <c r="X635" s="95"/>
      <c r="Y635" s="204" t="str">
        <f t="shared" ref="Y635:AA635" si="3928">IFERROR(X635/$G635," ")</f>
        <v xml:space="preserve"> </v>
      </c>
      <c r="Z635" s="95"/>
      <c r="AA635" s="204" t="str">
        <f t="shared" si="3928"/>
        <v xml:space="preserve"> </v>
      </c>
      <c r="AB635" s="95"/>
      <c r="AC635" s="204" t="str">
        <f t="shared" ref="AC635:AE635" si="3929">IFERROR(AB635/$G635," ")</f>
        <v xml:space="preserve"> </v>
      </c>
      <c r="AD635" s="95"/>
      <c r="AE635" s="204" t="str">
        <f t="shared" si="3929"/>
        <v xml:space="preserve"> </v>
      </c>
      <c r="AF635" s="95"/>
      <c r="AG635" s="204" t="str">
        <f t="shared" ref="AG635:AI635" si="3930">IFERROR(AF635/$G635," ")</f>
        <v xml:space="preserve"> </v>
      </c>
      <c r="AH635" s="95"/>
      <c r="AI635" s="204" t="str">
        <f t="shared" si="3930"/>
        <v xml:space="preserve"> </v>
      </c>
      <c r="AJ635" s="95"/>
      <c r="AK635" s="204" t="str">
        <f t="shared" ref="AK635:AM635" si="3931">IFERROR(AJ635/$G635," ")</f>
        <v xml:space="preserve"> </v>
      </c>
      <c r="AL635" s="95"/>
      <c r="AM635" s="204" t="str">
        <f t="shared" si="3931"/>
        <v xml:space="preserve"> </v>
      </c>
      <c r="AN635" s="95"/>
      <c r="AO635" s="94" t="str">
        <f t="shared" si="3616"/>
        <v xml:space="preserve"> </v>
      </c>
      <c r="AP635" s="94" t="str">
        <f t="shared" si="3863"/>
        <v xml:space="preserve"> </v>
      </c>
      <c r="AQ635" s="94" t="str">
        <f t="shared" si="3864"/>
        <v xml:space="preserve"> </v>
      </c>
      <c r="AR635" s="94" t="str">
        <f t="shared" si="3865"/>
        <v xml:space="preserve"> </v>
      </c>
      <c r="AS635" s="94" t="str">
        <f t="shared" si="3742"/>
        <v xml:space="preserve"> </v>
      </c>
      <c r="AT635" s="94" t="str">
        <f t="shared" si="3617"/>
        <v xml:space="preserve"> </v>
      </c>
      <c r="AU635" s="94" t="str">
        <f t="shared" si="3618"/>
        <v xml:space="preserve"> </v>
      </c>
      <c r="AV635" s="94" t="str">
        <f t="shared" si="3619"/>
        <v xml:space="preserve"> </v>
      </c>
      <c r="AW635" s="94" t="str">
        <f t="shared" si="3620"/>
        <v xml:space="preserve"> </v>
      </c>
      <c r="AX635" s="94" t="str">
        <f t="shared" si="3621"/>
        <v xml:space="preserve"> </v>
      </c>
      <c r="AY635" s="94" t="str">
        <f t="shared" si="3622"/>
        <v xml:space="preserve"> </v>
      </c>
      <c r="AZ635" s="94" t="str">
        <f t="shared" si="3623"/>
        <v xml:space="preserve"> </v>
      </c>
      <c r="BA635" s="94" t="str">
        <f t="shared" si="3624"/>
        <v xml:space="preserve"> </v>
      </c>
      <c r="BB635" s="94" t="str">
        <f t="shared" si="3625"/>
        <v xml:space="preserve"> </v>
      </c>
    </row>
    <row r="636" spans="1:54" ht="30" x14ac:dyDescent="0.25">
      <c r="A636" s="80" t="s">
        <v>2717</v>
      </c>
      <c r="B636" s="201" t="s">
        <v>2520</v>
      </c>
      <c r="C636" s="201" t="s">
        <v>2943</v>
      </c>
      <c r="D636" s="80"/>
      <c r="E636" s="94">
        <f>IFERROR(VLOOKUP(A636,Estimate!A:Q,17,FALSE)," ")</f>
        <v>14650.582596491231</v>
      </c>
      <c r="F636" s="202">
        <v>1</v>
      </c>
      <c r="G636" s="202">
        <v>1</v>
      </c>
      <c r="H636" s="203">
        <v>33949.314400000003</v>
      </c>
      <c r="I636" s="203">
        <v>33949.314400000003</v>
      </c>
      <c r="J636" s="203">
        <v>33949.314400000003</v>
      </c>
      <c r="K636" s="203"/>
      <c r="L636" s="202"/>
      <c r="M636" s="204">
        <f t="shared" si="3609"/>
        <v>0</v>
      </c>
      <c r="N636" s="95"/>
      <c r="O636" s="204">
        <f t="shared" si="3609"/>
        <v>0</v>
      </c>
      <c r="P636" s="95"/>
      <c r="Q636" s="204">
        <f t="shared" ref="Q636:S636" si="3932">IFERROR(P636/$G636," ")</f>
        <v>0</v>
      </c>
      <c r="R636" s="95"/>
      <c r="S636" s="204">
        <f t="shared" si="3932"/>
        <v>0</v>
      </c>
      <c r="T636" s="95"/>
      <c r="U636" s="204">
        <f t="shared" ref="U636:W636" si="3933">IFERROR(T636/$G636," ")</f>
        <v>0</v>
      </c>
      <c r="V636" s="95"/>
      <c r="W636" s="204">
        <f t="shared" si="3933"/>
        <v>0</v>
      </c>
      <c r="X636" s="95"/>
      <c r="Y636" s="204">
        <f t="shared" ref="Y636:AA636" si="3934">IFERROR(X636/$G636," ")</f>
        <v>0</v>
      </c>
      <c r="Z636" s="95"/>
      <c r="AA636" s="204">
        <f t="shared" si="3934"/>
        <v>0</v>
      </c>
      <c r="AB636" s="95"/>
      <c r="AC636" s="204">
        <f t="shared" ref="AC636:AE636" si="3935">IFERROR(AB636/$G636," ")</f>
        <v>0</v>
      </c>
      <c r="AD636" s="95"/>
      <c r="AE636" s="204">
        <f t="shared" si="3935"/>
        <v>0</v>
      </c>
      <c r="AF636" s="95">
        <v>1</v>
      </c>
      <c r="AG636" s="204">
        <f t="shared" ref="AG636:AI636" si="3936">IFERROR(AF636/$G636," ")</f>
        <v>1</v>
      </c>
      <c r="AH636" s="95">
        <v>1</v>
      </c>
      <c r="AI636" s="204">
        <f t="shared" si="3936"/>
        <v>1</v>
      </c>
      <c r="AJ636" s="95">
        <v>1</v>
      </c>
      <c r="AK636" s="204">
        <f t="shared" ref="AK636:AM636" si="3937">IFERROR(AJ636/$G636," ")</f>
        <v>1</v>
      </c>
      <c r="AL636" s="95">
        <v>1</v>
      </c>
      <c r="AM636" s="204">
        <f t="shared" si="3937"/>
        <v>1</v>
      </c>
      <c r="AN636" s="95"/>
      <c r="AO636" s="94">
        <f t="shared" si="3616"/>
        <v>0</v>
      </c>
      <c r="AP636" s="94">
        <f t="shared" si="3863"/>
        <v>0</v>
      </c>
      <c r="AQ636" s="94">
        <f t="shared" si="3864"/>
        <v>0</v>
      </c>
      <c r="AR636" s="94">
        <f t="shared" si="3865"/>
        <v>0</v>
      </c>
      <c r="AS636" s="94">
        <f t="shared" si="3742"/>
        <v>0</v>
      </c>
      <c r="AT636" s="94">
        <f t="shared" si="3617"/>
        <v>0</v>
      </c>
      <c r="AU636" s="94">
        <f t="shared" si="3618"/>
        <v>0</v>
      </c>
      <c r="AV636" s="94">
        <f t="shared" si="3619"/>
        <v>0</v>
      </c>
      <c r="AW636" s="94">
        <f t="shared" si="3620"/>
        <v>0</v>
      </c>
      <c r="AX636" s="94">
        <f t="shared" si="3621"/>
        <v>0</v>
      </c>
      <c r="AY636" s="94">
        <f t="shared" si="3622"/>
        <v>33949.314400000003</v>
      </c>
      <c r="AZ636" s="94">
        <f t="shared" si="3623"/>
        <v>33949.314400000003</v>
      </c>
      <c r="BA636" s="94">
        <f t="shared" si="3624"/>
        <v>33949.314400000003</v>
      </c>
      <c r="BB636" s="94">
        <f t="shared" si="3625"/>
        <v>33949.314400000003</v>
      </c>
    </row>
    <row r="637" spans="1:54" s="138" customFormat="1" x14ac:dyDescent="0.25">
      <c r="A637" s="215" t="s">
        <v>2737</v>
      </c>
      <c r="B637" s="221" t="s">
        <v>2508</v>
      </c>
      <c r="C637" s="216" t="s">
        <v>2509</v>
      </c>
      <c r="D637" s="215" t="s">
        <v>2416</v>
      </c>
      <c r="E637" s="217">
        <f>IFERROR(VLOOKUP(A637,Estimate!A:Q,17,FALSE)," ")</f>
        <v>4757.5499999999993</v>
      </c>
      <c r="F637" s="218">
        <v>1</v>
      </c>
      <c r="G637" s="218">
        <v>1</v>
      </c>
      <c r="H637" s="219">
        <v>78480.422554398421</v>
      </c>
      <c r="I637" s="219">
        <v>78480.422554398421</v>
      </c>
      <c r="J637" s="219">
        <v>78480.422554398421</v>
      </c>
      <c r="K637" s="219"/>
      <c r="L637" s="218"/>
      <c r="M637" s="220">
        <f t="shared" si="3609"/>
        <v>0</v>
      </c>
      <c r="N637" s="221"/>
      <c r="O637" s="220">
        <f t="shared" si="3609"/>
        <v>0</v>
      </c>
      <c r="P637" s="221"/>
      <c r="Q637" s="220">
        <f t="shared" ref="Q637:S637" si="3938">IFERROR(P637/$G637," ")</f>
        <v>0</v>
      </c>
      <c r="R637" s="221"/>
      <c r="S637" s="220">
        <f t="shared" si="3938"/>
        <v>0</v>
      </c>
      <c r="T637" s="221"/>
      <c r="U637" s="220">
        <f t="shared" ref="U637:W637" si="3939">IFERROR(T637/$G637," ")</f>
        <v>0</v>
      </c>
      <c r="V637" s="221"/>
      <c r="W637" s="220">
        <f t="shared" si="3939"/>
        <v>0</v>
      </c>
      <c r="X637" s="221"/>
      <c r="Y637" s="220">
        <f t="shared" ref="Y637:AA637" si="3940">IFERROR(X637/$G637," ")</f>
        <v>0</v>
      </c>
      <c r="Z637" s="221"/>
      <c r="AA637" s="220">
        <f t="shared" si="3940"/>
        <v>0</v>
      </c>
      <c r="AB637" s="221"/>
      <c r="AC637" s="220">
        <f t="shared" ref="AC637:AE637" si="3941">IFERROR(AB637/$G637," ")</f>
        <v>0</v>
      </c>
      <c r="AD637" s="221"/>
      <c r="AE637" s="220">
        <f t="shared" si="3941"/>
        <v>0</v>
      </c>
      <c r="AF637" s="221">
        <v>0.5</v>
      </c>
      <c r="AG637" s="220">
        <f t="shared" ref="AG637:AI637" si="3942">IFERROR(AF637/$G637," ")</f>
        <v>0.5</v>
      </c>
      <c r="AH637" s="221">
        <v>1</v>
      </c>
      <c r="AI637" s="220">
        <f t="shared" si="3942"/>
        <v>1</v>
      </c>
      <c r="AJ637" s="221">
        <v>1</v>
      </c>
      <c r="AK637" s="220">
        <f t="shared" ref="AK637:AM637" si="3943">IFERROR(AJ637/$G637," ")</f>
        <v>1</v>
      </c>
      <c r="AL637" s="221">
        <v>1</v>
      </c>
      <c r="AM637" s="220">
        <f t="shared" si="3943"/>
        <v>1</v>
      </c>
      <c r="AN637" s="221"/>
      <c r="AO637" s="217">
        <f t="shared" si="3616"/>
        <v>0</v>
      </c>
      <c r="AP637" s="217">
        <f t="shared" si="3863"/>
        <v>0</v>
      </c>
      <c r="AQ637" s="217">
        <f t="shared" si="3864"/>
        <v>0</v>
      </c>
      <c r="AR637" s="217">
        <f t="shared" si="3865"/>
        <v>0</v>
      </c>
      <c r="AS637" s="217">
        <f t="shared" si="3742"/>
        <v>0</v>
      </c>
      <c r="AT637" s="217">
        <f t="shared" si="3617"/>
        <v>0</v>
      </c>
      <c r="AU637" s="217">
        <f t="shared" si="3618"/>
        <v>0</v>
      </c>
      <c r="AV637" s="217">
        <f t="shared" si="3619"/>
        <v>0</v>
      </c>
      <c r="AW637" s="217">
        <f t="shared" si="3620"/>
        <v>0</v>
      </c>
      <c r="AX637" s="217">
        <f t="shared" si="3621"/>
        <v>0</v>
      </c>
      <c r="AY637" s="217">
        <f t="shared" si="3622"/>
        <v>39240.211277199211</v>
      </c>
      <c r="AZ637" s="217">
        <f t="shared" si="3623"/>
        <v>78480.422554398421</v>
      </c>
      <c r="BA637" s="217">
        <f t="shared" si="3624"/>
        <v>78480.422554398421</v>
      </c>
      <c r="BB637" s="217">
        <f t="shared" si="3625"/>
        <v>78480.422554398421</v>
      </c>
    </row>
    <row r="638" spans="1:54" ht="30" x14ac:dyDescent="0.25">
      <c r="A638" s="80" t="s">
        <v>2742</v>
      </c>
      <c r="B638" s="95" t="s">
        <v>2540</v>
      </c>
      <c r="C638" s="201" t="s">
        <v>2541</v>
      </c>
      <c r="D638" s="80" t="s">
        <v>2416</v>
      </c>
      <c r="E638" s="94">
        <f>IFERROR(VLOOKUP(A638,Estimate!A:Q,17,FALSE)," ")</f>
        <v>5117.3490000000002</v>
      </c>
      <c r="F638" s="202">
        <v>1</v>
      </c>
      <c r="G638" s="202">
        <v>1</v>
      </c>
      <c r="H638" s="203">
        <v>5850.17</v>
      </c>
      <c r="I638" s="203">
        <v>5850.17</v>
      </c>
      <c r="J638" s="203">
        <v>5850.17</v>
      </c>
      <c r="K638" s="203"/>
      <c r="L638" s="202"/>
      <c r="M638" s="204">
        <f t="shared" si="3609"/>
        <v>0</v>
      </c>
      <c r="N638" s="95"/>
      <c r="O638" s="204">
        <f t="shared" si="3609"/>
        <v>0</v>
      </c>
      <c r="P638" s="95"/>
      <c r="Q638" s="204">
        <f t="shared" ref="Q638:S638" si="3944">IFERROR(P638/$G638," ")</f>
        <v>0</v>
      </c>
      <c r="R638" s="95"/>
      <c r="S638" s="204">
        <f t="shared" si="3944"/>
        <v>0</v>
      </c>
      <c r="T638" s="95"/>
      <c r="U638" s="204">
        <f t="shared" ref="U638:W638" si="3945">IFERROR(T638/$G638," ")</f>
        <v>0</v>
      </c>
      <c r="V638" s="95"/>
      <c r="W638" s="204">
        <f t="shared" si="3945"/>
        <v>0</v>
      </c>
      <c r="X638" s="95"/>
      <c r="Y638" s="204">
        <f t="shared" ref="Y638:AA638" si="3946">IFERROR(X638/$G638," ")</f>
        <v>0</v>
      </c>
      <c r="Z638" s="95"/>
      <c r="AA638" s="204">
        <f t="shared" si="3946"/>
        <v>0</v>
      </c>
      <c r="AB638" s="95"/>
      <c r="AC638" s="204">
        <f t="shared" ref="AC638:AE638" si="3947">IFERROR(AB638/$G638," ")</f>
        <v>0</v>
      </c>
      <c r="AD638" s="95"/>
      <c r="AE638" s="204">
        <f t="shared" si="3947"/>
        <v>0</v>
      </c>
      <c r="AF638" s="95"/>
      <c r="AG638" s="204">
        <f t="shared" ref="AG638:AI638" si="3948">IFERROR(AF638/$G638," ")</f>
        <v>0</v>
      </c>
      <c r="AH638" s="95"/>
      <c r="AI638" s="204">
        <f t="shared" si="3948"/>
        <v>0</v>
      </c>
      <c r="AJ638" s="95">
        <v>1</v>
      </c>
      <c r="AK638" s="204">
        <f t="shared" ref="AK638:AM638" si="3949">IFERROR(AJ638/$G638," ")</f>
        <v>1</v>
      </c>
      <c r="AL638" s="95">
        <v>1</v>
      </c>
      <c r="AM638" s="204">
        <f t="shared" si="3949"/>
        <v>1</v>
      </c>
      <c r="AN638" s="95"/>
      <c r="AO638" s="94">
        <f t="shared" si="3616"/>
        <v>0</v>
      </c>
      <c r="AP638" s="94">
        <f t="shared" si="3863"/>
        <v>0</v>
      </c>
      <c r="AQ638" s="94">
        <f t="shared" si="3864"/>
        <v>0</v>
      </c>
      <c r="AR638" s="94">
        <f t="shared" si="3865"/>
        <v>0</v>
      </c>
      <c r="AS638" s="94">
        <f t="shared" si="3742"/>
        <v>0</v>
      </c>
      <c r="AT638" s="94">
        <f t="shared" si="3617"/>
        <v>0</v>
      </c>
      <c r="AU638" s="94">
        <f t="shared" si="3618"/>
        <v>0</v>
      </c>
      <c r="AV638" s="94">
        <f t="shared" si="3619"/>
        <v>0</v>
      </c>
      <c r="AW638" s="94">
        <f t="shared" si="3620"/>
        <v>0</v>
      </c>
      <c r="AX638" s="94">
        <f t="shared" si="3621"/>
        <v>0</v>
      </c>
      <c r="AY638" s="94">
        <f t="shared" si="3622"/>
        <v>0</v>
      </c>
      <c r="AZ638" s="94">
        <f t="shared" si="3623"/>
        <v>0</v>
      </c>
      <c r="BA638" s="94">
        <f t="shared" si="3624"/>
        <v>5850.17</v>
      </c>
      <c r="BB638" s="94">
        <f t="shared" si="3625"/>
        <v>5850.17</v>
      </c>
    </row>
    <row r="639" spans="1:54" x14ac:dyDescent="0.25">
      <c r="A639" s="80" t="s">
        <v>2944</v>
      </c>
      <c r="B639" s="95" t="s">
        <v>2529</v>
      </c>
      <c r="C639" s="201" t="s">
        <v>2530</v>
      </c>
      <c r="D639" s="80" t="s">
        <v>2416</v>
      </c>
      <c r="E639" s="94" t="str">
        <f>IFERROR(VLOOKUP(A639,Estimate!A:Q,17,FALSE)," ")</f>
        <v xml:space="preserve"> </v>
      </c>
      <c r="F639" s="202">
        <v>1</v>
      </c>
      <c r="G639" s="202">
        <v>1</v>
      </c>
      <c r="H639" s="203">
        <v>1000</v>
      </c>
      <c r="I639" s="203">
        <v>1000</v>
      </c>
      <c r="J639" s="203">
        <v>1000</v>
      </c>
      <c r="K639" s="203"/>
      <c r="L639" s="202"/>
      <c r="M639" s="204">
        <f t="shared" si="3609"/>
        <v>0</v>
      </c>
      <c r="N639" s="95"/>
      <c r="O639" s="204">
        <f t="shared" si="3609"/>
        <v>0</v>
      </c>
      <c r="P639" s="95"/>
      <c r="Q639" s="204">
        <f t="shared" ref="Q639:S639" si="3950">IFERROR(P639/$G639," ")</f>
        <v>0</v>
      </c>
      <c r="R639" s="95"/>
      <c r="S639" s="204">
        <f t="shared" si="3950"/>
        <v>0</v>
      </c>
      <c r="T639" s="95"/>
      <c r="U639" s="204">
        <f t="shared" ref="U639:W639" si="3951">IFERROR(T639/$G639," ")</f>
        <v>0</v>
      </c>
      <c r="V639" s="95"/>
      <c r="W639" s="204">
        <f t="shared" si="3951"/>
        <v>0</v>
      </c>
      <c r="X639" s="95"/>
      <c r="Y639" s="204">
        <f t="shared" ref="Y639:AA639" si="3952">IFERROR(X639/$G639," ")</f>
        <v>0</v>
      </c>
      <c r="Z639" s="95"/>
      <c r="AA639" s="204">
        <f t="shared" si="3952"/>
        <v>0</v>
      </c>
      <c r="AB639" s="95"/>
      <c r="AC639" s="204">
        <f t="shared" ref="AC639:AE639" si="3953">IFERROR(AB639/$G639," ")</f>
        <v>0</v>
      </c>
      <c r="AD639" s="95"/>
      <c r="AE639" s="204">
        <f t="shared" si="3953"/>
        <v>0</v>
      </c>
      <c r="AF639" s="95">
        <v>1</v>
      </c>
      <c r="AG639" s="204">
        <f t="shared" ref="AG639:AI639" si="3954">IFERROR(AF639/$G639," ")</f>
        <v>1</v>
      </c>
      <c r="AH639" s="95">
        <v>1</v>
      </c>
      <c r="AI639" s="204">
        <f t="shared" si="3954"/>
        <v>1</v>
      </c>
      <c r="AJ639" s="95">
        <v>1</v>
      </c>
      <c r="AK639" s="204">
        <f t="shared" ref="AK639:AM639" si="3955">IFERROR(AJ639/$G639," ")</f>
        <v>1</v>
      </c>
      <c r="AL639" s="95">
        <v>1</v>
      </c>
      <c r="AM639" s="204">
        <f t="shared" si="3955"/>
        <v>1</v>
      </c>
      <c r="AN639" s="95"/>
      <c r="AO639" s="94">
        <f t="shared" si="3616"/>
        <v>0</v>
      </c>
      <c r="AP639" s="94">
        <f t="shared" si="3863"/>
        <v>0</v>
      </c>
      <c r="AQ639" s="94">
        <f t="shared" si="3864"/>
        <v>0</v>
      </c>
      <c r="AR639" s="94">
        <f t="shared" si="3865"/>
        <v>0</v>
      </c>
      <c r="AS639" s="94">
        <f t="shared" si="3742"/>
        <v>0</v>
      </c>
      <c r="AT639" s="94">
        <f t="shared" si="3617"/>
        <v>0</v>
      </c>
      <c r="AU639" s="94">
        <f t="shared" si="3618"/>
        <v>0</v>
      </c>
      <c r="AV639" s="94">
        <f t="shared" si="3619"/>
        <v>0</v>
      </c>
      <c r="AW639" s="94">
        <f t="shared" si="3620"/>
        <v>0</v>
      </c>
      <c r="AX639" s="94">
        <f t="shared" si="3621"/>
        <v>0</v>
      </c>
      <c r="AY639" s="94">
        <f t="shared" si="3622"/>
        <v>1000</v>
      </c>
      <c r="AZ639" s="94">
        <f t="shared" si="3623"/>
        <v>1000</v>
      </c>
      <c r="BA639" s="94">
        <f t="shared" si="3624"/>
        <v>1000</v>
      </c>
      <c r="BB639" s="94">
        <f t="shared" si="3625"/>
        <v>1000</v>
      </c>
    </row>
    <row r="640" spans="1:54" x14ac:dyDescent="0.25">
      <c r="A640" s="80" t="s">
        <v>2731</v>
      </c>
      <c r="B640" s="95" t="s">
        <v>2527</v>
      </c>
      <c r="C640" s="201" t="s">
        <v>2528</v>
      </c>
      <c r="D640" s="80" t="s">
        <v>2416</v>
      </c>
      <c r="E640" s="94">
        <f>IFERROR(VLOOKUP(A640,Estimate!A:Q,17,FALSE)," ")</f>
        <v>6310</v>
      </c>
      <c r="F640" s="202">
        <v>1</v>
      </c>
      <c r="G640" s="202">
        <v>1</v>
      </c>
      <c r="H640" s="203">
        <v>7156.56</v>
      </c>
      <c r="I640" s="203">
        <v>7156.56</v>
      </c>
      <c r="J640" s="203">
        <v>7156.56</v>
      </c>
      <c r="K640" s="203"/>
      <c r="L640" s="202"/>
      <c r="M640" s="204">
        <f t="shared" si="3609"/>
        <v>0</v>
      </c>
      <c r="N640" s="95"/>
      <c r="O640" s="204">
        <f t="shared" si="3609"/>
        <v>0</v>
      </c>
      <c r="P640" s="95"/>
      <c r="Q640" s="204">
        <f t="shared" ref="Q640:S640" si="3956">IFERROR(P640/$G640," ")</f>
        <v>0</v>
      </c>
      <c r="R640" s="95"/>
      <c r="S640" s="204">
        <f t="shared" si="3956"/>
        <v>0</v>
      </c>
      <c r="T640" s="95"/>
      <c r="U640" s="204">
        <f t="shared" ref="U640:W640" si="3957">IFERROR(T640/$G640," ")</f>
        <v>0</v>
      </c>
      <c r="V640" s="95"/>
      <c r="W640" s="204">
        <f t="shared" si="3957"/>
        <v>0</v>
      </c>
      <c r="X640" s="95"/>
      <c r="Y640" s="204">
        <f t="shared" ref="Y640:AA640" si="3958">IFERROR(X640/$G640," ")</f>
        <v>0</v>
      </c>
      <c r="Z640" s="95"/>
      <c r="AA640" s="204">
        <f t="shared" si="3958"/>
        <v>0</v>
      </c>
      <c r="AB640" s="95"/>
      <c r="AC640" s="204">
        <f t="shared" ref="AC640:AE640" si="3959">IFERROR(AB640/$G640," ")</f>
        <v>0</v>
      </c>
      <c r="AD640" s="95"/>
      <c r="AE640" s="204">
        <f t="shared" si="3959"/>
        <v>0</v>
      </c>
      <c r="AF640" s="95">
        <v>1</v>
      </c>
      <c r="AG640" s="204">
        <f t="shared" ref="AG640:AI640" si="3960">IFERROR(AF640/$G640," ")</f>
        <v>1</v>
      </c>
      <c r="AH640" s="95">
        <v>1</v>
      </c>
      <c r="AI640" s="204">
        <f t="shared" si="3960"/>
        <v>1</v>
      </c>
      <c r="AJ640" s="95">
        <v>1</v>
      </c>
      <c r="AK640" s="204">
        <f t="shared" ref="AK640:AM640" si="3961">IFERROR(AJ640/$G640," ")</f>
        <v>1</v>
      </c>
      <c r="AL640" s="95">
        <v>1</v>
      </c>
      <c r="AM640" s="204">
        <f t="shared" si="3961"/>
        <v>1</v>
      </c>
      <c r="AN640" s="95"/>
      <c r="AO640" s="94">
        <f t="shared" si="3616"/>
        <v>0</v>
      </c>
      <c r="AP640" s="94">
        <f t="shared" si="3863"/>
        <v>0</v>
      </c>
      <c r="AQ640" s="94">
        <f t="shared" si="3864"/>
        <v>0</v>
      </c>
      <c r="AR640" s="94">
        <f t="shared" si="3865"/>
        <v>0</v>
      </c>
      <c r="AS640" s="94">
        <f t="shared" si="3742"/>
        <v>0</v>
      </c>
      <c r="AT640" s="94">
        <f t="shared" si="3617"/>
        <v>0</v>
      </c>
      <c r="AU640" s="94">
        <f t="shared" si="3618"/>
        <v>0</v>
      </c>
      <c r="AV640" s="94">
        <f t="shared" si="3619"/>
        <v>0</v>
      </c>
      <c r="AW640" s="94">
        <f t="shared" si="3620"/>
        <v>0</v>
      </c>
      <c r="AX640" s="94">
        <f t="shared" si="3621"/>
        <v>0</v>
      </c>
      <c r="AY640" s="94">
        <f t="shared" si="3622"/>
        <v>7156.56</v>
      </c>
      <c r="AZ640" s="94">
        <f t="shared" si="3623"/>
        <v>7156.56</v>
      </c>
      <c r="BA640" s="94">
        <f t="shared" si="3624"/>
        <v>7156.56</v>
      </c>
      <c r="BB640" s="94">
        <f t="shared" si="3625"/>
        <v>7156.56</v>
      </c>
    </row>
    <row r="641" spans="1:54" x14ac:dyDescent="0.25">
      <c r="A641" s="80" t="s">
        <v>2744</v>
      </c>
      <c r="B641" s="95" t="s">
        <v>2544</v>
      </c>
      <c r="C641" s="201" t="s">
        <v>2545</v>
      </c>
      <c r="D641" s="80" t="s">
        <v>2416</v>
      </c>
      <c r="E641" s="94">
        <f>IFERROR(VLOOKUP(A641,Estimate!A:Q,17,FALSE)," ")</f>
        <v>8000</v>
      </c>
      <c r="F641" s="202">
        <v>1</v>
      </c>
      <c r="G641" s="202">
        <v>1</v>
      </c>
      <c r="H641" s="203">
        <v>10000</v>
      </c>
      <c r="I641" s="203">
        <v>10000</v>
      </c>
      <c r="J641" s="203">
        <v>10000</v>
      </c>
      <c r="K641" s="203"/>
      <c r="L641" s="202"/>
      <c r="M641" s="204">
        <f t="shared" si="3609"/>
        <v>0</v>
      </c>
      <c r="N641" s="95"/>
      <c r="O641" s="204">
        <f t="shared" si="3609"/>
        <v>0</v>
      </c>
      <c r="P641" s="95"/>
      <c r="Q641" s="204">
        <f t="shared" ref="Q641:S641" si="3962">IFERROR(P641/$G641," ")</f>
        <v>0</v>
      </c>
      <c r="R641" s="95"/>
      <c r="S641" s="204">
        <f t="shared" si="3962"/>
        <v>0</v>
      </c>
      <c r="T641" s="95"/>
      <c r="U641" s="204">
        <f t="shared" ref="U641:W641" si="3963">IFERROR(T641/$G641," ")</f>
        <v>0</v>
      </c>
      <c r="V641" s="95"/>
      <c r="W641" s="204">
        <f t="shared" si="3963"/>
        <v>0</v>
      </c>
      <c r="X641" s="95"/>
      <c r="Y641" s="204">
        <f t="shared" ref="Y641:AA641" si="3964">IFERROR(X641/$G641," ")</f>
        <v>0</v>
      </c>
      <c r="Z641" s="95"/>
      <c r="AA641" s="204">
        <f t="shared" si="3964"/>
        <v>0</v>
      </c>
      <c r="AB641" s="95"/>
      <c r="AC641" s="204">
        <f t="shared" ref="AC641:AE641" si="3965">IFERROR(AB641/$G641," ")</f>
        <v>0</v>
      </c>
      <c r="AD641" s="95"/>
      <c r="AE641" s="204">
        <f t="shared" si="3965"/>
        <v>0</v>
      </c>
      <c r="AF641" s="95"/>
      <c r="AG641" s="204">
        <f t="shared" ref="AG641:AI641" si="3966">IFERROR(AF641/$G641," ")</f>
        <v>0</v>
      </c>
      <c r="AH641" s="95"/>
      <c r="AI641" s="204">
        <f t="shared" si="3966"/>
        <v>0</v>
      </c>
      <c r="AJ641" s="95"/>
      <c r="AK641" s="204">
        <f t="shared" ref="AK641:AM641" si="3967">IFERROR(AJ641/$G641," ")</f>
        <v>0</v>
      </c>
      <c r="AL641" s="95">
        <v>1</v>
      </c>
      <c r="AM641" s="204">
        <f t="shared" si="3967"/>
        <v>1</v>
      </c>
      <c r="AN641" s="95"/>
      <c r="AO641" s="94">
        <f t="shared" si="3616"/>
        <v>0</v>
      </c>
      <c r="AP641" s="94">
        <f t="shared" si="3863"/>
        <v>0</v>
      </c>
      <c r="AQ641" s="94">
        <f t="shared" si="3864"/>
        <v>0</v>
      </c>
      <c r="AR641" s="94">
        <f t="shared" si="3865"/>
        <v>0</v>
      </c>
      <c r="AS641" s="94">
        <f t="shared" si="3742"/>
        <v>0</v>
      </c>
      <c r="AT641" s="94">
        <f t="shared" si="3617"/>
        <v>0</v>
      </c>
      <c r="AU641" s="94">
        <f t="shared" si="3618"/>
        <v>0</v>
      </c>
      <c r="AV641" s="94">
        <f t="shared" si="3619"/>
        <v>0</v>
      </c>
      <c r="AW641" s="94">
        <f t="shared" si="3620"/>
        <v>0</v>
      </c>
      <c r="AX641" s="94">
        <f t="shared" si="3621"/>
        <v>0</v>
      </c>
      <c r="AY641" s="94">
        <f t="shared" si="3622"/>
        <v>0</v>
      </c>
      <c r="AZ641" s="94">
        <f t="shared" si="3623"/>
        <v>0</v>
      </c>
      <c r="BA641" s="94">
        <f t="shared" si="3624"/>
        <v>0</v>
      </c>
      <c r="BB641" s="94">
        <f t="shared" si="3625"/>
        <v>10000</v>
      </c>
    </row>
    <row r="642" spans="1:54" x14ac:dyDescent="0.25">
      <c r="A642" s="80"/>
      <c r="B642" s="95"/>
      <c r="C642" s="201"/>
      <c r="D642" s="80"/>
      <c r="E642" s="94" t="str">
        <f>IFERROR(VLOOKUP(A642,Estimate!A:Q,17,FALSE)," ")</f>
        <v xml:space="preserve"> </v>
      </c>
      <c r="F642" s="202"/>
      <c r="G642" s="202"/>
      <c r="H642" s="203"/>
      <c r="I642" s="203"/>
      <c r="J642" s="203"/>
      <c r="K642" s="203"/>
      <c r="L642" s="202"/>
      <c r="M642" s="204" t="str">
        <f t="shared" si="3609"/>
        <v xml:space="preserve"> </v>
      </c>
      <c r="N642" s="95"/>
      <c r="O642" s="204" t="str">
        <f t="shared" si="3609"/>
        <v xml:space="preserve"> </v>
      </c>
      <c r="P642" s="95"/>
      <c r="Q642" s="204" t="str">
        <f t="shared" ref="Q642:S642" si="3968">IFERROR(P642/$G642," ")</f>
        <v xml:space="preserve"> </v>
      </c>
      <c r="R642" s="95"/>
      <c r="S642" s="204" t="str">
        <f t="shared" si="3968"/>
        <v xml:space="preserve"> </v>
      </c>
      <c r="T642" s="95"/>
      <c r="U642" s="204" t="str">
        <f t="shared" ref="U642:W642" si="3969">IFERROR(T642/$G642," ")</f>
        <v xml:space="preserve"> </v>
      </c>
      <c r="V642" s="95"/>
      <c r="W642" s="204" t="str">
        <f t="shared" si="3969"/>
        <v xml:space="preserve"> </v>
      </c>
      <c r="X642" s="95"/>
      <c r="Y642" s="204" t="str">
        <f t="shared" ref="Y642:AA642" si="3970">IFERROR(X642/$G642," ")</f>
        <v xml:space="preserve"> </v>
      </c>
      <c r="Z642" s="95"/>
      <c r="AA642" s="204" t="str">
        <f t="shared" si="3970"/>
        <v xml:space="preserve"> </v>
      </c>
      <c r="AB642" s="95"/>
      <c r="AC642" s="204" t="str">
        <f t="shared" ref="AC642:AE642" si="3971">IFERROR(AB642/$G642," ")</f>
        <v xml:space="preserve"> </v>
      </c>
      <c r="AD642" s="95"/>
      <c r="AE642" s="204" t="str">
        <f t="shared" si="3971"/>
        <v xml:space="preserve"> </v>
      </c>
      <c r="AF642" s="95"/>
      <c r="AG642" s="204" t="str">
        <f t="shared" ref="AG642:AI642" si="3972">IFERROR(AF642/$G642," ")</f>
        <v xml:space="preserve"> </v>
      </c>
      <c r="AH642" s="95"/>
      <c r="AI642" s="204" t="str">
        <f t="shared" si="3972"/>
        <v xml:space="preserve"> </v>
      </c>
      <c r="AJ642" s="95"/>
      <c r="AK642" s="204" t="str">
        <f t="shared" ref="AK642:AM642" si="3973">IFERROR(AJ642/$G642," ")</f>
        <v xml:space="preserve"> </v>
      </c>
      <c r="AL642" s="95"/>
      <c r="AM642" s="204" t="str">
        <f t="shared" si="3973"/>
        <v xml:space="preserve"> </v>
      </c>
      <c r="AN642" s="95"/>
      <c r="AO642" s="94" t="str">
        <f t="shared" si="3616"/>
        <v xml:space="preserve"> </v>
      </c>
      <c r="AP642" s="94" t="str">
        <f t="shared" si="3863"/>
        <v xml:space="preserve"> </v>
      </c>
      <c r="AQ642" s="94" t="str">
        <f t="shared" si="3864"/>
        <v xml:space="preserve"> </v>
      </c>
      <c r="AR642" s="94" t="str">
        <f t="shared" si="3865"/>
        <v xml:space="preserve"> </v>
      </c>
      <c r="AS642" s="94" t="str">
        <f t="shared" si="3742"/>
        <v xml:space="preserve"> </v>
      </c>
      <c r="AT642" s="94" t="str">
        <f t="shared" si="3617"/>
        <v xml:space="preserve"> </v>
      </c>
      <c r="AU642" s="94" t="str">
        <f t="shared" si="3618"/>
        <v xml:space="preserve"> </v>
      </c>
      <c r="AV642" s="94" t="str">
        <f t="shared" si="3619"/>
        <v xml:space="preserve"> </v>
      </c>
      <c r="AW642" s="94" t="str">
        <f t="shared" si="3620"/>
        <v xml:space="preserve"> </v>
      </c>
      <c r="AX642" s="94" t="str">
        <f t="shared" si="3621"/>
        <v xml:space="preserve"> </v>
      </c>
      <c r="AY642" s="94" t="str">
        <f t="shared" si="3622"/>
        <v xml:space="preserve"> </v>
      </c>
      <c r="AZ642" s="94" t="str">
        <f t="shared" si="3623"/>
        <v xml:space="preserve"> </v>
      </c>
      <c r="BA642" s="94" t="str">
        <f t="shared" si="3624"/>
        <v xml:space="preserve"> </v>
      </c>
      <c r="BB642" s="94" t="str">
        <f t="shared" si="3625"/>
        <v xml:space="preserve"> </v>
      </c>
    </row>
    <row r="643" spans="1:54" x14ac:dyDescent="0.25">
      <c r="A643" s="80" t="s">
        <v>2746</v>
      </c>
      <c r="B643" s="95" t="s">
        <v>2543</v>
      </c>
      <c r="C643" s="201" t="s">
        <v>2945</v>
      </c>
      <c r="D643" s="80" t="s">
        <v>2416</v>
      </c>
      <c r="E643" s="94">
        <f>IFERROR(VLOOKUP(A643,Estimate!A:Q,17,FALSE)," ")</f>
        <v>3115</v>
      </c>
      <c r="F643" s="202">
        <v>1</v>
      </c>
      <c r="G643" s="202">
        <v>1</v>
      </c>
      <c r="H643" s="203">
        <v>3114.8</v>
      </c>
      <c r="I643" s="203">
        <v>3114.8</v>
      </c>
      <c r="J643" s="203">
        <v>3114.8</v>
      </c>
      <c r="K643" s="203"/>
      <c r="L643" s="202"/>
      <c r="M643" s="204">
        <f t="shared" si="3609"/>
        <v>0</v>
      </c>
      <c r="N643" s="95"/>
      <c r="O643" s="204">
        <f t="shared" si="3609"/>
        <v>0</v>
      </c>
      <c r="P643" s="95"/>
      <c r="Q643" s="204">
        <f t="shared" ref="Q643:S643" si="3974">IFERROR(P643/$G643," ")</f>
        <v>0</v>
      </c>
      <c r="R643" s="95"/>
      <c r="S643" s="204">
        <f t="shared" si="3974"/>
        <v>0</v>
      </c>
      <c r="T643" s="95"/>
      <c r="U643" s="204">
        <f t="shared" ref="U643:W643" si="3975">IFERROR(T643/$G643," ")</f>
        <v>0</v>
      </c>
      <c r="V643" s="95"/>
      <c r="W643" s="204">
        <f t="shared" si="3975"/>
        <v>0</v>
      </c>
      <c r="X643" s="95"/>
      <c r="Y643" s="204">
        <f t="shared" ref="Y643:AA643" si="3976">IFERROR(X643/$G643," ")</f>
        <v>0</v>
      </c>
      <c r="Z643" s="95"/>
      <c r="AA643" s="204">
        <f t="shared" si="3976"/>
        <v>0</v>
      </c>
      <c r="AB643" s="95"/>
      <c r="AC643" s="204">
        <f t="shared" ref="AC643:AE643" si="3977">IFERROR(AB643/$G643," ")</f>
        <v>0</v>
      </c>
      <c r="AD643" s="95"/>
      <c r="AE643" s="204">
        <f t="shared" si="3977"/>
        <v>0</v>
      </c>
      <c r="AF643" s="95"/>
      <c r="AG643" s="204">
        <f t="shared" ref="AG643:AI643" si="3978">IFERROR(AF643/$G643," ")</f>
        <v>0</v>
      </c>
      <c r="AH643" s="95"/>
      <c r="AI643" s="204">
        <f t="shared" si="3978"/>
        <v>0</v>
      </c>
      <c r="AJ643" s="95">
        <v>1</v>
      </c>
      <c r="AK643" s="204">
        <f t="shared" ref="AK643:AM643" si="3979">IFERROR(AJ643/$G643," ")</f>
        <v>1</v>
      </c>
      <c r="AL643" s="95">
        <v>1</v>
      </c>
      <c r="AM643" s="204">
        <f t="shared" si="3979"/>
        <v>1</v>
      </c>
      <c r="AN643" s="95"/>
      <c r="AO643" s="94">
        <f t="shared" si="3616"/>
        <v>0</v>
      </c>
      <c r="AP643" s="94">
        <f t="shared" si="3863"/>
        <v>0</v>
      </c>
      <c r="AQ643" s="94">
        <f t="shared" si="3864"/>
        <v>0</v>
      </c>
      <c r="AR643" s="94">
        <f t="shared" si="3865"/>
        <v>0</v>
      </c>
      <c r="AS643" s="94">
        <f t="shared" si="3742"/>
        <v>0</v>
      </c>
      <c r="AT643" s="94">
        <f t="shared" si="3617"/>
        <v>0</v>
      </c>
      <c r="AU643" s="94">
        <f t="shared" si="3618"/>
        <v>0</v>
      </c>
      <c r="AV643" s="94">
        <f t="shared" si="3619"/>
        <v>0</v>
      </c>
      <c r="AW643" s="94">
        <f t="shared" si="3620"/>
        <v>0</v>
      </c>
      <c r="AX643" s="94">
        <f t="shared" si="3621"/>
        <v>0</v>
      </c>
      <c r="AY643" s="94">
        <f t="shared" si="3622"/>
        <v>0</v>
      </c>
      <c r="AZ643" s="94">
        <f t="shared" si="3623"/>
        <v>0</v>
      </c>
      <c r="BA643" s="94">
        <f t="shared" si="3624"/>
        <v>3114.8</v>
      </c>
      <c r="BB643" s="94">
        <f t="shared" si="3625"/>
        <v>3114.8</v>
      </c>
    </row>
    <row r="644" spans="1:54" x14ac:dyDescent="0.25">
      <c r="A644" s="80"/>
      <c r="B644" s="95"/>
      <c r="C644" s="201"/>
      <c r="D644" s="80"/>
      <c r="E644" s="94"/>
      <c r="F644" s="202"/>
      <c r="G644" s="202"/>
      <c r="H644" s="203"/>
      <c r="I644" s="203"/>
      <c r="J644" s="203"/>
      <c r="K644" s="203"/>
      <c r="L644" s="202"/>
      <c r="M644" s="204"/>
      <c r="N644" s="95"/>
      <c r="O644" s="204"/>
      <c r="P644" s="95"/>
      <c r="Q644" s="204"/>
      <c r="R644" s="95"/>
      <c r="S644" s="204"/>
      <c r="T644" s="95"/>
      <c r="U644" s="204"/>
      <c r="V644" s="95"/>
      <c r="W644" s="204"/>
      <c r="X644" s="95"/>
      <c r="Y644" s="204"/>
      <c r="Z644" s="95"/>
      <c r="AA644" s="204"/>
      <c r="AB644" s="95"/>
      <c r="AC644" s="204"/>
      <c r="AD644" s="95"/>
      <c r="AE644" s="204"/>
      <c r="AF644" s="95"/>
      <c r="AG644" s="204"/>
      <c r="AH644" s="95"/>
      <c r="AI644" s="204"/>
      <c r="AJ644" s="95"/>
      <c r="AK644" s="204"/>
      <c r="AL644" s="95"/>
      <c r="AM644" s="204"/>
      <c r="AN644" s="95"/>
      <c r="AO644" s="94"/>
      <c r="AP644" s="94"/>
      <c r="AQ644" s="94"/>
      <c r="AR644" s="94"/>
      <c r="AS644" s="94"/>
      <c r="AT644" s="94"/>
      <c r="AU644" s="94"/>
      <c r="AV644" s="94"/>
      <c r="AW644" s="94"/>
      <c r="AX644" s="94"/>
      <c r="AY644" s="94"/>
      <c r="AZ644" s="94"/>
      <c r="BA644" s="94"/>
      <c r="BB644" s="94"/>
    </row>
    <row r="645" spans="1:54" x14ac:dyDescent="0.25">
      <c r="A645" s="80"/>
      <c r="B645" s="95"/>
      <c r="C645" s="201"/>
      <c r="D645" s="80"/>
      <c r="E645" s="94"/>
      <c r="F645" s="202"/>
      <c r="G645" s="202"/>
      <c r="H645" s="203"/>
      <c r="I645" s="203"/>
      <c r="J645" s="203"/>
      <c r="K645" s="203"/>
      <c r="L645" s="202"/>
      <c r="M645" s="204"/>
      <c r="N645" s="95"/>
      <c r="O645" s="204"/>
      <c r="P645" s="95"/>
      <c r="Q645" s="204"/>
      <c r="R645" s="95"/>
      <c r="S645" s="204"/>
      <c r="T645" s="95"/>
      <c r="U645" s="204"/>
      <c r="V645" s="95"/>
      <c r="W645" s="204"/>
      <c r="X645" s="95"/>
      <c r="Y645" s="204"/>
      <c r="Z645" s="95"/>
      <c r="AA645" s="204"/>
      <c r="AB645" s="95"/>
      <c r="AC645" s="204"/>
      <c r="AD645" s="95"/>
      <c r="AE645" s="204"/>
      <c r="AF645" s="95"/>
      <c r="AG645" s="204"/>
      <c r="AH645" s="95"/>
      <c r="AI645" s="204"/>
      <c r="AJ645" s="95"/>
      <c r="AK645" s="204"/>
      <c r="AL645" s="95"/>
      <c r="AM645" s="204"/>
      <c r="AN645" s="95"/>
      <c r="AO645" s="94">
        <f>SUBTOTAL(9,AO593:AO643)</f>
        <v>0</v>
      </c>
      <c r="AP645" s="94">
        <f t="shared" ref="AP645:BB645" si="3980">SUBTOTAL(9,AP593:AP643)</f>
        <v>1280.18</v>
      </c>
      <c r="AQ645" s="94">
        <f t="shared" si="3980"/>
        <v>1280.18</v>
      </c>
      <c r="AR645" s="94">
        <f t="shared" si="3980"/>
        <v>17168.38</v>
      </c>
      <c r="AS645" s="94">
        <f t="shared" si="3980"/>
        <v>29803.510000000002</v>
      </c>
      <c r="AT645" s="94">
        <f t="shared" si="3980"/>
        <v>109270.703783</v>
      </c>
      <c r="AU645" s="94">
        <f t="shared" si="3980"/>
        <v>427849.45615291997</v>
      </c>
      <c r="AV645" s="94">
        <f t="shared" si="3980"/>
        <v>596924.82046843995</v>
      </c>
      <c r="AW645" s="94">
        <f t="shared" si="3980"/>
        <v>705378.86184052005</v>
      </c>
      <c r="AX645" s="94">
        <f t="shared" si="3980"/>
        <v>741980.90329599997</v>
      </c>
      <c r="AY645" s="94">
        <f t="shared" si="3980"/>
        <v>991506.73257319932</v>
      </c>
      <c r="AZ645" s="94">
        <f t="shared" si="3980"/>
        <v>1062906.6238503985</v>
      </c>
      <c r="BA645" s="94">
        <f t="shared" si="3980"/>
        <v>1058572.5565999984</v>
      </c>
      <c r="BB645" s="94">
        <f t="shared" si="3980"/>
        <v>1068572.5565999984</v>
      </c>
    </row>
    <row r="646" spans="1:54" x14ac:dyDescent="0.25">
      <c r="A646" s="80"/>
      <c r="B646" s="95" t="s">
        <v>781</v>
      </c>
      <c r="C646" s="201" t="s">
        <v>781</v>
      </c>
      <c r="D646" s="80" t="s">
        <v>781</v>
      </c>
      <c r="E646" s="95"/>
      <c r="F646" s="202" t="s">
        <v>781</v>
      </c>
      <c r="G646" s="202" t="s">
        <v>781</v>
      </c>
      <c r="H646" s="203" t="s">
        <v>781</v>
      </c>
      <c r="I646" s="203" t="s">
        <v>781</v>
      </c>
      <c r="J646" s="203" t="s">
        <v>781</v>
      </c>
      <c r="K646" s="203"/>
      <c r="L646" s="202" t="s">
        <v>781</v>
      </c>
      <c r="M646" s="204" t="str">
        <f t="shared" si="3609"/>
        <v xml:space="preserve"> </v>
      </c>
      <c r="N646" s="95" t="s">
        <v>781</v>
      </c>
      <c r="O646" s="204" t="str">
        <f t="shared" si="3609"/>
        <v xml:space="preserve"> </v>
      </c>
      <c r="P646" s="95" t="s">
        <v>781</v>
      </c>
      <c r="Q646" s="204" t="str">
        <f t="shared" ref="Q646:S646" si="3981">IFERROR(P646/$G646," ")</f>
        <v xml:space="preserve"> </v>
      </c>
      <c r="R646" s="95" t="s">
        <v>781</v>
      </c>
      <c r="S646" s="204" t="str">
        <f t="shared" si="3981"/>
        <v xml:space="preserve"> </v>
      </c>
      <c r="T646" s="95" t="s">
        <v>781</v>
      </c>
      <c r="U646" s="204" t="str">
        <f t="shared" ref="U646:W646" si="3982">IFERROR(T646/$G646," ")</f>
        <v xml:space="preserve"> </v>
      </c>
      <c r="V646" s="95" t="s">
        <v>781</v>
      </c>
      <c r="W646" s="204" t="str">
        <f t="shared" si="3982"/>
        <v xml:space="preserve"> </v>
      </c>
      <c r="X646" s="95" t="s">
        <v>781</v>
      </c>
      <c r="Y646" s="204" t="str">
        <f t="shared" ref="Y646:AA646" si="3983">IFERROR(X646/$G646," ")</f>
        <v xml:space="preserve"> </v>
      </c>
      <c r="Z646" s="95" t="s">
        <v>781</v>
      </c>
      <c r="AA646" s="204" t="str">
        <f t="shared" si="3983"/>
        <v xml:space="preserve"> </v>
      </c>
      <c r="AB646" s="95" t="s">
        <v>781</v>
      </c>
      <c r="AC646" s="204" t="str">
        <f t="shared" ref="AC646:AE646" si="3984">IFERROR(AB646/$G646," ")</f>
        <v xml:space="preserve"> </v>
      </c>
      <c r="AD646" s="95" t="s">
        <v>781</v>
      </c>
      <c r="AE646" s="204" t="str">
        <f t="shared" si="3984"/>
        <v xml:space="preserve"> </v>
      </c>
      <c r="AF646" s="95" t="s">
        <v>781</v>
      </c>
      <c r="AG646" s="204" t="str">
        <f t="shared" ref="AG646:AI646" si="3985">IFERROR(AF646/$G646," ")</f>
        <v xml:space="preserve"> </v>
      </c>
      <c r="AH646" s="95" t="s">
        <v>781</v>
      </c>
      <c r="AI646" s="204" t="str">
        <f t="shared" si="3985"/>
        <v xml:space="preserve"> </v>
      </c>
      <c r="AJ646" s="95" t="s">
        <v>781</v>
      </c>
      <c r="AK646" s="204" t="str">
        <f t="shared" ref="AK646:AM646" si="3986">IFERROR(AJ646/$G646," ")</f>
        <v xml:space="preserve"> </v>
      </c>
      <c r="AL646" s="95" t="s">
        <v>781</v>
      </c>
      <c r="AM646" s="204" t="str">
        <f t="shared" si="3986"/>
        <v xml:space="preserve"> </v>
      </c>
      <c r="AN646" s="95"/>
      <c r="AO646" s="95"/>
      <c r="AP646" s="95"/>
      <c r="AQ646" s="95"/>
      <c r="AR646" s="95"/>
      <c r="AS646" s="95"/>
      <c r="AT646" s="95"/>
      <c r="AU646" s="95"/>
      <c r="AV646" s="95"/>
      <c r="AW646" s="95"/>
      <c r="AX646" s="95"/>
      <c r="AY646" s="95"/>
      <c r="AZ646" s="95"/>
      <c r="BA646" s="95"/>
      <c r="BB646" s="95"/>
    </row>
    <row r="647" spans="1:54" x14ac:dyDescent="0.25">
      <c r="A647" s="80"/>
      <c r="B647" s="211" t="s">
        <v>781</v>
      </c>
      <c r="C647" s="212" t="s">
        <v>2946</v>
      </c>
      <c r="D647" s="92" t="s">
        <v>781</v>
      </c>
      <c r="E647" s="222">
        <f>SUM(E8:E643)</f>
        <v>3002076.5564975115</v>
      </c>
      <c r="F647" s="213" t="s">
        <v>781</v>
      </c>
      <c r="G647" s="213" t="s">
        <v>781</v>
      </c>
      <c r="H647" s="214" t="s">
        <v>781</v>
      </c>
      <c r="I647" s="214">
        <v>3941880.0115</v>
      </c>
      <c r="J647" s="214" t="s">
        <v>781</v>
      </c>
      <c r="K647" s="214"/>
      <c r="L647" s="213" t="s">
        <v>781</v>
      </c>
      <c r="M647" s="213" t="s">
        <v>781</v>
      </c>
      <c r="N647" s="213" t="s">
        <v>781</v>
      </c>
      <c r="O647" s="213" t="s">
        <v>781</v>
      </c>
      <c r="P647" s="213" t="s">
        <v>781</v>
      </c>
      <c r="Q647" s="213" t="s">
        <v>781</v>
      </c>
      <c r="R647" s="213" t="s">
        <v>781</v>
      </c>
      <c r="S647" s="213" t="s">
        <v>781</v>
      </c>
      <c r="T647" s="213" t="s">
        <v>781</v>
      </c>
      <c r="U647" s="213" t="s">
        <v>781</v>
      </c>
      <c r="V647" s="213" t="s">
        <v>781</v>
      </c>
      <c r="W647" s="213" t="s">
        <v>781</v>
      </c>
      <c r="X647" s="213" t="s">
        <v>781</v>
      </c>
      <c r="Y647" s="213" t="s">
        <v>781</v>
      </c>
      <c r="Z647" s="213" t="s">
        <v>781</v>
      </c>
      <c r="AA647" s="213" t="s">
        <v>781</v>
      </c>
      <c r="AB647" s="213" t="s">
        <v>781</v>
      </c>
      <c r="AC647" s="213" t="s">
        <v>781</v>
      </c>
      <c r="AD647" s="213" t="s">
        <v>781</v>
      </c>
      <c r="AE647" s="213" t="s">
        <v>781</v>
      </c>
      <c r="AF647" s="213" t="s">
        <v>781</v>
      </c>
      <c r="AG647" s="213" t="s">
        <v>781</v>
      </c>
      <c r="AH647" s="213" t="s">
        <v>781</v>
      </c>
      <c r="AI647" s="213" t="s">
        <v>781</v>
      </c>
      <c r="AJ647" s="213" t="s">
        <v>781</v>
      </c>
      <c r="AK647" s="213" t="s">
        <v>781</v>
      </c>
      <c r="AL647" s="213" t="s">
        <v>781</v>
      </c>
      <c r="AM647" s="213" t="s">
        <v>781</v>
      </c>
      <c r="AN647" s="213" t="s">
        <v>781</v>
      </c>
      <c r="AO647" s="213">
        <f>SUBTOTAL(9,AO8:AO643)</f>
        <v>126387.5491</v>
      </c>
      <c r="AP647" s="213">
        <f t="shared" ref="AP647:BB647" si="3987">SUBTOTAL(9,AP8:AP643)</f>
        <v>235233.89020000005</v>
      </c>
      <c r="AQ647" s="213">
        <f t="shared" si="3987"/>
        <v>259028.04410000003</v>
      </c>
      <c r="AR647" s="213">
        <f t="shared" si="3987"/>
        <v>424138.9152000001</v>
      </c>
      <c r="AS647" s="213">
        <f t="shared" si="3987"/>
        <v>629906.44310000015</v>
      </c>
      <c r="AT647" s="213">
        <f t="shared" si="3987"/>
        <v>885979.13208300003</v>
      </c>
      <c r="AU647" s="213">
        <f t="shared" si="3987"/>
        <v>1518565.5227529197</v>
      </c>
      <c r="AV647" s="213">
        <f t="shared" si="3987"/>
        <v>2133251.8575684391</v>
      </c>
      <c r="AW647" s="213">
        <f t="shared" si="3987"/>
        <v>2415806.0769405183</v>
      </c>
      <c r="AX647" s="213">
        <f t="shared" si="3987"/>
        <v>2837560.5341959991</v>
      </c>
      <c r="AY647" s="213">
        <f t="shared" si="3987"/>
        <v>3466133.3389732004</v>
      </c>
      <c r="AZ647" s="213">
        <f t="shared" si="3987"/>
        <v>3860242.8772504004</v>
      </c>
      <c r="BA647" s="213">
        <f t="shared" si="3987"/>
        <v>3850558.66</v>
      </c>
      <c r="BB647" s="213">
        <f t="shared" si="3987"/>
        <v>3860558.66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CA63E-C01E-4DE2-A641-132F0F97836A}">
  <dimension ref="A1:CB87"/>
  <sheetViews>
    <sheetView tabSelected="1" topLeftCell="A46" zoomScale="85" zoomScaleNormal="85" workbookViewId="0">
      <selection activeCell="H86" sqref="H86"/>
    </sheetView>
  </sheetViews>
  <sheetFormatPr defaultColWidth="20.5703125" defaultRowHeight="15" x14ac:dyDescent="0.25"/>
  <cols>
    <col min="2" max="2" width="37.140625" style="16" customWidth="1"/>
    <col min="3" max="3" width="10" style="177" customWidth="1"/>
    <col min="4" max="4" width="13" customWidth="1"/>
    <col min="5" max="5" width="12.85546875" bestFit="1" customWidth="1"/>
    <col min="6" max="6" width="14" customWidth="1"/>
    <col min="9" max="9" width="13.5703125" style="125" customWidth="1"/>
    <col min="10" max="10" width="8.85546875" bestFit="1" customWidth="1"/>
    <col min="11" max="11" width="6.85546875" bestFit="1" customWidth="1"/>
    <col min="12" max="12" width="7.28515625" bestFit="1" customWidth="1"/>
    <col min="13" max="14" width="6.85546875" bestFit="1" customWidth="1"/>
    <col min="15" max="15" width="8.85546875" bestFit="1" customWidth="1"/>
    <col min="16" max="16" width="7.85546875" bestFit="1" customWidth="1"/>
    <col min="17" max="17" width="8.85546875" bestFit="1" customWidth="1"/>
    <col min="18" max="19" width="7.85546875" bestFit="1" customWidth="1"/>
    <col min="20" max="20" width="8.85546875" bestFit="1" customWidth="1"/>
    <col min="21" max="21" width="7.85546875" bestFit="1" customWidth="1"/>
    <col min="22" max="22" width="8.85546875" bestFit="1" customWidth="1"/>
    <col min="23" max="24" width="7.85546875" bestFit="1" customWidth="1"/>
    <col min="25" max="25" width="8.85546875" bestFit="1" customWidth="1"/>
    <col min="26" max="26" width="7.85546875" bestFit="1" customWidth="1"/>
    <col min="27" max="27" width="8.85546875" bestFit="1" customWidth="1"/>
    <col min="28" max="29" width="7.85546875" bestFit="1" customWidth="1"/>
    <col min="30" max="30" width="8.85546875" bestFit="1" customWidth="1"/>
    <col min="31" max="31" width="7.85546875" bestFit="1" customWidth="1"/>
    <col min="32" max="32" width="8.85546875" bestFit="1" customWidth="1"/>
    <col min="33" max="34" width="7.85546875" bestFit="1" customWidth="1"/>
    <col min="35" max="35" width="9.85546875" bestFit="1" customWidth="1"/>
    <col min="36" max="36" width="7.85546875" bestFit="1" customWidth="1"/>
    <col min="37" max="37" width="9.5703125" bestFit="1" customWidth="1"/>
    <col min="38" max="39" width="7.85546875" bestFit="1" customWidth="1"/>
    <col min="40" max="40" width="9.85546875" bestFit="1" customWidth="1"/>
    <col min="41" max="44" width="9.5703125" bestFit="1" customWidth="1"/>
    <col min="45" max="45" width="9.85546875" bestFit="1" customWidth="1"/>
    <col min="46" max="49" width="9.5703125" bestFit="1" customWidth="1"/>
    <col min="50" max="50" width="9.85546875" bestFit="1" customWidth="1"/>
    <col min="51" max="54" width="9.5703125" bestFit="1" customWidth="1"/>
    <col min="55" max="55" width="9.85546875" bestFit="1" customWidth="1"/>
    <col min="56" max="56" width="9.5703125" bestFit="1" customWidth="1"/>
    <col min="57" max="57" width="9.85546875" bestFit="1" customWidth="1"/>
    <col min="58" max="59" width="9.5703125" bestFit="1" customWidth="1"/>
    <col min="60" max="60" width="9.85546875" bestFit="1" customWidth="1"/>
    <col min="61" max="61" width="9.5703125" bestFit="1" customWidth="1"/>
    <col min="62" max="62" width="9.85546875" bestFit="1" customWidth="1"/>
    <col min="63" max="64" width="9.5703125" bestFit="1" customWidth="1"/>
    <col min="65" max="65" width="9.85546875" bestFit="1" customWidth="1"/>
    <col min="66" max="69" width="9.5703125" bestFit="1" customWidth="1"/>
    <col min="70" max="70" width="9.85546875" bestFit="1" customWidth="1"/>
    <col min="71" max="74" width="9.5703125" bestFit="1" customWidth="1"/>
    <col min="75" max="75" width="9.85546875" bestFit="1" customWidth="1"/>
    <col min="76" max="79" width="9.5703125" bestFit="1" customWidth="1"/>
  </cols>
  <sheetData>
    <row r="1" spans="1:80" s="16" customFormat="1" x14ac:dyDescent="0.25">
      <c r="A1" s="11" t="s">
        <v>2749</v>
      </c>
      <c r="B1" s="11" t="s">
        <v>779</v>
      </c>
      <c r="C1" s="11" t="s">
        <v>6</v>
      </c>
      <c r="D1" s="11" t="s">
        <v>3</v>
      </c>
      <c r="E1" s="169" t="s">
        <v>2750</v>
      </c>
      <c r="F1" s="169" t="s">
        <v>2751</v>
      </c>
      <c r="G1" s="11" t="s">
        <v>2752</v>
      </c>
      <c r="H1" s="169" t="s">
        <v>2753</v>
      </c>
      <c r="I1" s="11" t="s">
        <v>2754</v>
      </c>
      <c r="J1" s="170"/>
      <c r="K1" s="171"/>
      <c r="L1" s="171"/>
      <c r="M1" s="171">
        <v>40817</v>
      </c>
      <c r="N1" s="171"/>
      <c r="O1" s="170"/>
      <c r="P1" s="171"/>
      <c r="Q1" s="171"/>
      <c r="R1" s="171">
        <v>40848</v>
      </c>
      <c r="S1" s="171"/>
      <c r="T1" s="170"/>
      <c r="U1" s="171"/>
      <c r="V1" s="171"/>
      <c r="W1" s="171">
        <v>40878</v>
      </c>
      <c r="X1" s="171"/>
      <c r="Y1" s="170"/>
      <c r="Z1" s="171"/>
      <c r="AA1" s="171"/>
      <c r="AB1" s="171">
        <v>40909</v>
      </c>
      <c r="AC1" s="171"/>
      <c r="AD1" s="170"/>
      <c r="AE1" s="171"/>
      <c r="AF1" s="171"/>
      <c r="AG1" s="171">
        <v>40940</v>
      </c>
      <c r="AH1" s="171"/>
      <c r="AI1" s="170"/>
      <c r="AJ1" s="171"/>
      <c r="AK1" s="171"/>
      <c r="AL1" s="171">
        <v>40969</v>
      </c>
      <c r="AM1" s="171"/>
      <c r="AN1" s="170"/>
      <c r="AO1" s="171"/>
      <c r="AP1" s="171"/>
      <c r="AQ1" s="171">
        <v>41000</v>
      </c>
      <c r="AR1" s="171"/>
      <c r="AS1" s="170"/>
      <c r="AT1" s="171"/>
      <c r="AU1" s="171"/>
      <c r="AV1" s="171">
        <v>41030</v>
      </c>
      <c r="AW1" s="171"/>
      <c r="AX1" s="170"/>
      <c r="AY1" s="171"/>
      <c r="AZ1" s="171"/>
      <c r="BA1" s="171">
        <v>41061</v>
      </c>
      <c r="BB1" s="171"/>
      <c r="BC1" s="170"/>
      <c r="BD1" s="171"/>
      <c r="BE1" s="171"/>
      <c r="BF1" s="171">
        <v>41091</v>
      </c>
      <c r="BG1" s="171"/>
      <c r="BH1" s="170"/>
      <c r="BI1" s="171"/>
      <c r="BJ1" s="171"/>
      <c r="BK1" s="171">
        <v>41122</v>
      </c>
      <c r="BL1" s="171"/>
      <c r="BM1" s="170"/>
      <c r="BN1" s="171"/>
      <c r="BO1" s="171"/>
      <c r="BP1" s="171">
        <v>41153</v>
      </c>
      <c r="BQ1" s="171"/>
      <c r="BR1" s="170"/>
      <c r="BS1" s="171"/>
      <c r="BT1" s="171"/>
      <c r="BU1" s="171">
        <v>41183</v>
      </c>
      <c r="BV1" s="171"/>
      <c r="BW1" s="170"/>
      <c r="BX1" s="171"/>
      <c r="BY1" s="171"/>
      <c r="BZ1" s="171">
        <v>41214</v>
      </c>
      <c r="CA1" s="171"/>
    </row>
    <row r="2" spans="1:80" x14ac:dyDescent="0.25">
      <c r="A2" s="26" t="s">
        <v>781</v>
      </c>
      <c r="B2" s="25" t="s">
        <v>2755</v>
      </c>
      <c r="C2" s="172" t="s">
        <v>2756</v>
      </c>
      <c r="D2" s="26" t="s">
        <v>781</v>
      </c>
      <c r="E2" s="26"/>
      <c r="F2" s="173">
        <v>0</v>
      </c>
      <c r="G2" s="32" t="s">
        <v>2757</v>
      </c>
      <c r="H2" s="32" t="s">
        <v>2758</v>
      </c>
      <c r="I2" s="26"/>
      <c r="J2" s="174" t="s">
        <v>2759</v>
      </c>
      <c r="K2" s="32" t="s">
        <v>2760</v>
      </c>
      <c r="L2" s="32" t="s">
        <v>2757</v>
      </c>
      <c r="M2" s="175" t="s">
        <v>2758</v>
      </c>
      <c r="N2" s="175" t="s">
        <v>2761</v>
      </c>
      <c r="O2" s="176" t="s">
        <v>2759</v>
      </c>
      <c r="P2" s="32" t="s">
        <v>2760</v>
      </c>
      <c r="Q2" s="175" t="s">
        <v>2757</v>
      </c>
      <c r="R2" s="175" t="s">
        <v>2758</v>
      </c>
      <c r="S2" s="175" t="s">
        <v>2761</v>
      </c>
      <c r="T2" s="176" t="s">
        <v>2759</v>
      </c>
      <c r="U2" s="32" t="s">
        <v>2760</v>
      </c>
      <c r="V2" s="175" t="s">
        <v>2757</v>
      </c>
      <c r="W2" s="175" t="s">
        <v>2758</v>
      </c>
      <c r="X2" s="175" t="s">
        <v>2761</v>
      </c>
      <c r="Y2" s="176" t="s">
        <v>2759</v>
      </c>
      <c r="Z2" s="32" t="s">
        <v>2760</v>
      </c>
      <c r="AA2" s="175" t="s">
        <v>2757</v>
      </c>
      <c r="AB2" s="175" t="s">
        <v>2758</v>
      </c>
      <c r="AC2" s="175" t="s">
        <v>2761</v>
      </c>
      <c r="AD2" s="176" t="s">
        <v>2759</v>
      </c>
      <c r="AE2" s="32" t="s">
        <v>2760</v>
      </c>
      <c r="AF2" s="175" t="s">
        <v>2757</v>
      </c>
      <c r="AG2" s="175" t="s">
        <v>2758</v>
      </c>
      <c r="AH2" s="175" t="s">
        <v>2761</v>
      </c>
      <c r="AI2" s="176" t="s">
        <v>2759</v>
      </c>
      <c r="AJ2" s="32" t="s">
        <v>2760</v>
      </c>
      <c r="AK2" s="175" t="s">
        <v>2757</v>
      </c>
      <c r="AL2" s="175" t="s">
        <v>2758</v>
      </c>
      <c r="AM2" s="175" t="s">
        <v>2761</v>
      </c>
      <c r="AN2" s="176" t="s">
        <v>2759</v>
      </c>
      <c r="AO2" s="32" t="s">
        <v>2760</v>
      </c>
      <c r="AP2" s="175" t="s">
        <v>2757</v>
      </c>
      <c r="AQ2" s="175" t="s">
        <v>2758</v>
      </c>
      <c r="AR2" s="175" t="s">
        <v>2761</v>
      </c>
      <c r="AS2" s="176" t="s">
        <v>2759</v>
      </c>
      <c r="AT2" s="32" t="s">
        <v>2760</v>
      </c>
      <c r="AU2" s="175" t="s">
        <v>2757</v>
      </c>
      <c r="AV2" s="175" t="s">
        <v>2758</v>
      </c>
      <c r="AW2" s="175" t="s">
        <v>2761</v>
      </c>
      <c r="AX2" s="176" t="s">
        <v>2759</v>
      </c>
      <c r="AY2" s="32" t="s">
        <v>2760</v>
      </c>
      <c r="AZ2" s="175" t="s">
        <v>2757</v>
      </c>
      <c r="BA2" s="175" t="s">
        <v>2758</v>
      </c>
      <c r="BB2" s="175" t="s">
        <v>2761</v>
      </c>
      <c r="BC2" s="176" t="s">
        <v>2759</v>
      </c>
      <c r="BD2" s="32" t="s">
        <v>2760</v>
      </c>
      <c r="BE2" s="175" t="s">
        <v>2757</v>
      </c>
      <c r="BF2" s="175" t="s">
        <v>2758</v>
      </c>
      <c r="BG2" s="175" t="s">
        <v>2761</v>
      </c>
      <c r="BH2" s="176" t="s">
        <v>2759</v>
      </c>
      <c r="BI2" s="32" t="s">
        <v>2760</v>
      </c>
      <c r="BJ2" s="175" t="s">
        <v>2757</v>
      </c>
      <c r="BK2" s="175" t="s">
        <v>2758</v>
      </c>
      <c r="BL2" s="175" t="s">
        <v>2761</v>
      </c>
      <c r="BM2" s="176" t="s">
        <v>2759</v>
      </c>
      <c r="BN2" s="32" t="s">
        <v>2760</v>
      </c>
      <c r="BO2" s="175" t="s">
        <v>2757</v>
      </c>
      <c r="BP2" s="175" t="s">
        <v>2758</v>
      </c>
      <c r="BQ2" s="175" t="s">
        <v>2761</v>
      </c>
      <c r="BR2" s="176" t="s">
        <v>2759</v>
      </c>
      <c r="BS2" s="32" t="s">
        <v>2760</v>
      </c>
      <c r="BT2" s="175" t="s">
        <v>2757</v>
      </c>
      <c r="BU2" s="175" t="s">
        <v>2758</v>
      </c>
      <c r="BV2" s="175" t="s">
        <v>2761</v>
      </c>
      <c r="BW2" s="176" t="s">
        <v>2759</v>
      </c>
      <c r="BX2" s="32" t="s">
        <v>2760</v>
      </c>
      <c r="BY2" s="175" t="s">
        <v>2757</v>
      </c>
      <c r="BZ2" s="175" t="s">
        <v>2758</v>
      </c>
      <c r="CA2" s="175" t="s">
        <v>2761</v>
      </c>
    </row>
    <row r="3" spans="1:80" x14ac:dyDescent="0.25">
      <c r="A3" s="30">
        <v>11</v>
      </c>
      <c r="B3" s="16" t="s">
        <v>2762</v>
      </c>
      <c r="C3" s="178">
        <v>135</v>
      </c>
      <c r="D3" t="s">
        <v>2763</v>
      </c>
      <c r="E3" s="35">
        <v>32775</v>
      </c>
      <c r="F3" s="178">
        <v>242.77777777777777</v>
      </c>
      <c r="G3" s="178">
        <v>242</v>
      </c>
      <c r="H3" s="180">
        <v>44729.58</v>
      </c>
      <c r="I3" s="178">
        <v>184.83471074380165</v>
      </c>
      <c r="J3" s="181">
        <v>0</v>
      </c>
      <c r="K3" s="179">
        <v>0</v>
      </c>
      <c r="L3" s="178">
        <v>0</v>
      </c>
      <c r="M3" s="179">
        <v>0</v>
      </c>
      <c r="N3" s="179">
        <v>0</v>
      </c>
      <c r="O3" s="181">
        <v>30</v>
      </c>
      <c r="P3" s="179">
        <v>7283.333333333333</v>
      </c>
      <c r="Q3" s="178">
        <v>14.5</v>
      </c>
      <c r="R3" s="179">
        <v>2701.68</v>
      </c>
      <c r="S3" s="179">
        <v>1963.7913223140497</v>
      </c>
      <c r="T3" s="181">
        <v>45</v>
      </c>
      <c r="U3" s="179">
        <v>10925</v>
      </c>
      <c r="V3" s="168">
        <v>14.5</v>
      </c>
      <c r="W3" s="179">
        <v>2701.68</v>
      </c>
      <c r="X3" s="179">
        <v>1963.7913223140497</v>
      </c>
      <c r="Y3" s="181">
        <v>60</v>
      </c>
      <c r="Z3" s="179">
        <v>14566.666666666666</v>
      </c>
      <c r="AA3" s="168">
        <v>20.5</v>
      </c>
      <c r="AB3" s="179">
        <v>3812.3799999999997</v>
      </c>
      <c r="AC3" s="179">
        <v>2776.3946280991736</v>
      </c>
      <c r="AD3" s="181">
        <v>75</v>
      </c>
      <c r="AE3" s="179">
        <v>18208.333333333332</v>
      </c>
      <c r="AF3" s="168">
        <v>41.5</v>
      </c>
      <c r="AG3" s="179">
        <v>7648.3799999999992</v>
      </c>
      <c r="AH3" s="179">
        <v>5620.5061983471078</v>
      </c>
      <c r="AI3" s="181">
        <v>90</v>
      </c>
      <c r="AJ3" s="179">
        <v>21850</v>
      </c>
      <c r="AK3" s="168">
        <v>49</v>
      </c>
      <c r="AL3" s="179">
        <v>9078.3799999999992</v>
      </c>
      <c r="AM3" s="179">
        <v>6636.2603305785124</v>
      </c>
      <c r="AN3" s="181">
        <v>105</v>
      </c>
      <c r="AO3" s="179">
        <v>25491.666666666664</v>
      </c>
      <c r="AP3" s="168">
        <v>64</v>
      </c>
      <c r="AQ3" s="179">
        <v>11980.48</v>
      </c>
      <c r="AR3" s="179">
        <v>8667.7685950413234</v>
      </c>
      <c r="AS3" s="181">
        <v>120</v>
      </c>
      <c r="AT3" s="179">
        <v>29133.333333333332</v>
      </c>
      <c r="AU3" s="168">
        <v>119</v>
      </c>
      <c r="AV3" s="179">
        <v>21999.279999999999</v>
      </c>
      <c r="AW3" s="179">
        <v>16116.632231404959</v>
      </c>
      <c r="AX3" s="181">
        <v>135</v>
      </c>
      <c r="AY3" s="179">
        <v>32775</v>
      </c>
      <c r="AZ3" s="168">
        <v>119</v>
      </c>
      <c r="BA3" s="179">
        <v>21999.279999999999</v>
      </c>
      <c r="BB3" s="179">
        <v>16116.632231404959</v>
      </c>
      <c r="BC3" s="181">
        <v>135</v>
      </c>
      <c r="BD3" s="179">
        <v>32775</v>
      </c>
      <c r="BE3" s="168">
        <v>169</v>
      </c>
      <c r="BF3" s="179">
        <v>31311.879999999997</v>
      </c>
      <c r="BG3" s="179">
        <v>22888.326446280993</v>
      </c>
      <c r="BH3" s="181">
        <v>135</v>
      </c>
      <c r="BI3" s="179">
        <v>32775</v>
      </c>
      <c r="BJ3" s="168">
        <v>188</v>
      </c>
      <c r="BK3" s="179">
        <v>34782.129999999997</v>
      </c>
      <c r="BL3" s="179">
        <v>25461.570247933883</v>
      </c>
      <c r="BM3" s="181">
        <v>135</v>
      </c>
      <c r="BN3" s="179">
        <v>32775</v>
      </c>
      <c r="BO3" s="168">
        <v>230</v>
      </c>
      <c r="BP3" s="179">
        <v>42620.43</v>
      </c>
      <c r="BQ3" s="179">
        <v>31149.793388429753</v>
      </c>
      <c r="BR3" s="181">
        <v>135</v>
      </c>
      <c r="BS3" s="179">
        <v>32775</v>
      </c>
      <c r="BT3" s="168">
        <v>242</v>
      </c>
      <c r="BU3" s="179">
        <v>44729.58</v>
      </c>
      <c r="BV3" s="179">
        <v>32775</v>
      </c>
      <c r="BW3" s="181">
        <v>135</v>
      </c>
      <c r="BX3" s="179">
        <v>32775</v>
      </c>
      <c r="BY3" s="168">
        <v>242</v>
      </c>
      <c r="BZ3" s="179">
        <v>44729.58</v>
      </c>
      <c r="CA3" s="179">
        <v>32775</v>
      </c>
      <c r="CB3" s="179">
        <v>0</v>
      </c>
    </row>
    <row r="4" spans="1:80" x14ac:dyDescent="0.25">
      <c r="A4" s="30">
        <v>12</v>
      </c>
      <c r="B4" s="16" t="s">
        <v>2764</v>
      </c>
      <c r="C4" s="178">
        <v>172</v>
      </c>
      <c r="D4" t="s">
        <v>2763</v>
      </c>
      <c r="E4" s="35">
        <v>23900</v>
      </c>
      <c r="F4" s="178">
        <v>138.95348837209303</v>
      </c>
      <c r="G4" s="178">
        <v>99</v>
      </c>
      <c r="H4" s="180">
        <v>18263.07</v>
      </c>
      <c r="I4" s="178">
        <v>184.47474747474749</v>
      </c>
      <c r="J4" s="181">
        <v>0</v>
      </c>
      <c r="K4" s="179">
        <v>0</v>
      </c>
      <c r="L4" s="178">
        <v>0</v>
      </c>
      <c r="M4" s="179">
        <v>0</v>
      </c>
      <c r="N4" s="179">
        <v>0</v>
      </c>
      <c r="O4" s="181">
        <v>0</v>
      </c>
      <c r="P4" s="179">
        <v>0</v>
      </c>
      <c r="Q4" s="178">
        <v>0</v>
      </c>
      <c r="R4" s="179">
        <v>0</v>
      </c>
      <c r="S4" s="179">
        <v>0</v>
      </c>
      <c r="T4" s="181">
        <v>0</v>
      </c>
      <c r="U4" s="179">
        <v>0</v>
      </c>
      <c r="V4" s="168">
        <v>0</v>
      </c>
      <c r="W4" s="179">
        <v>0</v>
      </c>
      <c r="X4" s="179">
        <v>0</v>
      </c>
      <c r="Y4" s="181">
        <v>15</v>
      </c>
      <c r="Z4" s="179">
        <v>2084.3023255813955</v>
      </c>
      <c r="AA4" s="168">
        <v>0</v>
      </c>
      <c r="AB4" s="179">
        <v>0</v>
      </c>
      <c r="AC4" s="179">
        <v>0</v>
      </c>
      <c r="AD4" s="181">
        <v>30</v>
      </c>
      <c r="AE4" s="179">
        <v>4168.604651162791</v>
      </c>
      <c r="AF4" s="168">
        <v>0</v>
      </c>
      <c r="AG4" s="179">
        <v>0</v>
      </c>
      <c r="AH4" s="179">
        <v>0</v>
      </c>
      <c r="AI4" s="181">
        <v>45</v>
      </c>
      <c r="AJ4" s="179">
        <v>6252.906976744187</v>
      </c>
      <c r="AK4" s="168">
        <v>9</v>
      </c>
      <c r="AL4" s="179">
        <v>1634.92</v>
      </c>
      <c r="AM4" s="179">
        <v>2172.727272727273</v>
      </c>
      <c r="AN4" s="181">
        <v>60</v>
      </c>
      <c r="AO4" s="179">
        <v>8337.209302325582</v>
      </c>
      <c r="AP4" s="168">
        <v>9</v>
      </c>
      <c r="AQ4" s="179">
        <v>1634.92</v>
      </c>
      <c r="AR4" s="179">
        <v>2172.727272727273</v>
      </c>
      <c r="AS4" s="181">
        <v>75</v>
      </c>
      <c r="AT4" s="179">
        <v>10421.511627906977</v>
      </c>
      <c r="AU4" s="168">
        <v>9</v>
      </c>
      <c r="AV4" s="179">
        <v>1634.92</v>
      </c>
      <c r="AW4" s="179">
        <v>2172.727272727273</v>
      </c>
      <c r="AX4" s="181">
        <v>90</v>
      </c>
      <c r="AY4" s="179">
        <v>12505.813953488374</v>
      </c>
      <c r="AZ4" s="168">
        <v>43</v>
      </c>
      <c r="BA4" s="179">
        <v>7912.42</v>
      </c>
      <c r="BB4" s="179">
        <v>10380.808080808081</v>
      </c>
      <c r="BC4" s="181">
        <v>145</v>
      </c>
      <c r="BD4" s="179">
        <v>20148.255813953489</v>
      </c>
      <c r="BE4" s="168">
        <v>54.5</v>
      </c>
      <c r="BF4" s="179">
        <v>10091.92</v>
      </c>
      <c r="BG4" s="179">
        <v>13157.070707070707</v>
      </c>
      <c r="BH4" s="181">
        <v>172</v>
      </c>
      <c r="BI4" s="179">
        <v>23900</v>
      </c>
      <c r="BJ4" s="168">
        <v>59.5</v>
      </c>
      <c r="BK4" s="179">
        <v>11058.92</v>
      </c>
      <c r="BL4" s="179">
        <v>14364.141414141413</v>
      </c>
      <c r="BM4" s="181">
        <v>172</v>
      </c>
      <c r="BN4" s="179">
        <v>23900</v>
      </c>
      <c r="BO4" s="168">
        <v>65</v>
      </c>
      <c r="BP4" s="179">
        <v>12071.02</v>
      </c>
      <c r="BQ4" s="179">
        <v>15691.919191919193</v>
      </c>
      <c r="BR4" s="181">
        <v>172</v>
      </c>
      <c r="BS4" s="179">
        <v>23900</v>
      </c>
      <c r="BT4" s="168">
        <v>69.5</v>
      </c>
      <c r="BU4" s="179">
        <v>12825.67</v>
      </c>
      <c r="BV4" s="179">
        <v>16778.282828282827</v>
      </c>
      <c r="BW4" s="181">
        <v>172</v>
      </c>
      <c r="BX4" s="179">
        <v>23900</v>
      </c>
      <c r="BY4" s="168">
        <v>99</v>
      </c>
      <c r="BZ4" s="179">
        <v>18263.07</v>
      </c>
      <c r="CA4" s="179">
        <v>23900</v>
      </c>
      <c r="CB4" s="179">
        <v>0</v>
      </c>
    </row>
    <row r="5" spans="1:80" x14ac:dyDescent="0.25">
      <c r="A5" s="30">
        <v>13</v>
      </c>
      <c r="B5" s="16" t="s">
        <v>2765</v>
      </c>
      <c r="C5" s="178">
        <v>1</v>
      </c>
      <c r="D5" t="s">
        <v>2766</v>
      </c>
      <c r="E5" s="35">
        <v>25425</v>
      </c>
      <c r="F5" s="178">
        <v>25425</v>
      </c>
      <c r="G5" s="178">
        <v>1</v>
      </c>
      <c r="H5" s="180">
        <v>27869.52</v>
      </c>
      <c r="I5" s="178">
        <v>27870</v>
      </c>
      <c r="J5" s="181">
        <v>0.1</v>
      </c>
      <c r="K5" s="179">
        <v>2542.5</v>
      </c>
      <c r="L5" s="178">
        <v>0</v>
      </c>
      <c r="M5" s="179">
        <v>0</v>
      </c>
      <c r="N5" s="179">
        <v>0</v>
      </c>
      <c r="O5" s="181">
        <v>0.2</v>
      </c>
      <c r="P5" s="179">
        <v>5085</v>
      </c>
      <c r="Q5" s="178">
        <v>0.05</v>
      </c>
      <c r="R5" s="179">
        <v>1591.54</v>
      </c>
      <c r="S5" s="179">
        <v>1271.25</v>
      </c>
      <c r="T5" s="181">
        <v>0.3</v>
      </c>
      <c r="U5" s="179">
        <v>7627.5</v>
      </c>
      <c r="V5" s="168">
        <v>0.08</v>
      </c>
      <c r="W5" s="179">
        <v>2350.81</v>
      </c>
      <c r="X5" s="179">
        <v>2034</v>
      </c>
      <c r="Y5" s="181">
        <v>0.4</v>
      </c>
      <c r="Z5" s="179">
        <v>10170</v>
      </c>
      <c r="AA5" s="168">
        <v>0.1</v>
      </c>
      <c r="AB5" s="179">
        <v>2670.9</v>
      </c>
      <c r="AC5" s="179">
        <v>2542.5</v>
      </c>
      <c r="AD5" s="181">
        <v>0.5</v>
      </c>
      <c r="AE5" s="179">
        <v>12712.5</v>
      </c>
      <c r="AF5" s="168">
        <v>0.15</v>
      </c>
      <c r="AG5" s="179">
        <v>4611.7</v>
      </c>
      <c r="AH5" s="179">
        <v>3813.75</v>
      </c>
      <c r="AI5" s="181">
        <v>0.6</v>
      </c>
      <c r="AJ5" s="179">
        <v>15255</v>
      </c>
      <c r="AK5" s="168">
        <v>0.15</v>
      </c>
      <c r="AL5" s="179">
        <v>4611.7</v>
      </c>
      <c r="AM5" s="179">
        <v>3813.75</v>
      </c>
      <c r="AN5" s="181">
        <v>0.7</v>
      </c>
      <c r="AO5" s="179">
        <v>17797.5</v>
      </c>
      <c r="AP5" s="168">
        <v>0.35</v>
      </c>
      <c r="AQ5" s="179">
        <v>9695.7800000000007</v>
      </c>
      <c r="AR5" s="179">
        <v>8898.75</v>
      </c>
      <c r="AS5" s="181">
        <v>0.8</v>
      </c>
      <c r="AT5" s="179">
        <v>20340</v>
      </c>
      <c r="AU5" s="168">
        <v>0.45</v>
      </c>
      <c r="AV5" s="179">
        <v>12901.68</v>
      </c>
      <c r="AW5" s="179">
        <v>11441.25</v>
      </c>
      <c r="AX5" s="181">
        <v>0.9</v>
      </c>
      <c r="AY5" s="179">
        <v>22882.5</v>
      </c>
      <c r="AZ5" s="168">
        <v>0.5</v>
      </c>
      <c r="BA5" s="179">
        <v>14673.95</v>
      </c>
      <c r="BB5" s="179">
        <v>12712.5</v>
      </c>
      <c r="BC5" s="181">
        <v>1</v>
      </c>
      <c r="BD5" s="179">
        <v>25425</v>
      </c>
      <c r="BE5" s="168">
        <v>0.5</v>
      </c>
      <c r="BF5" s="179">
        <v>14673.95</v>
      </c>
      <c r="BG5" s="179">
        <v>12712.5</v>
      </c>
      <c r="BH5" s="181">
        <v>1</v>
      </c>
      <c r="BI5" s="179">
        <v>25425</v>
      </c>
      <c r="BJ5" s="168">
        <v>0.85</v>
      </c>
      <c r="BK5" s="179">
        <v>25104.7</v>
      </c>
      <c r="BL5" s="179">
        <v>21611.25</v>
      </c>
      <c r="BM5" s="181">
        <v>1</v>
      </c>
      <c r="BN5" s="179">
        <v>25425</v>
      </c>
      <c r="BO5" s="168">
        <v>0.95</v>
      </c>
      <c r="BP5" s="179">
        <v>27744.07</v>
      </c>
      <c r="BQ5" s="179">
        <v>24153.75</v>
      </c>
      <c r="BR5" s="181">
        <v>1</v>
      </c>
      <c r="BS5" s="179">
        <v>25425</v>
      </c>
      <c r="BT5" s="168">
        <v>1</v>
      </c>
      <c r="BU5" s="179">
        <v>27869.52</v>
      </c>
      <c r="BV5" s="179">
        <v>25425</v>
      </c>
      <c r="BW5" s="181">
        <v>1</v>
      </c>
      <c r="BX5" s="179">
        <v>25425</v>
      </c>
      <c r="BY5" s="168">
        <v>1</v>
      </c>
      <c r="BZ5" s="179">
        <v>27869.52</v>
      </c>
      <c r="CA5" s="179">
        <v>25425</v>
      </c>
      <c r="CB5" s="179">
        <v>0</v>
      </c>
    </row>
    <row r="6" spans="1:80" x14ac:dyDescent="0.25">
      <c r="A6" s="30">
        <v>15</v>
      </c>
      <c r="B6" s="16" t="s">
        <v>2767</v>
      </c>
      <c r="C6" s="178">
        <v>0</v>
      </c>
      <c r="D6" t="s">
        <v>2763</v>
      </c>
      <c r="E6" s="35">
        <v>0</v>
      </c>
      <c r="F6" s="178">
        <v>0</v>
      </c>
      <c r="G6" s="178">
        <v>24.5</v>
      </c>
      <c r="H6" s="180">
        <v>4054.9</v>
      </c>
      <c r="I6" s="178">
        <v>165.51020408163265</v>
      </c>
      <c r="J6" s="181">
        <v>0</v>
      </c>
      <c r="K6" s="179">
        <v>0</v>
      </c>
      <c r="L6" s="178">
        <v>0</v>
      </c>
      <c r="M6" s="179">
        <v>0</v>
      </c>
      <c r="N6" s="179">
        <v>0</v>
      </c>
      <c r="O6" s="181">
        <v>0</v>
      </c>
      <c r="P6" s="179">
        <v>0</v>
      </c>
      <c r="Q6" s="178">
        <v>0</v>
      </c>
      <c r="R6" s="179">
        <v>0</v>
      </c>
      <c r="S6" s="179">
        <v>0</v>
      </c>
      <c r="T6" s="181">
        <v>0</v>
      </c>
      <c r="U6" s="179">
        <v>0</v>
      </c>
      <c r="V6" s="168">
        <v>0</v>
      </c>
      <c r="W6" s="179">
        <v>0</v>
      </c>
      <c r="X6" s="179">
        <v>0</v>
      </c>
      <c r="Y6" s="181">
        <v>0</v>
      </c>
      <c r="Z6" s="179">
        <v>0</v>
      </c>
      <c r="AA6" s="168">
        <v>1.2</v>
      </c>
      <c r="AB6" s="179">
        <v>195</v>
      </c>
      <c r="AC6" s="179">
        <v>0</v>
      </c>
      <c r="AD6" s="181">
        <v>0</v>
      </c>
      <c r="AE6" s="179">
        <v>0</v>
      </c>
      <c r="AF6" s="168">
        <v>1.2</v>
      </c>
      <c r="AG6" s="179">
        <v>195</v>
      </c>
      <c r="AH6" s="179">
        <v>0</v>
      </c>
      <c r="AI6" s="181">
        <v>0</v>
      </c>
      <c r="AJ6" s="179">
        <v>0</v>
      </c>
      <c r="AK6" s="168">
        <v>9</v>
      </c>
      <c r="AL6" s="179">
        <v>1480</v>
      </c>
      <c r="AM6" s="179">
        <v>0</v>
      </c>
      <c r="AN6" s="181">
        <v>0</v>
      </c>
      <c r="AO6" s="179">
        <v>0</v>
      </c>
      <c r="AP6" s="168">
        <v>9</v>
      </c>
      <c r="AQ6" s="179">
        <v>1480</v>
      </c>
      <c r="AR6" s="179">
        <v>0</v>
      </c>
      <c r="AS6" s="181">
        <v>0</v>
      </c>
      <c r="AT6" s="179">
        <v>0</v>
      </c>
      <c r="AU6" s="168">
        <v>14</v>
      </c>
      <c r="AV6" s="179">
        <v>2282.5</v>
      </c>
      <c r="AW6" s="179">
        <v>0</v>
      </c>
      <c r="AX6" s="181">
        <v>0</v>
      </c>
      <c r="AY6" s="179">
        <v>0</v>
      </c>
      <c r="AZ6" s="168">
        <v>17.25</v>
      </c>
      <c r="BA6" s="179">
        <v>2860</v>
      </c>
      <c r="BB6" s="179">
        <v>0</v>
      </c>
      <c r="BC6" s="181">
        <v>0</v>
      </c>
      <c r="BD6" s="179">
        <v>0</v>
      </c>
      <c r="BE6" s="168">
        <v>18.75</v>
      </c>
      <c r="BF6" s="179">
        <v>3107.5</v>
      </c>
      <c r="BG6" s="179">
        <v>0</v>
      </c>
      <c r="BH6" s="181">
        <v>0</v>
      </c>
      <c r="BI6" s="179">
        <v>0</v>
      </c>
      <c r="BJ6" s="168">
        <v>24.5</v>
      </c>
      <c r="BK6" s="179">
        <v>4054.9</v>
      </c>
      <c r="BL6" s="179">
        <v>0</v>
      </c>
      <c r="BM6" s="181">
        <v>0</v>
      </c>
      <c r="BN6" s="179">
        <v>0</v>
      </c>
      <c r="BO6" s="168">
        <v>24.5</v>
      </c>
      <c r="BP6" s="179">
        <v>4054.9</v>
      </c>
      <c r="BQ6" s="179">
        <v>0</v>
      </c>
      <c r="BR6" s="181">
        <v>0</v>
      </c>
      <c r="BS6" s="179">
        <v>0</v>
      </c>
      <c r="BT6" s="168">
        <v>24.5</v>
      </c>
      <c r="BU6" s="179">
        <v>4054.9</v>
      </c>
      <c r="BV6" s="179">
        <v>0</v>
      </c>
      <c r="BW6" s="181">
        <v>0</v>
      </c>
      <c r="BX6" s="179">
        <v>0</v>
      </c>
      <c r="BY6" s="168">
        <v>24.5</v>
      </c>
      <c r="BZ6" s="179">
        <v>4054.9</v>
      </c>
      <c r="CA6" s="179">
        <v>0</v>
      </c>
      <c r="CB6" s="179">
        <v>0</v>
      </c>
    </row>
    <row r="7" spans="1:80" x14ac:dyDescent="0.25">
      <c r="A7" s="30">
        <v>32</v>
      </c>
      <c r="B7" s="16" t="s">
        <v>2768</v>
      </c>
      <c r="C7" s="178">
        <v>1</v>
      </c>
      <c r="D7" t="s">
        <v>2766</v>
      </c>
      <c r="E7" s="35">
        <v>3115</v>
      </c>
      <c r="F7" s="178">
        <v>3115</v>
      </c>
      <c r="G7" s="178">
        <v>1</v>
      </c>
      <c r="H7" s="180">
        <v>2535.3200000000002</v>
      </c>
      <c r="I7" s="178">
        <v>2535</v>
      </c>
      <c r="J7" s="181">
        <v>0</v>
      </c>
      <c r="K7" s="179">
        <v>0</v>
      </c>
      <c r="L7" s="178">
        <v>0</v>
      </c>
      <c r="M7" s="179">
        <v>0</v>
      </c>
      <c r="N7" s="179">
        <v>0</v>
      </c>
      <c r="O7" s="181">
        <v>0</v>
      </c>
      <c r="P7" s="179">
        <v>0</v>
      </c>
      <c r="Q7" s="178">
        <v>0</v>
      </c>
      <c r="R7" s="179">
        <v>0</v>
      </c>
      <c r="S7" s="179">
        <v>0</v>
      </c>
      <c r="T7" s="181">
        <v>0</v>
      </c>
      <c r="U7" s="179">
        <v>0</v>
      </c>
      <c r="V7" s="168">
        <v>0</v>
      </c>
      <c r="W7" s="179">
        <v>0</v>
      </c>
      <c r="X7" s="179">
        <v>0</v>
      </c>
      <c r="Y7" s="181">
        <v>0</v>
      </c>
      <c r="Z7" s="179">
        <v>0</v>
      </c>
      <c r="AA7" s="168">
        <v>0</v>
      </c>
      <c r="AB7" s="179">
        <v>0</v>
      </c>
      <c r="AC7" s="179">
        <v>0</v>
      </c>
      <c r="AD7" s="181">
        <v>0</v>
      </c>
      <c r="AE7" s="179">
        <v>0</v>
      </c>
      <c r="AF7" s="168">
        <v>0</v>
      </c>
      <c r="AG7" s="179">
        <v>0</v>
      </c>
      <c r="AH7" s="179">
        <v>0</v>
      </c>
      <c r="AI7" s="181">
        <v>0</v>
      </c>
      <c r="AJ7" s="179">
        <v>0</v>
      </c>
      <c r="AK7" s="168">
        <v>0</v>
      </c>
      <c r="AL7" s="179">
        <v>0</v>
      </c>
      <c r="AM7" s="179">
        <v>0</v>
      </c>
      <c r="AN7" s="181">
        <v>0</v>
      </c>
      <c r="AO7" s="179">
        <v>0</v>
      </c>
      <c r="AP7" s="168">
        <v>0</v>
      </c>
      <c r="AQ7" s="179">
        <v>0</v>
      </c>
      <c r="AR7" s="179">
        <v>0</v>
      </c>
      <c r="AS7" s="181">
        <v>1</v>
      </c>
      <c r="AT7" s="179">
        <v>3115</v>
      </c>
      <c r="AU7" s="168">
        <v>0.75</v>
      </c>
      <c r="AV7" s="179">
        <v>1933.19</v>
      </c>
      <c r="AW7" s="179">
        <v>2336.25</v>
      </c>
      <c r="AX7" s="181">
        <v>1</v>
      </c>
      <c r="AY7" s="179">
        <v>3115</v>
      </c>
      <c r="AZ7" s="168">
        <v>0.75</v>
      </c>
      <c r="BA7" s="179">
        <v>1959.3400000000001</v>
      </c>
      <c r="BB7" s="179">
        <v>2336.25</v>
      </c>
      <c r="BC7" s="181">
        <v>1</v>
      </c>
      <c r="BD7" s="179">
        <v>3115</v>
      </c>
      <c r="BE7" s="168">
        <v>0.75</v>
      </c>
      <c r="BF7" s="179">
        <v>1987.65</v>
      </c>
      <c r="BG7" s="179">
        <v>2336.25</v>
      </c>
      <c r="BH7" s="181">
        <v>1</v>
      </c>
      <c r="BI7" s="179">
        <v>3115</v>
      </c>
      <c r="BJ7" s="168">
        <v>0.75</v>
      </c>
      <c r="BK7" s="179">
        <v>1997.0900000000001</v>
      </c>
      <c r="BL7" s="179">
        <v>2336.25</v>
      </c>
      <c r="BM7" s="181">
        <v>1</v>
      </c>
      <c r="BN7" s="179">
        <v>3115</v>
      </c>
      <c r="BO7" s="168">
        <v>0.9</v>
      </c>
      <c r="BP7" s="179">
        <v>2350.36</v>
      </c>
      <c r="BQ7" s="179">
        <v>2803.5</v>
      </c>
      <c r="BR7" s="181">
        <v>1</v>
      </c>
      <c r="BS7" s="179">
        <v>3115</v>
      </c>
      <c r="BT7" s="168">
        <v>1</v>
      </c>
      <c r="BU7" s="179">
        <v>2535.3200000000002</v>
      </c>
      <c r="BV7" s="179">
        <v>3115</v>
      </c>
      <c r="BW7" s="181">
        <v>1</v>
      </c>
      <c r="BX7" s="179">
        <v>3115</v>
      </c>
      <c r="BY7" s="168">
        <v>1</v>
      </c>
      <c r="BZ7" s="179">
        <v>2535.3200000000002</v>
      </c>
      <c r="CA7" s="179">
        <v>3115</v>
      </c>
      <c r="CB7" s="179">
        <v>0</v>
      </c>
    </row>
    <row r="8" spans="1:80" x14ac:dyDescent="0.25">
      <c r="A8" s="30">
        <v>33</v>
      </c>
      <c r="B8" s="16" t="s">
        <v>2769</v>
      </c>
      <c r="C8" s="178">
        <v>240</v>
      </c>
      <c r="D8" t="s">
        <v>2548</v>
      </c>
      <c r="E8" s="35">
        <v>9148.2613561356138</v>
      </c>
      <c r="F8" s="178">
        <v>38.117755650565059</v>
      </c>
      <c r="G8" s="178">
        <v>240</v>
      </c>
      <c r="H8" s="180">
        <v>25138.26999999999</v>
      </c>
      <c r="I8" s="178">
        <v>104.74166666666666</v>
      </c>
      <c r="J8" s="181">
        <v>0</v>
      </c>
      <c r="K8" s="179">
        <v>0</v>
      </c>
      <c r="L8" s="178">
        <v>0</v>
      </c>
      <c r="M8" s="179">
        <v>0</v>
      </c>
      <c r="N8" s="179">
        <v>0</v>
      </c>
      <c r="O8" s="181">
        <v>0</v>
      </c>
      <c r="P8" s="179">
        <v>0</v>
      </c>
      <c r="Q8" s="178">
        <v>0</v>
      </c>
      <c r="R8" s="179">
        <v>0</v>
      </c>
      <c r="S8" s="179">
        <v>0</v>
      </c>
      <c r="T8" s="181">
        <v>40</v>
      </c>
      <c r="U8" s="179">
        <v>1524.7102260226025</v>
      </c>
      <c r="V8" s="168">
        <v>20</v>
      </c>
      <c r="W8" s="179">
        <v>2940.25</v>
      </c>
      <c r="X8" s="179">
        <v>762.35511301130111</v>
      </c>
      <c r="Y8" s="181">
        <v>40</v>
      </c>
      <c r="Z8" s="179">
        <v>1524.7102260226025</v>
      </c>
      <c r="AA8" s="168">
        <v>20</v>
      </c>
      <c r="AB8" s="179">
        <v>2940.25</v>
      </c>
      <c r="AC8" s="179">
        <v>762.35511301130111</v>
      </c>
      <c r="AD8" s="181">
        <v>40</v>
      </c>
      <c r="AE8" s="179">
        <v>1524.7102260226025</v>
      </c>
      <c r="AF8" s="168">
        <v>20</v>
      </c>
      <c r="AG8" s="179">
        <v>2940.25</v>
      </c>
      <c r="AH8" s="179">
        <v>762.35511301130111</v>
      </c>
      <c r="AI8" s="181">
        <v>80</v>
      </c>
      <c r="AJ8" s="179">
        <v>3049.4204520452049</v>
      </c>
      <c r="AK8" s="168">
        <v>30</v>
      </c>
      <c r="AL8" s="179">
        <v>4770.45</v>
      </c>
      <c r="AM8" s="179">
        <v>1143.5326695169517</v>
      </c>
      <c r="AN8" s="181">
        <v>160</v>
      </c>
      <c r="AO8" s="179">
        <v>6098.8409040904098</v>
      </c>
      <c r="AP8" s="168">
        <v>50</v>
      </c>
      <c r="AQ8" s="179">
        <v>7250.7849999999999</v>
      </c>
      <c r="AR8" s="179">
        <v>1905.887782528253</v>
      </c>
      <c r="AS8" s="181">
        <v>240</v>
      </c>
      <c r="AT8" s="179">
        <v>9148.2613561356138</v>
      </c>
      <c r="AU8" s="168">
        <v>60</v>
      </c>
      <c r="AV8" s="179">
        <v>8553.17</v>
      </c>
      <c r="AW8" s="179">
        <v>2287.0653390339035</v>
      </c>
      <c r="AX8" s="181">
        <v>240</v>
      </c>
      <c r="AY8" s="179">
        <v>9148.2613561356138</v>
      </c>
      <c r="AZ8" s="168">
        <v>60</v>
      </c>
      <c r="BA8" s="179">
        <v>8553.17</v>
      </c>
      <c r="BB8" s="179">
        <v>2287.0653390339035</v>
      </c>
      <c r="BC8" s="181">
        <v>240</v>
      </c>
      <c r="BD8" s="179">
        <v>9148.2613561356138</v>
      </c>
      <c r="BE8" s="168">
        <v>60</v>
      </c>
      <c r="BF8" s="179">
        <v>8553.17</v>
      </c>
      <c r="BG8" s="179">
        <v>2287.0653390339035</v>
      </c>
      <c r="BH8" s="181">
        <v>240</v>
      </c>
      <c r="BI8" s="179">
        <v>9148.2613561356138</v>
      </c>
      <c r="BJ8" s="168">
        <v>80</v>
      </c>
      <c r="BK8" s="179">
        <v>11683.645</v>
      </c>
      <c r="BL8" s="179">
        <v>3049.4204520452045</v>
      </c>
      <c r="BM8" s="181">
        <v>240</v>
      </c>
      <c r="BN8" s="179">
        <v>9148.2613561356138</v>
      </c>
      <c r="BO8" s="168">
        <v>150</v>
      </c>
      <c r="BP8" s="179">
        <v>15479.394999999999</v>
      </c>
      <c r="BQ8" s="179">
        <v>5717.6633475847584</v>
      </c>
      <c r="BR8" s="181">
        <v>240</v>
      </c>
      <c r="BS8" s="179">
        <v>9148.2613561356138</v>
      </c>
      <c r="BT8" s="168">
        <v>240</v>
      </c>
      <c r="BU8" s="179">
        <v>25138.26999999999</v>
      </c>
      <c r="BV8" s="179">
        <v>9148.2613561356138</v>
      </c>
      <c r="BW8" s="181">
        <v>240</v>
      </c>
      <c r="BX8" s="179">
        <v>9148.2613561356138</v>
      </c>
      <c r="BY8" s="168">
        <v>240</v>
      </c>
      <c r="BZ8" s="179">
        <v>25138.26999999999</v>
      </c>
      <c r="CA8" s="179">
        <v>9148.2613561356138</v>
      </c>
      <c r="CB8" s="179">
        <v>0</v>
      </c>
    </row>
    <row r="9" spans="1:80" x14ac:dyDescent="0.25">
      <c r="A9" s="30">
        <v>41</v>
      </c>
      <c r="B9" s="16" t="s">
        <v>2770</v>
      </c>
      <c r="C9" s="178">
        <v>1</v>
      </c>
      <c r="D9" t="s">
        <v>2766</v>
      </c>
      <c r="E9" s="35">
        <v>78845.107649467653</v>
      </c>
      <c r="F9" s="178">
        <v>78845.107649467653</v>
      </c>
      <c r="G9" s="178">
        <v>1</v>
      </c>
      <c r="H9" s="180">
        <v>12448.88</v>
      </c>
      <c r="I9" s="178">
        <v>12449</v>
      </c>
      <c r="J9" s="181">
        <v>0</v>
      </c>
      <c r="K9" s="179">
        <v>0</v>
      </c>
      <c r="L9" s="178">
        <v>0</v>
      </c>
      <c r="M9" s="179">
        <v>0</v>
      </c>
      <c r="N9" s="179">
        <v>0</v>
      </c>
      <c r="O9" s="181">
        <v>0</v>
      </c>
      <c r="P9" s="179">
        <v>0</v>
      </c>
      <c r="Q9" s="178">
        <v>0</v>
      </c>
      <c r="R9" s="179">
        <v>330</v>
      </c>
      <c r="S9" s="179">
        <v>0</v>
      </c>
      <c r="T9" s="181">
        <v>0</v>
      </c>
      <c r="U9" s="179">
        <v>0</v>
      </c>
      <c r="V9" s="168">
        <v>0</v>
      </c>
      <c r="W9" s="179">
        <v>330</v>
      </c>
      <c r="X9" s="179">
        <v>0</v>
      </c>
      <c r="Y9" s="181">
        <v>0</v>
      </c>
      <c r="Z9" s="179">
        <v>0</v>
      </c>
      <c r="AA9" s="168">
        <v>0</v>
      </c>
      <c r="AB9" s="179">
        <v>330</v>
      </c>
      <c r="AC9" s="179">
        <v>0</v>
      </c>
      <c r="AD9" s="181">
        <v>0.25</v>
      </c>
      <c r="AE9" s="179">
        <v>19711.276912366913</v>
      </c>
      <c r="AF9" s="168">
        <v>0.1</v>
      </c>
      <c r="AG9" s="179">
        <v>1352.8000000000002</v>
      </c>
      <c r="AH9" s="179">
        <v>7884.5107649467654</v>
      </c>
      <c r="AI9" s="181">
        <v>0.5</v>
      </c>
      <c r="AJ9" s="179">
        <v>39422.553824733826</v>
      </c>
      <c r="AK9" s="168">
        <v>0.15</v>
      </c>
      <c r="AL9" s="179">
        <v>2167.9250000000002</v>
      </c>
      <c r="AM9" s="179">
        <v>11826.766147420147</v>
      </c>
      <c r="AN9" s="181">
        <v>0.75</v>
      </c>
      <c r="AO9" s="179">
        <v>59133.830737100739</v>
      </c>
      <c r="AP9" s="168">
        <v>0.15</v>
      </c>
      <c r="AQ9" s="179">
        <v>2167.9250000000002</v>
      </c>
      <c r="AR9" s="179">
        <v>11826.766147420147</v>
      </c>
      <c r="AS9" s="181">
        <v>1</v>
      </c>
      <c r="AT9" s="179">
        <v>78845.107649467653</v>
      </c>
      <c r="AU9" s="168">
        <v>0.55000000000000004</v>
      </c>
      <c r="AV9" s="179">
        <v>7077.4350000000013</v>
      </c>
      <c r="AW9" s="179">
        <v>43364.80920720721</v>
      </c>
      <c r="AX9" s="181">
        <v>1</v>
      </c>
      <c r="AY9" s="179">
        <v>78845.107649467653</v>
      </c>
      <c r="AZ9" s="168">
        <v>0.55000000000000004</v>
      </c>
      <c r="BA9" s="179">
        <v>7077.4350000000013</v>
      </c>
      <c r="BB9" s="179">
        <v>43364.80920720721</v>
      </c>
      <c r="BC9" s="181">
        <v>1</v>
      </c>
      <c r="BD9" s="179">
        <v>78845.107649467653</v>
      </c>
      <c r="BE9" s="168">
        <v>0.9</v>
      </c>
      <c r="BF9" s="179">
        <v>11067.78</v>
      </c>
      <c r="BG9" s="179">
        <v>70960.596884520884</v>
      </c>
      <c r="BH9" s="181">
        <v>1</v>
      </c>
      <c r="BI9" s="179">
        <v>78845.107649467653</v>
      </c>
      <c r="BJ9" s="168">
        <v>1</v>
      </c>
      <c r="BK9" s="179">
        <v>12448.88</v>
      </c>
      <c r="BL9" s="179">
        <v>78845.107649467653</v>
      </c>
      <c r="BM9" s="181">
        <v>1</v>
      </c>
      <c r="BN9" s="179">
        <v>78845.107649467653</v>
      </c>
      <c r="BO9" s="168">
        <v>1</v>
      </c>
      <c r="BP9" s="179">
        <v>12448.88</v>
      </c>
      <c r="BQ9" s="179">
        <v>78845.107649467653</v>
      </c>
      <c r="BR9" s="181">
        <v>1</v>
      </c>
      <c r="BS9" s="179">
        <v>78845.107649467653</v>
      </c>
      <c r="BT9" s="168">
        <v>1</v>
      </c>
      <c r="BU9" s="179">
        <v>12448.88</v>
      </c>
      <c r="BV9" s="179">
        <v>78845.107649467653</v>
      </c>
      <c r="BW9" s="181">
        <v>1</v>
      </c>
      <c r="BX9" s="179">
        <v>78845.107649467653</v>
      </c>
      <c r="BY9" s="168">
        <v>1</v>
      </c>
      <c r="BZ9" s="179">
        <v>12448.88</v>
      </c>
      <c r="CA9" s="179">
        <v>78845.107649467653</v>
      </c>
      <c r="CB9" s="179">
        <v>0</v>
      </c>
    </row>
    <row r="10" spans="1:80" x14ac:dyDescent="0.25">
      <c r="A10" s="30">
        <v>52</v>
      </c>
      <c r="B10" s="16" t="s">
        <v>2823</v>
      </c>
      <c r="C10" s="178">
        <v>0</v>
      </c>
      <c r="D10" t="s">
        <v>2548</v>
      </c>
      <c r="E10" s="35">
        <v>0</v>
      </c>
      <c r="F10" s="178">
        <v>0</v>
      </c>
      <c r="G10" s="178">
        <v>10</v>
      </c>
      <c r="H10" s="180">
        <v>193.5</v>
      </c>
      <c r="I10" s="178">
        <v>19.350000000000001</v>
      </c>
      <c r="J10" s="181">
        <v>0</v>
      </c>
      <c r="K10" s="179">
        <v>0</v>
      </c>
      <c r="L10" s="178">
        <v>0</v>
      </c>
      <c r="M10" s="179">
        <v>0</v>
      </c>
      <c r="N10" s="179">
        <v>0</v>
      </c>
      <c r="O10" s="181">
        <v>0</v>
      </c>
      <c r="P10" s="179">
        <v>0</v>
      </c>
      <c r="Q10" s="178">
        <v>0</v>
      </c>
      <c r="R10" s="179">
        <v>0</v>
      </c>
      <c r="S10" s="179">
        <v>0</v>
      </c>
      <c r="T10" s="181">
        <v>0</v>
      </c>
      <c r="U10" s="179">
        <v>0</v>
      </c>
      <c r="V10" s="178">
        <v>0</v>
      </c>
      <c r="W10" s="179">
        <v>0</v>
      </c>
      <c r="X10" s="179">
        <v>0</v>
      </c>
      <c r="Y10" s="181">
        <v>0</v>
      </c>
      <c r="Z10" s="179">
        <v>0</v>
      </c>
      <c r="AA10" s="178">
        <v>0</v>
      </c>
      <c r="AB10" s="179">
        <v>0</v>
      </c>
      <c r="AC10" s="179">
        <v>0</v>
      </c>
      <c r="AD10" s="181">
        <v>0</v>
      </c>
      <c r="AE10" s="179">
        <v>0</v>
      </c>
      <c r="AF10" s="178">
        <v>0</v>
      </c>
      <c r="AG10" s="179">
        <v>0</v>
      </c>
      <c r="AH10" s="179">
        <v>0</v>
      </c>
      <c r="AI10" s="181">
        <v>0</v>
      </c>
      <c r="AJ10" s="179">
        <v>0</v>
      </c>
      <c r="AK10" s="178">
        <v>0</v>
      </c>
      <c r="AL10" s="179">
        <v>0</v>
      </c>
      <c r="AM10" s="179">
        <v>0</v>
      </c>
      <c r="AN10" s="181">
        <v>0</v>
      </c>
      <c r="AO10" s="179">
        <v>0</v>
      </c>
      <c r="AP10" s="178">
        <v>0</v>
      </c>
      <c r="AQ10" s="179">
        <v>0</v>
      </c>
      <c r="AR10" s="179">
        <v>0</v>
      </c>
      <c r="AS10" s="181">
        <v>0</v>
      </c>
      <c r="AT10" s="179">
        <v>0</v>
      </c>
      <c r="AU10" s="168">
        <v>10</v>
      </c>
      <c r="AV10" s="179">
        <v>193.5</v>
      </c>
      <c r="AW10" s="179">
        <v>0</v>
      </c>
      <c r="AX10" s="181">
        <v>0</v>
      </c>
      <c r="AY10" s="179">
        <v>0</v>
      </c>
      <c r="AZ10" s="168">
        <v>10</v>
      </c>
      <c r="BA10" s="179">
        <v>193.5</v>
      </c>
      <c r="BB10" s="179">
        <v>0</v>
      </c>
      <c r="BC10" s="181">
        <v>0</v>
      </c>
      <c r="BD10" s="179">
        <v>0</v>
      </c>
      <c r="BE10" s="168">
        <v>10</v>
      </c>
      <c r="BF10" s="179">
        <v>193.5</v>
      </c>
      <c r="BG10" s="179">
        <v>0</v>
      </c>
      <c r="BH10" s="181">
        <v>0</v>
      </c>
      <c r="BI10" s="179">
        <v>0</v>
      </c>
      <c r="BJ10" s="168">
        <v>10</v>
      </c>
      <c r="BK10" s="179">
        <v>193.5</v>
      </c>
      <c r="BL10" s="179">
        <v>0</v>
      </c>
      <c r="BM10" s="181">
        <v>0</v>
      </c>
      <c r="BN10" s="179">
        <v>0</v>
      </c>
      <c r="BO10" s="168">
        <v>10</v>
      </c>
      <c r="BP10" s="179">
        <v>193.5</v>
      </c>
      <c r="BQ10" s="179">
        <v>0</v>
      </c>
      <c r="BR10" s="181">
        <v>0</v>
      </c>
      <c r="BS10" s="179">
        <v>0</v>
      </c>
      <c r="BT10" s="168">
        <v>10</v>
      </c>
      <c r="BU10" s="179">
        <v>193.5</v>
      </c>
      <c r="BV10" s="179">
        <v>0</v>
      </c>
      <c r="BW10" s="181">
        <v>0</v>
      </c>
      <c r="BX10" s="179">
        <v>0</v>
      </c>
      <c r="BY10" s="168">
        <v>10</v>
      </c>
      <c r="BZ10" s="179">
        <v>193.5</v>
      </c>
      <c r="CA10" s="179">
        <v>0</v>
      </c>
      <c r="CB10" s="179">
        <v>0</v>
      </c>
    </row>
    <row r="11" spans="1:80" x14ac:dyDescent="0.25">
      <c r="A11" s="30">
        <v>53</v>
      </c>
      <c r="B11" s="16" t="s">
        <v>2771</v>
      </c>
      <c r="C11" s="178">
        <v>7825</v>
      </c>
      <c r="D11" t="s">
        <v>2548</v>
      </c>
      <c r="E11" s="35">
        <v>129418.15</v>
      </c>
      <c r="F11" s="178">
        <v>16.5390607028754</v>
      </c>
      <c r="G11" s="178">
        <v>7825</v>
      </c>
      <c r="H11" s="180">
        <v>308767.98300000018</v>
      </c>
      <c r="I11" s="178">
        <v>39.459169329073482</v>
      </c>
      <c r="J11" s="181">
        <v>120</v>
      </c>
      <c r="K11" s="179">
        <v>1984.6872843450481</v>
      </c>
      <c r="L11" s="178">
        <v>384</v>
      </c>
      <c r="M11" s="179">
        <v>18346.463999999993</v>
      </c>
      <c r="N11" s="179">
        <v>6350.9993099041531</v>
      </c>
      <c r="O11" s="181">
        <v>895</v>
      </c>
      <c r="P11" s="179">
        <v>14802.459329073483</v>
      </c>
      <c r="Q11" s="178">
        <v>384</v>
      </c>
      <c r="R11" s="179">
        <v>37000.538999999997</v>
      </c>
      <c r="S11" s="179">
        <v>6350.9993099041531</v>
      </c>
      <c r="T11" s="181">
        <v>895</v>
      </c>
      <c r="U11" s="179">
        <v>14802.459329073483</v>
      </c>
      <c r="V11" s="168">
        <v>384</v>
      </c>
      <c r="W11" s="179">
        <v>40441.938999999991</v>
      </c>
      <c r="X11" s="179">
        <v>6350.9993099041531</v>
      </c>
      <c r="Y11" s="181">
        <v>2325</v>
      </c>
      <c r="Z11" s="179">
        <v>38453.316134185305</v>
      </c>
      <c r="AA11" s="168">
        <v>1257</v>
      </c>
      <c r="AB11" s="179">
        <v>71961.763999999966</v>
      </c>
      <c r="AC11" s="179">
        <v>20789.599303514377</v>
      </c>
      <c r="AD11" s="181">
        <v>3323</v>
      </c>
      <c r="AE11" s="179">
        <v>54959.29871565495</v>
      </c>
      <c r="AF11" s="168">
        <v>1908</v>
      </c>
      <c r="AG11" s="179">
        <v>97868.888999999923</v>
      </c>
      <c r="AH11" s="179">
        <v>31556.52782108626</v>
      </c>
      <c r="AI11" s="181">
        <v>4192</v>
      </c>
      <c r="AJ11" s="179">
        <v>69331.742466453681</v>
      </c>
      <c r="AK11" s="168">
        <v>3134</v>
      </c>
      <c r="AL11" s="179">
        <v>114354.86399999993</v>
      </c>
      <c r="AM11" s="179">
        <v>51833.416242811494</v>
      </c>
      <c r="AN11" s="181">
        <v>5892</v>
      </c>
      <c r="AO11" s="179">
        <v>97448.145661341856</v>
      </c>
      <c r="AP11" s="168">
        <v>3134</v>
      </c>
      <c r="AQ11" s="179">
        <v>164115.94399999984</v>
      </c>
      <c r="AR11" s="179">
        <v>51833.416242811494</v>
      </c>
      <c r="AS11" s="181">
        <v>6335</v>
      </c>
      <c r="AT11" s="179">
        <v>104774.94955271565</v>
      </c>
      <c r="AU11" s="168">
        <v>5721</v>
      </c>
      <c r="AV11" s="179">
        <v>188753.53149999984</v>
      </c>
      <c r="AW11" s="179">
        <v>94619.966281150162</v>
      </c>
      <c r="AX11" s="181">
        <v>6987</v>
      </c>
      <c r="AY11" s="179">
        <v>115558.41713099042</v>
      </c>
      <c r="AZ11" s="168">
        <v>6519</v>
      </c>
      <c r="BA11" s="179">
        <v>230001.57699999987</v>
      </c>
      <c r="BB11" s="179">
        <v>107818.13672204471</v>
      </c>
      <c r="BC11" s="181">
        <v>7825</v>
      </c>
      <c r="BD11" s="179">
        <v>129418.15000000001</v>
      </c>
      <c r="BE11" s="168">
        <v>6780</v>
      </c>
      <c r="BF11" s="179">
        <v>238750.47699999987</v>
      </c>
      <c r="BG11" s="179">
        <v>112134.8315654952</v>
      </c>
      <c r="BH11" s="181">
        <v>7825</v>
      </c>
      <c r="BI11" s="179">
        <v>129418.15000000001</v>
      </c>
      <c r="BJ11" s="168">
        <v>7378</v>
      </c>
      <c r="BK11" s="179">
        <v>274349.87700000004</v>
      </c>
      <c r="BL11" s="179">
        <v>122025.1898658147</v>
      </c>
      <c r="BM11" s="181">
        <v>7825</v>
      </c>
      <c r="BN11" s="179">
        <v>129418.15000000001</v>
      </c>
      <c r="BO11" s="168">
        <v>7649</v>
      </c>
      <c r="BP11" s="179">
        <v>305562.63300000021</v>
      </c>
      <c r="BQ11" s="179">
        <v>126507.27531629392</v>
      </c>
      <c r="BR11" s="181">
        <v>7825</v>
      </c>
      <c r="BS11" s="179">
        <v>129418.15000000001</v>
      </c>
      <c r="BT11" s="168">
        <v>7825</v>
      </c>
      <c r="BU11" s="179">
        <v>308767.98300000018</v>
      </c>
      <c r="BV11" s="179">
        <v>129418.15</v>
      </c>
      <c r="BW11" s="181">
        <v>7825</v>
      </c>
      <c r="BX11" s="179">
        <v>129418.15000000001</v>
      </c>
      <c r="BY11" s="168">
        <v>7825</v>
      </c>
      <c r="BZ11" s="179">
        <v>308767.98300000018</v>
      </c>
      <c r="CA11" s="179">
        <v>129418.15</v>
      </c>
      <c r="CB11" s="179">
        <v>0</v>
      </c>
    </row>
    <row r="12" spans="1:80" x14ac:dyDescent="0.25">
      <c r="A12" s="30">
        <v>57</v>
      </c>
      <c r="B12" s="16" t="s">
        <v>2772</v>
      </c>
      <c r="C12" s="178">
        <v>2605</v>
      </c>
      <c r="D12" t="s">
        <v>2548</v>
      </c>
      <c r="E12" s="35">
        <v>138016.51749999996</v>
      </c>
      <c r="F12" s="178">
        <v>52.981388675623784</v>
      </c>
      <c r="G12" s="178">
        <v>2605</v>
      </c>
      <c r="H12" s="180">
        <v>215667.31699999992</v>
      </c>
      <c r="I12" s="178">
        <v>82.864107485604606</v>
      </c>
      <c r="J12" s="181">
        <v>0</v>
      </c>
      <c r="K12" s="179">
        <v>0</v>
      </c>
      <c r="L12" s="178">
        <v>0</v>
      </c>
      <c r="M12" s="179">
        <v>0</v>
      </c>
      <c r="N12" s="179">
        <v>0</v>
      </c>
      <c r="O12" s="181">
        <v>0</v>
      </c>
      <c r="P12" s="179">
        <v>0</v>
      </c>
      <c r="Q12" s="178">
        <v>0</v>
      </c>
      <c r="R12" s="179">
        <v>0</v>
      </c>
      <c r="S12" s="179">
        <v>0</v>
      </c>
      <c r="T12" s="181">
        <v>0</v>
      </c>
      <c r="U12" s="179">
        <v>0</v>
      </c>
      <c r="V12" s="168">
        <v>0</v>
      </c>
      <c r="W12" s="179">
        <v>0</v>
      </c>
      <c r="X12" s="179">
        <v>0</v>
      </c>
      <c r="Y12" s="181">
        <v>0</v>
      </c>
      <c r="Z12" s="179">
        <v>0</v>
      </c>
      <c r="AA12" s="168">
        <v>0</v>
      </c>
      <c r="AB12" s="179">
        <v>0</v>
      </c>
      <c r="AC12" s="179">
        <v>0</v>
      </c>
      <c r="AD12" s="181">
        <v>20</v>
      </c>
      <c r="AE12" s="179">
        <v>1059.6277735124756</v>
      </c>
      <c r="AF12" s="168">
        <v>20</v>
      </c>
      <c r="AG12" s="179">
        <v>0</v>
      </c>
      <c r="AH12" s="179">
        <v>1059.6277735124756</v>
      </c>
      <c r="AI12" s="181">
        <v>20</v>
      </c>
      <c r="AJ12" s="179">
        <v>1059.6277735124756</v>
      </c>
      <c r="AK12" s="168">
        <v>20</v>
      </c>
      <c r="AL12" s="179">
        <v>0</v>
      </c>
      <c r="AM12" s="179">
        <v>1059.6277735124756</v>
      </c>
      <c r="AN12" s="181">
        <v>960</v>
      </c>
      <c r="AO12" s="179">
        <v>50862.133128598834</v>
      </c>
      <c r="AP12" s="168">
        <v>960</v>
      </c>
      <c r="AQ12" s="179">
        <v>42660.383749999986</v>
      </c>
      <c r="AR12" s="179">
        <v>50862.133128598834</v>
      </c>
      <c r="AS12" s="181">
        <v>1795</v>
      </c>
      <c r="AT12" s="179">
        <v>95101.592672744693</v>
      </c>
      <c r="AU12" s="168">
        <v>1795</v>
      </c>
      <c r="AV12" s="179">
        <v>81882.518499999933</v>
      </c>
      <c r="AW12" s="179">
        <v>95101.592672744693</v>
      </c>
      <c r="AX12" s="181">
        <v>1805</v>
      </c>
      <c r="AY12" s="179">
        <v>95631.406559500931</v>
      </c>
      <c r="AZ12" s="168">
        <v>1805</v>
      </c>
      <c r="BA12" s="179">
        <v>81882.518499999933</v>
      </c>
      <c r="BB12" s="179">
        <v>95631.406559500931</v>
      </c>
      <c r="BC12" s="181">
        <v>2444</v>
      </c>
      <c r="BD12" s="179">
        <v>129486.51392322453</v>
      </c>
      <c r="BE12" s="168">
        <v>2444</v>
      </c>
      <c r="BF12" s="179">
        <v>146832.57349999994</v>
      </c>
      <c r="BG12" s="179">
        <v>129486.51392322453</v>
      </c>
      <c r="BH12" s="181">
        <v>2605</v>
      </c>
      <c r="BI12" s="179">
        <v>138016.51749999996</v>
      </c>
      <c r="BJ12" s="168">
        <v>2605</v>
      </c>
      <c r="BK12" s="179">
        <v>206533.27199999991</v>
      </c>
      <c r="BL12" s="179">
        <v>138016.51749999996</v>
      </c>
      <c r="BM12" s="181">
        <v>2605</v>
      </c>
      <c r="BN12" s="179">
        <v>138016.51749999996</v>
      </c>
      <c r="BO12" s="168">
        <v>2605</v>
      </c>
      <c r="BP12" s="179">
        <v>215667.31699999992</v>
      </c>
      <c r="BQ12" s="179">
        <v>138016.51749999996</v>
      </c>
      <c r="BR12" s="181">
        <v>2605</v>
      </c>
      <c r="BS12" s="179">
        <v>138016.51749999996</v>
      </c>
      <c r="BT12" s="168">
        <v>2605</v>
      </c>
      <c r="BU12" s="179">
        <v>215667.31699999992</v>
      </c>
      <c r="BV12" s="179">
        <v>138016.51749999996</v>
      </c>
      <c r="BW12" s="181">
        <v>2605</v>
      </c>
      <c r="BX12" s="179">
        <v>138016.51749999996</v>
      </c>
      <c r="BY12" s="168">
        <v>2605</v>
      </c>
      <c r="BZ12" s="179">
        <v>215667.31699999992</v>
      </c>
      <c r="CA12" s="179">
        <v>138016.51749999996</v>
      </c>
      <c r="CB12" s="179">
        <v>0</v>
      </c>
    </row>
    <row r="13" spans="1:80" x14ac:dyDescent="0.25">
      <c r="A13" s="30">
        <v>61</v>
      </c>
      <c r="B13" s="16" t="s">
        <v>2773</v>
      </c>
      <c r="C13" s="178">
        <v>12767</v>
      </c>
      <c r="D13" t="s">
        <v>2593</v>
      </c>
      <c r="E13" s="35">
        <v>23173.549623237031</v>
      </c>
      <c r="F13" s="178">
        <v>1.8151131529127462</v>
      </c>
      <c r="G13" s="178">
        <v>12767</v>
      </c>
      <c r="H13" s="180">
        <v>4390.4250000000002</v>
      </c>
      <c r="I13" s="178">
        <v>0.34385525182110127</v>
      </c>
      <c r="J13" s="181">
        <v>200</v>
      </c>
      <c r="K13" s="179">
        <v>363.02263058254925</v>
      </c>
      <c r="L13" s="178">
        <v>200</v>
      </c>
      <c r="M13" s="179">
        <v>530.25</v>
      </c>
      <c r="N13" s="179">
        <v>363.0226305825492</v>
      </c>
      <c r="O13" s="181">
        <v>935</v>
      </c>
      <c r="P13" s="179">
        <v>1697.1307979734177</v>
      </c>
      <c r="Q13" s="178">
        <v>935</v>
      </c>
      <c r="R13" s="179">
        <v>2080.5</v>
      </c>
      <c r="S13" s="179">
        <v>1697.1307979734177</v>
      </c>
      <c r="T13" s="181">
        <v>935</v>
      </c>
      <c r="U13" s="179">
        <v>1697.1307979734177</v>
      </c>
      <c r="V13" s="168">
        <v>935</v>
      </c>
      <c r="W13" s="179">
        <v>2080.5</v>
      </c>
      <c r="X13" s="179">
        <v>1697.1307979734177</v>
      </c>
      <c r="Y13" s="181">
        <v>935</v>
      </c>
      <c r="Z13" s="179">
        <v>1697.1307979734177</v>
      </c>
      <c r="AA13" s="168">
        <v>935</v>
      </c>
      <c r="AB13" s="179">
        <v>2080.5</v>
      </c>
      <c r="AC13" s="179">
        <v>1697.1307979734177</v>
      </c>
      <c r="AD13" s="181">
        <v>2935</v>
      </c>
      <c r="AE13" s="179">
        <v>5327.3571037989104</v>
      </c>
      <c r="AF13" s="168">
        <v>3180</v>
      </c>
      <c r="AG13" s="179">
        <v>2080.5</v>
      </c>
      <c r="AH13" s="179">
        <v>5772.0598262625326</v>
      </c>
      <c r="AI13" s="181">
        <v>3725</v>
      </c>
      <c r="AJ13" s="179">
        <v>6761.2964945999793</v>
      </c>
      <c r="AK13" s="168">
        <v>5223.3333333333339</v>
      </c>
      <c r="AL13" s="179">
        <v>3667.6250000000005</v>
      </c>
      <c r="AM13" s="179">
        <v>9480.9410353809126</v>
      </c>
      <c r="AN13" s="181">
        <v>5000</v>
      </c>
      <c r="AO13" s="179">
        <v>9075.5657645637311</v>
      </c>
      <c r="AP13" s="168">
        <v>5223.3333333333339</v>
      </c>
      <c r="AQ13" s="179">
        <v>3667.6250000000005</v>
      </c>
      <c r="AR13" s="179">
        <v>9480.9410353809126</v>
      </c>
      <c r="AS13" s="181">
        <v>6500</v>
      </c>
      <c r="AT13" s="179">
        <v>11798.235493932851</v>
      </c>
      <c r="AU13" s="168">
        <v>9535</v>
      </c>
      <c r="AV13" s="179">
        <v>3667.6250000000005</v>
      </c>
      <c r="AW13" s="179">
        <v>17307.103913023035</v>
      </c>
      <c r="AX13" s="181">
        <v>9000</v>
      </c>
      <c r="AY13" s="179">
        <v>16336.018376214715</v>
      </c>
      <c r="AZ13" s="168">
        <v>10865</v>
      </c>
      <c r="BA13" s="179">
        <v>3667.6250000000005</v>
      </c>
      <c r="BB13" s="179">
        <v>19721.204406396988</v>
      </c>
      <c r="BC13" s="181">
        <v>12767</v>
      </c>
      <c r="BD13" s="179">
        <v>23173.549623237031</v>
      </c>
      <c r="BE13" s="168">
        <v>11300</v>
      </c>
      <c r="BF13" s="179">
        <v>3667.6250000000005</v>
      </c>
      <c r="BG13" s="179">
        <v>20510.778627914031</v>
      </c>
      <c r="BH13" s="181">
        <v>12767</v>
      </c>
      <c r="BI13" s="179">
        <v>23173.549623237031</v>
      </c>
      <c r="BJ13" s="168">
        <v>12767</v>
      </c>
      <c r="BK13" s="179">
        <v>4390.4250000000002</v>
      </c>
      <c r="BL13" s="179">
        <v>23173.549623237031</v>
      </c>
      <c r="BM13" s="181">
        <v>12767</v>
      </c>
      <c r="BN13" s="179">
        <v>23173.549623237031</v>
      </c>
      <c r="BO13" s="168">
        <v>12767</v>
      </c>
      <c r="BP13" s="179">
        <v>4390.4250000000002</v>
      </c>
      <c r="BQ13" s="179">
        <v>23173.549623237031</v>
      </c>
      <c r="BR13" s="181">
        <v>12767</v>
      </c>
      <c r="BS13" s="179">
        <v>23173.549623237031</v>
      </c>
      <c r="BT13" s="168">
        <v>12767</v>
      </c>
      <c r="BU13" s="179">
        <v>4390.4250000000002</v>
      </c>
      <c r="BV13" s="179">
        <v>23173.549623237031</v>
      </c>
      <c r="BW13" s="181">
        <v>12767</v>
      </c>
      <c r="BX13" s="179">
        <v>23173.549623237031</v>
      </c>
      <c r="BY13" s="168">
        <v>12767</v>
      </c>
      <c r="BZ13" s="179">
        <v>4390.4250000000002</v>
      </c>
      <c r="CA13" s="179">
        <v>23173.549623237031</v>
      </c>
      <c r="CB13" s="179">
        <v>0</v>
      </c>
    </row>
    <row r="14" spans="1:80" x14ac:dyDescent="0.25">
      <c r="A14" s="30">
        <v>62</v>
      </c>
      <c r="B14" s="16" t="s">
        <v>2774</v>
      </c>
      <c r="C14" s="178">
        <v>11525</v>
      </c>
      <c r="D14" t="s">
        <v>82</v>
      </c>
      <c r="E14" s="35">
        <v>282664.28756175045</v>
      </c>
      <c r="F14" s="178">
        <v>24.526185471735396</v>
      </c>
      <c r="G14" s="178">
        <v>11768.54</v>
      </c>
      <c r="H14" s="180">
        <v>382852.62550000066</v>
      </c>
      <c r="I14" s="178">
        <v>32.531902852860249</v>
      </c>
      <c r="J14" s="181">
        <v>500</v>
      </c>
      <c r="K14" s="179">
        <v>12263.092735867698</v>
      </c>
      <c r="L14" s="178">
        <v>400</v>
      </c>
      <c r="M14" s="179">
        <v>3990.07</v>
      </c>
      <c r="N14" s="179">
        <v>9607.4547076103045</v>
      </c>
      <c r="O14" s="181">
        <v>1000</v>
      </c>
      <c r="P14" s="179">
        <v>24526.185471735396</v>
      </c>
      <c r="Q14" s="178">
        <v>800</v>
      </c>
      <c r="R14" s="179">
        <v>29107.37999999999</v>
      </c>
      <c r="S14" s="179">
        <v>19214.909415220609</v>
      </c>
      <c r="T14" s="181">
        <v>1200</v>
      </c>
      <c r="U14" s="179">
        <v>29431.422566082474</v>
      </c>
      <c r="V14" s="168">
        <v>1000</v>
      </c>
      <c r="W14" s="179">
        <v>44215.209999999992</v>
      </c>
      <c r="X14" s="179">
        <v>24018.636769025761</v>
      </c>
      <c r="Y14" s="181">
        <v>2200</v>
      </c>
      <c r="Z14" s="179">
        <v>53957.608037817867</v>
      </c>
      <c r="AA14" s="168">
        <v>1900</v>
      </c>
      <c r="AB14" s="179">
        <v>59531.289999999979</v>
      </c>
      <c r="AC14" s="179">
        <v>45635.409861148946</v>
      </c>
      <c r="AD14" s="181">
        <v>3000</v>
      </c>
      <c r="AE14" s="179">
        <v>73578.556415206185</v>
      </c>
      <c r="AF14" s="168">
        <v>2700</v>
      </c>
      <c r="AG14" s="179">
        <v>76785.939999999988</v>
      </c>
      <c r="AH14" s="179">
        <v>64850.319276369555</v>
      </c>
      <c r="AI14" s="181">
        <v>4000</v>
      </c>
      <c r="AJ14" s="179">
        <v>98104.741886941585</v>
      </c>
      <c r="AK14" s="168">
        <v>3521</v>
      </c>
      <c r="AL14" s="179">
        <v>110169.11500000006</v>
      </c>
      <c r="AM14" s="179">
        <v>84569.620063739712</v>
      </c>
      <c r="AN14" s="181">
        <v>5600</v>
      </c>
      <c r="AO14" s="179">
        <v>137346.63864171822</v>
      </c>
      <c r="AP14" s="168">
        <v>5100</v>
      </c>
      <c r="AQ14" s="179">
        <v>152455.78000000012</v>
      </c>
      <c r="AR14" s="179">
        <v>122495.04752203138</v>
      </c>
      <c r="AS14" s="181">
        <v>8500</v>
      </c>
      <c r="AT14" s="179">
        <v>208472.57650975086</v>
      </c>
      <c r="AU14" s="168">
        <v>6810</v>
      </c>
      <c r="AV14" s="179">
        <v>194475.97750000012</v>
      </c>
      <c r="AW14" s="179">
        <v>163566.91639706542</v>
      </c>
      <c r="AX14" s="181">
        <v>9500</v>
      </c>
      <c r="AY14" s="179">
        <v>232998.76198148626</v>
      </c>
      <c r="AZ14" s="168">
        <v>7830</v>
      </c>
      <c r="BA14" s="179">
        <v>229892.64850000007</v>
      </c>
      <c r="BB14" s="179">
        <v>188065.9259014717</v>
      </c>
      <c r="BC14" s="181">
        <v>11000</v>
      </c>
      <c r="BD14" s="179">
        <v>269788.04018908937</v>
      </c>
      <c r="BE14" s="168">
        <v>9070</v>
      </c>
      <c r="BF14" s="179">
        <v>260952.62350000013</v>
      </c>
      <c r="BG14" s="179">
        <v>217849.03549506364</v>
      </c>
      <c r="BH14" s="181">
        <v>11525</v>
      </c>
      <c r="BI14" s="179">
        <v>282664.28756175045</v>
      </c>
      <c r="BJ14" s="168">
        <v>10060</v>
      </c>
      <c r="BK14" s="179">
        <v>333157.83550000045</v>
      </c>
      <c r="BL14" s="179">
        <v>241627.48589639916</v>
      </c>
      <c r="BM14" s="181">
        <v>11525</v>
      </c>
      <c r="BN14" s="179">
        <v>282664.28756175045</v>
      </c>
      <c r="BO14" s="168">
        <v>11768.54</v>
      </c>
      <c r="BP14" s="179">
        <v>382852.62550000066</v>
      </c>
      <c r="BQ14" s="179">
        <v>282664.28756175045</v>
      </c>
      <c r="BR14" s="181">
        <v>11525</v>
      </c>
      <c r="BS14" s="179">
        <v>282664.28756175045</v>
      </c>
      <c r="BT14" s="168">
        <v>11768.54</v>
      </c>
      <c r="BU14" s="179">
        <v>382852.62550000066</v>
      </c>
      <c r="BV14" s="179">
        <v>282664.28756175045</v>
      </c>
      <c r="BW14" s="181">
        <v>11525</v>
      </c>
      <c r="BX14" s="179">
        <v>282664.28756175045</v>
      </c>
      <c r="BY14" s="168">
        <v>11768.54</v>
      </c>
      <c r="BZ14" s="179">
        <v>382852.62550000066</v>
      </c>
      <c r="CA14" s="179">
        <v>282664.28756175045</v>
      </c>
      <c r="CB14" s="179">
        <v>0</v>
      </c>
    </row>
    <row r="15" spans="1:80" x14ac:dyDescent="0.25">
      <c r="A15" s="30">
        <v>63</v>
      </c>
      <c r="B15" s="16" t="s">
        <v>2775</v>
      </c>
      <c r="C15" s="178">
        <v>15532</v>
      </c>
      <c r="D15" t="s">
        <v>2593</v>
      </c>
      <c r="E15" s="35">
        <v>39993.789321638673</v>
      </c>
      <c r="F15" s="178">
        <v>2.5749284909630874</v>
      </c>
      <c r="G15" s="178">
        <v>15532</v>
      </c>
      <c r="H15" s="180">
        <v>86275.347999999954</v>
      </c>
      <c r="I15" s="178">
        <v>5.554661344321401</v>
      </c>
      <c r="J15" s="181">
        <v>240</v>
      </c>
      <c r="K15" s="179">
        <v>617.98283783114096</v>
      </c>
      <c r="L15" s="178">
        <v>240</v>
      </c>
      <c r="M15" s="179">
        <v>0</v>
      </c>
      <c r="N15" s="179">
        <v>617.98283783114096</v>
      </c>
      <c r="O15" s="181">
        <v>240</v>
      </c>
      <c r="P15" s="179">
        <v>617.98283783114096</v>
      </c>
      <c r="Q15" s="178">
        <v>240</v>
      </c>
      <c r="R15" s="179">
        <v>4226.7100000000009</v>
      </c>
      <c r="S15" s="179">
        <v>617.98283783114096</v>
      </c>
      <c r="T15" s="181">
        <v>1122</v>
      </c>
      <c r="U15" s="179">
        <v>2889.069766860584</v>
      </c>
      <c r="V15" s="178">
        <v>1122</v>
      </c>
      <c r="W15" s="179">
        <v>4226.7100000000009</v>
      </c>
      <c r="X15" s="179">
        <v>2889.069766860584</v>
      </c>
      <c r="Y15" s="181">
        <v>1122</v>
      </c>
      <c r="Z15" s="179">
        <v>2889.069766860584</v>
      </c>
      <c r="AA15" s="178">
        <v>1122</v>
      </c>
      <c r="AB15" s="179">
        <v>4226.7100000000009</v>
      </c>
      <c r="AC15" s="179">
        <v>2889.069766860584</v>
      </c>
      <c r="AD15" s="181">
        <v>1122</v>
      </c>
      <c r="AE15" s="179">
        <v>2889.069766860584</v>
      </c>
      <c r="AF15" s="178">
        <v>1122</v>
      </c>
      <c r="AG15" s="179">
        <v>7927.9100000000026</v>
      </c>
      <c r="AH15" s="179">
        <v>2889.069766860584</v>
      </c>
      <c r="AI15" s="181">
        <v>3522</v>
      </c>
      <c r="AJ15" s="179">
        <v>9068.8981451719937</v>
      </c>
      <c r="AK15" s="178">
        <v>1122</v>
      </c>
      <c r="AL15" s="179">
        <v>14756.620000000003</v>
      </c>
      <c r="AM15" s="179">
        <v>2889.069766860584</v>
      </c>
      <c r="AN15" s="181">
        <v>4467.5999999999995</v>
      </c>
      <c r="AO15" s="179">
        <v>11503.750526226688</v>
      </c>
      <c r="AP15" s="178">
        <v>1122</v>
      </c>
      <c r="AQ15" s="179">
        <v>30773.570000000011</v>
      </c>
      <c r="AR15" s="179">
        <v>2889.069766860584</v>
      </c>
      <c r="AS15" s="181">
        <v>7800</v>
      </c>
      <c r="AT15" s="179">
        <v>20084.442229512082</v>
      </c>
      <c r="AU15" s="178">
        <v>7785.5999999999995</v>
      </c>
      <c r="AV15" s="179">
        <v>36702.470000000016</v>
      </c>
      <c r="AW15" s="179">
        <v>20047.363259242211</v>
      </c>
      <c r="AX15" s="181">
        <v>9000</v>
      </c>
      <c r="AY15" s="179">
        <v>23174.356418667787</v>
      </c>
      <c r="AZ15" s="178">
        <v>9486</v>
      </c>
      <c r="BA15" s="179">
        <v>46879.84500000003</v>
      </c>
      <c r="BB15" s="179">
        <v>24425.77166527585</v>
      </c>
      <c r="BC15" s="181">
        <v>10500</v>
      </c>
      <c r="BD15" s="179">
        <v>27036.749155112419</v>
      </c>
      <c r="BE15" s="178">
        <v>10465.199999999999</v>
      </c>
      <c r="BF15" s="179">
        <v>47698.995000000024</v>
      </c>
      <c r="BG15" s="179">
        <v>26947.141643626896</v>
      </c>
      <c r="BH15" s="181">
        <v>15532</v>
      </c>
      <c r="BI15" s="179">
        <v>39993.789321638673</v>
      </c>
      <c r="BJ15" s="178">
        <v>12639.6</v>
      </c>
      <c r="BK15" s="179">
        <v>66733.096000000005</v>
      </c>
      <c r="BL15" s="179">
        <v>32546.06615437704</v>
      </c>
      <c r="BM15" s="181">
        <v>15532</v>
      </c>
      <c r="BN15" s="179">
        <v>39993.789321638673</v>
      </c>
      <c r="BO15" s="168">
        <v>15532</v>
      </c>
      <c r="BP15" s="179">
        <v>86275.347999999954</v>
      </c>
      <c r="BQ15" s="179">
        <v>39993.789321638673</v>
      </c>
      <c r="BR15" s="181">
        <v>15532</v>
      </c>
      <c r="BS15" s="179">
        <v>39993.789321638673</v>
      </c>
      <c r="BT15" s="168">
        <v>15532</v>
      </c>
      <c r="BU15" s="179">
        <v>86275.347999999954</v>
      </c>
      <c r="BV15" s="179">
        <v>39993.789321638673</v>
      </c>
      <c r="BW15" s="181">
        <v>15532</v>
      </c>
      <c r="BX15" s="179">
        <v>39993.789321638673</v>
      </c>
      <c r="BY15" s="168">
        <v>15532</v>
      </c>
      <c r="BZ15" s="179">
        <v>86275.347999999954</v>
      </c>
      <c r="CA15" s="179">
        <v>39993.789321638673</v>
      </c>
      <c r="CB15" s="179">
        <v>0</v>
      </c>
    </row>
    <row r="16" spans="1:80" x14ac:dyDescent="0.25">
      <c r="A16" s="30">
        <v>64</v>
      </c>
      <c r="B16" s="16" t="s">
        <v>2776</v>
      </c>
      <c r="C16" s="178">
        <v>12767</v>
      </c>
      <c r="D16" t="s">
        <v>2593</v>
      </c>
      <c r="E16" s="35">
        <v>152157.33749999997</v>
      </c>
      <c r="F16" s="178">
        <v>11.918018132685829</v>
      </c>
      <c r="G16" s="178">
        <v>12767</v>
      </c>
      <c r="H16" s="180">
        <v>274290.02500000002</v>
      </c>
      <c r="I16" s="178">
        <v>10.058066891203884</v>
      </c>
      <c r="J16" s="181">
        <v>200</v>
      </c>
      <c r="K16" s="179">
        <v>2383.6036265371658</v>
      </c>
      <c r="L16" s="178">
        <v>200</v>
      </c>
      <c r="M16" s="179">
        <v>1377.5</v>
      </c>
      <c r="N16" s="179">
        <v>2383.6036265371654</v>
      </c>
      <c r="O16" s="181">
        <v>200</v>
      </c>
      <c r="P16" s="179">
        <v>2383.6036265371658</v>
      </c>
      <c r="Q16" s="178">
        <v>200</v>
      </c>
      <c r="R16" s="179">
        <v>1377.5</v>
      </c>
      <c r="S16" s="179">
        <v>2383.6036265371654</v>
      </c>
      <c r="T16" s="181">
        <v>935</v>
      </c>
      <c r="U16" s="179">
        <v>11143.34695406125</v>
      </c>
      <c r="V16" s="168">
        <v>935</v>
      </c>
      <c r="W16" s="179">
        <v>10775.265000000001</v>
      </c>
      <c r="X16" s="179">
        <v>11143.346954061248</v>
      </c>
      <c r="Y16" s="181">
        <v>935</v>
      </c>
      <c r="Z16" s="179">
        <v>11143.34695406125</v>
      </c>
      <c r="AA16" s="168">
        <v>935</v>
      </c>
      <c r="AB16" s="179">
        <v>10775.265000000001</v>
      </c>
      <c r="AC16" s="179">
        <v>11143.346954061248</v>
      </c>
      <c r="AD16" s="181">
        <v>935</v>
      </c>
      <c r="AE16" s="179">
        <v>11143.34695406125</v>
      </c>
      <c r="AF16" s="168">
        <v>935</v>
      </c>
      <c r="AG16" s="179">
        <v>10775.265000000001</v>
      </c>
      <c r="AH16" s="179">
        <v>11143.346954061248</v>
      </c>
      <c r="AI16" s="181">
        <v>2935</v>
      </c>
      <c r="AJ16" s="179">
        <v>34979.383219432908</v>
      </c>
      <c r="AK16" s="168">
        <v>935</v>
      </c>
      <c r="AL16" s="179">
        <v>10775.265000000001</v>
      </c>
      <c r="AM16" s="179">
        <v>11143.346954061248</v>
      </c>
      <c r="AN16" s="181">
        <v>3723</v>
      </c>
      <c r="AO16" s="179">
        <v>44370.781507989341</v>
      </c>
      <c r="AP16" s="168">
        <v>935</v>
      </c>
      <c r="AQ16" s="179">
        <v>10775.265000000001</v>
      </c>
      <c r="AR16" s="179">
        <v>11143.346954061248</v>
      </c>
      <c r="AS16" s="181">
        <v>6500</v>
      </c>
      <c r="AT16" s="179">
        <v>77467.11786245789</v>
      </c>
      <c r="AU16" s="168">
        <v>6488</v>
      </c>
      <c r="AV16" s="179">
        <v>72009.514999999999</v>
      </c>
      <c r="AW16" s="179">
        <v>77324.101644865659</v>
      </c>
      <c r="AX16" s="181">
        <v>7500</v>
      </c>
      <c r="AY16" s="179">
        <v>89385.135995143719</v>
      </c>
      <c r="AZ16" s="168">
        <v>7905</v>
      </c>
      <c r="BA16" s="179">
        <v>79412.514999999999</v>
      </c>
      <c r="BB16" s="179">
        <v>94211.93333888147</v>
      </c>
      <c r="BC16" s="181">
        <v>8750</v>
      </c>
      <c r="BD16" s="179">
        <v>104282.658661001</v>
      </c>
      <c r="BE16" s="168">
        <v>8721</v>
      </c>
      <c r="BF16" s="179">
        <v>86553.345000000001</v>
      </c>
      <c r="BG16" s="179">
        <v>103937.0361351531</v>
      </c>
      <c r="BH16" s="181">
        <v>12767</v>
      </c>
      <c r="BI16" s="179">
        <v>152157.33749999997</v>
      </c>
      <c r="BJ16" s="168">
        <v>10533</v>
      </c>
      <c r="BK16" s="179">
        <v>198423.96500000003</v>
      </c>
      <c r="BL16" s="179">
        <v>125532.48499157981</v>
      </c>
      <c r="BM16" s="181">
        <v>12767</v>
      </c>
      <c r="BN16" s="179">
        <v>152157.33749999997</v>
      </c>
      <c r="BO16" s="168">
        <v>12767</v>
      </c>
      <c r="BP16" s="179">
        <v>274117.52500000002</v>
      </c>
      <c r="BQ16" s="179">
        <v>152157.33749999997</v>
      </c>
      <c r="BR16" s="181">
        <v>12767</v>
      </c>
      <c r="BS16" s="179">
        <v>152157.33749999997</v>
      </c>
      <c r="BT16" s="168">
        <v>12767</v>
      </c>
      <c r="BU16" s="179">
        <v>274290.02500000002</v>
      </c>
      <c r="BV16" s="179">
        <v>152157.33749999997</v>
      </c>
      <c r="BW16" s="181">
        <v>12767</v>
      </c>
      <c r="BX16" s="179">
        <v>152157.33749999997</v>
      </c>
      <c r="BY16" s="168">
        <v>12767</v>
      </c>
      <c r="BZ16" s="179">
        <v>274290.02500000002</v>
      </c>
      <c r="CA16" s="179">
        <v>152157.33749999997</v>
      </c>
      <c r="CB16" s="179">
        <v>0</v>
      </c>
    </row>
    <row r="17" spans="1:80" x14ac:dyDescent="0.25">
      <c r="A17" s="30">
        <v>65</v>
      </c>
      <c r="B17" s="16" t="s">
        <v>2777</v>
      </c>
      <c r="C17" s="178">
        <v>1335.3</v>
      </c>
      <c r="D17" t="s">
        <v>82</v>
      </c>
      <c r="E17" s="35">
        <v>374978.967</v>
      </c>
      <c r="F17" s="178">
        <v>280.82001572680298</v>
      </c>
      <c r="G17" s="178">
        <v>1335.96</v>
      </c>
      <c r="H17" s="180">
        <v>261664.12900000004</v>
      </c>
      <c r="I17" s="178">
        <v>305.05603461181477</v>
      </c>
      <c r="J17" s="181">
        <v>0</v>
      </c>
      <c r="K17" s="179">
        <v>0</v>
      </c>
      <c r="L17" s="178">
        <v>0</v>
      </c>
      <c r="M17" s="179">
        <v>0</v>
      </c>
      <c r="N17" s="179">
        <v>0</v>
      </c>
      <c r="O17" s="181">
        <v>0</v>
      </c>
      <c r="P17" s="179">
        <v>0</v>
      </c>
      <c r="Q17" s="178">
        <v>0</v>
      </c>
      <c r="R17" s="179">
        <v>0</v>
      </c>
      <c r="S17" s="179">
        <v>0</v>
      </c>
      <c r="T17" s="181">
        <v>0</v>
      </c>
      <c r="U17" s="179">
        <v>0</v>
      </c>
      <c r="V17" s="168">
        <v>0</v>
      </c>
      <c r="W17" s="179">
        <v>0</v>
      </c>
      <c r="X17" s="179">
        <v>0</v>
      </c>
      <c r="Y17" s="181">
        <v>0</v>
      </c>
      <c r="Z17" s="179">
        <v>0</v>
      </c>
      <c r="AA17" s="168">
        <v>0</v>
      </c>
      <c r="AB17" s="179">
        <v>0</v>
      </c>
      <c r="AC17" s="179">
        <v>0</v>
      </c>
      <c r="AD17" s="181">
        <v>0</v>
      </c>
      <c r="AE17" s="179">
        <v>0</v>
      </c>
      <c r="AF17" s="168">
        <v>0</v>
      </c>
      <c r="AG17" s="179">
        <v>0</v>
      </c>
      <c r="AH17" s="179">
        <v>0</v>
      </c>
      <c r="AI17" s="181">
        <v>0</v>
      </c>
      <c r="AJ17" s="179">
        <v>0</v>
      </c>
      <c r="AK17" s="168">
        <v>0</v>
      </c>
      <c r="AL17" s="179">
        <v>0</v>
      </c>
      <c r="AM17" s="179">
        <v>0</v>
      </c>
      <c r="AN17" s="181">
        <v>0</v>
      </c>
      <c r="AO17" s="179">
        <v>0</v>
      </c>
      <c r="AP17" s="168">
        <v>0</v>
      </c>
      <c r="AQ17" s="179">
        <v>0</v>
      </c>
      <c r="AR17" s="179">
        <v>0</v>
      </c>
      <c r="AS17" s="181">
        <v>400</v>
      </c>
      <c r="AT17" s="179">
        <v>112328.0062907212</v>
      </c>
      <c r="AU17" s="168">
        <v>355</v>
      </c>
      <c r="AV17" s="179">
        <v>108392.66899999999</v>
      </c>
      <c r="AW17" s="179">
        <v>99641.855508398454</v>
      </c>
      <c r="AX17" s="181">
        <v>400</v>
      </c>
      <c r="AY17" s="179">
        <v>112328.0062907212</v>
      </c>
      <c r="AZ17" s="168">
        <v>355</v>
      </c>
      <c r="BA17" s="179">
        <v>108392.66899999999</v>
      </c>
      <c r="BB17" s="179">
        <v>99641.855508398454</v>
      </c>
      <c r="BC17" s="181">
        <v>900</v>
      </c>
      <c r="BD17" s="179">
        <v>252738.01415412268</v>
      </c>
      <c r="BE17" s="168">
        <v>824</v>
      </c>
      <c r="BF17" s="179">
        <v>251275.16899999999</v>
      </c>
      <c r="BG17" s="179">
        <v>231281.37729273332</v>
      </c>
      <c r="BH17" s="181">
        <v>1335.3</v>
      </c>
      <c r="BI17" s="179">
        <v>374978.967</v>
      </c>
      <c r="BJ17" s="168">
        <v>1125</v>
      </c>
      <c r="BK17" s="179">
        <v>251275.16899999999</v>
      </c>
      <c r="BL17" s="179">
        <v>315766.4435125303</v>
      </c>
      <c r="BM17" s="181">
        <v>1335.3</v>
      </c>
      <c r="BN17" s="179">
        <v>374978.967</v>
      </c>
      <c r="BO17" s="168">
        <v>1326</v>
      </c>
      <c r="BP17" s="179">
        <v>258529.91899999999</v>
      </c>
      <c r="BQ17" s="179">
        <v>372183.38142010238</v>
      </c>
      <c r="BR17" s="181">
        <v>1335.3</v>
      </c>
      <c r="BS17" s="179">
        <v>374978.967</v>
      </c>
      <c r="BT17" s="168">
        <v>1335.96</v>
      </c>
      <c r="BU17" s="179">
        <v>261664.12900000004</v>
      </c>
      <c r="BV17" s="179">
        <v>374978.967</v>
      </c>
      <c r="BW17" s="181">
        <v>1335.3</v>
      </c>
      <c r="BX17" s="179">
        <v>374978.967</v>
      </c>
      <c r="BY17" s="168">
        <v>1335.96</v>
      </c>
      <c r="BZ17" s="179">
        <v>261664.12900000004</v>
      </c>
      <c r="CA17" s="179">
        <v>374978.967</v>
      </c>
      <c r="CB17" s="179">
        <v>0</v>
      </c>
    </row>
    <row r="18" spans="1:80" x14ac:dyDescent="0.25">
      <c r="A18" s="30">
        <v>66</v>
      </c>
      <c r="B18" s="16" t="s">
        <v>2778</v>
      </c>
      <c r="C18" s="178">
        <v>1</v>
      </c>
      <c r="D18" t="s">
        <v>2766</v>
      </c>
      <c r="E18" s="35">
        <v>20487.654320987655</v>
      </c>
      <c r="F18" s="178">
        <v>20487.654320987655</v>
      </c>
      <c r="G18" s="178">
        <v>1</v>
      </c>
      <c r="H18" s="180">
        <v>4773.75</v>
      </c>
      <c r="I18" s="178">
        <v>4774</v>
      </c>
      <c r="J18" s="181">
        <v>0</v>
      </c>
      <c r="K18" s="179">
        <v>0</v>
      </c>
      <c r="L18" s="178">
        <v>0</v>
      </c>
      <c r="M18" s="179">
        <v>0</v>
      </c>
      <c r="N18" s="179">
        <v>0</v>
      </c>
      <c r="O18" s="181">
        <v>0</v>
      </c>
      <c r="P18" s="179">
        <v>0</v>
      </c>
      <c r="Q18" s="178">
        <v>0</v>
      </c>
      <c r="R18" s="179">
        <v>0</v>
      </c>
      <c r="S18" s="179">
        <v>0</v>
      </c>
      <c r="T18" s="181">
        <v>0</v>
      </c>
      <c r="U18" s="179">
        <v>0</v>
      </c>
      <c r="V18" s="168">
        <v>0</v>
      </c>
      <c r="W18" s="179">
        <v>0</v>
      </c>
      <c r="X18" s="179">
        <v>0</v>
      </c>
      <c r="Y18" s="181">
        <v>0</v>
      </c>
      <c r="Z18" s="179">
        <v>0</v>
      </c>
      <c r="AA18" s="168">
        <v>0</v>
      </c>
      <c r="AB18" s="179">
        <v>0</v>
      </c>
      <c r="AC18" s="179">
        <v>0</v>
      </c>
      <c r="AD18" s="181">
        <v>0</v>
      </c>
      <c r="AE18" s="179">
        <v>0</v>
      </c>
      <c r="AF18" s="168">
        <v>0</v>
      </c>
      <c r="AG18" s="179">
        <v>0</v>
      </c>
      <c r="AH18" s="179">
        <v>0</v>
      </c>
      <c r="AI18" s="181">
        <v>0</v>
      </c>
      <c r="AJ18" s="179">
        <v>0</v>
      </c>
      <c r="AK18" s="168">
        <v>0</v>
      </c>
      <c r="AL18" s="179">
        <v>0</v>
      </c>
      <c r="AM18" s="179">
        <v>0</v>
      </c>
      <c r="AN18" s="181">
        <v>0</v>
      </c>
      <c r="AO18" s="179">
        <v>0</v>
      </c>
      <c r="AP18" s="168">
        <v>0</v>
      </c>
      <c r="AQ18" s="179">
        <v>0</v>
      </c>
      <c r="AR18" s="179">
        <v>0</v>
      </c>
      <c r="AS18" s="181">
        <v>0</v>
      </c>
      <c r="AT18" s="179">
        <v>0</v>
      </c>
      <c r="AU18" s="168">
        <v>0</v>
      </c>
      <c r="AV18" s="179">
        <v>0</v>
      </c>
      <c r="AW18" s="179">
        <v>0</v>
      </c>
      <c r="AX18" s="181">
        <v>0</v>
      </c>
      <c r="AY18" s="179">
        <v>0</v>
      </c>
      <c r="AZ18" s="168">
        <v>0</v>
      </c>
      <c r="BA18" s="179">
        <v>0</v>
      </c>
      <c r="BB18" s="179">
        <v>0</v>
      </c>
      <c r="BC18" s="181">
        <v>0</v>
      </c>
      <c r="BD18" s="179">
        <v>0</v>
      </c>
      <c r="BE18" s="168">
        <v>0</v>
      </c>
      <c r="BF18" s="179">
        <v>0</v>
      </c>
      <c r="BG18" s="179">
        <v>0</v>
      </c>
      <c r="BH18" s="181">
        <v>1</v>
      </c>
      <c r="BI18" s="179">
        <v>20487.654320987655</v>
      </c>
      <c r="BJ18" s="168">
        <v>0</v>
      </c>
      <c r="BK18" s="179">
        <v>0</v>
      </c>
      <c r="BL18" s="179">
        <v>0</v>
      </c>
      <c r="BM18" s="181">
        <v>1</v>
      </c>
      <c r="BN18" s="179">
        <v>20487.654320987655</v>
      </c>
      <c r="BO18" s="168">
        <v>0.45</v>
      </c>
      <c r="BP18" s="179">
        <v>2153</v>
      </c>
      <c r="BQ18" s="179">
        <v>9219.4444444444453</v>
      </c>
      <c r="BR18" s="181">
        <v>1</v>
      </c>
      <c r="BS18" s="179">
        <v>20487.654320987655</v>
      </c>
      <c r="BT18" s="168">
        <v>0.45</v>
      </c>
      <c r="BU18" s="179">
        <v>2153</v>
      </c>
      <c r="BV18" s="179">
        <v>9219.4444444444453</v>
      </c>
      <c r="BW18" s="181">
        <v>1</v>
      </c>
      <c r="BX18" s="179">
        <v>20487.654320987655</v>
      </c>
      <c r="BY18" s="168">
        <v>1</v>
      </c>
      <c r="BZ18" s="179">
        <v>4773.75</v>
      </c>
      <c r="CA18" s="179">
        <v>20487.654320987655</v>
      </c>
      <c r="CB18" s="179">
        <v>0</v>
      </c>
    </row>
    <row r="19" spans="1:80" x14ac:dyDescent="0.25">
      <c r="A19" s="30">
        <v>67</v>
      </c>
      <c r="B19" s="16" t="s">
        <v>2779</v>
      </c>
      <c r="C19" s="178">
        <v>1</v>
      </c>
      <c r="D19" t="s">
        <v>2766</v>
      </c>
      <c r="E19" s="35">
        <v>8210</v>
      </c>
      <c r="F19" s="178">
        <v>8210</v>
      </c>
      <c r="G19" s="178">
        <v>1</v>
      </c>
      <c r="H19" s="180">
        <v>2520.9499999999998</v>
      </c>
      <c r="I19" s="178">
        <v>2521</v>
      </c>
      <c r="J19" s="181">
        <v>0</v>
      </c>
      <c r="K19" s="179">
        <v>0</v>
      </c>
      <c r="L19" s="178">
        <v>0</v>
      </c>
      <c r="M19" s="179">
        <v>0</v>
      </c>
      <c r="N19" s="179">
        <v>0</v>
      </c>
      <c r="O19" s="181">
        <v>0</v>
      </c>
      <c r="P19" s="179">
        <v>0</v>
      </c>
      <c r="Q19" s="178">
        <v>0</v>
      </c>
      <c r="R19" s="179">
        <v>0</v>
      </c>
      <c r="S19" s="179">
        <v>0</v>
      </c>
      <c r="T19" s="181">
        <v>0</v>
      </c>
      <c r="U19" s="179">
        <v>0</v>
      </c>
      <c r="V19" s="168">
        <v>0</v>
      </c>
      <c r="W19" s="179">
        <v>0</v>
      </c>
      <c r="X19" s="179">
        <v>0</v>
      </c>
      <c r="Y19" s="181">
        <v>0</v>
      </c>
      <c r="Z19" s="179">
        <v>0</v>
      </c>
      <c r="AA19" s="168">
        <v>0</v>
      </c>
      <c r="AB19" s="179">
        <v>0</v>
      </c>
      <c r="AC19" s="179">
        <v>0</v>
      </c>
      <c r="AD19" s="181">
        <v>0</v>
      </c>
      <c r="AE19" s="179">
        <v>0</v>
      </c>
      <c r="AF19" s="168">
        <v>0</v>
      </c>
      <c r="AG19" s="179">
        <v>0</v>
      </c>
      <c r="AH19" s="179">
        <v>0</v>
      </c>
      <c r="AI19" s="181">
        <v>0</v>
      </c>
      <c r="AJ19" s="179">
        <v>0</v>
      </c>
      <c r="AK19" s="168">
        <v>0</v>
      </c>
      <c r="AL19" s="179">
        <v>0</v>
      </c>
      <c r="AM19" s="179">
        <v>0</v>
      </c>
      <c r="AN19" s="181">
        <v>0.5</v>
      </c>
      <c r="AO19" s="179">
        <v>4105</v>
      </c>
      <c r="AP19" s="168">
        <v>0.1</v>
      </c>
      <c r="AQ19" s="179">
        <v>415.45000000000005</v>
      </c>
      <c r="AR19" s="179">
        <v>821</v>
      </c>
      <c r="AS19" s="181">
        <v>0.5</v>
      </c>
      <c r="AT19" s="179">
        <v>4105</v>
      </c>
      <c r="AU19" s="168">
        <v>0.1</v>
      </c>
      <c r="AV19" s="179">
        <v>415.45000000000005</v>
      </c>
      <c r="AW19" s="179">
        <v>821</v>
      </c>
      <c r="AX19" s="181">
        <v>0.5</v>
      </c>
      <c r="AY19" s="179">
        <v>4105</v>
      </c>
      <c r="AZ19" s="168">
        <v>0.25</v>
      </c>
      <c r="BA19" s="179">
        <v>945.7</v>
      </c>
      <c r="BB19" s="179">
        <v>2052.5</v>
      </c>
      <c r="BC19" s="181">
        <v>0.5</v>
      </c>
      <c r="BD19" s="179">
        <v>4105</v>
      </c>
      <c r="BE19" s="168">
        <v>0.5</v>
      </c>
      <c r="BF19" s="179">
        <v>1563.2</v>
      </c>
      <c r="BG19" s="179">
        <v>4105</v>
      </c>
      <c r="BH19" s="181">
        <v>1</v>
      </c>
      <c r="BI19" s="179">
        <v>8210</v>
      </c>
      <c r="BJ19" s="168">
        <v>0.5</v>
      </c>
      <c r="BK19" s="179">
        <v>1563.2</v>
      </c>
      <c r="BL19" s="179">
        <v>4105</v>
      </c>
      <c r="BM19" s="181">
        <v>1</v>
      </c>
      <c r="BN19" s="179">
        <v>8210</v>
      </c>
      <c r="BO19" s="168">
        <v>1</v>
      </c>
      <c r="BP19" s="179">
        <v>2520.9499999999998</v>
      </c>
      <c r="BQ19" s="179">
        <v>8210</v>
      </c>
      <c r="BR19" s="181">
        <v>1</v>
      </c>
      <c r="BS19" s="179">
        <v>8210</v>
      </c>
      <c r="BT19" s="168">
        <v>1</v>
      </c>
      <c r="BU19" s="179">
        <v>2520.9499999999998</v>
      </c>
      <c r="BV19" s="179">
        <v>8210</v>
      </c>
      <c r="BW19" s="181">
        <v>1</v>
      </c>
      <c r="BX19" s="179">
        <v>8210</v>
      </c>
      <c r="BY19" s="168">
        <v>1</v>
      </c>
      <c r="BZ19" s="179">
        <v>2520.9499999999998</v>
      </c>
      <c r="CA19" s="179">
        <v>8210</v>
      </c>
      <c r="CB19" s="179">
        <v>0</v>
      </c>
    </row>
    <row r="20" spans="1:80" x14ac:dyDescent="0.25">
      <c r="A20" s="30">
        <v>68</v>
      </c>
      <c r="B20" s="16" t="s">
        <v>2780</v>
      </c>
      <c r="C20" s="178">
        <v>3335</v>
      </c>
      <c r="D20" t="s">
        <v>2593</v>
      </c>
      <c r="E20" s="35">
        <v>47402.512153774485</v>
      </c>
      <c r="F20" s="178">
        <v>14.213646822720985</v>
      </c>
      <c r="G20" s="178">
        <v>3335</v>
      </c>
      <c r="H20" s="180">
        <v>46094.080000000002</v>
      </c>
      <c r="I20" s="178">
        <v>13.821289355322339</v>
      </c>
      <c r="J20" s="181">
        <v>0</v>
      </c>
      <c r="K20" s="179">
        <v>0</v>
      </c>
      <c r="L20" s="178">
        <v>0</v>
      </c>
      <c r="M20" s="179">
        <v>0</v>
      </c>
      <c r="N20" s="179">
        <v>0</v>
      </c>
      <c r="O20" s="181">
        <v>0</v>
      </c>
      <c r="P20" s="179">
        <v>0</v>
      </c>
      <c r="Q20" s="178">
        <v>0</v>
      </c>
      <c r="R20" s="179">
        <v>0</v>
      </c>
      <c r="S20" s="179">
        <v>0</v>
      </c>
      <c r="T20" s="181">
        <v>0</v>
      </c>
      <c r="U20" s="179">
        <v>0</v>
      </c>
      <c r="V20" s="168">
        <v>0</v>
      </c>
      <c r="W20" s="179">
        <v>0</v>
      </c>
      <c r="X20" s="179">
        <v>0</v>
      </c>
      <c r="Y20" s="181">
        <v>0</v>
      </c>
      <c r="Z20" s="179">
        <v>0</v>
      </c>
      <c r="AA20" s="168">
        <v>0</v>
      </c>
      <c r="AB20" s="179">
        <v>0</v>
      </c>
      <c r="AC20" s="179">
        <v>0</v>
      </c>
      <c r="AD20" s="181">
        <v>0</v>
      </c>
      <c r="AE20" s="179">
        <v>0</v>
      </c>
      <c r="AF20" s="168">
        <v>0</v>
      </c>
      <c r="AG20" s="179">
        <v>0</v>
      </c>
      <c r="AH20" s="179">
        <v>0</v>
      </c>
      <c r="AI20" s="181">
        <v>0</v>
      </c>
      <c r="AJ20" s="179">
        <v>0</v>
      </c>
      <c r="AK20" s="168">
        <v>0</v>
      </c>
      <c r="AL20" s="179">
        <v>0</v>
      </c>
      <c r="AM20" s="179">
        <v>0</v>
      </c>
      <c r="AN20" s="181">
        <v>985</v>
      </c>
      <c r="AO20" s="179">
        <v>14000.44212038017</v>
      </c>
      <c r="AP20" s="168">
        <v>985</v>
      </c>
      <c r="AQ20" s="179">
        <v>13611.895</v>
      </c>
      <c r="AR20" s="179">
        <v>14000.44212038017</v>
      </c>
      <c r="AS20" s="181">
        <v>985</v>
      </c>
      <c r="AT20" s="179">
        <v>14000.44212038017</v>
      </c>
      <c r="AU20" s="168">
        <v>985</v>
      </c>
      <c r="AV20" s="179">
        <v>13611.895</v>
      </c>
      <c r="AW20" s="179">
        <v>14000.44212038017</v>
      </c>
      <c r="AX20" s="181">
        <v>3335</v>
      </c>
      <c r="AY20" s="179">
        <v>47402.512153774485</v>
      </c>
      <c r="AZ20" s="168">
        <v>3335</v>
      </c>
      <c r="BA20" s="179">
        <v>46094.080000000002</v>
      </c>
      <c r="BB20" s="179">
        <v>47402.512153774485</v>
      </c>
      <c r="BC20" s="181"/>
      <c r="BD20" s="179">
        <v>0</v>
      </c>
      <c r="BE20" s="168">
        <v>3335</v>
      </c>
      <c r="BF20" s="179">
        <v>46094.080000000002</v>
      </c>
      <c r="BG20" s="179">
        <v>47402.512153774485</v>
      </c>
      <c r="BH20" s="181">
        <v>3335</v>
      </c>
      <c r="BI20" s="179">
        <v>47402.512153774485</v>
      </c>
      <c r="BJ20" s="168">
        <v>3335</v>
      </c>
      <c r="BK20" s="179">
        <v>46094.080000000002</v>
      </c>
      <c r="BL20" s="179">
        <v>47402.512153774485</v>
      </c>
      <c r="BM20" s="181">
        <v>3335</v>
      </c>
      <c r="BN20" s="179">
        <v>47402.512153774485</v>
      </c>
      <c r="BO20" s="168">
        <v>3335</v>
      </c>
      <c r="BP20" s="179">
        <v>46094.080000000002</v>
      </c>
      <c r="BQ20" s="179">
        <v>47402.512153774485</v>
      </c>
      <c r="BR20" s="181">
        <v>3335</v>
      </c>
      <c r="BS20" s="179">
        <v>47402.512153774485</v>
      </c>
      <c r="BT20" s="168">
        <v>3335</v>
      </c>
      <c r="BU20" s="179">
        <v>46094.080000000002</v>
      </c>
      <c r="BV20" s="179">
        <v>47402.512153774485</v>
      </c>
      <c r="BW20" s="181">
        <v>3335</v>
      </c>
      <c r="BX20" s="179">
        <v>47402.512153774485</v>
      </c>
      <c r="BY20" s="168">
        <v>3335</v>
      </c>
      <c r="BZ20" s="179">
        <v>46094.080000000002</v>
      </c>
      <c r="CA20" s="179">
        <v>47402.512153774485</v>
      </c>
      <c r="CB20" s="179">
        <v>0</v>
      </c>
    </row>
    <row r="21" spans="1:80" x14ac:dyDescent="0.25">
      <c r="A21" s="30">
        <v>71</v>
      </c>
      <c r="B21" s="16" t="s">
        <v>2781</v>
      </c>
      <c r="C21" s="178">
        <v>2278</v>
      </c>
      <c r="D21" t="s">
        <v>2594</v>
      </c>
      <c r="E21" s="35">
        <v>104574.57999999999</v>
      </c>
      <c r="F21" s="178">
        <v>45.906312554872692</v>
      </c>
      <c r="G21" s="178">
        <v>2278</v>
      </c>
      <c r="H21" s="180">
        <v>86929.584300000046</v>
      </c>
      <c r="I21" s="178">
        <v>38.160667251975418</v>
      </c>
      <c r="J21" s="181">
        <v>0</v>
      </c>
      <c r="K21" s="179">
        <v>0</v>
      </c>
      <c r="L21" s="178">
        <v>0</v>
      </c>
      <c r="M21" s="179">
        <v>0</v>
      </c>
      <c r="N21" s="179">
        <v>0</v>
      </c>
      <c r="O21" s="181">
        <v>250</v>
      </c>
      <c r="P21" s="179">
        <v>11476.578138718172</v>
      </c>
      <c r="Q21" s="178">
        <v>250</v>
      </c>
      <c r="R21" s="179">
        <v>3547.1</v>
      </c>
      <c r="S21" s="179">
        <v>11476.578138718172</v>
      </c>
      <c r="T21" s="181">
        <v>250</v>
      </c>
      <c r="U21" s="179">
        <v>11476.578138718172</v>
      </c>
      <c r="V21" s="168">
        <v>250</v>
      </c>
      <c r="W21" s="179">
        <v>3547.1</v>
      </c>
      <c r="X21" s="179">
        <v>11476.578138718172</v>
      </c>
      <c r="Y21" s="181">
        <v>250</v>
      </c>
      <c r="Z21" s="179">
        <v>11476.578138718172</v>
      </c>
      <c r="AA21" s="168">
        <v>250</v>
      </c>
      <c r="AB21" s="179">
        <v>3547.1</v>
      </c>
      <c r="AC21" s="179">
        <v>11476.578138718172</v>
      </c>
      <c r="AD21" s="181">
        <v>542</v>
      </c>
      <c r="AE21" s="179">
        <v>24881.221404740998</v>
      </c>
      <c r="AF21" s="168">
        <v>250</v>
      </c>
      <c r="AG21" s="179">
        <v>3711.73</v>
      </c>
      <c r="AH21" s="179">
        <v>11476.578138718172</v>
      </c>
      <c r="AI21" s="181">
        <v>618</v>
      </c>
      <c r="AJ21" s="179">
        <v>28370.101158911322</v>
      </c>
      <c r="AK21" s="168">
        <v>618</v>
      </c>
      <c r="AL21" s="179">
        <v>24033.010000000002</v>
      </c>
      <c r="AM21" s="179">
        <v>28370.101158911319</v>
      </c>
      <c r="AN21" s="181">
        <v>1124</v>
      </c>
      <c r="AO21" s="179">
        <v>51598.695311676907</v>
      </c>
      <c r="AP21" s="168">
        <v>900</v>
      </c>
      <c r="AQ21" s="179">
        <v>35554.820000000007</v>
      </c>
      <c r="AR21" s="179">
        <v>41315.681299385418</v>
      </c>
      <c r="AS21" s="181">
        <v>1180</v>
      </c>
      <c r="AT21" s="179">
        <v>54169.448814749776</v>
      </c>
      <c r="AU21" s="168">
        <v>618</v>
      </c>
      <c r="AV21" s="179">
        <v>39508.570000000007</v>
      </c>
      <c r="AW21" s="179">
        <v>28370.101158911319</v>
      </c>
      <c r="AX21" s="181">
        <v>1519</v>
      </c>
      <c r="AY21" s="179">
        <v>69731.688770851615</v>
      </c>
      <c r="AZ21" s="168">
        <v>1100</v>
      </c>
      <c r="BA21" s="179">
        <v>44816.72</v>
      </c>
      <c r="BB21" s="179">
        <v>50496.94381035996</v>
      </c>
      <c r="BC21" s="181">
        <v>2278</v>
      </c>
      <c r="BD21" s="179">
        <v>104574.57999999999</v>
      </c>
      <c r="BE21" s="168">
        <v>1400</v>
      </c>
      <c r="BF21" s="179">
        <v>54736.04500000002</v>
      </c>
      <c r="BG21" s="179">
        <v>64268.837576821767</v>
      </c>
      <c r="BH21" s="181">
        <v>2278</v>
      </c>
      <c r="BI21" s="179">
        <v>104574.57999999999</v>
      </c>
      <c r="BJ21" s="168">
        <v>1600</v>
      </c>
      <c r="BK21" s="179">
        <v>62825.159300000021</v>
      </c>
      <c r="BL21" s="179">
        <v>73450.100087796294</v>
      </c>
      <c r="BM21" s="181">
        <v>2278</v>
      </c>
      <c r="BN21" s="179">
        <v>104574.57999999999</v>
      </c>
      <c r="BO21" s="168">
        <v>1700</v>
      </c>
      <c r="BP21" s="179">
        <v>69605.634300000034</v>
      </c>
      <c r="BQ21" s="179">
        <v>78040.73134328358</v>
      </c>
      <c r="BR21" s="181">
        <v>2278</v>
      </c>
      <c r="BS21" s="179">
        <v>104574.57999999999</v>
      </c>
      <c r="BT21" s="168">
        <v>2100</v>
      </c>
      <c r="BU21" s="179">
        <v>86079.584300000046</v>
      </c>
      <c r="BV21" s="179">
        <v>96403.25636523265</v>
      </c>
      <c r="BW21" s="181">
        <v>2278</v>
      </c>
      <c r="BX21" s="179">
        <v>104574.57999999999</v>
      </c>
      <c r="BY21" s="168">
        <v>2278</v>
      </c>
      <c r="BZ21" s="179">
        <v>86929.584300000046</v>
      </c>
      <c r="CA21" s="179">
        <v>104574.57999999999</v>
      </c>
      <c r="CB21" s="179">
        <v>0</v>
      </c>
    </row>
    <row r="22" spans="1:80" x14ac:dyDescent="0.25">
      <c r="A22" s="30">
        <v>72</v>
      </c>
      <c r="B22" s="16" t="s">
        <v>2782</v>
      </c>
      <c r="C22" s="178">
        <v>5.63</v>
      </c>
      <c r="D22" t="s">
        <v>2548</v>
      </c>
      <c r="E22" s="35">
        <v>5599.75</v>
      </c>
      <c r="F22" s="178">
        <v>994.62699822380114</v>
      </c>
      <c r="G22" s="178">
        <v>5.63</v>
      </c>
      <c r="H22" s="180">
        <v>13301.4</v>
      </c>
      <c r="I22" s="178">
        <v>2362.5222024866785</v>
      </c>
      <c r="J22" s="181">
        <v>0</v>
      </c>
      <c r="K22" s="179">
        <v>0</v>
      </c>
      <c r="L22" s="178">
        <v>0</v>
      </c>
      <c r="M22" s="179">
        <v>0</v>
      </c>
      <c r="N22" s="179">
        <v>0</v>
      </c>
      <c r="O22" s="181">
        <v>0</v>
      </c>
      <c r="P22" s="179">
        <v>0</v>
      </c>
      <c r="Q22" s="178">
        <v>0</v>
      </c>
      <c r="R22" s="179">
        <v>141.4</v>
      </c>
      <c r="S22" s="179">
        <v>0</v>
      </c>
      <c r="T22" s="181">
        <v>5.63</v>
      </c>
      <c r="U22" s="179">
        <v>5599.75</v>
      </c>
      <c r="V22" s="168">
        <v>1.75</v>
      </c>
      <c r="W22" s="179">
        <v>4001.4</v>
      </c>
      <c r="X22" s="179">
        <v>1740.5972468916518</v>
      </c>
      <c r="Y22" s="181">
        <v>5.63</v>
      </c>
      <c r="Z22" s="179">
        <v>5599.75</v>
      </c>
      <c r="AA22" s="168">
        <v>5.63</v>
      </c>
      <c r="AB22" s="179">
        <v>13301.4</v>
      </c>
      <c r="AC22" s="179">
        <v>5599.75</v>
      </c>
      <c r="AD22" s="181">
        <v>5.63</v>
      </c>
      <c r="AE22" s="179">
        <v>5599.75</v>
      </c>
      <c r="AF22" s="168">
        <v>5.63</v>
      </c>
      <c r="AG22" s="179">
        <v>13301.4</v>
      </c>
      <c r="AH22" s="179">
        <v>5599.75</v>
      </c>
      <c r="AI22" s="181">
        <v>5.63</v>
      </c>
      <c r="AJ22" s="179">
        <v>5599.75</v>
      </c>
      <c r="AK22" s="168">
        <v>5.63</v>
      </c>
      <c r="AL22" s="179">
        <v>13301.4</v>
      </c>
      <c r="AM22" s="179">
        <v>5599.75</v>
      </c>
      <c r="AN22" s="181">
        <v>5.63</v>
      </c>
      <c r="AO22" s="179">
        <v>5599.75</v>
      </c>
      <c r="AP22" s="168">
        <v>5.63</v>
      </c>
      <c r="AQ22" s="179">
        <v>13301.4</v>
      </c>
      <c r="AR22" s="179">
        <v>5599.75</v>
      </c>
      <c r="AS22" s="181">
        <v>5.63</v>
      </c>
      <c r="AT22" s="179">
        <v>5599.75</v>
      </c>
      <c r="AU22" s="168">
        <v>5.63</v>
      </c>
      <c r="AV22" s="179">
        <v>13301.4</v>
      </c>
      <c r="AW22" s="179">
        <v>5599.75</v>
      </c>
      <c r="AX22" s="181">
        <v>5.63</v>
      </c>
      <c r="AY22" s="179">
        <v>5599.75</v>
      </c>
      <c r="AZ22" s="168">
        <v>5.63</v>
      </c>
      <c r="BA22" s="179">
        <v>13301.4</v>
      </c>
      <c r="BB22" s="179">
        <v>5599.75</v>
      </c>
      <c r="BC22" s="181">
        <v>5.63</v>
      </c>
      <c r="BD22" s="179">
        <v>5599.75</v>
      </c>
      <c r="BE22" s="168">
        <v>5.63</v>
      </c>
      <c r="BF22" s="179">
        <v>13301.4</v>
      </c>
      <c r="BG22" s="179">
        <v>5599.75</v>
      </c>
      <c r="BH22" s="181">
        <v>5.63</v>
      </c>
      <c r="BI22" s="179">
        <v>5599.75</v>
      </c>
      <c r="BJ22" s="168">
        <v>5.63</v>
      </c>
      <c r="BK22" s="179">
        <v>13301.4</v>
      </c>
      <c r="BL22" s="179">
        <v>5599.75</v>
      </c>
      <c r="BM22" s="181">
        <v>5.63</v>
      </c>
      <c r="BN22" s="179">
        <v>5599.75</v>
      </c>
      <c r="BO22" s="168">
        <v>5.63</v>
      </c>
      <c r="BP22" s="179">
        <v>13301.4</v>
      </c>
      <c r="BQ22" s="179">
        <v>5599.75</v>
      </c>
      <c r="BR22" s="181">
        <v>5.63</v>
      </c>
      <c r="BS22" s="179">
        <v>5599.75</v>
      </c>
      <c r="BT22" s="168">
        <v>5.63</v>
      </c>
      <c r="BU22" s="179">
        <v>13301.4</v>
      </c>
      <c r="BV22" s="179">
        <v>5599.75</v>
      </c>
      <c r="BW22" s="181">
        <v>5.63</v>
      </c>
      <c r="BX22" s="179">
        <v>5599.75</v>
      </c>
      <c r="BY22" s="168">
        <v>5.63</v>
      </c>
      <c r="BZ22" s="179">
        <v>13301.4</v>
      </c>
      <c r="CA22" s="179">
        <v>5599.75</v>
      </c>
      <c r="CB22" s="179">
        <v>0</v>
      </c>
    </row>
    <row r="23" spans="1:80" x14ac:dyDescent="0.25">
      <c r="A23" s="30">
        <v>73</v>
      </c>
      <c r="B23" s="16" t="s">
        <v>2783</v>
      </c>
      <c r="C23" s="178">
        <v>1069</v>
      </c>
      <c r="D23" t="s">
        <v>2593</v>
      </c>
      <c r="E23" s="35">
        <v>11417.789028571427</v>
      </c>
      <c r="F23" s="178">
        <v>10.680812935988239</v>
      </c>
      <c r="G23" s="178">
        <v>1069</v>
      </c>
      <c r="H23" s="180">
        <v>55980.800000000003</v>
      </c>
      <c r="I23" s="178">
        <v>52.367633302151546</v>
      </c>
      <c r="J23" s="181">
        <v>0</v>
      </c>
      <c r="K23" s="179">
        <v>0</v>
      </c>
      <c r="L23" s="178">
        <v>0</v>
      </c>
      <c r="M23" s="179">
        <v>0</v>
      </c>
      <c r="N23" s="179">
        <v>0</v>
      </c>
      <c r="O23" s="181">
        <v>0</v>
      </c>
      <c r="P23" s="179">
        <v>0</v>
      </c>
      <c r="Q23" s="178">
        <v>0</v>
      </c>
      <c r="R23" s="179">
        <v>0</v>
      </c>
      <c r="S23" s="179">
        <v>0</v>
      </c>
      <c r="T23" s="181">
        <v>0</v>
      </c>
      <c r="U23" s="179">
        <v>0</v>
      </c>
      <c r="V23" s="168">
        <v>0</v>
      </c>
      <c r="W23" s="179">
        <v>0</v>
      </c>
      <c r="X23" s="179">
        <v>0</v>
      </c>
      <c r="Y23" s="181">
        <v>0</v>
      </c>
      <c r="Z23" s="179">
        <v>0</v>
      </c>
      <c r="AA23" s="168">
        <v>0</v>
      </c>
      <c r="AB23" s="179">
        <v>360</v>
      </c>
      <c r="AC23" s="179">
        <v>0</v>
      </c>
      <c r="AD23" s="181">
        <v>120</v>
      </c>
      <c r="AE23" s="179">
        <v>1281.6975523185888</v>
      </c>
      <c r="AF23" s="168">
        <v>90</v>
      </c>
      <c r="AG23" s="179">
        <v>4660</v>
      </c>
      <c r="AH23" s="179">
        <v>961.2731642389416</v>
      </c>
      <c r="AI23" s="181">
        <v>120</v>
      </c>
      <c r="AJ23" s="179">
        <v>1281.6975523185888</v>
      </c>
      <c r="AK23" s="168">
        <v>100</v>
      </c>
      <c r="AL23" s="179">
        <v>5212.8</v>
      </c>
      <c r="AM23" s="179">
        <v>1068.0812935988238</v>
      </c>
      <c r="AN23" s="181">
        <v>120</v>
      </c>
      <c r="AO23" s="179">
        <v>1281.6975523185888</v>
      </c>
      <c r="AP23" s="168">
        <v>120</v>
      </c>
      <c r="AQ23" s="179">
        <v>6172.3</v>
      </c>
      <c r="AR23" s="179">
        <v>1281.6975523185886</v>
      </c>
      <c r="AS23" s="181">
        <v>260</v>
      </c>
      <c r="AT23" s="179">
        <v>2777.0113633569422</v>
      </c>
      <c r="AU23" s="168">
        <v>260</v>
      </c>
      <c r="AV23" s="179">
        <v>13640.674999999999</v>
      </c>
      <c r="AW23" s="179">
        <v>2777.0113633569422</v>
      </c>
      <c r="AX23" s="181">
        <v>400</v>
      </c>
      <c r="AY23" s="179">
        <v>4272.325174395296</v>
      </c>
      <c r="AZ23" s="168">
        <v>400</v>
      </c>
      <c r="BA23" s="179">
        <v>20798.850000000002</v>
      </c>
      <c r="BB23" s="179">
        <v>4272.3251743952951</v>
      </c>
      <c r="BC23" s="181">
        <v>750</v>
      </c>
      <c r="BD23" s="179">
        <v>8010.6097019911795</v>
      </c>
      <c r="BE23" s="168">
        <v>485</v>
      </c>
      <c r="BF23" s="179">
        <v>25310.230000000003</v>
      </c>
      <c r="BG23" s="179">
        <v>5180.1942739542956</v>
      </c>
      <c r="BH23" s="181">
        <v>1069</v>
      </c>
      <c r="BI23" s="179">
        <v>11417.789028571427</v>
      </c>
      <c r="BJ23" s="168">
        <v>575</v>
      </c>
      <c r="BK23" s="179">
        <v>29815.230000000003</v>
      </c>
      <c r="BL23" s="179">
        <v>6141.4674381932382</v>
      </c>
      <c r="BM23" s="181">
        <v>1069</v>
      </c>
      <c r="BN23" s="179">
        <v>11417.789028571427</v>
      </c>
      <c r="BO23" s="168">
        <v>750</v>
      </c>
      <c r="BP23" s="179">
        <v>39114.5</v>
      </c>
      <c r="BQ23" s="179">
        <v>8010.6097019911795</v>
      </c>
      <c r="BR23" s="181">
        <v>1069</v>
      </c>
      <c r="BS23" s="179">
        <v>11417.789028571427</v>
      </c>
      <c r="BT23" s="168">
        <v>1069</v>
      </c>
      <c r="BU23" s="179">
        <v>55980.800000000003</v>
      </c>
      <c r="BV23" s="179">
        <v>11417.789028571427</v>
      </c>
      <c r="BW23" s="181">
        <v>1069</v>
      </c>
      <c r="BX23" s="179">
        <v>11417.789028571427</v>
      </c>
      <c r="BY23" s="168">
        <v>1069</v>
      </c>
      <c r="BZ23" s="179">
        <v>55980.800000000003</v>
      </c>
      <c r="CA23" s="179">
        <v>11417.789028571427</v>
      </c>
      <c r="CB23" s="179">
        <v>0</v>
      </c>
    </row>
    <row r="24" spans="1:80" x14ac:dyDescent="0.25">
      <c r="A24" s="30">
        <v>75</v>
      </c>
      <c r="B24" s="16" t="s">
        <v>2784</v>
      </c>
      <c r="C24" s="178">
        <v>300</v>
      </c>
      <c r="D24" t="s">
        <v>2594</v>
      </c>
      <c r="E24" s="35">
        <v>3000</v>
      </c>
      <c r="F24" s="178">
        <v>10</v>
      </c>
      <c r="G24" s="178">
        <v>300</v>
      </c>
      <c r="H24" s="180">
        <v>8705.77</v>
      </c>
      <c r="I24" s="178">
        <v>29.02</v>
      </c>
      <c r="J24" s="181">
        <v>0</v>
      </c>
      <c r="K24" s="179">
        <v>0</v>
      </c>
      <c r="L24" s="178">
        <v>0</v>
      </c>
      <c r="M24" s="179">
        <v>0</v>
      </c>
      <c r="N24" s="179">
        <v>0</v>
      </c>
      <c r="O24" s="181">
        <v>90</v>
      </c>
      <c r="P24" s="179">
        <v>900</v>
      </c>
      <c r="Q24" s="178">
        <v>90</v>
      </c>
      <c r="R24" s="179">
        <v>2715.72</v>
      </c>
      <c r="S24" s="179">
        <v>900</v>
      </c>
      <c r="T24" s="181">
        <v>90</v>
      </c>
      <c r="U24" s="179">
        <v>900</v>
      </c>
      <c r="V24" s="168">
        <v>90</v>
      </c>
      <c r="W24" s="179">
        <v>2715.72</v>
      </c>
      <c r="X24" s="179">
        <v>900</v>
      </c>
      <c r="Y24" s="181">
        <v>120</v>
      </c>
      <c r="Z24" s="179">
        <v>1200</v>
      </c>
      <c r="AA24" s="168">
        <v>120</v>
      </c>
      <c r="AB24" s="179">
        <v>3652.4949999999999</v>
      </c>
      <c r="AC24" s="179">
        <v>1200</v>
      </c>
      <c r="AD24" s="181">
        <v>140</v>
      </c>
      <c r="AE24" s="179">
        <v>1400</v>
      </c>
      <c r="AF24" s="168">
        <v>140</v>
      </c>
      <c r="AG24" s="179">
        <v>4218.0949999999993</v>
      </c>
      <c r="AH24" s="179">
        <v>1400</v>
      </c>
      <c r="AI24" s="181">
        <v>150</v>
      </c>
      <c r="AJ24" s="179">
        <v>1500</v>
      </c>
      <c r="AK24" s="168">
        <v>150</v>
      </c>
      <c r="AL24" s="179">
        <v>4530.6949999999997</v>
      </c>
      <c r="AM24" s="179">
        <v>1500</v>
      </c>
      <c r="AN24" s="181">
        <v>150</v>
      </c>
      <c r="AO24" s="179">
        <v>1500</v>
      </c>
      <c r="AP24" s="168">
        <v>150</v>
      </c>
      <c r="AQ24" s="179">
        <v>4530.6949999999997</v>
      </c>
      <c r="AR24" s="179">
        <v>1500</v>
      </c>
      <c r="AS24" s="181">
        <v>177</v>
      </c>
      <c r="AT24" s="179">
        <v>1770</v>
      </c>
      <c r="AU24" s="168">
        <v>156</v>
      </c>
      <c r="AV24" s="179">
        <v>4684.7450000000008</v>
      </c>
      <c r="AW24" s="179">
        <v>1560</v>
      </c>
      <c r="AX24" s="181">
        <v>177</v>
      </c>
      <c r="AY24" s="179">
        <v>1770</v>
      </c>
      <c r="AZ24" s="168">
        <v>160</v>
      </c>
      <c r="BA24" s="179">
        <v>4826.1450000000004</v>
      </c>
      <c r="BB24" s="179">
        <v>1600</v>
      </c>
      <c r="BC24" s="181">
        <v>248</v>
      </c>
      <c r="BD24" s="179">
        <v>2480</v>
      </c>
      <c r="BE24" s="168">
        <v>177</v>
      </c>
      <c r="BF24" s="179">
        <v>5321.0450000000001</v>
      </c>
      <c r="BG24" s="179">
        <v>1770</v>
      </c>
      <c r="BH24" s="181">
        <v>300</v>
      </c>
      <c r="BI24" s="179">
        <v>3000</v>
      </c>
      <c r="BJ24" s="168">
        <v>248</v>
      </c>
      <c r="BK24" s="179">
        <v>7397.32</v>
      </c>
      <c r="BL24" s="179">
        <v>2480</v>
      </c>
      <c r="BM24" s="181">
        <v>300</v>
      </c>
      <c r="BN24" s="179">
        <v>3000</v>
      </c>
      <c r="BO24" s="168">
        <v>300</v>
      </c>
      <c r="BP24" s="179">
        <v>8705.77</v>
      </c>
      <c r="BQ24" s="179">
        <v>3000</v>
      </c>
      <c r="BR24" s="181">
        <v>300</v>
      </c>
      <c r="BS24" s="179">
        <v>3000</v>
      </c>
      <c r="BT24" s="168">
        <v>300</v>
      </c>
      <c r="BU24" s="179">
        <v>8705.77</v>
      </c>
      <c r="BV24" s="179">
        <v>3000</v>
      </c>
      <c r="BW24" s="181">
        <v>300</v>
      </c>
      <c r="BX24" s="179">
        <v>3000</v>
      </c>
      <c r="BY24" s="168">
        <v>300</v>
      </c>
      <c r="BZ24" s="179">
        <v>8705.77</v>
      </c>
      <c r="CA24" s="179">
        <v>3000</v>
      </c>
      <c r="CB24" s="179">
        <v>0</v>
      </c>
    </row>
    <row r="25" spans="1:80" x14ac:dyDescent="0.25">
      <c r="A25" s="30">
        <v>81</v>
      </c>
      <c r="B25" s="16" t="s">
        <v>2785</v>
      </c>
      <c r="C25" s="178">
        <v>66.599999999999994</v>
      </c>
      <c r="D25" t="s">
        <v>2594</v>
      </c>
      <c r="E25" s="35">
        <v>29529.982991569006</v>
      </c>
      <c r="F25" s="178">
        <v>443.39313801154668</v>
      </c>
      <c r="G25" s="178">
        <v>66.599999999999994</v>
      </c>
      <c r="H25" s="180">
        <v>19984.005000000008</v>
      </c>
      <c r="I25" s="178">
        <v>300.0600600600601</v>
      </c>
      <c r="J25" s="181">
        <v>0</v>
      </c>
      <c r="K25" s="179">
        <v>0</v>
      </c>
      <c r="L25" s="178">
        <v>0</v>
      </c>
      <c r="M25" s="179">
        <v>0</v>
      </c>
      <c r="N25" s="179">
        <v>0</v>
      </c>
      <c r="O25" s="181">
        <v>0</v>
      </c>
      <c r="P25" s="179">
        <v>0</v>
      </c>
      <c r="Q25" s="178">
        <v>0</v>
      </c>
      <c r="R25" s="179">
        <v>0</v>
      </c>
      <c r="S25" s="179">
        <v>0</v>
      </c>
      <c r="T25" s="181">
        <v>0</v>
      </c>
      <c r="U25" s="179">
        <v>0</v>
      </c>
      <c r="V25" s="168">
        <v>0</v>
      </c>
      <c r="W25" s="179">
        <v>300.47500000000002</v>
      </c>
      <c r="X25" s="179">
        <v>0</v>
      </c>
      <c r="Y25" s="181">
        <v>30.42</v>
      </c>
      <c r="Z25" s="179">
        <v>13488.019258311251</v>
      </c>
      <c r="AA25" s="168">
        <v>30.42</v>
      </c>
      <c r="AB25" s="179">
        <v>8879.9900000000016</v>
      </c>
      <c r="AC25" s="179">
        <v>13488.019258311251</v>
      </c>
      <c r="AD25" s="181">
        <v>30.42</v>
      </c>
      <c r="AE25" s="179">
        <v>13488.019258311251</v>
      </c>
      <c r="AF25" s="168">
        <v>30.42</v>
      </c>
      <c r="AG25" s="179">
        <v>8879.9900000000016</v>
      </c>
      <c r="AH25" s="179">
        <v>13488.019258311251</v>
      </c>
      <c r="AI25" s="181">
        <v>51.48</v>
      </c>
      <c r="AJ25" s="179">
        <v>22825.878744834423</v>
      </c>
      <c r="AK25" s="168">
        <v>51.48</v>
      </c>
      <c r="AL25" s="179">
        <v>15528.440000000004</v>
      </c>
      <c r="AM25" s="179">
        <v>22825.878744834419</v>
      </c>
      <c r="AN25" s="181">
        <v>51.48</v>
      </c>
      <c r="AO25" s="179">
        <v>22825.878744834423</v>
      </c>
      <c r="AP25" s="168">
        <v>51.48</v>
      </c>
      <c r="AQ25" s="179">
        <v>15528.440000000004</v>
      </c>
      <c r="AR25" s="179">
        <v>22825.878744834419</v>
      </c>
      <c r="AS25" s="181">
        <v>51.48</v>
      </c>
      <c r="AT25" s="179">
        <v>22825.878744834423</v>
      </c>
      <c r="AU25" s="168">
        <v>51.48</v>
      </c>
      <c r="AV25" s="179">
        <v>15528.440000000004</v>
      </c>
      <c r="AW25" s="179">
        <v>22825.878744834419</v>
      </c>
      <c r="AX25" s="181">
        <v>66.599999999999994</v>
      </c>
      <c r="AY25" s="179">
        <v>29529.982991569006</v>
      </c>
      <c r="AZ25" s="168">
        <v>51.48</v>
      </c>
      <c r="BA25" s="179">
        <v>15528.440000000004</v>
      </c>
      <c r="BB25" s="179">
        <v>22825.878744834419</v>
      </c>
      <c r="BC25" s="181">
        <v>66.599999999999994</v>
      </c>
      <c r="BD25" s="179">
        <v>29529.982991569006</v>
      </c>
      <c r="BE25" s="168">
        <v>58.5</v>
      </c>
      <c r="BF25" s="179">
        <v>17758.585000000006</v>
      </c>
      <c r="BG25" s="179">
        <v>25938.498573675479</v>
      </c>
      <c r="BH25" s="181">
        <v>66.599999999999994</v>
      </c>
      <c r="BI25" s="179">
        <v>29529.982991569006</v>
      </c>
      <c r="BJ25" s="168">
        <v>66.599999999999994</v>
      </c>
      <c r="BK25" s="179">
        <v>19882.545000000009</v>
      </c>
      <c r="BL25" s="179">
        <v>29529.982991569006</v>
      </c>
      <c r="BM25" s="181">
        <v>66.599999999999994</v>
      </c>
      <c r="BN25" s="179">
        <v>29529.982991569006</v>
      </c>
      <c r="BO25" s="168">
        <v>66.599999999999994</v>
      </c>
      <c r="BP25" s="179">
        <v>19984.005000000008</v>
      </c>
      <c r="BQ25" s="179">
        <v>29529.982991569006</v>
      </c>
      <c r="BR25" s="181">
        <v>66.599999999999994</v>
      </c>
      <c r="BS25" s="179">
        <v>29529.982991569006</v>
      </c>
      <c r="BT25" s="168">
        <v>66.599999999999994</v>
      </c>
      <c r="BU25" s="179">
        <v>19984.005000000008</v>
      </c>
      <c r="BV25" s="179">
        <v>29529.982991569006</v>
      </c>
      <c r="BW25" s="181">
        <v>66.599999999999994</v>
      </c>
      <c r="BX25" s="179">
        <v>29529.982991569006</v>
      </c>
      <c r="BY25" s="168">
        <v>66.599999999999994</v>
      </c>
      <c r="BZ25" s="179">
        <v>19984.005000000008</v>
      </c>
      <c r="CA25" s="179">
        <v>29529.982991569006</v>
      </c>
      <c r="CB25" s="179">
        <v>0</v>
      </c>
    </row>
    <row r="26" spans="1:80" x14ac:dyDescent="0.25">
      <c r="A26" s="30">
        <v>85</v>
      </c>
      <c r="B26" s="16" t="s">
        <v>2786</v>
      </c>
      <c r="C26" s="178">
        <v>19</v>
      </c>
      <c r="D26" t="s">
        <v>2732</v>
      </c>
      <c r="E26" s="35">
        <v>73110</v>
      </c>
      <c r="F26" s="178">
        <v>3847.8947368421054</v>
      </c>
      <c r="G26" s="178">
        <v>19</v>
      </c>
      <c r="H26" s="180">
        <v>16398.014999999999</v>
      </c>
      <c r="I26" s="178">
        <v>863.0526315789474</v>
      </c>
      <c r="J26" s="181">
        <v>0</v>
      </c>
      <c r="K26" s="179">
        <v>0</v>
      </c>
      <c r="L26" s="178">
        <v>0</v>
      </c>
      <c r="M26" s="179">
        <v>0</v>
      </c>
      <c r="N26" s="179">
        <v>0</v>
      </c>
      <c r="O26" s="181">
        <v>0</v>
      </c>
      <c r="P26" s="179">
        <v>0</v>
      </c>
      <c r="Q26" s="178">
        <v>0</v>
      </c>
      <c r="R26" s="179">
        <v>0</v>
      </c>
      <c r="S26" s="179">
        <v>0</v>
      </c>
      <c r="T26" s="181">
        <v>0</v>
      </c>
      <c r="U26" s="179">
        <v>0</v>
      </c>
      <c r="V26" s="168">
        <v>0</v>
      </c>
      <c r="W26" s="179">
        <v>70.7</v>
      </c>
      <c r="X26" s="179">
        <v>0</v>
      </c>
      <c r="Y26" s="181">
        <v>2</v>
      </c>
      <c r="Z26" s="179">
        <v>7695.7894736842109</v>
      </c>
      <c r="AA26" s="168">
        <v>2</v>
      </c>
      <c r="AB26" s="179">
        <v>2064.2249999999999</v>
      </c>
      <c r="AC26" s="179">
        <v>7695.78947368421</v>
      </c>
      <c r="AD26" s="181">
        <v>2</v>
      </c>
      <c r="AE26" s="179">
        <v>7695.7894736842109</v>
      </c>
      <c r="AF26" s="168">
        <v>2</v>
      </c>
      <c r="AG26" s="179">
        <v>2064.2249999999999</v>
      </c>
      <c r="AH26" s="179">
        <v>7695.78947368421</v>
      </c>
      <c r="AI26" s="181">
        <v>5</v>
      </c>
      <c r="AJ26" s="179">
        <v>19239.473684210527</v>
      </c>
      <c r="AK26" s="168">
        <v>3</v>
      </c>
      <c r="AL26" s="179">
        <v>2970.5249999999996</v>
      </c>
      <c r="AM26" s="179">
        <v>11543.684210526315</v>
      </c>
      <c r="AN26" s="181">
        <v>6</v>
      </c>
      <c r="AO26" s="179">
        <v>23087.368421052633</v>
      </c>
      <c r="AP26" s="168">
        <v>6</v>
      </c>
      <c r="AQ26" s="179">
        <v>5692.9249999999984</v>
      </c>
      <c r="AR26" s="179">
        <v>23087.36842105263</v>
      </c>
      <c r="AS26" s="181">
        <v>12</v>
      </c>
      <c r="AT26" s="179">
        <v>46174.736842105267</v>
      </c>
      <c r="AU26" s="168">
        <v>11</v>
      </c>
      <c r="AV26" s="179">
        <v>9640.3150000000005</v>
      </c>
      <c r="AW26" s="179">
        <v>42326.84210526316</v>
      </c>
      <c r="AX26" s="181">
        <v>14</v>
      </c>
      <c r="AY26" s="179">
        <v>53870.526315789473</v>
      </c>
      <c r="AZ26" s="168">
        <v>11</v>
      </c>
      <c r="BA26" s="179">
        <v>9640.3150000000005</v>
      </c>
      <c r="BB26" s="179">
        <v>42326.84210526316</v>
      </c>
      <c r="BC26" s="181">
        <v>19</v>
      </c>
      <c r="BD26" s="179">
        <v>73110</v>
      </c>
      <c r="BE26" s="168">
        <v>12</v>
      </c>
      <c r="BF26" s="179">
        <v>9923.1149999999998</v>
      </c>
      <c r="BG26" s="179">
        <v>46174.73684210526</v>
      </c>
      <c r="BH26" s="181">
        <v>19</v>
      </c>
      <c r="BI26" s="179">
        <v>73110</v>
      </c>
      <c r="BJ26" s="168">
        <v>12</v>
      </c>
      <c r="BK26" s="179">
        <v>9923.1149999999998</v>
      </c>
      <c r="BL26" s="179">
        <v>46174.73684210526</v>
      </c>
      <c r="BM26" s="181">
        <v>19</v>
      </c>
      <c r="BN26" s="179">
        <v>73110</v>
      </c>
      <c r="BO26" s="168">
        <v>12</v>
      </c>
      <c r="BP26" s="179">
        <v>9923.1149999999998</v>
      </c>
      <c r="BQ26" s="179">
        <v>46174.73684210526</v>
      </c>
      <c r="BR26" s="181">
        <v>19</v>
      </c>
      <c r="BS26" s="179">
        <v>73110</v>
      </c>
      <c r="BT26" s="168">
        <v>19</v>
      </c>
      <c r="BU26" s="179">
        <v>16398.014999999999</v>
      </c>
      <c r="BV26" s="179">
        <v>73110</v>
      </c>
      <c r="BW26" s="181">
        <v>19</v>
      </c>
      <c r="BX26" s="179">
        <v>73110</v>
      </c>
      <c r="BY26" s="168">
        <v>19</v>
      </c>
      <c r="BZ26" s="179">
        <v>16398.014999999999</v>
      </c>
      <c r="CA26" s="179">
        <v>73110</v>
      </c>
      <c r="CB26" s="179">
        <v>0</v>
      </c>
    </row>
    <row r="27" spans="1:80" x14ac:dyDescent="0.25">
      <c r="A27" s="30">
        <v>86</v>
      </c>
      <c r="B27" s="16" t="s">
        <v>2812</v>
      </c>
      <c r="C27" s="178">
        <v>1</v>
      </c>
      <c r="D27" t="s">
        <v>2766</v>
      </c>
      <c r="E27" s="35">
        <v>17380</v>
      </c>
      <c r="F27" s="178">
        <v>17380</v>
      </c>
      <c r="G27" s="178">
        <v>1</v>
      </c>
      <c r="H27" s="180">
        <v>41911.81</v>
      </c>
      <c r="I27" s="178">
        <v>41912</v>
      </c>
      <c r="J27" s="181">
        <v>0</v>
      </c>
      <c r="K27" s="179">
        <v>0</v>
      </c>
      <c r="L27" s="178">
        <v>0</v>
      </c>
      <c r="M27" s="179">
        <v>0</v>
      </c>
      <c r="N27" s="179">
        <v>0</v>
      </c>
      <c r="O27" s="181">
        <v>0</v>
      </c>
      <c r="P27" s="179">
        <v>0</v>
      </c>
      <c r="Q27" s="178">
        <v>0</v>
      </c>
      <c r="R27" s="179">
        <v>0</v>
      </c>
      <c r="S27" s="179">
        <v>0</v>
      </c>
      <c r="T27" s="181">
        <v>0</v>
      </c>
      <c r="U27" s="179">
        <v>0</v>
      </c>
      <c r="V27" s="168">
        <v>0</v>
      </c>
      <c r="W27" s="179">
        <v>0</v>
      </c>
      <c r="X27" s="179">
        <v>0</v>
      </c>
      <c r="Y27" s="181">
        <v>0</v>
      </c>
      <c r="Z27" s="179">
        <v>0</v>
      </c>
      <c r="AA27" s="168">
        <v>0</v>
      </c>
      <c r="AB27" s="179">
        <v>0</v>
      </c>
      <c r="AC27" s="179">
        <v>0</v>
      </c>
      <c r="AD27" s="181">
        <v>0</v>
      </c>
      <c r="AE27" s="179">
        <v>0</v>
      </c>
      <c r="AF27" s="168">
        <v>0</v>
      </c>
      <c r="AG27" s="179">
        <v>0</v>
      </c>
      <c r="AH27" s="179">
        <v>0</v>
      </c>
      <c r="AI27" s="181">
        <v>0</v>
      </c>
      <c r="AJ27" s="179">
        <v>0</v>
      </c>
      <c r="AK27" s="168">
        <v>0</v>
      </c>
      <c r="AL27" s="179">
        <v>0</v>
      </c>
      <c r="AM27" s="179">
        <v>0</v>
      </c>
      <c r="AN27" s="181">
        <v>0</v>
      </c>
      <c r="AO27" s="179">
        <v>0</v>
      </c>
      <c r="AP27" s="168">
        <v>0</v>
      </c>
      <c r="AQ27" s="179">
        <v>0</v>
      </c>
      <c r="AR27" s="179">
        <v>0</v>
      </c>
      <c r="AS27" s="181">
        <v>0</v>
      </c>
      <c r="AT27" s="179">
        <v>0</v>
      </c>
      <c r="AU27" s="168">
        <v>0</v>
      </c>
      <c r="AV27" s="179">
        <v>0</v>
      </c>
      <c r="AW27" s="179">
        <v>0</v>
      </c>
      <c r="AX27" s="181">
        <v>0</v>
      </c>
      <c r="AY27" s="179">
        <v>0</v>
      </c>
      <c r="AZ27" s="168">
        <v>0</v>
      </c>
      <c r="BA27" s="179">
        <v>0</v>
      </c>
      <c r="BB27" s="179">
        <v>0</v>
      </c>
      <c r="BC27" s="181">
        <v>0</v>
      </c>
      <c r="BD27" s="179">
        <v>0</v>
      </c>
      <c r="BE27" s="168">
        <v>0</v>
      </c>
      <c r="BF27" s="179">
        <v>0</v>
      </c>
      <c r="BG27" s="179">
        <v>0</v>
      </c>
      <c r="BH27" s="181">
        <v>0</v>
      </c>
      <c r="BI27" s="179">
        <v>0</v>
      </c>
      <c r="BJ27" s="168">
        <v>0</v>
      </c>
      <c r="BK27" s="179">
        <v>71.81</v>
      </c>
      <c r="BL27" s="179">
        <v>0</v>
      </c>
      <c r="BM27" s="181">
        <v>1</v>
      </c>
      <c r="BN27" s="179">
        <v>17380</v>
      </c>
      <c r="BO27" s="168">
        <v>1</v>
      </c>
      <c r="BP27" s="179">
        <v>41911.81</v>
      </c>
      <c r="BQ27" s="179">
        <v>17380</v>
      </c>
      <c r="BR27" s="181">
        <v>1</v>
      </c>
      <c r="BS27" s="179">
        <v>17380</v>
      </c>
      <c r="BT27" s="168">
        <v>1</v>
      </c>
      <c r="BU27" s="179">
        <v>41911.81</v>
      </c>
      <c r="BV27" s="179">
        <v>17380</v>
      </c>
      <c r="BW27" s="181">
        <v>1</v>
      </c>
      <c r="BX27" s="179">
        <v>17380</v>
      </c>
      <c r="BY27" s="168">
        <v>1</v>
      </c>
      <c r="BZ27" s="179">
        <v>41911.81</v>
      </c>
      <c r="CA27" s="179">
        <v>17380</v>
      </c>
      <c r="CB27" s="179">
        <v>0</v>
      </c>
    </row>
    <row r="28" spans="1:80" x14ac:dyDescent="0.25">
      <c r="A28" s="30">
        <v>87</v>
      </c>
      <c r="B28" s="16" t="s">
        <v>2787</v>
      </c>
      <c r="C28" s="178">
        <v>2803</v>
      </c>
      <c r="D28" t="s">
        <v>2594</v>
      </c>
      <c r="E28" s="35">
        <v>113589.21501350132</v>
      </c>
      <c r="F28" s="178">
        <v>40.52415804976858</v>
      </c>
      <c r="G28" s="178">
        <v>2803</v>
      </c>
      <c r="H28" s="180">
        <v>58724.450000000055</v>
      </c>
      <c r="I28" s="178">
        <v>20.950410274705671</v>
      </c>
      <c r="J28" s="181">
        <v>0</v>
      </c>
      <c r="K28" s="179">
        <v>0</v>
      </c>
      <c r="L28" s="178">
        <v>0</v>
      </c>
      <c r="M28" s="179">
        <v>0</v>
      </c>
      <c r="N28" s="179">
        <v>0</v>
      </c>
      <c r="O28" s="181">
        <v>500</v>
      </c>
      <c r="P28" s="179">
        <v>20262.07902488429</v>
      </c>
      <c r="Q28" s="178">
        <v>487</v>
      </c>
      <c r="R28" s="179">
        <v>11174.725</v>
      </c>
      <c r="S28" s="179">
        <v>19735.264970237298</v>
      </c>
      <c r="T28" s="181">
        <v>500</v>
      </c>
      <c r="U28" s="179">
        <v>20262.07902488429</v>
      </c>
      <c r="V28" s="168">
        <v>487</v>
      </c>
      <c r="W28" s="179">
        <v>11892.875000000002</v>
      </c>
      <c r="X28" s="179">
        <v>19735.264970237298</v>
      </c>
      <c r="Y28" s="181">
        <v>500</v>
      </c>
      <c r="Z28" s="179">
        <v>20262.07902488429</v>
      </c>
      <c r="AA28" s="168">
        <v>523</v>
      </c>
      <c r="AB28" s="179">
        <v>14670.175000000005</v>
      </c>
      <c r="AC28" s="179">
        <v>21194.134660028965</v>
      </c>
      <c r="AD28" s="181">
        <v>1000</v>
      </c>
      <c r="AE28" s="179">
        <v>40524.158049768579</v>
      </c>
      <c r="AF28" s="168">
        <v>973</v>
      </c>
      <c r="AG28" s="179">
        <v>25627</v>
      </c>
      <c r="AH28" s="179">
        <v>39430.005782424822</v>
      </c>
      <c r="AI28" s="181">
        <v>1400</v>
      </c>
      <c r="AJ28" s="179">
        <v>56733.821269676009</v>
      </c>
      <c r="AK28" s="168">
        <v>1269</v>
      </c>
      <c r="AL28" s="179">
        <v>30238.400000000005</v>
      </c>
      <c r="AM28" s="179">
        <v>51425.156565156321</v>
      </c>
      <c r="AN28" s="181">
        <v>1400</v>
      </c>
      <c r="AO28" s="179">
        <v>56733.821269676009</v>
      </c>
      <c r="AP28" s="168">
        <v>1331</v>
      </c>
      <c r="AQ28" s="179">
        <v>30238.400000000005</v>
      </c>
      <c r="AR28" s="179">
        <v>53937.654364241978</v>
      </c>
      <c r="AS28" s="181">
        <v>1800</v>
      </c>
      <c r="AT28" s="179">
        <v>72943.484489583439</v>
      </c>
      <c r="AU28" s="168">
        <v>1600</v>
      </c>
      <c r="AV28" s="179">
        <v>33913.30000000001</v>
      </c>
      <c r="AW28" s="179">
        <v>64838.652879629721</v>
      </c>
      <c r="AX28" s="181">
        <v>2400</v>
      </c>
      <c r="AY28" s="179">
        <v>97257.979319444596</v>
      </c>
      <c r="AZ28" s="168">
        <v>2118</v>
      </c>
      <c r="BA28" s="179">
        <v>45796.425000000068</v>
      </c>
      <c r="BB28" s="179">
        <v>85830.166749409836</v>
      </c>
      <c r="BC28" s="181">
        <v>2803</v>
      </c>
      <c r="BD28" s="179">
        <v>113589.21501350134</v>
      </c>
      <c r="BE28" s="168">
        <v>2200</v>
      </c>
      <c r="BF28" s="179">
        <v>46263.925000000068</v>
      </c>
      <c r="BG28" s="179">
        <v>89153.147709490862</v>
      </c>
      <c r="BH28" s="181">
        <v>2803</v>
      </c>
      <c r="BI28" s="179">
        <v>113589.21501350134</v>
      </c>
      <c r="BJ28" s="168">
        <v>2803</v>
      </c>
      <c r="BK28" s="179">
        <v>58565.375000000058</v>
      </c>
      <c r="BL28" s="179">
        <v>113589.21501350132</v>
      </c>
      <c r="BM28" s="181">
        <v>2803</v>
      </c>
      <c r="BN28" s="179">
        <v>113589.21501350134</v>
      </c>
      <c r="BO28" s="168">
        <v>2803</v>
      </c>
      <c r="BP28" s="179">
        <v>58724.450000000055</v>
      </c>
      <c r="BQ28" s="179">
        <v>113589.21501350132</v>
      </c>
      <c r="BR28" s="181">
        <v>2803</v>
      </c>
      <c r="BS28" s="179">
        <v>113589.21501350134</v>
      </c>
      <c r="BT28" s="168">
        <v>2803</v>
      </c>
      <c r="BU28" s="179">
        <v>58724.450000000055</v>
      </c>
      <c r="BV28" s="179">
        <v>113589.21501350132</v>
      </c>
      <c r="BW28" s="181">
        <v>2803</v>
      </c>
      <c r="BX28" s="179">
        <v>113589.21501350134</v>
      </c>
      <c r="BY28" s="168">
        <v>2803</v>
      </c>
      <c r="BZ28" s="179">
        <v>58724.450000000055</v>
      </c>
      <c r="CA28" s="179">
        <v>113589.21501350132</v>
      </c>
      <c r="CB28" s="179">
        <v>0</v>
      </c>
    </row>
    <row r="29" spans="1:80" x14ac:dyDescent="0.25">
      <c r="A29" s="30">
        <v>103</v>
      </c>
      <c r="B29" s="16" t="s">
        <v>2788</v>
      </c>
      <c r="C29" s="178">
        <v>1</v>
      </c>
      <c r="D29" t="s">
        <v>2766</v>
      </c>
      <c r="E29" s="35">
        <v>282302.40000000002</v>
      </c>
      <c r="F29" s="178">
        <v>282302.40000000002</v>
      </c>
      <c r="G29" s="178">
        <v>1</v>
      </c>
      <c r="H29" s="180">
        <v>287637.5</v>
      </c>
      <c r="I29" s="178">
        <v>329550</v>
      </c>
      <c r="J29" s="181">
        <v>0</v>
      </c>
      <c r="K29" s="179">
        <v>0</v>
      </c>
      <c r="L29" s="178">
        <v>0</v>
      </c>
      <c r="M29" s="179">
        <v>0</v>
      </c>
      <c r="N29" s="179">
        <v>0</v>
      </c>
      <c r="O29" s="181">
        <v>0</v>
      </c>
      <c r="P29" s="179">
        <v>0</v>
      </c>
      <c r="Q29" s="178">
        <v>0</v>
      </c>
      <c r="R29" s="179">
        <v>0</v>
      </c>
      <c r="S29" s="179">
        <v>0</v>
      </c>
      <c r="T29" s="181">
        <v>0</v>
      </c>
      <c r="U29" s="179">
        <v>0</v>
      </c>
      <c r="V29" s="168">
        <v>0</v>
      </c>
      <c r="W29" s="179">
        <v>920</v>
      </c>
      <c r="X29" s="179">
        <v>0</v>
      </c>
      <c r="Y29" s="181">
        <v>0</v>
      </c>
      <c r="Z29" s="179">
        <v>0</v>
      </c>
      <c r="AA29" s="168">
        <v>0</v>
      </c>
      <c r="AB29" s="179">
        <v>920</v>
      </c>
      <c r="AC29" s="179">
        <v>0</v>
      </c>
      <c r="AD29" s="181">
        <v>0</v>
      </c>
      <c r="AE29" s="179">
        <v>0</v>
      </c>
      <c r="AF29" s="168">
        <v>0</v>
      </c>
      <c r="AG29" s="179">
        <v>920</v>
      </c>
      <c r="AH29" s="179">
        <v>0</v>
      </c>
      <c r="AI29" s="181">
        <v>0.15</v>
      </c>
      <c r="AJ29" s="179">
        <v>42345.36</v>
      </c>
      <c r="AK29" s="168">
        <v>0.13</v>
      </c>
      <c r="AL29" s="179">
        <v>43097.100000000006</v>
      </c>
      <c r="AM29" s="179">
        <v>36699.312000000005</v>
      </c>
      <c r="AN29" s="181">
        <v>0.25</v>
      </c>
      <c r="AO29" s="179">
        <v>70575.600000000006</v>
      </c>
      <c r="AP29" s="168">
        <v>0.22</v>
      </c>
      <c r="AQ29" s="179">
        <v>73213.5</v>
      </c>
      <c r="AR29" s="179">
        <v>62106.528000000006</v>
      </c>
      <c r="AS29" s="181">
        <v>0.5</v>
      </c>
      <c r="AT29" s="179">
        <v>141151.20000000001</v>
      </c>
      <c r="AU29" s="168">
        <v>0.46</v>
      </c>
      <c r="AV29" s="179">
        <v>151583.5</v>
      </c>
      <c r="AW29" s="179">
        <v>129859.10400000002</v>
      </c>
      <c r="AX29" s="181">
        <v>0.6</v>
      </c>
      <c r="AY29" s="179">
        <v>169381.44</v>
      </c>
      <c r="AZ29" s="168">
        <v>0.6</v>
      </c>
      <c r="BA29" s="179">
        <v>196911.5</v>
      </c>
      <c r="BB29" s="179">
        <v>169381.44</v>
      </c>
      <c r="BC29" s="181">
        <v>0.7</v>
      </c>
      <c r="BD29" s="179">
        <v>197611.68</v>
      </c>
      <c r="BE29" s="168">
        <v>0.63</v>
      </c>
      <c r="BF29" s="179">
        <v>207821.5</v>
      </c>
      <c r="BG29" s="179">
        <v>177850.51200000002</v>
      </c>
      <c r="BH29" s="181">
        <v>1</v>
      </c>
      <c r="BI29" s="179">
        <v>282302.40000000002</v>
      </c>
      <c r="BJ29" s="168">
        <v>0.85</v>
      </c>
      <c r="BK29" s="179">
        <v>280837.5</v>
      </c>
      <c r="BL29" s="179">
        <v>239957.04</v>
      </c>
      <c r="BM29" s="181">
        <v>1</v>
      </c>
      <c r="BN29" s="179">
        <v>282302.40000000002</v>
      </c>
      <c r="BO29" s="168">
        <v>0.98</v>
      </c>
      <c r="BP29" s="179">
        <v>280837.5</v>
      </c>
      <c r="BQ29" s="179">
        <v>276656.35200000001</v>
      </c>
      <c r="BR29" s="181">
        <v>1</v>
      </c>
      <c r="BS29" s="179">
        <v>282302.40000000002</v>
      </c>
      <c r="BT29" s="168">
        <v>0.98</v>
      </c>
      <c r="BU29" s="179">
        <v>280837.5</v>
      </c>
      <c r="BV29" s="179">
        <v>276656.35200000001</v>
      </c>
      <c r="BW29" s="181">
        <v>1</v>
      </c>
      <c r="BX29" s="179">
        <v>282302.40000000002</v>
      </c>
      <c r="BY29" s="168">
        <v>1</v>
      </c>
      <c r="BZ29" s="179">
        <v>287637.5</v>
      </c>
      <c r="CA29" s="179">
        <v>282302.40000000002</v>
      </c>
      <c r="CB29" s="179">
        <v>0</v>
      </c>
    </row>
    <row r="30" spans="1:80" x14ac:dyDescent="0.25">
      <c r="A30" s="30">
        <v>110</v>
      </c>
      <c r="B30" s="16" t="s">
        <v>2822</v>
      </c>
      <c r="C30" s="178">
        <v>0</v>
      </c>
      <c r="D30" t="s">
        <v>2766</v>
      </c>
      <c r="E30" s="35">
        <v>0</v>
      </c>
      <c r="F30" s="178">
        <v>0</v>
      </c>
      <c r="G30" s="178">
        <v>1</v>
      </c>
      <c r="H30" s="180">
        <v>110</v>
      </c>
      <c r="I30" s="178">
        <v>110</v>
      </c>
      <c r="J30" s="181">
        <v>0</v>
      </c>
      <c r="K30" s="179">
        <v>0</v>
      </c>
      <c r="L30" s="178">
        <v>0</v>
      </c>
      <c r="M30" s="179">
        <v>0</v>
      </c>
      <c r="N30" s="179">
        <v>0</v>
      </c>
      <c r="O30" s="181">
        <v>0</v>
      </c>
      <c r="P30" s="179">
        <v>0</v>
      </c>
      <c r="Q30" s="178">
        <v>0</v>
      </c>
      <c r="R30" s="179">
        <v>0</v>
      </c>
      <c r="S30" s="179">
        <v>0</v>
      </c>
      <c r="T30" s="181">
        <v>0</v>
      </c>
      <c r="U30" s="179">
        <v>0</v>
      </c>
      <c r="V30" s="178">
        <v>0</v>
      </c>
      <c r="W30" s="179">
        <v>0</v>
      </c>
      <c r="X30" s="179">
        <v>0</v>
      </c>
      <c r="Y30" s="181">
        <v>0</v>
      </c>
      <c r="Z30" s="179">
        <v>0</v>
      </c>
      <c r="AA30" s="178">
        <v>0</v>
      </c>
      <c r="AB30" s="179">
        <v>0</v>
      </c>
      <c r="AC30" s="179">
        <v>0</v>
      </c>
      <c r="AD30" s="181">
        <v>0</v>
      </c>
      <c r="AE30" s="179">
        <v>0</v>
      </c>
      <c r="AF30" s="178">
        <v>0</v>
      </c>
      <c r="AG30" s="179">
        <v>0</v>
      </c>
      <c r="AH30" s="179">
        <v>0</v>
      </c>
      <c r="AI30" s="181">
        <v>0</v>
      </c>
      <c r="AJ30" s="179">
        <v>0</v>
      </c>
      <c r="AK30" s="178">
        <v>0</v>
      </c>
      <c r="AL30" s="179">
        <v>0</v>
      </c>
      <c r="AM30" s="179">
        <v>0</v>
      </c>
      <c r="AN30" s="181">
        <v>0</v>
      </c>
      <c r="AO30" s="179">
        <v>0</v>
      </c>
      <c r="AP30" s="178">
        <v>0</v>
      </c>
      <c r="AQ30" s="179">
        <v>0</v>
      </c>
      <c r="AR30" s="179">
        <v>0</v>
      </c>
      <c r="AS30" s="181">
        <v>0</v>
      </c>
      <c r="AT30" s="179">
        <v>0</v>
      </c>
      <c r="AU30" s="178">
        <v>0</v>
      </c>
      <c r="AV30" s="179">
        <v>0</v>
      </c>
      <c r="AW30" s="179">
        <v>0</v>
      </c>
      <c r="AX30" s="181">
        <v>0</v>
      </c>
      <c r="AY30" s="179">
        <v>0</v>
      </c>
      <c r="AZ30" s="168">
        <v>1</v>
      </c>
      <c r="BA30" s="179">
        <v>110</v>
      </c>
      <c r="BB30" s="179">
        <v>0</v>
      </c>
      <c r="BC30" s="181">
        <v>0</v>
      </c>
      <c r="BD30" s="179">
        <v>0</v>
      </c>
      <c r="BE30" s="168">
        <v>1</v>
      </c>
      <c r="BF30" s="179">
        <v>110</v>
      </c>
      <c r="BG30" s="179">
        <v>0</v>
      </c>
      <c r="BH30" s="181">
        <v>0</v>
      </c>
      <c r="BI30" s="179">
        <v>0</v>
      </c>
      <c r="BJ30" s="168">
        <v>1</v>
      </c>
      <c r="BK30" s="179">
        <v>110</v>
      </c>
      <c r="BL30" s="179">
        <v>0</v>
      </c>
      <c r="BM30" s="181">
        <v>0</v>
      </c>
      <c r="BN30" s="179">
        <v>0</v>
      </c>
      <c r="BO30" s="168">
        <v>1</v>
      </c>
      <c r="BP30" s="179">
        <v>110</v>
      </c>
      <c r="BQ30" s="179">
        <v>0</v>
      </c>
      <c r="BR30" s="181">
        <v>0</v>
      </c>
      <c r="BS30" s="179">
        <v>0</v>
      </c>
      <c r="BT30" s="168">
        <v>1</v>
      </c>
      <c r="BU30" s="179">
        <v>110</v>
      </c>
      <c r="BV30" s="179">
        <v>0</v>
      </c>
      <c r="BW30" s="181">
        <v>0</v>
      </c>
      <c r="BX30" s="179">
        <v>0</v>
      </c>
      <c r="BY30" s="168">
        <v>1</v>
      </c>
      <c r="BZ30" s="179">
        <v>110</v>
      </c>
      <c r="CA30" s="179">
        <v>0</v>
      </c>
      <c r="CB30" s="179">
        <v>0</v>
      </c>
    </row>
    <row r="31" spans="1:80" x14ac:dyDescent="0.25">
      <c r="A31" s="30">
        <v>120</v>
      </c>
      <c r="B31" s="16" t="s">
        <v>2789</v>
      </c>
      <c r="C31" s="178">
        <v>0</v>
      </c>
      <c r="D31" t="s">
        <v>2766</v>
      </c>
      <c r="E31" s="35">
        <v>0</v>
      </c>
      <c r="F31" s="178">
        <v>0</v>
      </c>
      <c r="G31" s="178">
        <v>1</v>
      </c>
      <c r="H31" s="180">
        <v>350</v>
      </c>
      <c r="I31" s="178">
        <v>350</v>
      </c>
      <c r="J31" s="181">
        <v>0</v>
      </c>
      <c r="K31" s="179">
        <v>0</v>
      </c>
      <c r="L31" s="178">
        <v>0</v>
      </c>
      <c r="M31" s="179">
        <v>0</v>
      </c>
      <c r="N31" s="179">
        <v>0</v>
      </c>
      <c r="O31" s="181">
        <v>0</v>
      </c>
      <c r="P31" s="179">
        <v>0</v>
      </c>
      <c r="Q31" s="178">
        <v>0</v>
      </c>
      <c r="R31" s="179">
        <v>0</v>
      </c>
      <c r="S31" s="179">
        <v>0</v>
      </c>
      <c r="T31" s="181">
        <v>0</v>
      </c>
      <c r="U31" s="179">
        <v>0</v>
      </c>
      <c r="V31" s="178">
        <v>0</v>
      </c>
      <c r="W31" s="179">
        <v>0</v>
      </c>
      <c r="X31" s="179">
        <v>0</v>
      </c>
      <c r="Y31" s="181">
        <v>0</v>
      </c>
      <c r="Z31" s="179">
        <v>0</v>
      </c>
      <c r="AA31" s="178">
        <v>0</v>
      </c>
      <c r="AB31" s="179">
        <v>0</v>
      </c>
      <c r="AC31" s="179">
        <v>0</v>
      </c>
      <c r="AD31" s="181">
        <v>0</v>
      </c>
      <c r="AE31" s="179">
        <v>0</v>
      </c>
      <c r="AF31" s="178">
        <v>0</v>
      </c>
      <c r="AG31" s="179">
        <v>0</v>
      </c>
      <c r="AH31" s="179">
        <v>0</v>
      </c>
      <c r="AI31" s="181">
        <v>0</v>
      </c>
      <c r="AJ31" s="179">
        <v>0</v>
      </c>
      <c r="AK31" s="178">
        <v>0</v>
      </c>
      <c r="AL31" s="179">
        <v>0</v>
      </c>
      <c r="AM31" s="179">
        <v>0</v>
      </c>
      <c r="AN31" s="181">
        <v>0</v>
      </c>
      <c r="AO31" s="179">
        <v>0</v>
      </c>
      <c r="AP31" s="178">
        <v>0</v>
      </c>
      <c r="AQ31" s="179">
        <v>0</v>
      </c>
      <c r="AR31" s="179">
        <v>0</v>
      </c>
      <c r="AS31" s="181">
        <v>0</v>
      </c>
      <c r="AT31" s="179">
        <v>0</v>
      </c>
      <c r="AU31" s="178">
        <v>0</v>
      </c>
      <c r="AV31" s="179">
        <v>0</v>
      </c>
      <c r="AW31" s="179">
        <v>0</v>
      </c>
      <c r="AX31" s="181">
        <v>0</v>
      </c>
      <c r="AY31" s="179">
        <v>0</v>
      </c>
      <c r="AZ31" s="168">
        <v>0</v>
      </c>
      <c r="BA31" s="179">
        <v>0</v>
      </c>
      <c r="BB31" s="179">
        <v>0</v>
      </c>
      <c r="BC31" s="181">
        <v>0</v>
      </c>
      <c r="BD31" s="179">
        <v>0</v>
      </c>
      <c r="BE31" s="168">
        <v>0</v>
      </c>
      <c r="BF31" s="179">
        <v>0</v>
      </c>
      <c r="BG31" s="179">
        <v>0</v>
      </c>
      <c r="BH31" s="181">
        <v>0</v>
      </c>
      <c r="BI31" s="179">
        <v>0</v>
      </c>
      <c r="BJ31" s="168">
        <v>1</v>
      </c>
      <c r="BK31" s="179">
        <v>350</v>
      </c>
      <c r="BL31" s="179">
        <v>0</v>
      </c>
      <c r="BM31" s="181">
        <v>0</v>
      </c>
      <c r="BN31" s="179">
        <v>0</v>
      </c>
      <c r="BO31" s="168">
        <v>1</v>
      </c>
      <c r="BP31" s="179">
        <v>350</v>
      </c>
      <c r="BQ31" s="179">
        <v>0</v>
      </c>
      <c r="BR31" s="181">
        <v>0</v>
      </c>
      <c r="BS31" s="179">
        <v>0</v>
      </c>
      <c r="BT31" s="168">
        <v>1</v>
      </c>
      <c r="BU31" s="179">
        <v>350</v>
      </c>
      <c r="BV31" s="179">
        <v>0</v>
      </c>
      <c r="BW31" s="181">
        <v>0</v>
      </c>
      <c r="BX31" s="179">
        <v>0</v>
      </c>
      <c r="BY31" s="168">
        <v>1</v>
      </c>
      <c r="BZ31" s="179">
        <v>350</v>
      </c>
      <c r="CA31" s="179">
        <v>0</v>
      </c>
      <c r="CB31" s="179">
        <v>0</v>
      </c>
    </row>
    <row r="32" spans="1:80" x14ac:dyDescent="0.25">
      <c r="A32" s="30">
        <v>121</v>
      </c>
      <c r="B32" s="16" t="s">
        <v>2789</v>
      </c>
      <c r="C32" s="178">
        <v>3005</v>
      </c>
      <c r="D32" t="s">
        <v>2593</v>
      </c>
      <c r="E32" s="35">
        <v>14478.475</v>
      </c>
      <c r="F32" s="178">
        <v>4.818128119800333</v>
      </c>
      <c r="G32" s="178">
        <v>3005</v>
      </c>
      <c r="H32" s="180">
        <v>5977.08</v>
      </c>
      <c r="I32" s="178">
        <v>2.1054908485856907</v>
      </c>
      <c r="J32" s="181">
        <v>0</v>
      </c>
      <c r="K32" s="179">
        <v>0</v>
      </c>
      <c r="L32" s="178">
        <v>0</v>
      </c>
      <c r="M32" s="179">
        <v>0</v>
      </c>
      <c r="N32" s="179">
        <v>0</v>
      </c>
      <c r="O32" s="181">
        <v>0</v>
      </c>
      <c r="P32" s="179">
        <v>0</v>
      </c>
      <c r="Q32" s="178">
        <v>0</v>
      </c>
      <c r="R32" s="179">
        <v>0</v>
      </c>
      <c r="S32" s="179">
        <v>0</v>
      </c>
      <c r="T32" s="181">
        <v>0</v>
      </c>
      <c r="U32" s="179">
        <v>0</v>
      </c>
      <c r="V32" s="168">
        <v>0</v>
      </c>
      <c r="W32" s="179">
        <v>0</v>
      </c>
      <c r="X32" s="179">
        <v>0</v>
      </c>
      <c r="Y32" s="181">
        <v>0</v>
      </c>
      <c r="Z32" s="179">
        <v>0</v>
      </c>
      <c r="AA32" s="168">
        <v>0</v>
      </c>
      <c r="AB32" s="179">
        <v>0</v>
      </c>
      <c r="AC32" s="179">
        <v>0</v>
      </c>
      <c r="AD32" s="181">
        <v>0</v>
      </c>
      <c r="AE32" s="179">
        <v>0</v>
      </c>
      <c r="AF32" s="168">
        <v>0</v>
      </c>
      <c r="AG32" s="179">
        <v>0</v>
      </c>
      <c r="AH32" s="179">
        <v>0</v>
      </c>
      <c r="AI32" s="181">
        <v>0</v>
      </c>
      <c r="AJ32" s="179">
        <v>0</v>
      </c>
      <c r="AK32" s="168">
        <v>0</v>
      </c>
      <c r="AL32" s="179">
        <v>0</v>
      </c>
      <c r="AM32" s="179">
        <v>0</v>
      </c>
      <c r="AN32" s="181">
        <v>0</v>
      </c>
      <c r="AO32" s="179">
        <v>0</v>
      </c>
      <c r="AP32" s="168">
        <v>0</v>
      </c>
      <c r="AQ32" s="179">
        <v>0</v>
      </c>
      <c r="AR32" s="179">
        <v>0</v>
      </c>
      <c r="AS32" s="181">
        <v>0</v>
      </c>
      <c r="AT32" s="179">
        <v>0</v>
      </c>
      <c r="AU32" s="168">
        <v>0</v>
      </c>
      <c r="AV32" s="179">
        <v>0</v>
      </c>
      <c r="AW32" s="179">
        <v>0</v>
      </c>
      <c r="AX32" s="181">
        <v>0</v>
      </c>
      <c r="AY32" s="179">
        <v>0</v>
      </c>
      <c r="AZ32" s="168">
        <v>0</v>
      </c>
      <c r="BA32" s="179">
        <v>0</v>
      </c>
      <c r="BB32" s="179">
        <v>0</v>
      </c>
      <c r="BC32" s="181">
        <v>0</v>
      </c>
      <c r="BD32" s="179">
        <v>0</v>
      </c>
      <c r="BE32" s="168">
        <v>0</v>
      </c>
      <c r="BF32" s="179">
        <v>0</v>
      </c>
      <c r="BG32" s="179">
        <v>0</v>
      </c>
      <c r="BH32" s="181">
        <v>3005</v>
      </c>
      <c r="BI32" s="179">
        <v>14478.475</v>
      </c>
      <c r="BJ32" s="168">
        <v>350</v>
      </c>
      <c r="BK32" s="179">
        <v>388.85</v>
      </c>
      <c r="BL32" s="179">
        <v>1686.3448419301164</v>
      </c>
      <c r="BM32" s="181">
        <v>3005</v>
      </c>
      <c r="BN32" s="179">
        <v>14478.475</v>
      </c>
      <c r="BO32" s="168">
        <v>350</v>
      </c>
      <c r="BP32" s="179">
        <v>388.85</v>
      </c>
      <c r="BQ32" s="179">
        <v>1686.3448419301164</v>
      </c>
      <c r="BR32" s="181">
        <v>3005</v>
      </c>
      <c r="BS32" s="179">
        <v>14478.475</v>
      </c>
      <c r="BT32" s="168">
        <v>2085</v>
      </c>
      <c r="BU32" s="179">
        <v>4027.08</v>
      </c>
      <c r="BV32" s="179">
        <v>10045.797129783696</v>
      </c>
      <c r="BW32" s="181">
        <v>3005</v>
      </c>
      <c r="BX32" s="179">
        <v>14478.475</v>
      </c>
      <c r="BY32" s="168">
        <v>3005</v>
      </c>
      <c r="BZ32" s="179">
        <v>5977.08</v>
      </c>
      <c r="CA32" s="179">
        <v>14478.475</v>
      </c>
      <c r="CB32" s="179">
        <v>0</v>
      </c>
    </row>
    <row r="33" spans="1:80" x14ac:dyDescent="0.25">
      <c r="A33" s="30">
        <v>141</v>
      </c>
      <c r="B33" s="16" t="s">
        <v>2790</v>
      </c>
      <c r="C33" s="178">
        <v>2217</v>
      </c>
      <c r="D33" t="s">
        <v>2763</v>
      </c>
      <c r="E33" s="35">
        <v>195102.96000000002</v>
      </c>
      <c r="F33" s="178">
        <v>88.003139377537224</v>
      </c>
      <c r="G33" s="178">
        <v>375</v>
      </c>
      <c r="H33" s="180">
        <v>38275.730000000003</v>
      </c>
      <c r="I33" s="178">
        <v>102.06933333333333</v>
      </c>
      <c r="J33" s="181">
        <v>150</v>
      </c>
      <c r="K33" s="179">
        <v>13200.470906630584</v>
      </c>
      <c r="L33" s="178">
        <v>4</v>
      </c>
      <c r="M33" s="179">
        <v>392.1</v>
      </c>
      <c r="N33" s="179">
        <v>2081.0982400000003</v>
      </c>
      <c r="O33" s="181">
        <v>370</v>
      </c>
      <c r="P33" s="179">
        <v>32561.161569688771</v>
      </c>
      <c r="Q33" s="178">
        <v>11.5</v>
      </c>
      <c r="R33" s="179">
        <v>1169.8</v>
      </c>
      <c r="S33" s="179">
        <v>5983.15744</v>
      </c>
      <c r="T33" s="181">
        <v>590</v>
      </c>
      <c r="U33" s="179">
        <v>51921.852232746962</v>
      </c>
      <c r="V33" s="168">
        <v>14</v>
      </c>
      <c r="W33" s="179">
        <v>1452.6</v>
      </c>
      <c r="X33" s="179">
        <v>7283.8438400000014</v>
      </c>
      <c r="Y33" s="181">
        <v>810</v>
      </c>
      <c r="Z33" s="179">
        <v>71282.542895805149</v>
      </c>
      <c r="AA33" s="168">
        <v>14</v>
      </c>
      <c r="AB33" s="179">
        <v>1452.6</v>
      </c>
      <c r="AC33" s="179">
        <v>7283.8438400000014</v>
      </c>
      <c r="AD33" s="181">
        <v>1030</v>
      </c>
      <c r="AE33" s="179">
        <v>90643.233558863343</v>
      </c>
      <c r="AF33" s="168">
        <v>24</v>
      </c>
      <c r="AG33" s="179">
        <v>2477.75</v>
      </c>
      <c r="AH33" s="179">
        <v>12486.589440000002</v>
      </c>
      <c r="AI33" s="181">
        <v>1250</v>
      </c>
      <c r="AJ33" s="179">
        <v>110003.92422192152</v>
      </c>
      <c r="AK33" s="168">
        <v>34.5</v>
      </c>
      <c r="AL33" s="179">
        <v>3511.7249999999995</v>
      </c>
      <c r="AM33" s="179">
        <v>17949.472320000001</v>
      </c>
      <c r="AN33" s="181">
        <v>1470</v>
      </c>
      <c r="AO33" s="179">
        <v>129364.61488497972</v>
      </c>
      <c r="AP33" s="168">
        <v>63.5</v>
      </c>
      <c r="AQ33" s="179">
        <v>6481.875</v>
      </c>
      <c r="AR33" s="179">
        <v>33037.434560000002</v>
      </c>
      <c r="AS33" s="181">
        <v>1690</v>
      </c>
      <c r="AT33" s="179">
        <v>148725.3055480379</v>
      </c>
      <c r="AU33" s="168">
        <v>154</v>
      </c>
      <c r="AV33" s="179">
        <v>15744.025</v>
      </c>
      <c r="AW33" s="179">
        <v>80122.282240000015</v>
      </c>
      <c r="AX33" s="181">
        <v>1910</v>
      </c>
      <c r="AY33" s="179">
        <v>168085.99621109609</v>
      </c>
      <c r="AZ33" s="168">
        <v>161</v>
      </c>
      <c r="BA33" s="179">
        <v>16434.625</v>
      </c>
      <c r="BB33" s="179">
        <v>83764.204160000008</v>
      </c>
      <c r="BC33" s="181">
        <v>2130</v>
      </c>
      <c r="BD33" s="179">
        <v>187446.68687415429</v>
      </c>
      <c r="BE33" s="168">
        <v>223</v>
      </c>
      <c r="BF33" s="179">
        <v>22795.575000000001</v>
      </c>
      <c r="BG33" s="179">
        <v>116021.22688000002</v>
      </c>
      <c r="BH33" s="181">
        <v>2217</v>
      </c>
      <c r="BI33" s="179">
        <v>195102.96000000002</v>
      </c>
      <c r="BJ33" s="168">
        <v>298</v>
      </c>
      <c r="BK33" s="179">
        <v>30373.010000000006</v>
      </c>
      <c r="BL33" s="179">
        <v>155041.81888000001</v>
      </c>
      <c r="BM33" s="181">
        <v>2217</v>
      </c>
      <c r="BN33" s="179">
        <v>195102.96000000002</v>
      </c>
      <c r="BO33" s="168">
        <v>367</v>
      </c>
      <c r="BP33" s="179">
        <v>37429.480000000003</v>
      </c>
      <c r="BQ33" s="179">
        <v>190940.76352000004</v>
      </c>
      <c r="BR33" s="181">
        <v>2217</v>
      </c>
      <c r="BS33" s="179">
        <v>195102.96000000002</v>
      </c>
      <c r="BT33" s="168">
        <v>373</v>
      </c>
      <c r="BU33" s="179">
        <v>38098.980000000003</v>
      </c>
      <c r="BV33" s="179">
        <v>194062.41088000004</v>
      </c>
      <c r="BW33" s="181">
        <v>2217</v>
      </c>
      <c r="BX33" s="179">
        <v>195102.96000000002</v>
      </c>
      <c r="BY33" s="168">
        <v>375</v>
      </c>
      <c r="BZ33" s="179">
        <v>38275.730000000003</v>
      </c>
      <c r="CA33" s="179">
        <v>195102.96000000002</v>
      </c>
      <c r="CB33" s="179">
        <v>0</v>
      </c>
    </row>
    <row r="34" spans="1:80" x14ac:dyDescent="0.25">
      <c r="A34" s="30">
        <v>151</v>
      </c>
      <c r="B34" s="16" t="s">
        <v>2791</v>
      </c>
      <c r="C34" s="178">
        <v>11050</v>
      </c>
      <c r="D34" t="s">
        <v>2594</v>
      </c>
      <c r="E34" s="35">
        <v>55250</v>
      </c>
      <c r="F34" s="178">
        <v>5</v>
      </c>
      <c r="G34" s="178">
        <v>1200</v>
      </c>
      <c r="H34" s="180">
        <v>4825.8200000000015</v>
      </c>
      <c r="I34" s="178">
        <v>4.0216666666666665</v>
      </c>
      <c r="J34" s="181">
        <v>2000</v>
      </c>
      <c r="K34" s="179">
        <v>10000</v>
      </c>
      <c r="L34" s="178">
        <v>450</v>
      </c>
      <c r="M34" s="179">
        <v>1843.575</v>
      </c>
      <c r="N34" s="179">
        <v>20718.75</v>
      </c>
      <c r="O34" s="181">
        <v>2000</v>
      </c>
      <c r="P34" s="179">
        <v>10000</v>
      </c>
      <c r="Q34" s="178">
        <v>500</v>
      </c>
      <c r="R34" s="179">
        <v>2002.6500000000003</v>
      </c>
      <c r="S34" s="179">
        <v>23020.833333333336</v>
      </c>
      <c r="T34" s="181">
        <v>2000</v>
      </c>
      <c r="U34" s="179">
        <v>10000</v>
      </c>
      <c r="V34" s="168">
        <v>500</v>
      </c>
      <c r="W34" s="179">
        <v>2002.6500000000003</v>
      </c>
      <c r="X34" s="179">
        <v>23020.833333333336</v>
      </c>
      <c r="Y34" s="181">
        <v>2000</v>
      </c>
      <c r="Z34" s="179">
        <v>10000</v>
      </c>
      <c r="AA34" s="168">
        <v>600</v>
      </c>
      <c r="AB34" s="179">
        <v>2374.3900000000003</v>
      </c>
      <c r="AC34" s="179">
        <v>27625</v>
      </c>
      <c r="AD34" s="181">
        <v>3000</v>
      </c>
      <c r="AE34" s="179">
        <v>15000</v>
      </c>
      <c r="AF34" s="168">
        <v>600</v>
      </c>
      <c r="AG34" s="179">
        <v>2374.3900000000003</v>
      </c>
      <c r="AH34" s="179">
        <v>27625</v>
      </c>
      <c r="AI34" s="181">
        <v>3000</v>
      </c>
      <c r="AJ34" s="179">
        <v>15000</v>
      </c>
      <c r="AK34" s="168">
        <v>750</v>
      </c>
      <c r="AL34" s="179">
        <v>2957.6650000000009</v>
      </c>
      <c r="AM34" s="179">
        <v>34531.25</v>
      </c>
      <c r="AN34" s="181">
        <v>4000</v>
      </c>
      <c r="AO34" s="179">
        <v>20000</v>
      </c>
      <c r="AP34" s="168">
        <v>750</v>
      </c>
      <c r="AQ34" s="179">
        <v>2957.6650000000009</v>
      </c>
      <c r="AR34" s="179">
        <v>34531.25</v>
      </c>
      <c r="AS34" s="181">
        <v>5000</v>
      </c>
      <c r="AT34" s="179">
        <v>25000</v>
      </c>
      <c r="AU34" s="168">
        <v>1100</v>
      </c>
      <c r="AV34" s="179">
        <v>4411.67</v>
      </c>
      <c r="AW34" s="179">
        <v>50645.833333333328</v>
      </c>
      <c r="AX34" s="181">
        <v>7000</v>
      </c>
      <c r="AY34" s="179">
        <v>35000</v>
      </c>
      <c r="AZ34" s="168">
        <v>1100</v>
      </c>
      <c r="BA34" s="179">
        <v>4411.67</v>
      </c>
      <c r="BB34" s="179">
        <v>50645.833333333328</v>
      </c>
      <c r="BC34" s="181">
        <v>9000</v>
      </c>
      <c r="BD34" s="179">
        <v>45000</v>
      </c>
      <c r="BE34" s="168">
        <v>1150</v>
      </c>
      <c r="BF34" s="179">
        <v>4613.7200000000012</v>
      </c>
      <c r="BG34" s="179">
        <v>52947.916666666672</v>
      </c>
      <c r="BH34" s="181">
        <v>11050</v>
      </c>
      <c r="BI34" s="179">
        <v>55250</v>
      </c>
      <c r="BJ34" s="168">
        <v>1150</v>
      </c>
      <c r="BK34" s="179">
        <v>4613.7200000000012</v>
      </c>
      <c r="BL34" s="179">
        <v>52947.916666666672</v>
      </c>
      <c r="BM34" s="181">
        <v>11050</v>
      </c>
      <c r="BN34" s="179">
        <v>55250</v>
      </c>
      <c r="BO34" s="168">
        <v>1150</v>
      </c>
      <c r="BP34" s="179">
        <v>4613.7200000000012</v>
      </c>
      <c r="BQ34" s="179">
        <v>52947.916666666672</v>
      </c>
      <c r="BR34" s="181">
        <v>11050</v>
      </c>
      <c r="BS34" s="179">
        <v>55250</v>
      </c>
      <c r="BT34" s="168">
        <v>1200</v>
      </c>
      <c r="BU34" s="179">
        <v>4825.8200000000015</v>
      </c>
      <c r="BV34" s="179">
        <v>55250</v>
      </c>
      <c r="BW34" s="181">
        <v>11050</v>
      </c>
      <c r="BX34" s="179">
        <v>55250</v>
      </c>
      <c r="BY34" s="168">
        <v>1200</v>
      </c>
      <c r="BZ34" s="179">
        <v>4825.8200000000015</v>
      </c>
      <c r="CA34" s="179">
        <v>55250</v>
      </c>
      <c r="CB34" s="179">
        <v>0</v>
      </c>
    </row>
    <row r="35" spans="1:80" x14ac:dyDescent="0.25">
      <c r="A35" s="30">
        <v>181</v>
      </c>
      <c r="B35" s="16" t="s">
        <v>2792</v>
      </c>
      <c r="C35" s="178">
        <v>202.4</v>
      </c>
      <c r="D35" t="s">
        <v>2594</v>
      </c>
      <c r="E35" s="35">
        <v>44837.166666666657</v>
      </c>
      <c r="F35" s="178">
        <v>221.5275032938076</v>
      </c>
      <c r="G35" s="178">
        <v>202.4</v>
      </c>
      <c r="H35" s="180">
        <v>65321.650000000009</v>
      </c>
      <c r="I35" s="178">
        <v>325.55335968379444</v>
      </c>
      <c r="J35" s="181">
        <v>25.2</v>
      </c>
      <c r="K35" s="179">
        <v>5582.4930830039511</v>
      </c>
      <c r="L35" s="178">
        <v>12</v>
      </c>
      <c r="M35" s="179">
        <v>9003.0250000000015</v>
      </c>
      <c r="N35" s="179">
        <v>2658.3300395256911</v>
      </c>
      <c r="O35" s="181">
        <v>25.2</v>
      </c>
      <c r="P35" s="179">
        <v>5582.4930830039511</v>
      </c>
      <c r="Q35" s="178">
        <v>18.600000000000001</v>
      </c>
      <c r="R35" s="179">
        <v>12534.825000000003</v>
      </c>
      <c r="S35" s="179">
        <v>4120.411561264822</v>
      </c>
      <c r="T35" s="181">
        <v>25.2</v>
      </c>
      <c r="U35" s="179">
        <v>5582.4930830039511</v>
      </c>
      <c r="V35" s="168">
        <v>25.2</v>
      </c>
      <c r="W35" s="179">
        <v>14467.875000000005</v>
      </c>
      <c r="X35" s="179">
        <v>5582.4930830039511</v>
      </c>
      <c r="Y35" s="181">
        <v>25.2</v>
      </c>
      <c r="Z35" s="179">
        <v>5582.4930830039511</v>
      </c>
      <c r="AA35" s="168">
        <v>25.2</v>
      </c>
      <c r="AB35" s="179">
        <v>14467.875000000005</v>
      </c>
      <c r="AC35" s="179">
        <v>5582.4930830039511</v>
      </c>
      <c r="AD35" s="181">
        <v>64.8</v>
      </c>
      <c r="AE35" s="179">
        <v>14354.982213438732</v>
      </c>
      <c r="AF35" s="168">
        <v>64.8</v>
      </c>
      <c r="AG35" s="179">
        <v>20079.275000000005</v>
      </c>
      <c r="AH35" s="179">
        <v>14354.98221343873</v>
      </c>
      <c r="AI35" s="181">
        <v>64.8</v>
      </c>
      <c r="AJ35" s="179">
        <v>14354.982213438732</v>
      </c>
      <c r="AK35" s="168">
        <v>64.8</v>
      </c>
      <c r="AL35" s="179">
        <v>20471.375000000007</v>
      </c>
      <c r="AM35" s="179">
        <v>14354.98221343873</v>
      </c>
      <c r="AN35" s="181">
        <v>64.8</v>
      </c>
      <c r="AO35" s="179">
        <v>14354.982213438732</v>
      </c>
      <c r="AP35" s="168">
        <v>64.8</v>
      </c>
      <c r="AQ35" s="179">
        <v>20471.375000000007</v>
      </c>
      <c r="AR35" s="179">
        <v>14354.98221343873</v>
      </c>
      <c r="AS35" s="181">
        <v>64.8</v>
      </c>
      <c r="AT35" s="179">
        <v>14354.982213438732</v>
      </c>
      <c r="AU35" s="168">
        <v>64.8</v>
      </c>
      <c r="AV35" s="179">
        <v>20471.375000000007</v>
      </c>
      <c r="AW35" s="179">
        <v>14354.98221343873</v>
      </c>
      <c r="AX35" s="181">
        <v>202.4</v>
      </c>
      <c r="AY35" s="179">
        <v>44837.166666666657</v>
      </c>
      <c r="AZ35" s="168">
        <v>64.8</v>
      </c>
      <c r="BA35" s="179">
        <v>20471.375000000007</v>
      </c>
      <c r="BB35" s="179">
        <v>14354.98221343873</v>
      </c>
      <c r="BC35" s="181">
        <v>202.4</v>
      </c>
      <c r="BD35" s="179">
        <v>44837.166666666657</v>
      </c>
      <c r="BE35" s="168">
        <v>202.4</v>
      </c>
      <c r="BF35" s="179">
        <v>64546.375000000007</v>
      </c>
      <c r="BG35" s="179">
        <v>44837.166666666657</v>
      </c>
      <c r="BH35" s="181">
        <v>202.4</v>
      </c>
      <c r="BI35" s="179">
        <v>44837.166666666657</v>
      </c>
      <c r="BJ35" s="168">
        <v>202.4</v>
      </c>
      <c r="BK35" s="179">
        <v>64546.375000000007</v>
      </c>
      <c r="BL35" s="179">
        <v>44837.166666666657</v>
      </c>
      <c r="BM35" s="181">
        <v>202.4</v>
      </c>
      <c r="BN35" s="179">
        <v>44837.166666666657</v>
      </c>
      <c r="BO35" s="168">
        <v>202.4</v>
      </c>
      <c r="BP35" s="179">
        <v>65321.650000000009</v>
      </c>
      <c r="BQ35" s="179">
        <v>44837.166666666657</v>
      </c>
      <c r="BR35" s="181">
        <v>202.4</v>
      </c>
      <c r="BS35" s="179">
        <v>44837.166666666657</v>
      </c>
      <c r="BT35" s="168">
        <v>202.4</v>
      </c>
      <c r="BU35" s="179">
        <v>65321.650000000009</v>
      </c>
      <c r="BV35" s="179">
        <v>44837.166666666657</v>
      </c>
      <c r="BW35" s="181">
        <v>202.4</v>
      </c>
      <c r="BX35" s="179">
        <v>44837.166666666657</v>
      </c>
      <c r="BY35" s="168">
        <v>202.4</v>
      </c>
      <c r="BZ35" s="179">
        <v>65321.650000000009</v>
      </c>
      <c r="CA35" s="179">
        <v>44837.166666666657</v>
      </c>
      <c r="CB35" s="179">
        <v>0</v>
      </c>
    </row>
    <row r="36" spans="1:80" x14ac:dyDescent="0.25">
      <c r="A36" s="30">
        <v>182</v>
      </c>
      <c r="B36" s="16" t="s">
        <v>2821</v>
      </c>
      <c r="C36" s="178">
        <v>0</v>
      </c>
      <c r="D36" t="s">
        <v>2766</v>
      </c>
      <c r="E36" s="35">
        <v>0</v>
      </c>
      <c r="F36" s="178">
        <v>0</v>
      </c>
      <c r="G36" s="178">
        <v>1</v>
      </c>
      <c r="H36" s="180">
        <v>570</v>
      </c>
      <c r="I36" s="178">
        <v>570</v>
      </c>
      <c r="J36" s="181">
        <v>0</v>
      </c>
      <c r="K36" s="179">
        <v>0</v>
      </c>
      <c r="L36" s="178">
        <v>0</v>
      </c>
      <c r="M36" s="179">
        <v>0</v>
      </c>
      <c r="N36" s="179">
        <v>0</v>
      </c>
      <c r="O36" s="181">
        <v>0</v>
      </c>
      <c r="P36" s="179">
        <v>0</v>
      </c>
      <c r="Q36" s="178">
        <v>0</v>
      </c>
      <c r="R36" s="179">
        <v>0</v>
      </c>
      <c r="S36" s="179">
        <v>0</v>
      </c>
      <c r="T36" s="181">
        <v>0</v>
      </c>
      <c r="U36" s="179">
        <v>0</v>
      </c>
      <c r="V36" s="178">
        <v>0</v>
      </c>
      <c r="W36" s="179">
        <v>0</v>
      </c>
      <c r="X36" s="179">
        <v>0</v>
      </c>
      <c r="Y36" s="181">
        <v>0</v>
      </c>
      <c r="Z36" s="179">
        <v>0</v>
      </c>
      <c r="AA36" s="178">
        <v>1</v>
      </c>
      <c r="AB36" s="179">
        <v>570</v>
      </c>
      <c r="AC36" s="179">
        <v>0</v>
      </c>
      <c r="AD36" s="181">
        <v>0</v>
      </c>
      <c r="AE36" s="179">
        <v>0</v>
      </c>
      <c r="AF36" s="178">
        <v>1</v>
      </c>
      <c r="AG36" s="179">
        <v>570</v>
      </c>
      <c r="AH36" s="179">
        <v>0</v>
      </c>
      <c r="AI36" s="181">
        <v>0</v>
      </c>
      <c r="AJ36" s="179">
        <v>0</v>
      </c>
      <c r="AK36" s="178">
        <v>1</v>
      </c>
      <c r="AL36" s="179">
        <v>570</v>
      </c>
      <c r="AM36" s="179">
        <v>0</v>
      </c>
      <c r="AN36" s="181">
        <v>0</v>
      </c>
      <c r="AO36" s="179">
        <v>0</v>
      </c>
      <c r="AP36" s="178">
        <v>1</v>
      </c>
      <c r="AQ36" s="179">
        <v>570</v>
      </c>
      <c r="AR36" s="179">
        <v>0</v>
      </c>
      <c r="AS36" s="181">
        <v>0</v>
      </c>
      <c r="AT36" s="179">
        <v>0</v>
      </c>
      <c r="AU36" s="178">
        <v>1</v>
      </c>
      <c r="AV36" s="179">
        <v>570</v>
      </c>
      <c r="AW36" s="179">
        <v>0</v>
      </c>
      <c r="AX36" s="181">
        <v>0</v>
      </c>
      <c r="AY36" s="179">
        <v>0</v>
      </c>
      <c r="AZ36" s="178">
        <v>1</v>
      </c>
      <c r="BA36" s="179">
        <v>570</v>
      </c>
      <c r="BB36" s="179">
        <v>0</v>
      </c>
      <c r="BC36" s="181">
        <v>0</v>
      </c>
      <c r="BD36" s="179">
        <v>0</v>
      </c>
      <c r="BE36" s="178">
        <v>1</v>
      </c>
      <c r="BF36" s="179">
        <v>570</v>
      </c>
      <c r="BG36" s="179">
        <v>0</v>
      </c>
      <c r="BH36" s="181">
        <v>0</v>
      </c>
      <c r="BI36" s="179">
        <v>0</v>
      </c>
      <c r="BJ36" s="178">
        <v>1</v>
      </c>
      <c r="BK36" s="179">
        <v>570</v>
      </c>
      <c r="BL36" s="179">
        <v>0</v>
      </c>
      <c r="BM36" s="181">
        <v>0</v>
      </c>
      <c r="BN36" s="179">
        <v>0</v>
      </c>
      <c r="BO36" s="178">
        <v>1</v>
      </c>
      <c r="BP36" s="179">
        <v>570</v>
      </c>
      <c r="BQ36" s="179">
        <v>0</v>
      </c>
      <c r="BR36" s="181">
        <v>0</v>
      </c>
      <c r="BS36" s="179">
        <v>0</v>
      </c>
      <c r="BT36" s="178">
        <v>1</v>
      </c>
      <c r="BU36" s="179">
        <v>570</v>
      </c>
      <c r="BV36" s="179">
        <v>0</v>
      </c>
      <c r="BW36" s="181">
        <v>0</v>
      </c>
      <c r="BX36" s="179">
        <v>0</v>
      </c>
      <c r="BY36" s="178">
        <v>1</v>
      </c>
      <c r="BZ36" s="179">
        <v>570</v>
      </c>
      <c r="CA36" s="179">
        <v>0</v>
      </c>
      <c r="CB36" s="179">
        <v>0</v>
      </c>
    </row>
    <row r="37" spans="1:80" x14ac:dyDescent="0.25">
      <c r="A37" s="30">
        <v>201</v>
      </c>
      <c r="B37" s="16" t="s">
        <v>2793</v>
      </c>
      <c r="C37" s="178">
        <v>0</v>
      </c>
      <c r="D37" t="s">
        <v>2766</v>
      </c>
      <c r="E37" s="35">
        <v>0</v>
      </c>
      <c r="F37" s="178">
        <v>0</v>
      </c>
      <c r="G37" s="178">
        <v>1</v>
      </c>
      <c r="H37" s="180">
        <v>13650.62</v>
      </c>
      <c r="I37" s="178">
        <v>13651</v>
      </c>
      <c r="J37" s="181">
        <v>0</v>
      </c>
      <c r="K37" s="179">
        <v>0</v>
      </c>
      <c r="L37" s="178">
        <v>0</v>
      </c>
      <c r="M37" s="179">
        <v>0</v>
      </c>
      <c r="N37" s="179">
        <v>0</v>
      </c>
      <c r="O37" s="181">
        <v>0</v>
      </c>
      <c r="P37" s="179">
        <v>0</v>
      </c>
      <c r="Q37" s="178">
        <v>0</v>
      </c>
      <c r="R37" s="179">
        <v>0</v>
      </c>
      <c r="S37" s="179">
        <v>0</v>
      </c>
      <c r="T37" s="181">
        <v>0</v>
      </c>
      <c r="U37" s="179">
        <v>0</v>
      </c>
      <c r="V37" s="168">
        <v>0</v>
      </c>
      <c r="W37" s="179">
        <v>0</v>
      </c>
      <c r="X37" s="179">
        <v>0</v>
      </c>
      <c r="Y37" s="181">
        <v>0</v>
      </c>
      <c r="Z37" s="179">
        <v>0</v>
      </c>
      <c r="AA37" s="168">
        <v>0</v>
      </c>
      <c r="AB37" s="179">
        <v>0</v>
      </c>
      <c r="AC37" s="179">
        <v>0</v>
      </c>
      <c r="AD37" s="181">
        <v>0</v>
      </c>
      <c r="AE37" s="179">
        <v>0</v>
      </c>
      <c r="AF37" s="168">
        <v>0</v>
      </c>
      <c r="AG37" s="179">
        <v>0</v>
      </c>
      <c r="AH37" s="179">
        <v>0</v>
      </c>
      <c r="AI37" s="181">
        <v>0</v>
      </c>
      <c r="AJ37" s="179">
        <v>0</v>
      </c>
      <c r="AK37" s="168">
        <v>0</v>
      </c>
      <c r="AL37" s="179">
        <v>0</v>
      </c>
      <c r="AM37" s="179">
        <v>0</v>
      </c>
      <c r="AN37" s="181">
        <v>0</v>
      </c>
      <c r="AO37" s="179">
        <v>0</v>
      </c>
      <c r="AP37" s="168">
        <v>0</v>
      </c>
      <c r="AQ37" s="179">
        <v>0</v>
      </c>
      <c r="AR37" s="179">
        <v>0</v>
      </c>
      <c r="AS37" s="181">
        <v>0</v>
      </c>
      <c r="AT37" s="179">
        <v>0</v>
      </c>
      <c r="AU37" s="168">
        <v>0</v>
      </c>
      <c r="AV37" s="179">
        <v>0</v>
      </c>
      <c r="AW37" s="179">
        <v>0</v>
      </c>
      <c r="AX37" s="181">
        <v>0</v>
      </c>
      <c r="AY37" s="179">
        <v>0</v>
      </c>
      <c r="AZ37" s="168">
        <v>0</v>
      </c>
      <c r="BA37" s="179">
        <v>0</v>
      </c>
      <c r="BB37" s="179">
        <v>0</v>
      </c>
      <c r="BC37" s="181">
        <v>0</v>
      </c>
      <c r="BD37" s="179">
        <v>0</v>
      </c>
      <c r="BE37" s="168">
        <v>0</v>
      </c>
      <c r="BF37" s="179">
        <v>0</v>
      </c>
      <c r="BG37" s="179">
        <v>0</v>
      </c>
      <c r="BH37" s="181">
        <v>0</v>
      </c>
      <c r="BI37" s="179">
        <v>0</v>
      </c>
      <c r="BJ37" s="168">
        <v>0</v>
      </c>
      <c r="BK37" s="179">
        <v>0</v>
      </c>
      <c r="BL37" s="179">
        <v>0</v>
      </c>
      <c r="BM37" s="181">
        <v>0</v>
      </c>
      <c r="BN37" s="179">
        <v>0</v>
      </c>
      <c r="BO37" s="168">
        <v>0</v>
      </c>
      <c r="BP37" s="179">
        <v>0</v>
      </c>
      <c r="BQ37" s="179">
        <v>0</v>
      </c>
      <c r="BR37" s="181">
        <v>0</v>
      </c>
      <c r="BS37" s="179">
        <v>0</v>
      </c>
      <c r="BT37" s="168">
        <v>0</v>
      </c>
      <c r="BU37" s="179">
        <v>0</v>
      </c>
      <c r="BV37" s="179">
        <v>0</v>
      </c>
      <c r="BW37" s="181">
        <v>0</v>
      </c>
      <c r="BX37" s="179">
        <v>0</v>
      </c>
      <c r="BY37" s="168">
        <v>1</v>
      </c>
      <c r="BZ37" s="179">
        <v>13650.62</v>
      </c>
      <c r="CA37" s="179">
        <v>0</v>
      </c>
      <c r="CB37" s="179">
        <v>0</v>
      </c>
    </row>
    <row r="38" spans="1:80" x14ac:dyDescent="0.25">
      <c r="A38" s="30">
        <v>220</v>
      </c>
      <c r="B38" s="16" t="s">
        <v>2820</v>
      </c>
      <c r="C38" s="178">
        <v>0</v>
      </c>
      <c r="D38" t="s">
        <v>2766</v>
      </c>
      <c r="E38" s="35">
        <v>0</v>
      </c>
      <c r="F38" s="178">
        <v>0</v>
      </c>
      <c r="G38" s="178">
        <v>1</v>
      </c>
      <c r="H38" s="180">
        <v>1500</v>
      </c>
      <c r="I38" s="178">
        <v>1500</v>
      </c>
      <c r="J38" s="181">
        <v>0</v>
      </c>
      <c r="K38" s="179">
        <v>0</v>
      </c>
      <c r="L38" s="178">
        <v>0</v>
      </c>
      <c r="M38" s="179">
        <v>0</v>
      </c>
      <c r="N38" s="179">
        <v>0</v>
      </c>
      <c r="O38" s="181">
        <v>0</v>
      </c>
      <c r="P38" s="179">
        <v>0</v>
      </c>
      <c r="Q38" s="178">
        <v>0</v>
      </c>
      <c r="R38" s="179">
        <v>0</v>
      </c>
      <c r="S38" s="179">
        <v>0</v>
      </c>
      <c r="T38" s="181">
        <v>0</v>
      </c>
      <c r="U38" s="179">
        <v>0</v>
      </c>
      <c r="V38" s="178">
        <v>0</v>
      </c>
      <c r="W38" s="179">
        <v>0</v>
      </c>
      <c r="X38" s="179">
        <v>0</v>
      </c>
      <c r="Y38" s="181">
        <v>0</v>
      </c>
      <c r="Z38" s="179">
        <v>0</v>
      </c>
      <c r="AA38" s="178">
        <v>0</v>
      </c>
      <c r="AB38" s="179">
        <v>0</v>
      </c>
      <c r="AC38" s="179">
        <v>0</v>
      </c>
      <c r="AD38" s="181">
        <v>0</v>
      </c>
      <c r="AE38" s="179">
        <v>0</v>
      </c>
      <c r="AF38" s="178">
        <v>0</v>
      </c>
      <c r="AG38" s="179">
        <v>0</v>
      </c>
      <c r="AH38" s="179">
        <v>0</v>
      </c>
      <c r="AI38" s="181">
        <v>0</v>
      </c>
      <c r="AJ38" s="179">
        <v>0</v>
      </c>
      <c r="AK38" s="178">
        <v>0</v>
      </c>
      <c r="AL38" s="179">
        <v>0</v>
      </c>
      <c r="AM38" s="179">
        <v>0</v>
      </c>
      <c r="AN38" s="181">
        <v>0</v>
      </c>
      <c r="AO38" s="179">
        <v>0</v>
      </c>
      <c r="AP38" s="178">
        <v>0</v>
      </c>
      <c r="AQ38" s="179">
        <v>0</v>
      </c>
      <c r="AR38" s="179">
        <v>0</v>
      </c>
      <c r="AS38" s="181">
        <v>0</v>
      </c>
      <c r="AT38" s="179">
        <v>0</v>
      </c>
      <c r="AU38" s="178">
        <v>0</v>
      </c>
      <c r="AV38" s="179">
        <v>0</v>
      </c>
      <c r="AW38" s="179">
        <v>0</v>
      </c>
      <c r="AX38" s="181">
        <v>0</v>
      </c>
      <c r="AY38" s="179">
        <v>0</v>
      </c>
      <c r="AZ38" s="168">
        <v>1</v>
      </c>
      <c r="BA38" s="179">
        <v>1500</v>
      </c>
      <c r="BB38" s="179">
        <v>0</v>
      </c>
      <c r="BC38" s="181">
        <v>0</v>
      </c>
      <c r="BD38" s="179">
        <v>0</v>
      </c>
      <c r="BE38" s="168">
        <v>1</v>
      </c>
      <c r="BF38" s="179">
        <v>1500</v>
      </c>
      <c r="BG38" s="179">
        <v>0</v>
      </c>
      <c r="BH38" s="181">
        <v>0</v>
      </c>
      <c r="BI38" s="179">
        <v>0</v>
      </c>
      <c r="BJ38" s="168">
        <v>1</v>
      </c>
      <c r="BK38" s="179">
        <v>1500</v>
      </c>
      <c r="BL38" s="179">
        <v>0</v>
      </c>
      <c r="BM38" s="181">
        <v>0</v>
      </c>
      <c r="BN38" s="179">
        <v>0</v>
      </c>
      <c r="BO38" s="168">
        <v>1</v>
      </c>
      <c r="BP38" s="179">
        <v>1500</v>
      </c>
      <c r="BQ38" s="179">
        <v>0</v>
      </c>
      <c r="BR38" s="181">
        <v>0</v>
      </c>
      <c r="BS38" s="179">
        <v>0</v>
      </c>
      <c r="BT38" s="168">
        <v>1</v>
      </c>
      <c r="BU38" s="179">
        <v>1500</v>
      </c>
      <c r="BV38" s="179">
        <v>0</v>
      </c>
      <c r="BW38" s="181">
        <v>0</v>
      </c>
      <c r="BX38" s="179">
        <v>0</v>
      </c>
      <c r="BY38" s="168">
        <v>1</v>
      </c>
      <c r="BZ38" s="179">
        <v>1500</v>
      </c>
      <c r="CA38" s="179">
        <v>0</v>
      </c>
      <c r="CB38" s="179">
        <v>0</v>
      </c>
    </row>
    <row r="39" spans="1:80" x14ac:dyDescent="0.25">
      <c r="A39" s="30">
        <v>221</v>
      </c>
      <c r="B39" s="16" t="s">
        <v>2794</v>
      </c>
      <c r="C39" s="178">
        <v>1885</v>
      </c>
      <c r="D39" t="s">
        <v>82</v>
      </c>
      <c r="E39" s="35">
        <v>29725</v>
      </c>
      <c r="F39" s="178">
        <v>15.76923076923077</v>
      </c>
      <c r="G39" s="178">
        <v>1885</v>
      </c>
      <c r="H39" s="180">
        <v>31753.727999999999</v>
      </c>
      <c r="I39" s="178">
        <v>17.641379310344828</v>
      </c>
      <c r="J39" s="181">
        <v>0</v>
      </c>
      <c r="K39" s="179">
        <v>0</v>
      </c>
      <c r="L39" s="178">
        <v>0</v>
      </c>
      <c r="M39" s="179">
        <v>0</v>
      </c>
      <c r="N39" s="179">
        <v>0</v>
      </c>
      <c r="O39" s="181">
        <v>0</v>
      </c>
      <c r="P39" s="179">
        <v>0</v>
      </c>
      <c r="Q39" s="178">
        <v>0</v>
      </c>
      <c r="R39" s="179">
        <v>0</v>
      </c>
      <c r="S39" s="179">
        <v>0</v>
      </c>
      <c r="T39" s="181">
        <v>0</v>
      </c>
      <c r="U39" s="179">
        <v>0</v>
      </c>
      <c r="V39" s="178">
        <v>0</v>
      </c>
      <c r="W39" s="179">
        <v>0</v>
      </c>
      <c r="X39" s="179">
        <v>0</v>
      </c>
      <c r="Y39" s="181">
        <v>0</v>
      </c>
      <c r="Z39" s="179">
        <v>0</v>
      </c>
      <c r="AA39" s="178">
        <v>0</v>
      </c>
      <c r="AB39" s="179">
        <v>420</v>
      </c>
      <c r="AC39" s="179">
        <v>0</v>
      </c>
      <c r="AD39" s="181">
        <v>0</v>
      </c>
      <c r="AE39" s="179">
        <v>0</v>
      </c>
      <c r="AF39" s="178">
        <v>0</v>
      </c>
      <c r="AG39" s="179">
        <v>420</v>
      </c>
      <c r="AH39" s="179">
        <v>0</v>
      </c>
      <c r="AI39" s="181">
        <v>0</v>
      </c>
      <c r="AJ39" s="179">
        <v>0</v>
      </c>
      <c r="AK39" s="178">
        <v>0</v>
      </c>
      <c r="AL39" s="179">
        <v>420</v>
      </c>
      <c r="AM39" s="179">
        <v>0</v>
      </c>
      <c r="AN39" s="181">
        <v>1500</v>
      </c>
      <c r="AO39" s="179">
        <v>23653.846153846156</v>
      </c>
      <c r="AP39" s="178">
        <v>1475</v>
      </c>
      <c r="AQ39" s="179">
        <v>31753.727999999999</v>
      </c>
      <c r="AR39" s="179">
        <v>23259.615384615383</v>
      </c>
      <c r="AS39" s="181">
        <v>1800</v>
      </c>
      <c r="AT39" s="179">
        <v>28384.615384615387</v>
      </c>
      <c r="AU39" s="178">
        <v>1761</v>
      </c>
      <c r="AV39" s="179">
        <v>31753.727999999999</v>
      </c>
      <c r="AW39" s="179">
        <v>27769.615384615387</v>
      </c>
      <c r="AX39" s="181">
        <v>1800</v>
      </c>
      <c r="AY39" s="179">
        <v>28384.615384615387</v>
      </c>
      <c r="AZ39" s="178">
        <v>1802</v>
      </c>
      <c r="BA39" s="179">
        <v>31753.727999999999</v>
      </c>
      <c r="BB39" s="179">
        <v>28416.153846153844</v>
      </c>
      <c r="BC39" s="181">
        <v>1800</v>
      </c>
      <c r="BD39" s="179">
        <v>28384.615384615387</v>
      </c>
      <c r="BE39" s="178">
        <v>1802</v>
      </c>
      <c r="BF39" s="179">
        <v>31753.727999999999</v>
      </c>
      <c r="BG39" s="179">
        <v>28416.153846153844</v>
      </c>
      <c r="BH39" s="181">
        <v>1885</v>
      </c>
      <c r="BI39" s="179">
        <v>29725</v>
      </c>
      <c r="BJ39" s="178">
        <v>1802</v>
      </c>
      <c r="BK39" s="179">
        <v>31753.727999999999</v>
      </c>
      <c r="BL39" s="179">
        <v>28416.153846153844</v>
      </c>
      <c r="BM39" s="181">
        <v>1885</v>
      </c>
      <c r="BN39" s="179">
        <v>29725</v>
      </c>
      <c r="BO39" s="178">
        <v>1885</v>
      </c>
      <c r="BP39" s="179">
        <v>31753.727999999999</v>
      </c>
      <c r="BQ39" s="179">
        <v>29725</v>
      </c>
      <c r="BR39" s="181">
        <v>1885</v>
      </c>
      <c r="BS39" s="179">
        <v>29725</v>
      </c>
      <c r="BT39" s="178">
        <v>1885</v>
      </c>
      <c r="BU39" s="179">
        <v>31753.727999999999</v>
      </c>
      <c r="BV39" s="179">
        <v>29725</v>
      </c>
      <c r="BW39" s="181">
        <v>1885</v>
      </c>
      <c r="BX39" s="179">
        <v>29725</v>
      </c>
      <c r="BY39" s="168">
        <v>1885</v>
      </c>
      <c r="BZ39" s="179">
        <v>31753.727999999999</v>
      </c>
      <c r="CA39" s="179">
        <v>29725</v>
      </c>
      <c r="CB39" s="179">
        <v>0</v>
      </c>
    </row>
    <row r="40" spans="1:80" x14ac:dyDescent="0.25">
      <c r="A40" s="30">
        <v>222</v>
      </c>
      <c r="B40" s="16" t="s">
        <v>2795</v>
      </c>
      <c r="C40" s="178">
        <v>40080</v>
      </c>
      <c r="D40" t="s">
        <v>2593</v>
      </c>
      <c r="E40" s="35">
        <v>147054.81140401002</v>
      </c>
      <c r="F40" s="178">
        <v>3.6690322206589325</v>
      </c>
      <c r="G40" s="178">
        <v>40080</v>
      </c>
      <c r="H40" s="180">
        <v>129487.45999999999</v>
      </c>
      <c r="I40" s="178">
        <v>3.2307135728542913</v>
      </c>
      <c r="J40" s="181">
        <v>1800</v>
      </c>
      <c r="K40" s="179">
        <v>6604.2579971860787</v>
      </c>
      <c r="L40" s="178">
        <v>0</v>
      </c>
      <c r="M40" s="179">
        <v>0</v>
      </c>
      <c r="N40" s="179">
        <v>0</v>
      </c>
      <c r="O40" s="181">
        <v>1800</v>
      </c>
      <c r="P40" s="179">
        <v>6604.2579971860787</v>
      </c>
      <c r="Q40" s="178">
        <v>1652</v>
      </c>
      <c r="R40" s="179">
        <v>11551.5</v>
      </c>
      <c r="S40" s="179">
        <v>6061.2412285285563</v>
      </c>
      <c r="T40" s="181">
        <v>1800</v>
      </c>
      <c r="U40" s="179">
        <v>6604.2579971860787</v>
      </c>
      <c r="V40" s="168">
        <v>1652</v>
      </c>
      <c r="W40" s="179">
        <v>11551.5</v>
      </c>
      <c r="X40" s="179">
        <v>6061.2412285285563</v>
      </c>
      <c r="Y40" s="181">
        <v>4000</v>
      </c>
      <c r="Z40" s="179">
        <v>14676.12888263573</v>
      </c>
      <c r="AA40" s="168">
        <v>3812</v>
      </c>
      <c r="AB40" s="179">
        <v>23754.800000000003</v>
      </c>
      <c r="AC40" s="179">
        <v>13986.350825151851</v>
      </c>
      <c r="AD40" s="181">
        <v>7500</v>
      </c>
      <c r="AE40" s="179">
        <v>27517.741654941994</v>
      </c>
      <c r="AF40" s="168">
        <v>7138</v>
      </c>
      <c r="AG40" s="179">
        <v>43750.600000000006</v>
      </c>
      <c r="AH40" s="179">
        <v>26189.551991063458</v>
      </c>
      <c r="AI40" s="181">
        <v>10000</v>
      </c>
      <c r="AJ40" s="179">
        <v>36690.322206589328</v>
      </c>
      <c r="AK40" s="168">
        <v>19400</v>
      </c>
      <c r="AL40" s="179">
        <v>62671.850000000006</v>
      </c>
      <c r="AM40" s="179">
        <v>71179.22508078329</v>
      </c>
      <c r="AN40" s="181">
        <v>27000</v>
      </c>
      <c r="AO40" s="179">
        <v>99063.869957791176</v>
      </c>
      <c r="AP40" s="168">
        <v>24500</v>
      </c>
      <c r="AQ40" s="179">
        <v>80452.859999999957</v>
      </c>
      <c r="AR40" s="179">
        <v>89891.289406143842</v>
      </c>
      <c r="AS40" s="181">
        <v>34000</v>
      </c>
      <c r="AT40" s="179">
        <v>124747.09550240371</v>
      </c>
      <c r="AU40" s="168">
        <v>30000</v>
      </c>
      <c r="AV40" s="179">
        <v>99607.46</v>
      </c>
      <c r="AW40" s="179">
        <v>110070.96661976798</v>
      </c>
      <c r="AX40" s="181">
        <v>38580</v>
      </c>
      <c r="AY40" s="179">
        <v>141551.2630730216</v>
      </c>
      <c r="AZ40" s="168">
        <v>38580</v>
      </c>
      <c r="BA40" s="179">
        <v>123613.56</v>
      </c>
      <c r="BB40" s="179">
        <v>141551.2630730216</v>
      </c>
      <c r="BC40" s="181">
        <v>38580</v>
      </c>
      <c r="BD40" s="179">
        <v>141551.2630730216</v>
      </c>
      <c r="BE40" s="168">
        <v>38580</v>
      </c>
      <c r="BF40" s="179">
        <v>126686.95999999999</v>
      </c>
      <c r="BG40" s="179">
        <v>141551.2630730216</v>
      </c>
      <c r="BH40" s="181">
        <v>40080</v>
      </c>
      <c r="BI40" s="179">
        <v>147054.81140401002</v>
      </c>
      <c r="BJ40" s="168">
        <v>38580</v>
      </c>
      <c r="BK40" s="179">
        <v>128160.95999999999</v>
      </c>
      <c r="BL40" s="179">
        <v>141551.2630730216</v>
      </c>
      <c r="BM40" s="181">
        <v>40080</v>
      </c>
      <c r="BN40" s="179">
        <v>147054.81140401002</v>
      </c>
      <c r="BO40" s="168">
        <v>40080</v>
      </c>
      <c r="BP40" s="179">
        <v>129487.45999999999</v>
      </c>
      <c r="BQ40" s="179">
        <v>147054.81140401002</v>
      </c>
      <c r="BR40" s="181">
        <v>40080</v>
      </c>
      <c r="BS40" s="179">
        <v>147054.81140401002</v>
      </c>
      <c r="BT40" s="168">
        <v>40080</v>
      </c>
      <c r="BU40" s="179">
        <v>129487.45999999999</v>
      </c>
      <c r="BV40" s="179">
        <v>147054.81140401002</v>
      </c>
      <c r="BW40" s="181">
        <v>40080</v>
      </c>
      <c r="BX40" s="179">
        <v>147054.81140401002</v>
      </c>
      <c r="BY40" s="168">
        <v>40080</v>
      </c>
      <c r="BZ40" s="179">
        <v>129487.45999999999</v>
      </c>
      <c r="CA40" s="179">
        <v>147054.81140401002</v>
      </c>
      <c r="CB40" s="179">
        <v>0</v>
      </c>
    </row>
    <row r="41" spans="1:80" x14ac:dyDescent="0.25">
      <c r="A41" s="30">
        <v>901</v>
      </c>
      <c r="B41" s="16" t="s">
        <v>2811</v>
      </c>
      <c r="C41" s="178">
        <v>42</v>
      </c>
      <c r="D41" t="s">
        <v>2796</v>
      </c>
      <c r="E41" s="35">
        <v>80857.5</v>
      </c>
      <c r="F41" s="178">
        <v>1925.1785714285713</v>
      </c>
      <c r="G41" s="178">
        <v>48</v>
      </c>
      <c r="H41" s="180">
        <v>658</v>
      </c>
      <c r="I41" s="178">
        <v>0</v>
      </c>
      <c r="J41" s="181">
        <v>2</v>
      </c>
      <c r="K41" s="179">
        <v>3850.3571428571427</v>
      </c>
      <c r="L41" s="178">
        <v>2</v>
      </c>
      <c r="M41" s="179">
        <v>405</v>
      </c>
      <c r="N41" s="179">
        <v>3369.0625</v>
      </c>
      <c r="O41" s="181">
        <v>6</v>
      </c>
      <c r="P41" s="179">
        <v>11551.071428571428</v>
      </c>
      <c r="Q41" s="178">
        <v>6</v>
      </c>
      <c r="R41" s="179">
        <v>405</v>
      </c>
      <c r="S41" s="179">
        <v>10107.1875</v>
      </c>
      <c r="T41" s="181">
        <v>10</v>
      </c>
      <c r="U41" s="179">
        <v>19251.785714285714</v>
      </c>
      <c r="V41" s="168">
        <v>10</v>
      </c>
      <c r="W41" s="179">
        <v>405</v>
      </c>
      <c r="X41" s="179">
        <v>16845.3125</v>
      </c>
      <c r="Y41" s="181">
        <v>14</v>
      </c>
      <c r="Z41" s="179">
        <v>26952.5</v>
      </c>
      <c r="AA41" s="168">
        <v>14</v>
      </c>
      <c r="AB41" s="179">
        <v>405</v>
      </c>
      <c r="AC41" s="179">
        <v>23583.4375</v>
      </c>
      <c r="AD41" s="181">
        <v>18</v>
      </c>
      <c r="AE41" s="179">
        <v>34653.214285714283</v>
      </c>
      <c r="AF41" s="168">
        <v>18</v>
      </c>
      <c r="AG41" s="179">
        <v>405</v>
      </c>
      <c r="AH41" s="179">
        <v>30321.5625</v>
      </c>
      <c r="AI41" s="181">
        <v>22</v>
      </c>
      <c r="AJ41" s="179">
        <v>42353.928571428572</v>
      </c>
      <c r="AK41" s="168">
        <v>22</v>
      </c>
      <c r="AL41" s="179">
        <v>405</v>
      </c>
      <c r="AM41" s="179">
        <v>37059.6875</v>
      </c>
      <c r="AN41" s="181">
        <v>26</v>
      </c>
      <c r="AO41" s="179">
        <v>50054.642857142855</v>
      </c>
      <c r="AP41" s="168">
        <v>26</v>
      </c>
      <c r="AQ41" s="179">
        <v>405</v>
      </c>
      <c r="AR41" s="179">
        <v>43797.8125</v>
      </c>
      <c r="AS41" s="181">
        <v>30</v>
      </c>
      <c r="AT41" s="179">
        <v>57755.357142857138</v>
      </c>
      <c r="AU41" s="168">
        <v>30</v>
      </c>
      <c r="AV41" s="179">
        <v>405</v>
      </c>
      <c r="AW41" s="179">
        <v>50535.9375</v>
      </c>
      <c r="AX41" s="181">
        <v>34</v>
      </c>
      <c r="AY41" s="179">
        <v>65456.071428571428</v>
      </c>
      <c r="AZ41" s="168">
        <v>34</v>
      </c>
      <c r="BA41" s="179">
        <v>405</v>
      </c>
      <c r="BB41" s="179">
        <v>57274.0625</v>
      </c>
      <c r="BC41" s="181">
        <v>38</v>
      </c>
      <c r="BD41" s="179">
        <v>73156.78571428571</v>
      </c>
      <c r="BE41" s="168">
        <v>38</v>
      </c>
      <c r="BF41" s="179">
        <v>405</v>
      </c>
      <c r="BG41" s="179">
        <v>64012.1875</v>
      </c>
      <c r="BH41" s="181">
        <v>42</v>
      </c>
      <c r="BI41" s="179">
        <v>80857.5</v>
      </c>
      <c r="BJ41" s="168">
        <v>42</v>
      </c>
      <c r="BK41" s="179">
        <v>405</v>
      </c>
      <c r="BL41" s="179">
        <v>70750.3125</v>
      </c>
      <c r="BM41" s="181">
        <v>42</v>
      </c>
      <c r="BN41" s="179">
        <v>80857.5</v>
      </c>
      <c r="BO41" s="168">
        <v>44</v>
      </c>
      <c r="BP41" s="179">
        <v>405</v>
      </c>
      <c r="BQ41" s="179">
        <v>74119.375</v>
      </c>
      <c r="BR41" s="181">
        <v>42</v>
      </c>
      <c r="BS41" s="179">
        <v>80857.5</v>
      </c>
      <c r="BT41" s="168">
        <v>46</v>
      </c>
      <c r="BU41" s="179">
        <v>405</v>
      </c>
      <c r="BV41" s="179">
        <v>77488.4375</v>
      </c>
      <c r="BW41" s="181">
        <v>42</v>
      </c>
      <c r="BX41" s="179">
        <v>80857.5</v>
      </c>
      <c r="BY41" s="168">
        <v>48</v>
      </c>
      <c r="BZ41" s="179">
        <v>658</v>
      </c>
      <c r="CA41" s="179">
        <v>80857.5</v>
      </c>
      <c r="CB41" s="179">
        <v>0</v>
      </c>
    </row>
    <row r="42" spans="1:80" x14ac:dyDescent="0.25">
      <c r="A42" s="30">
        <v>902</v>
      </c>
      <c r="B42" s="16" t="s">
        <v>766</v>
      </c>
      <c r="C42" s="178">
        <v>42</v>
      </c>
      <c r="D42" t="s">
        <v>2796</v>
      </c>
      <c r="E42" s="35">
        <v>120282.22222222222</v>
      </c>
      <c r="F42" s="178">
        <v>2863.8624338624336</v>
      </c>
      <c r="G42" s="178">
        <v>56</v>
      </c>
      <c r="H42" s="180">
        <v>150862.33041000064</v>
      </c>
      <c r="I42" s="178">
        <v>2705.7142857142858</v>
      </c>
      <c r="J42" s="181">
        <v>2</v>
      </c>
      <c r="K42" s="179">
        <v>5727.7248677248672</v>
      </c>
      <c r="L42" s="178">
        <v>5.2</v>
      </c>
      <c r="M42" s="179">
        <v>13526.855000000001</v>
      </c>
      <c r="N42" s="179">
        <v>11169.063492063493</v>
      </c>
      <c r="O42" s="181">
        <v>6</v>
      </c>
      <c r="P42" s="179">
        <v>17183.174603174601</v>
      </c>
      <c r="Q42" s="178">
        <v>8.5</v>
      </c>
      <c r="R42" s="179">
        <v>22713.004999999997</v>
      </c>
      <c r="S42" s="179">
        <v>18257.123015873014</v>
      </c>
      <c r="T42" s="181">
        <v>10</v>
      </c>
      <c r="U42" s="179">
        <v>28638.624338624337</v>
      </c>
      <c r="V42" s="178">
        <v>10.1</v>
      </c>
      <c r="W42" s="179">
        <v>27021.604999999996</v>
      </c>
      <c r="X42" s="179">
        <v>21693.757936507936</v>
      </c>
      <c r="Y42" s="181">
        <v>14</v>
      </c>
      <c r="Z42" s="179">
        <v>40094.074074074073</v>
      </c>
      <c r="AA42" s="178">
        <v>12.5</v>
      </c>
      <c r="AB42" s="179">
        <v>33520.409999999996</v>
      </c>
      <c r="AC42" s="179">
        <v>26848.710317460318</v>
      </c>
      <c r="AD42" s="181">
        <v>18</v>
      </c>
      <c r="AE42" s="179">
        <v>51549.523809523802</v>
      </c>
      <c r="AF42" s="178">
        <v>16</v>
      </c>
      <c r="AG42" s="179">
        <v>42783.900000000009</v>
      </c>
      <c r="AH42" s="179">
        <v>34366.349206349201</v>
      </c>
      <c r="AI42" s="181">
        <v>22</v>
      </c>
      <c r="AJ42" s="179">
        <v>63004.973544973538</v>
      </c>
      <c r="AK42" s="178">
        <v>21.1</v>
      </c>
      <c r="AL42" s="179">
        <v>56715.04000000003</v>
      </c>
      <c r="AM42" s="179">
        <v>45320.623015873018</v>
      </c>
      <c r="AN42" s="181">
        <v>26</v>
      </c>
      <c r="AO42" s="179">
        <v>74460.423280423274</v>
      </c>
      <c r="AP42" s="178">
        <v>26</v>
      </c>
      <c r="AQ42" s="179">
        <v>69999.890000000058</v>
      </c>
      <c r="AR42" s="179">
        <v>55845.317460317463</v>
      </c>
      <c r="AS42" s="181">
        <v>30</v>
      </c>
      <c r="AT42" s="179">
        <v>85915.873015873003</v>
      </c>
      <c r="AU42" s="178">
        <v>31.2</v>
      </c>
      <c r="AV42" s="179">
        <v>84074.65000000014</v>
      </c>
      <c r="AW42" s="179">
        <v>67014.380952380947</v>
      </c>
      <c r="AX42" s="181">
        <v>34</v>
      </c>
      <c r="AY42" s="179">
        <v>97371.322751322747</v>
      </c>
      <c r="AZ42" s="178">
        <v>36.200000000000003</v>
      </c>
      <c r="BA42" s="179">
        <v>97646.740000000209</v>
      </c>
      <c r="BB42" s="179">
        <v>77753.865079365089</v>
      </c>
      <c r="BC42" s="181">
        <v>38</v>
      </c>
      <c r="BD42" s="179">
        <v>108826.77248677248</v>
      </c>
      <c r="BE42" s="178">
        <v>41.8</v>
      </c>
      <c r="BF42" s="179">
        <v>112695.31541000021</v>
      </c>
      <c r="BG42" s="179">
        <v>89782.087301587293</v>
      </c>
      <c r="BH42" s="181">
        <v>42</v>
      </c>
      <c r="BI42" s="179">
        <v>120282.2222222222</v>
      </c>
      <c r="BJ42" s="178">
        <v>47.9</v>
      </c>
      <c r="BK42" s="179">
        <v>129067.99541000034</v>
      </c>
      <c r="BL42" s="179">
        <v>102884.25793650793</v>
      </c>
      <c r="BM42" s="181">
        <v>42</v>
      </c>
      <c r="BN42" s="179">
        <v>120282.2222222222</v>
      </c>
      <c r="BO42" s="178">
        <v>53</v>
      </c>
      <c r="BP42" s="179">
        <v>142999.13541000048</v>
      </c>
      <c r="BQ42" s="179">
        <v>113838.53174603175</v>
      </c>
      <c r="BR42" s="181">
        <v>42</v>
      </c>
      <c r="BS42" s="179">
        <v>120282.2222222222</v>
      </c>
      <c r="BT42" s="178">
        <v>55.9</v>
      </c>
      <c r="BU42" s="179">
        <v>150862.33041000064</v>
      </c>
      <c r="BV42" s="179">
        <v>120067.43253968254</v>
      </c>
      <c r="BW42" s="181">
        <v>42</v>
      </c>
      <c r="BX42" s="179">
        <v>120282.2222222222</v>
      </c>
      <c r="BY42" s="168">
        <v>56</v>
      </c>
      <c r="BZ42" s="179">
        <v>150862.33041000064</v>
      </c>
      <c r="CA42" s="179">
        <v>120282.22222222222</v>
      </c>
      <c r="CB42" s="179">
        <v>0</v>
      </c>
    </row>
    <row r="43" spans="1:80" x14ac:dyDescent="0.25">
      <c r="A43" s="30">
        <v>903</v>
      </c>
      <c r="B43" s="16" t="s">
        <v>2797</v>
      </c>
      <c r="C43" s="178">
        <v>42</v>
      </c>
      <c r="D43" t="s">
        <v>2796</v>
      </c>
      <c r="E43" s="35">
        <v>52500</v>
      </c>
      <c r="F43" s="178">
        <v>1250</v>
      </c>
      <c r="G43" s="178">
        <v>56</v>
      </c>
      <c r="H43" s="180">
        <v>14376.32</v>
      </c>
      <c r="I43" s="178">
        <v>256.71428571428572</v>
      </c>
      <c r="J43" s="181">
        <v>2</v>
      </c>
      <c r="K43" s="179">
        <v>2500</v>
      </c>
      <c r="L43" s="178">
        <v>2.9</v>
      </c>
      <c r="M43" s="179">
        <v>750.57999999999993</v>
      </c>
      <c r="N43" s="179">
        <v>2718.75</v>
      </c>
      <c r="O43" s="181">
        <v>6</v>
      </c>
      <c r="P43" s="179">
        <v>7500</v>
      </c>
      <c r="Q43" s="178">
        <v>6</v>
      </c>
      <c r="R43" s="179">
        <v>2720.2200000000003</v>
      </c>
      <c r="S43" s="179">
        <v>5625</v>
      </c>
      <c r="T43" s="181">
        <v>10</v>
      </c>
      <c r="U43" s="179">
        <v>12500</v>
      </c>
      <c r="V43" s="178">
        <v>6</v>
      </c>
      <c r="W43" s="179">
        <v>2720.2200000000003</v>
      </c>
      <c r="X43" s="179">
        <v>5625</v>
      </c>
      <c r="Y43" s="181">
        <v>14</v>
      </c>
      <c r="Z43" s="179">
        <v>17500</v>
      </c>
      <c r="AA43" s="178">
        <v>16.8</v>
      </c>
      <c r="AB43" s="179">
        <v>4272.22</v>
      </c>
      <c r="AC43" s="179">
        <v>15750</v>
      </c>
      <c r="AD43" s="181">
        <v>18</v>
      </c>
      <c r="AE43" s="179">
        <v>22500</v>
      </c>
      <c r="AF43" s="178">
        <v>22.9</v>
      </c>
      <c r="AG43" s="179">
        <v>5837.02</v>
      </c>
      <c r="AH43" s="179">
        <v>21468.75</v>
      </c>
      <c r="AI43" s="181">
        <v>22</v>
      </c>
      <c r="AJ43" s="179">
        <v>27500</v>
      </c>
      <c r="AK43" s="178">
        <v>22.9</v>
      </c>
      <c r="AL43" s="179">
        <v>5837.02</v>
      </c>
      <c r="AM43" s="179">
        <v>21468.75</v>
      </c>
      <c r="AN43" s="181">
        <v>26</v>
      </c>
      <c r="AO43" s="179">
        <v>32500</v>
      </c>
      <c r="AP43" s="178">
        <v>23.4</v>
      </c>
      <c r="AQ43" s="179">
        <v>5962.02</v>
      </c>
      <c r="AR43" s="179">
        <v>21937.499999999996</v>
      </c>
      <c r="AS43" s="181">
        <v>30</v>
      </c>
      <c r="AT43" s="179">
        <v>37500</v>
      </c>
      <c r="AU43" s="178">
        <v>29.1</v>
      </c>
      <c r="AV43" s="179">
        <v>7419.52</v>
      </c>
      <c r="AW43" s="179">
        <v>27281.250000000004</v>
      </c>
      <c r="AX43" s="181">
        <v>34</v>
      </c>
      <c r="AY43" s="179">
        <v>42500</v>
      </c>
      <c r="AZ43" s="178">
        <v>34.700000000000003</v>
      </c>
      <c r="BA43" s="179">
        <v>8856.7200000000012</v>
      </c>
      <c r="BB43" s="179">
        <v>32531.25</v>
      </c>
      <c r="BC43" s="181">
        <v>38</v>
      </c>
      <c r="BD43" s="179">
        <v>47500</v>
      </c>
      <c r="BE43" s="178">
        <v>39.9</v>
      </c>
      <c r="BF43" s="179">
        <v>10176.720000000001</v>
      </c>
      <c r="BG43" s="179">
        <v>37406.25</v>
      </c>
      <c r="BH43" s="181">
        <v>42</v>
      </c>
      <c r="BI43" s="179">
        <v>52500</v>
      </c>
      <c r="BJ43" s="178">
        <v>45.3</v>
      </c>
      <c r="BK43" s="179">
        <v>11540.720000000001</v>
      </c>
      <c r="BL43" s="179">
        <v>42468.749999999993</v>
      </c>
      <c r="BM43" s="181">
        <v>42</v>
      </c>
      <c r="BN43" s="179">
        <v>52500</v>
      </c>
      <c r="BO43" s="178">
        <v>50.6</v>
      </c>
      <c r="BP43" s="179">
        <v>12906.52</v>
      </c>
      <c r="BQ43" s="179">
        <v>47437.5</v>
      </c>
      <c r="BR43" s="181">
        <v>42</v>
      </c>
      <c r="BS43" s="179">
        <v>52500</v>
      </c>
      <c r="BT43" s="168">
        <v>56</v>
      </c>
      <c r="BU43" s="179">
        <v>14376.32</v>
      </c>
      <c r="BV43" s="179">
        <v>52500</v>
      </c>
      <c r="BW43" s="181">
        <v>42</v>
      </c>
      <c r="BX43" s="179">
        <v>52500</v>
      </c>
      <c r="BY43" s="168">
        <v>56</v>
      </c>
      <c r="BZ43" s="179">
        <v>14376.32</v>
      </c>
      <c r="CA43" s="179">
        <v>52500</v>
      </c>
      <c r="CB43" s="179">
        <v>0</v>
      </c>
    </row>
    <row r="44" spans="1:80" x14ac:dyDescent="0.25">
      <c r="A44" s="30">
        <v>904</v>
      </c>
      <c r="B44" s="16" t="s">
        <v>2798</v>
      </c>
      <c r="C44" s="178">
        <v>1</v>
      </c>
      <c r="D44" t="s">
        <v>2766</v>
      </c>
      <c r="E44" s="35">
        <v>32500</v>
      </c>
      <c r="F44" s="178">
        <v>32500</v>
      </c>
      <c r="G44" s="178">
        <v>1</v>
      </c>
      <c r="H44" s="180">
        <v>29769.099999999988</v>
      </c>
      <c r="I44" s="178">
        <v>29769</v>
      </c>
      <c r="J44" s="181">
        <v>0</v>
      </c>
      <c r="K44" s="179">
        <v>0</v>
      </c>
      <c r="L44" s="178">
        <v>0</v>
      </c>
      <c r="M44" s="179">
        <v>0</v>
      </c>
      <c r="N44" s="179">
        <v>0</v>
      </c>
      <c r="O44" s="181">
        <v>0.75</v>
      </c>
      <c r="P44" s="179">
        <v>24375</v>
      </c>
      <c r="Q44" s="178">
        <v>0.6</v>
      </c>
      <c r="R44" s="179">
        <v>18281.809999999998</v>
      </c>
      <c r="S44" s="179">
        <v>19500</v>
      </c>
      <c r="T44" s="181">
        <v>0.75</v>
      </c>
      <c r="U44" s="179">
        <v>24375</v>
      </c>
      <c r="V44" s="168">
        <v>0.6</v>
      </c>
      <c r="W44" s="179">
        <v>18281.809999999998</v>
      </c>
      <c r="X44" s="179">
        <v>19500</v>
      </c>
      <c r="Y44" s="181">
        <v>0.75</v>
      </c>
      <c r="Z44" s="179">
        <v>24375</v>
      </c>
      <c r="AA44" s="168">
        <v>0.6</v>
      </c>
      <c r="AB44" s="179">
        <v>18281.809999999998</v>
      </c>
      <c r="AC44" s="179">
        <v>19500</v>
      </c>
      <c r="AD44" s="181">
        <v>0.75</v>
      </c>
      <c r="AE44" s="179">
        <v>24375</v>
      </c>
      <c r="AF44" s="168">
        <v>0.6</v>
      </c>
      <c r="AG44" s="179">
        <v>18893.809999999998</v>
      </c>
      <c r="AH44" s="179">
        <v>19500</v>
      </c>
      <c r="AI44" s="181">
        <v>0.75</v>
      </c>
      <c r="AJ44" s="179">
        <v>24375</v>
      </c>
      <c r="AK44" s="168">
        <v>0.7</v>
      </c>
      <c r="AL44" s="179">
        <v>20141.269999999997</v>
      </c>
      <c r="AM44" s="179">
        <v>22750</v>
      </c>
      <c r="AN44" s="181">
        <v>0.75</v>
      </c>
      <c r="AO44" s="179">
        <v>24375</v>
      </c>
      <c r="AP44" s="168">
        <v>0.7</v>
      </c>
      <c r="AQ44" s="179">
        <v>21581.269999999997</v>
      </c>
      <c r="AR44" s="179">
        <v>22750</v>
      </c>
      <c r="AS44" s="181">
        <v>0.75</v>
      </c>
      <c r="AT44" s="179">
        <v>24375</v>
      </c>
      <c r="AU44" s="168">
        <v>0.7</v>
      </c>
      <c r="AV44" s="179">
        <v>21800.269999999997</v>
      </c>
      <c r="AW44" s="179">
        <v>22750</v>
      </c>
      <c r="AX44" s="181">
        <v>0.75</v>
      </c>
      <c r="AY44" s="179">
        <v>24375</v>
      </c>
      <c r="AZ44" s="168">
        <v>0.8</v>
      </c>
      <c r="BA44" s="179">
        <v>23436.109999999997</v>
      </c>
      <c r="BB44" s="179">
        <v>26000</v>
      </c>
      <c r="BC44" s="181">
        <v>1</v>
      </c>
      <c r="BD44" s="179">
        <v>32500</v>
      </c>
      <c r="BE44" s="168">
        <v>0.9</v>
      </c>
      <c r="BF44" s="179">
        <v>25093.549999999996</v>
      </c>
      <c r="BG44" s="179">
        <v>29250</v>
      </c>
      <c r="BH44" s="181">
        <v>1</v>
      </c>
      <c r="BI44" s="179">
        <v>32500</v>
      </c>
      <c r="BJ44" s="168">
        <v>0.9</v>
      </c>
      <c r="BK44" s="179">
        <v>28294.049999999992</v>
      </c>
      <c r="BL44" s="179">
        <v>29250</v>
      </c>
      <c r="BM44" s="181">
        <v>1</v>
      </c>
      <c r="BN44" s="179">
        <v>32500</v>
      </c>
      <c r="BO44" s="168">
        <v>0.9</v>
      </c>
      <c r="BP44" s="179">
        <v>29683.899999999991</v>
      </c>
      <c r="BQ44" s="179">
        <v>29250</v>
      </c>
      <c r="BR44" s="181">
        <v>1</v>
      </c>
      <c r="BS44" s="179">
        <v>32500</v>
      </c>
      <c r="BT44" s="168">
        <v>1</v>
      </c>
      <c r="BU44" s="179">
        <v>29769.099999999988</v>
      </c>
      <c r="BV44" s="179">
        <v>32500</v>
      </c>
      <c r="BW44" s="181">
        <v>1</v>
      </c>
      <c r="BX44" s="179">
        <v>32500</v>
      </c>
      <c r="BY44" s="168">
        <v>1</v>
      </c>
      <c r="BZ44" s="179">
        <v>29769.099999999988</v>
      </c>
      <c r="CA44" s="179">
        <v>32500</v>
      </c>
      <c r="CB44" s="179">
        <v>0</v>
      </c>
    </row>
    <row r="45" spans="1:80" x14ac:dyDescent="0.25">
      <c r="A45" s="30">
        <v>905</v>
      </c>
      <c r="B45" s="16" t="s">
        <v>2178</v>
      </c>
      <c r="C45" s="178">
        <v>0</v>
      </c>
      <c r="D45" t="s">
        <v>2766</v>
      </c>
      <c r="E45" s="35">
        <v>0</v>
      </c>
      <c r="F45" s="178">
        <v>0</v>
      </c>
      <c r="G45" s="178">
        <v>1</v>
      </c>
      <c r="H45" s="180">
        <v>13752.069000000007</v>
      </c>
      <c r="I45" s="178">
        <v>13752</v>
      </c>
      <c r="J45" s="181">
        <v>0</v>
      </c>
      <c r="K45" s="179">
        <v>0</v>
      </c>
      <c r="L45" s="178">
        <v>0</v>
      </c>
      <c r="M45" s="179">
        <v>0</v>
      </c>
      <c r="N45" s="179">
        <v>0</v>
      </c>
      <c r="O45" s="181">
        <v>0</v>
      </c>
      <c r="P45" s="179">
        <v>0</v>
      </c>
      <c r="Q45" s="178">
        <v>0.1</v>
      </c>
      <c r="R45" s="179">
        <v>695.04999999999984</v>
      </c>
      <c r="S45" s="179">
        <v>0</v>
      </c>
      <c r="T45" s="181">
        <v>0</v>
      </c>
      <c r="U45" s="179">
        <v>0</v>
      </c>
      <c r="V45" s="168">
        <v>0.2</v>
      </c>
      <c r="W45" s="179">
        <v>1275.2199999999998</v>
      </c>
      <c r="X45" s="179">
        <v>0</v>
      </c>
      <c r="Y45" s="181">
        <v>0</v>
      </c>
      <c r="Z45" s="179">
        <v>0</v>
      </c>
      <c r="AA45" s="168">
        <v>0.3</v>
      </c>
      <c r="AB45" s="179">
        <v>1850.0659999999996</v>
      </c>
      <c r="AC45" s="179">
        <v>0</v>
      </c>
      <c r="AD45" s="181">
        <v>0</v>
      </c>
      <c r="AE45" s="179">
        <v>0</v>
      </c>
      <c r="AF45" s="168">
        <v>0.4</v>
      </c>
      <c r="AG45" s="179">
        <v>2924.0959999999991</v>
      </c>
      <c r="AH45" s="179">
        <v>0</v>
      </c>
      <c r="AI45" s="181">
        <v>0</v>
      </c>
      <c r="AJ45" s="179">
        <v>0</v>
      </c>
      <c r="AK45" s="168">
        <v>0.5</v>
      </c>
      <c r="AL45" s="179">
        <v>4223.0259999999989</v>
      </c>
      <c r="AM45" s="179">
        <v>0</v>
      </c>
      <c r="AN45" s="181">
        <v>0</v>
      </c>
      <c r="AO45" s="179">
        <v>0</v>
      </c>
      <c r="AP45" s="168">
        <v>0.6</v>
      </c>
      <c r="AQ45" s="179">
        <v>7172.9259999999995</v>
      </c>
      <c r="AR45" s="179">
        <v>0</v>
      </c>
      <c r="AS45" s="181">
        <v>0</v>
      </c>
      <c r="AT45" s="179">
        <v>0</v>
      </c>
      <c r="AU45" s="168">
        <v>0.7</v>
      </c>
      <c r="AV45" s="179">
        <v>8068.6009999999997</v>
      </c>
      <c r="AW45" s="179">
        <v>0</v>
      </c>
      <c r="AX45" s="181">
        <v>0</v>
      </c>
      <c r="AY45" s="179">
        <v>0</v>
      </c>
      <c r="AZ45" s="168">
        <v>0.8</v>
      </c>
      <c r="BA45" s="179">
        <v>9756.4509999999991</v>
      </c>
      <c r="BB45" s="179">
        <v>0</v>
      </c>
      <c r="BC45" s="181">
        <v>0</v>
      </c>
      <c r="BD45" s="179">
        <v>0</v>
      </c>
      <c r="BE45" s="168">
        <v>0.9</v>
      </c>
      <c r="BF45" s="179">
        <v>11068.731</v>
      </c>
      <c r="BG45" s="179">
        <v>0</v>
      </c>
      <c r="BH45" s="181">
        <v>0</v>
      </c>
      <c r="BI45" s="179">
        <v>0</v>
      </c>
      <c r="BJ45" s="168">
        <v>0.9</v>
      </c>
      <c r="BK45" s="179">
        <v>12303.091000000002</v>
      </c>
      <c r="BL45" s="179">
        <v>0</v>
      </c>
      <c r="BM45" s="181">
        <v>0</v>
      </c>
      <c r="BN45" s="179">
        <v>0</v>
      </c>
      <c r="BO45" s="168">
        <v>0.9</v>
      </c>
      <c r="BP45" s="179">
        <v>13382.734000000004</v>
      </c>
      <c r="BQ45" s="179">
        <v>0</v>
      </c>
      <c r="BR45" s="181">
        <v>0</v>
      </c>
      <c r="BS45" s="179">
        <v>0</v>
      </c>
      <c r="BT45" s="168">
        <v>1</v>
      </c>
      <c r="BU45" s="179">
        <v>13752.069000000007</v>
      </c>
      <c r="BV45" s="179">
        <v>0</v>
      </c>
      <c r="BW45" s="181">
        <v>0</v>
      </c>
      <c r="BX45" s="179">
        <v>0</v>
      </c>
      <c r="BY45" s="168">
        <v>1</v>
      </c>
      <c r="BZ45" s="179">
        <v>13752.069000000007</v>
      </c>
      <c r="CA45" s="179">
        <v>0</v>
      </c>
      <c r="CB45" s="179">
        <v>0</v>
      </c>
    </row>
    <row r="46" spans="1:80" x14ac:dyDescent="0.25">
      <c r="A46" s="30">
        <v>907</v>
      </c>
      <c r="B46" s="16" t="s">
        <v>2799</v>
      </c>
      <c r="C46" s="178">
        <v>1</v>
      </c>
      <c r="D46" t="s">
        <v>2766</v>
      </c>
      <c r="E46" s="35">
        <v>18700</v>
      </c>
      <c r="F46" s="178">
        <v>18700</v>
      </c>
      <c r="G46" s="178">
        <v>1</v>
      </c>
      <c r="H46" s="180">
        <v>14352.61</v>
      </c>
      <c r="I46" s="178">
        <v>14353</v>
      </c>
      <c r="J46" s="181">
        <v>0.1</v>
      </c>
      <c r="K46" s="179">
        <v>1870</v>
      </c>
      <c r="L46" s="178">
        <v>0.1</v>
      </c>
      <c r="M46" s="179">
        <v>1141.72</v>
      </c>
      <c r="N46" s="179">
        <v>1870</v>
      </c>
      <c r="O46" s="181">
        <v>0.2</v>
      </c>
      <c r="P46" s="179">
        <v>3740</v>
      </c>
      <c r="Q46" s="178">
        <v>0.1</v>
      </c>
      <c r="R46" s="179">
        <v>1281.52</v>
      </c>
      <c r="S46" s="179">
        <v>1870</v>
      </c>
      <c r="T46" s="181">
        <v>0.2</v>
      </c>
      <c r="U46" s="179">
        <v>3740</v>
      </c>
      <c r="V46" s="178">
        <v>0.1</v>
      </c>
      <c r="W46" s="179">
        <v>1281.52</v>
      </c>
      <c r="X46" s="179">
        <v>1870</v>
      </c>
      <c r="Y46" s="181">
        <v>0.2</v>
      </c>
      <c r="Z46" s="179">
        <v>3740</v>
      </c>
      <c r="AA46" s="178">
        <v>0.1</v>
      </c>
      <c r="AB46" s="179">
        <v>1281.52</v>
      </c>
      <c r="AC46" s="179">
        <v>1870</v>
      </c>
      <c r="AD46" s="181">
        <v>0.3</v>
      </c>
      <c r="AE46" s="179">
        <v>5610</v>
      </c>
      <c r="AF46" s="178">
        <v>0.1</v>
      </c>
      <c r="AG46" s="179">
        <v>1560.94</v>
      </c>
      <c r="AH46" s="179">
        <v>1870</v>
      </c>
      <c r="AI46" s="181">
        <v>0.5</v>
      </c>
      <c r="AJ46" s="179">
        <v>9350</v>
      </c>
      <c r="AK46" s="178">
        <v>0.4</v>
      </c>
      <c r="AL46" s="179">
        <v>4882.34</v>
      </c>
      <c r="AM46" s="179">
        <v>7480</v>
      </c>
      <c r="AN46" s="181">
        <v>0.5</v>
      </c>
      <c r="AO46" s="179">
        <v>9350</v>
      </c>
      <c r="AP46" s="178">
        <v>0.6</v>
      </c>
      <c r="AQ46" s="179">
        <v>6852.34</v>
      </c>
      <c r="AR46" s="179">
        <v>11220</v>
      </c>
      <c r="AS46" s="181">
        <v>0.6</v>
      </c>
      <c r="AT46" s="179">
        <v>11220</v>
      </c>
      <c r="AU46" s="178">
        <v>0.8</v>
      </c>
      <c r="AV46" s="179">
        <v>9256.14</v>
      </c>
      <c r="AW46" s="179">
        <v>14960</v>
      </c>
      <c r="AX46" s="181">
        <v>0.7</v>
      </c>
      <c r="AY46" s="179">
        <v>13090</v>
      </c>
      <c r="AZ46" s="178">
        <v>0.9</v>
      </c>
      <c r="BA46" s="179">
        <v>9949.14</v>
      </c>
      <c r="BB46" s="179">
        <v>16830</v>
      </c>
      <c r="BC46" s="181">
        <v>0.7</v>
      </c>
      <c r="BD46" s="179">
        <v>13090</v>
      </c>
      <c r="BE46" s="178">
        <v>0.9</v>
      </c>
      <c r="BF46" s="179">
        <v>12285.79</v>
      </c>
      <c r="BG46" s="179">
        <v>16830</v>
      </c>
      <c r="BH46" s="181">
        <v>1</v>
      </c>
      <c r="BI46" s="179">
        <v>18700</v>
      </c>
      <c r="BJ46" s="168">
        <v>0.95</v>
      </c>
      <c r="BK46" s="179">
        <v>13626.150000000001</v>
      </c>
      <c r="BL46" s="179">
        <v>17765</v>
      </c>
      <c r="BM46" s="181">
        <v>1</v>
      </c>
      <c r="BN46" s="179">
        <v>18700</v>
      </c>
      <c r="BO46" s="168">
        <v>1</v>
      </c>
      <c r="BP46" s="179">
        <v>14152.61</v>
      </c>
      <c r="BQ46" s="179">
        <v>18700</v>
      </c>
      <c r="BR46" s="181">
        <v>1</v>
      </c>
      <c r="BS46" s="179">
        <v>18700</v>
      </c>
      <c r="BT46" s="168">
        <v>1</v>
      </c>
      <c r="BU46" s="179">
        <v>14352.61</v>
      </c>
      <c r="BV46" s="179">
        <v>18700</v>
      </c>
      <c r="BW46" s="181">
        <v>1</v>
      </c>
      <c r="BX46" s="179">
        <v>18700</v>
      </c>
      <c r="BY46" s="168">
        <v>1</v>
      </c>
      <c r="BZ46" s="179">
        <v>14352.61</v>
      </c>
      <c r="CA46" s="179">
        <v>18700</v>
      </c>
      <c r="CB46" s="179">
        <v>0</v>
      </c>
    </row>
    <row r="47" spans="1:80" x14ac:dyDescent="0.25">
      <c r="A47" s="30">
        <v>908</v>
      </c>
      <c r="B47" s="16" t="s">
        <v>2817</v>
      </c>
      <c r="C47" s="178">
        <v>0</v>
      </c>
      <c r="D47" t="s">
        <v>2766</v>
      </c>
      <c r="E47" s="35">
        <v>0</v>
      </c>
      <c r="F47" s="178">
        <v>0</v>
      </c>
      <c r="G47" s="178">
        <v>1</v>
      </c>
      <c r="H47" s="180">
        <v>413.73</v>
      </c>
      <c r="I47" s="178">
        <v>413.73</v>
      </c>
      <c r="J47" s="181">
        <v>0</v>
      </c>
      <c r="K47" s="179">
        <v>0</v>
      </c>
      <c r="L47" s="178">
        <v>0</v>
      </c>
      <c r="M47" s="179">
        <v>0</v>
      </c>
      <c r="N47" s="179">
        <v>0</v>
      </c>
      <c r="O47" s="181">
        <v>0</v>
      </c>
      <c r="P47" s="179">
        <v>0</v>
      </c>
      <c r="Q47" s="178">
        <v>0</v>
      </c>
      <c r="R47" s="179">
        <v>0</v>
      </c>
      <c r="S47" s="179">
        <v>0</v>
      </c>
      <c r="T47" s="181">
        <v>0</v>
      </c>
      <c r="U47" s="179">
        <v>0</v>
      </c>
      <c r="V47" s="178">
        <v>0</v>
      </c>
      <c r="W47" s="179">
        <v>0</v>
      </c>
      <c r="X47" s="179">
        <v>0</v>
      </c>
      <c r="Y47" s="181">
        <v>0</v>
      </c>
      <c r="Z47" s="179">
        <v>0</v>
      </c>
      <c r="AA47" s="178">
        <v>0</v>
      </c>
      <c r="AB47" s="179">
        <v>0</v>
      </c>
      <c r="AC47" s="179">
        <v>0</v>
      </c>
      <c r="AD47" s="181">
        <v>0</v>
      </c>
      <c r="AE47" s="179">
        <v>0</v>
      </c>
      <c r="AF47" s="178">
        <v>0</v>
      </c>
      <c r="AG47" s="179">
        <v>0</v>
      </c>
      <c r="AH47" s="179">
        <v>0</v>
      </c>
      <c r="AI47" s="181">
        <v>0</v>
      </c>
      <c r="AJ47" s="179">
        <v>0</v>
      </c>
      <c r="AK47" s="178">
        <v>0</v>
      </c>
      <c r="AL47" s="179">
        <v>0</v>
      </c>
      <c r="AM47" s="179">
        <v>0</v>
      </c>
      <c r="AN47" s="181">
        <v>0</v>
      </c>
      <c r="AO47" s="179">
        <v>0</v>
      </c>
      <c r="AP47" s="178">
        <v>0.65682933313997049</v>
      </c>
      <c r="AQ47" s="179">
        <v>271.75</v>
      </c>
      <c r="AR47" s="179">
        <v>0</v>
      </c>
      <c r="AS47" s="181">
        <v>0</v>
      </c>
      <c r="AT47" s="179">
        <v>0</v>
      </c>
      <c r="AU47" s="178">
        <v>0.65682933313997049</v>
      </c>
      <c r="AV47" s="179">
        <v>271.75</v>
      </c>
      <c r="AW47" s="179">
        <v>0</v>
      </c>
      <c r="AX47" s="181">
        <v>0</v>
      </c>
      <c r="AY47" s="179">
        <v>0</v>
      </c>
      <c r="AZ47" s="178">
        <v>0.65682933313997049</v>
      </c>
      <c r="BA47" s="179">
        <v>271.75</v>
      </c>
      <c r="BB47" s="179">
        <v>0</v>
      </c>
      <c r="BC47" s="181">
        <v>0</v>
      </c>
      <c r="BD47" s="179">
        <v>0</v>
      </c>
      <c r="BE47" s="178">
        <v>0.65682933313997049</v>
      </c>
      <c r="BF47" s="179">
        <v>271.75</v>
      </c>
      <c r="BG47" s="179">
        <v>0</v>
      </c>
      <c r="BH47" s="181">
        <v>0</v>
      </c>
      <c r="BI47" s="179">
        <v>0</v>
      </c>
      <c r="BJ47" s="178">
        <v>0.65682933313997049</v>
      </c>
      <c r="BK47" s="179">
        <v>271.75</v>
      </c>
      <c r="BL47" s="179">
        <v>0</v>
      </c>
      <c r="BM47" s="181">
        <v>0</v>
      </c>
      <c r="BN47" s="179">
        <v>0</v>
      </c>
      <c r="BO47" s="178">
        <v>1</v>
      </c>
      <c r="BP47" s="179">
        <v>413.73</v>
      </c>
      <c r="BQ47" s="179">
        <v>0</v>
      </c>
      <c r="BR47" s="181">
        <v>0</v>
      </c>
      <c r="BS47" s="179">
        <v>0</v>
      </c>
      <c r="BT47" s="178">
        <v>1</v>
      </c>
      <c r="BU47" s="179">
        <v>413.73</v>
      </c>
      <c r="BV47" s="179">
        <v>0</v>
      </c>
      <c r="BW47" s="181">
        <v>0</v>
      </c>
      <c r="BX47" s="179">
        <v>0</v>
      </c>
      <c r="BY47" s="178">
        <v>1</v>
      </c>
      <c r="BZ47" s="179">
        <v>413.73</v>
      </c>
      <c r="CA47" s="179">
        <v>0</v>
      </c>
      <c r="CB47" s="179">
        <v>0</v>
      </c>
    </row>
    <row r="48" spans="1:80" x14ac:dyDescent="0.25">
      <c r="A48" s="30">
        <v>911</v>
      </c>
      <c r="B48" s="16" t="s">
        <v>2228</v>
      </c>
      <c r="C48" s="178">
        <v>0</v>
      </c>
      <c r="D48" t="s">
        <v>2766</v>
      </c>
      <c r="E48" s="35">
        <v>0</v>
      </c>
      <c r="F48" s="178">
        <v>0</v>
      </c>
      <c r="G48" s="178">
        <v>1</v>
      </c>
      <c r="H48" s="180">
        <v>2626.9</v>
      </c>
      <c r="I48" s="178">
        <v>2626.9</v>
      </c>
      <c r="J48" s="181">
        <v>0</v>
      </c>
      <c r="K48" s="179">
        <v>0</v>
      </c>
      <c r="L48" s="178">
        <v>0</v>
      </c>
      <c r="M48" s="179">
        <v>0</v>
      </c>
      <c r="N48" s="179">
        <v>0</v>
      </c>
      <c r="O48" s="181">
        <v>0</v>
      </c>
      <c r="P48" s="179">
        <v>0</v>
      </c>
      <c r="Q48" s="178">
        <v>4.4858959229510068E-2</v>
      </c>
      <c r="R48" s="179">
        <v>117.84</v>
      </c>
      <c r="S48" s="179">
        <v>0</v>
      </c>
      <c r="T48" s="181">
        <v>0</v>
      </c>
      <c r="U48" s="179">
        <v>0</v>
      </c>
      <c r="V48" s="178">
        <v>4.4858959229510068E-2</v>
      </c>
      <c r="W48" s="179">
        <v>117.84</v>
      </c>
      <c r="X48" s="179">
        <v>0</v>
      </c>
      <c r="Y48" s="181">
        <v>0</v>
      </c>
      <c r="Z48" s="179">
        <v>0</v>
      </c>
      <c r="AA48" s="178">
        <v>4.4858959229510068E-2</v>
      </c>
      <c r="AB48" s="179">
        <v>117.84</v>
      </c>
      <c r="AC48" s="179">
        <v>0</v>
      </c>
      <c r="AD48" s="181">
        <v>0</v>
      </c>
      <c r="AE48" s="179">
        <v>0</v>
      </c>
      <c r="AF48" s="178">
        <v>0.14730671133274964</v>
      </c>
      <c r="AG48" s="179">
        <v>386.96000000000004</v>
      </c>
      <c r="AH48" s="179">
        <v>0</v>
      </c>
      <c r="AI48" s="181">
        <v>0</v>
      </c>
      <c r="AJ48" s="179">
        <v>0</v>
      </c>
      <c r="AK48" s="178">
        <v>0.14730671133274964</v>
      </c>
      <c r="AL48" s="179">
        <v>386.96000000000004</v>
      </c>
      <c r="AM48" s="179">
        <v>0</v>
      </c>
      <c r="AN48" s="181">
        <v>0</v>
      </c>
      <c r="AO48" s="179">
        <v>0</v>
      </c>
      <c r="AP48" s="178">
        <v>0.14730671133274964</v>
      </c>
      <c r="AQ48" s="179">
        <v>386.96000000000004</v>
      </c>
      <c r="AR48" s="179">
        <v>0</v>
      </c>
      <c r="AS48" s="181">
        <v>0</v>
      </c>
      <c r="AT48" s="179">
        <v>0</v>
      </c>
      <c r="AU48" s="178">
        <v>0.24475617648178463</v>
      </c>
      <c r="AV48" s="179">
        <v>642.95000000000005</v>
      </c>
      <c r="AW48" s="179">
        <v>0</v>
      </c>
      <c r="AX48" s="181">
        <v>0</v>
      </c>
      <c r="AY48" s="179">
        <v>0</v>
      </c>
      <c r="AZ48" s="178">
        <v>0.34220564163081962</v>
      </c>
      <c r="BA48" s="179">
        <v>898.94</v>
      </c>
      <c r="BB48" s="179">
        <v>0</v>
      </c>
      <c r="BC48" s="181">
        <v>0</v>
      </c>
      <c r="BD48" s="179">
        <v>0</v>
      </c>
      <c r="BE48" s="178">
        <v>0.34220564163081962</v>
      </c>
      <c r="BF48" s="179">
        <v>898.94</v>
      </c>
      <c r="BG48" s="179">
        <v>0</v>
      </c>
      <c r="BH48" s="181">
        <v>0</v>
      </c>
      <c r="BI48" s="179">
        <v>0</v>
      </c>
      <c r="BJ48" s="178">
        <v>0.41132132932353721</v>
      </c>
      <c r="BK48" s="179">
        <v>1080.5</v>
      </c>
      <c r="BL48" s="179">
        <v>0</v>
      </c>
      <c r="BM48" s="181">
        <v>0</v>
      </c>
      <c r="BN48" s="179">
        <v>0</v>
      </c>
      <c r="BO48" s="178">
        <v>0.41132132932353721</v>
      </c>
      <c r="BP48" s="179">
        <v>1080.5</v>
      </c>
      <c r="BQ48" s="179">
        <v>0</v>
      </c>
      <c r="BR48" s="181">
        <v>0</v>
      </c>
      <c r="BS48" s="179">
        <v>0</v>
      </c>
      <c r="BT48" s="178">
        <v>0.41132132932353721</v>
      </c>
      <c r="BU48" s="179">
        <v>1080.5</v>
      </c>
      <c r="BV48" s="179">
        <v>0</v>
      </c>
      <c r="BW48" s="181">
        <v>0</v>
      </c>
      <c r="BX48" s="179">
        <v>0</v>
      </c>
      <c r="BY48" s="178">
        <v>1</v>
      </c>
      <c r="BZ48" s="179">
        <v>2626.9</v>
      </c>
      <c r="CA48" s="179">
        <v>0</v>
      </c>
      <c r="CB48" s="179">
        <v>0</v>
      </c>
    </row>
    <row r="49" spans="1:80" x14ac:dyDescent="0.25">
      <c r="A49" s="30">
        <v>913</v>
      </c>
      <c r="B49" s="16" t="s">
        <v>2818</v>
      </c>
      <c r="C49" s="178">
        <v>0</v>
      </c>
      <c r="D49" t="s">
        <v>2763</v>
      </c>
      <c r="E49" s="35">
        <v>0</v>
      </c>
      <c r="F49" s="178">
        <v>0</v>
      </c>
      <c r="G49" s="178">
        <v>327</v>
      </c>
      <c r="H49" s="180">
        <v>13752.764999999989</v>
      </c>
      <c r="I49" s="178">
        <v>42.057385321100881</v>
      </c>
      <c r="J49" s="181">
        <v>0</v>
      </c>
      <c r="K49" s="179">
        <v>0</v>
      </c>
      <c r="L49" s="178">
        <v>0</v>
      </c>
      <c r="M49" s="179">
        <v>0</v>
      </c>
      <c r="N49" s="179">
        <v>0</v>
      </c>
      <c r="O49" s="181">
        <v>0</v>
      </c>
      <c r="P49" s="179">
        <v>0</v>
      </c>
      <c r="Q49" s="178">
        <v>0</v>
      </c>
      <c r="R49" s="179">
        <v>0</v>
      </c>
      <c r="S49" s="179">
        <v>0</v>
      </c>
      <c r="T49" s="181">
        <v>0</v>
      </c>
      <c r="U49" s="179">
        <v>0</v>
      </c>
      <c r="V49" s="178">
        <v>0</v>
      </c>
      <c r="W49" s="179">
        <v>0</v>
      </c>
      <c r="X49" s="179">
        <v>0</v>
      </c>
      <c r="Y49" s="181">
        <v>0</v>
      </c>
      <c r="Z49" s="179">
        <v>0</v>
      </c>
      <c r="AA49" s="178">
        <v>3.2775227381548394E-2</v>
      </c>
      <c r="AB49" s="179">
        <v>450.75</v>
      </c>
      <c r="AC49" s="179">
        <v>0</v>
      </c>
      <c r="AD49" s="181">
        <v>0</v>
      </c>
      <c r="AE49" s="179">
        <v>0</v>
      </c>
      <c r="AF49" s="178">
        <v>0.12402415077986145</v>
      </c>
      <c r="AG49" s="179">
        <v>1705.675</v>
      </c>
      <c r="AH49" s="179">
        <v>0</v>
      </c>
      <c r="AI49" s="181">
        <v>0</v>
      </c>
      <c r="AJ49" s="179">
        <v>0</v>
      </c>
      <c r="AK49" s="178">
        <v>0.50572739372773445</v>
      </c>
      <c r="AL49" s="179">
        <v>6955.15</v>
      </c>
      <c r="AM49" s="179">
        <v>0</v>
      </c>
      <c r="AN49" s="181">
        <v>0</v>
      </c>
      <c r="AO49" s="179">
        <v>0</v>
      </c>
      <c r="AP49" s="178">
        <v>0.50572739372773445</v>
      </c>
      <c r="AQ49" s="179">
        <v>6955.15</v>
      </c>
      <c r="AR49" s="179">
        <v>0</v>
      </c>
      <c r="AS49" s="181">
        <v>0</v>
      </c>
      <c r="AT49" s="179">
        <v>0</v>
      </c>
      <c r="AU49" s="178">
        <v>0.60562003349871851</v>
      </c>
      <c r="AV49" s="179">
        <v>8328.9499999999971</v>
      </c>
      <c r="AW49" s="179">
        <v>0</v>
      </c>
      <c r="AX49" s="181">
        <v>0</v>
      </c>
      <c r="AY49" s="179">
        <v>0</v>
      </c>
      <c r="AZ49" s="178">
        <v>0.68669463922345808</v>
      </c>
      <c r="BA49" s="179">
        <v>9443.9499999999935</v>
      </c>
      <c r="BB49" s="179">
        <v>0</v>
      </c>
      <c r="BC49" s="181">
        <v>0</v>
      </c>
      <c r="BD49" s="179">
        <v>0</v>
      </c>
      <c r="BE49" s="178">
        <v>1</v>
      </c>
      <c r="BF49" s="179">
        <v>13752.764999999989</v>
      </c>
      <c r="BG49" s="179">
        <v>0</v>
      </c>
      <c r="BH49" s="181">
        <v>0</v>
      </c>
      <c r="BI49" s="179">
        <v>0</v>
      </c>
      <c r="BJ49" s="178">
        <v>1</v>
      </c>
      <c r="BK49" s="179">
        <v>13752.764999999989</v>
      </c>
      <c r="BL49" s="179">
        <v>0</v>
      </c>
      <c r="BM49" s="181">
        <v>0</v>
      </c>
      <c r="BN49" s="179">
        <v>0</v>
      </c>
      <c r="BO49" s="178">
        <v>1</v>
      </c>
      <c r="BP49" s="179">
        <v>13752.764999999989</v>
      </c>
      <c r="BQ49" s="179">
        <v>0</v>
      </c>
      <c r="BR49" s="181">
        <v>0</v>
      </c>
      <c r="BS49" s="179">
        <v>0</v>
      </c>
      <c r="BT49" s="178">
        <v>1</v>
      </c>
      <c r="BU49" s="179">
        <v>13752.764999999989</v>
      </c>
      <c r="BV49" s="179">
        <v>0</v>
      </c>
      <c r="BW49" s="181">
        <v>0</v>
      </c>
      <c r="BX49" s="179">
        <v>0</v>
      </c>
      <c r="BY49" s="178">
        <v>1</v>
      </c>
      <c r="BZ49" s="179">
        <v>13752.764999999989</v>
      </c>
      <c r="CA49" s="179">
        <v>0</v>
      </c>
      <c r="CB49" s="179">
        <v>0</v>
      </c>
    </row>
    <row r="50" spans="1:80" x14ac:dyDescent="0.25">
      <c r="A50" s="30">
        <v>915</v>
      </c>
      <c r="B50" s="16" t="s">
        <v>2819</v>
      </c>
      <c r="C50" s="178">
        <v>0</v>
      </c>
      <c r="D50" t="s">
        <v>2766</v>
      </c>
      <c r="E50" s="35">
        <v>0</v>
      </c>
      <c r="F50" s="178">
        <v>0</v>
      </c>
      <c r="G50" s="178">
        <v>22</v>
      </c>
      <c r="H50" s="180">
        <v>925.02</v>
      </c>
      <c r="I50" s="178">
        <v>42.046363636363637</v>
      </c>
      <c r="J50" s="181">
        <v>0</v>
      </c>
      <c r="K50" s="179">
        <v>0</v>
      </c>
      <c r="L50" s="178">
        <v>0</v>
      </c>
      <c r="M50" s="179">
        <v>0</v>
      </c>
      <c r="N50" s="179">
        <v>0</v>
      </c>
      <c r="O50" s="181">
        <v>0</v>
      </c>
      <c r="P50" s="179">
        <v>0</v>
      </c>
      <c r="Q50" s="178">
        <v>0</v>
      </c>
      <c r="R50" s="179">
        <v>0</v>
      </c>
      <c r="S50" s="179">
        <v>0</v>
      </c>
      <c r="T50" s="181">
        <v>0</v>
      </c>
      <c r="U50" s="179">
        <v>0</v>
      </c>
      <c r="V50" s="178">
        <v>0</v>
      </c>
      <c r="W50" s="179">
        <v>0</v>
      </c>
      <c r="X50" s="179">
        <v>0</v>
      </c>
      <c r="Y50" s="181">
        <v>0</v>
      </c>
      <c r="Z50" s="179">
        <v>0</v>
      </c>
      <c r="AA50" s="178">
        <v>0</v>
      </c>
      <c r="AB50" s="179">
        <v>0</v>
      </c>
      <c r="AC50" s="179">
        <v>0</v>
      </c>
      <c r="AD50" s="181">
        <v>0</v>
      </c>
      <c r="AE50" s="179">
        <v>0</v>
      </c>
      <c r="AF50" s="178">
        <v>0.17196925471881688</v>
      </c>
      <c r="AG50" s="179">
        <v>159.07499999999999</v>
      </c>
      <c r="AH50" s="179">
        <v>0</v>
      </c>
      <c r="AI50" s="181">
        <v>0</v>
      </c>
      <c r="AJ50" s="179">
        <v>0</v>
      </c>
      <c r="AK50" s="178">
        <v>0.17196925471881688</v>
      </c>
      <c r="AL50" s="179">
        <v>159.07499999999999</v>
      </c>
      <c r="AM50" s="179">
        <v>0</v>
      </c>
      <c r="AN50" s="181">
        <v>0</v>
      </c>
      <c r="AO50" s="179">
        <v>0</v>
      </c>
      <c r="AP50" s="178">
        <v>0.17196925471881688</v>
      </c>
      <c r="AQ50" s="179">
        <v>159.07499999999999</v>
      </c>
      <c r="AR50" s="179">
        <v>0</v>
      </c>
      <c r="AS50" s="181">
        <v>0</v>
      </c>
      <c r="AT50" s="179">
        <v>0</v>
      </c>
      <c r="AU50" s="178">
        <v>0.17196925471881688</v>
      </c>
      <c r="AV50" s="179">
        <v>159.07499999999999</v>
      </c>
      <c r="AW50" s="179">
        <v>0</v>
      </c>
      <c r="AX50" s="181">
        <v>0</v>
      </c>
      <c r="AY50" s="179">
        <v>0</v>
      </c>
      <c r="AZ50" s="178">
        <v>0.17196925471881688</v>
      </c>
      <c r="BA50" s="179">
        <v>159.07499999999999</v>
      </c>
      <c r="BB50" s="179">
        <v>0</v>
      </c>
      <c r="BC50" s="181">
        <v>0</v>
      </c>
      <c r="BD50" s="179">
        <v>0</v>
      </c>
      <c r="BE50" s="178">
        <v>0.83811701368619052</v>
      </c>
      <c r="BF50" s="179">
        <v>775.27499999999998</v>
      </c>
      <c r="BG50" s="179">
        <v>0</v>
      </c>
      <c r="BH50" s="181">
        <v>0</v>
      </c>
      <c r="BI50" s="179">
        <v>0</v>
      </c>
      <c r="BJ50" s="178">
        <v>0.83811701368619052</v>
      </c>
      <c r="BK50" s="179">
        <v>775.27499999999998</v>
      </c>
      <c r="BL50" s="179">
        <v>0</v>
      </c>
      <c r="BM50" s="181">
        <v>0</v>
      </c>
      <c r="BN50" s="179">
        <v>0</v>
      </c>
      <c r="BO50" s="178">
        <v>0.83811701368619052</v>
      </c>
      <c r="BP50" s="179">
        <v>775.27499999999998</v>
      </c>
      <c r="BQ50" s="179">
        <v>0</v>
      </c>
      <c r="BR50" s="181">
        <v>0</v>
      </c>
      <c r="BS50" s="179">
        <v>0</v>
      </c>
      <c r="BT50" s="178">
        <v>0.83811701368619052</v>
      </c>
      <c r="BU50" s="179">
        <v>775.27499999999998</v>
      </c>
      <c r="BV50" s="179">
        <v>0</v>
      </c>
      <c r="BW50" s="181">
        <v>0</v>
      </c>
      <c r="BX50" s="179">
        <v>0</v>
      </c>
      <c r="BY50" s="178">
        <v>1</v>
      </c>
      <c r="BZ50" s="179">
        <v>925.02</v>
      </c>
      <c r="CA50" s="179">
        <v>0</v>
      </c>
      <c r="CB50" s="179">
        <v>0</v>
      </c>
    </row>
    <row r="51" spans="1:80" x14ac:dyDescent="0.25">
      <c r="A51" s="30" t="s">
        <v>2810</v>
      </c>
      <c r="B51" s="16" t="s">
        <v>2816</v>
      </c>
      <c r="C51" s="178">
        <v>0</v>
      </c>
      <c r="D51" t="s">
        <v>2548</v>
      </c>
      <c r="E51" s="35">
        <v>0</v>
      </c>
      <c r="F51" s="178">
        <v>0</v>
      </c>
      <c r="G51" s="178">
        <v>2.25</v>
      </c>
      <c r="H51" s="180">
        <v>372.81</v>
      </c>
      <c r="I51" s="178">
        <v>165.69333333333333</v>
      </c>
      <c r="J51" s="181">
        <v>0</v>
      </c>
      <c r="K51" s="179">
        <v>0</v>
      </c>
      <c r="L51" s="178">
        <v>0</v>
      </c>
      <c r="M51" s="179">
        <v>0</v>
      </c>
      <c r="N51" s="179">
        <v>0</v>
      </c>
      <c r="O51" s="181">
        <v>0</v>
      </c>
      <c r="P51" s="179">
        <v>0</v>
      </c>
      <c r="Q51" s="178">
        <v>0</v>
      </c>
      <c r="R51" s="179">
        <v>0</v>
      </c>
      <c r="S51" s="179">
        <v>0</v>
      </c>
      <c r="T51" s="181">
        <v>0</v>
      </c>
      <c r="U51" s="179">
        <v>0</v>
      </c>
      <c r="V51" s="178">
        <v>0</v>
      </c>
      <c r="W51" s="179">
        <v>0</v>
      </c>
      <c r="X51" s="179">
        <v>0</v>
      </c>
      <c r="Y51" s="181">
        <v>0</v>
      </c>
      <c r="Z51" s="179">
        <v>0</v>
      </c>
      <c r="AA51" s="178">
        <v>0</v>
      </c>
      <c r="AB51" s="179">
        <v>0</v>
      </c>
      <c r="AC51" s="179">
        <v>0</v>
      </c>
      <c r="AD51" s="181">
        <v>0</v>
      </c>
      <c r="AE51" s="179">
        <v>0</v>
      </c>
      <c r="AF51" s="178">
        <v>0</v>
      </c>
      <c r="AG51" s="179">
        <v>0</v>
      </c>
      <c r="AH51" s="179">
        <v>0</v>
      </c>
      <c r="AI51" s="181">
        <v>0</v>
      </c>
      <c r="AJ51" s="179">
        <v>0</v>
      </c>
      <c r="AK51" s="178">
        <v>0</v>
      </c>
      <c r="AL51" s="179">
        <v>0</v>
      </c>
      <c r="AM51" s="179">
        <v>0</v>
      </c>
      <c r="AN51" s="181">
        <v>0</v>
      </c>
      <c r="AO51" s="179">
        <v>0</v>
      </c>
      <c r="AP51" s="178">
        <v>0.68614039322979536</v>
      </c>
      <c r="AQ51" s="179">
        <v>255.8</v>
      </c>
      <c r="AR51" s="179">
        <v>0</v>
      </c>
      <c r="AS51" s="181">
        <v>0</v>
      </c>
      <c r="AT51" s="179">
        <v>0</v>
      </c>
      <c r="AU51" s="178">
        <v>0.68614039322979536</v>
      </c>
      <c r="AV51" s="179">
        <v>255.8</v>
      </c>
      <c r="AW51" s="179">
        <v>0</v>
      </c>
      <c r="AX51" s="181">
        <v>0</v>
      </c>
      <c r="AY51" s="179">
        <v>0</v>
      </c>
      <c r="AZ51" s="178">
        <v>1</v>
      </c>
      <c r="BA51" s="179">
        <v>372.81</v>
      </c>
      <c r="BB51" s="179">
        <v>0</v>
      </c>
      <c r="BC51" s="181">
        <v>0</v>
      </c>
      <c r="BD51" s="179">
        <v>0</v>
      </c>
      <c r="BE51" s="178">
        <v>1</v>
      </c>
      <c r="BF51" s="179">
        <v>372.81</v>
      </c>
      <c r="BG51" s="179">
        <v>0</v>
      </c>
      <c r="BH51" s="181">
        <v>0</v>
      </c>
      <c r="BI51" s="179">
        <v>0</v>
      </c>
      <c r="BJ51" s="178">
        <v>1</v>
      </c>
      <c r="BK51" s="179">
        <v>372.81</v>
      </c>
      <c r="BL51" s="179">
        <v>0</v>
      </c>
      <c r="BM51" s="181">
        <v>0</v>
      </c>
      <c r="BN51" s="179">
        <v>0</v>
      </c>
      <c r="BO51" s="178">
        <v>1</v>
      </c>
      <c r="BP51" s="179">
        <v>372.81</v>
      </c>
      <c r="BQ51" s="179">
        <v>0</v>
      </c>
      <c r="BR51" s="181">
        <v>0</v>
      </c>
      <c r="BS51" s="179">
        <v>0</v>
      </c>
      <c r="BT51" s="178">
        <v>1</v>
      </c>
      <c r="BU51" s="179">
        <v>372.81</v>
      </c>
      <c r="BV51" s="179">
        <v>0</v>
      </c>
      <c r="BW51" s="181">
        <v>0</v>
      </c>
      <c r="BX51" s="179">
        <v>0</v>
      </c>
      <c r="BY51" s="178">
        <v>1</v>
      </c>
      <c r="BZ51" s="179">
        <v>372.81</v>
      </c>
      <c r="CA51" s="179">
        <v>0</v>
      </c>
      <c r="CB51" s="179">
        <v>0</v>
      </c>
    </row>
    <row r="52" spans="1:80" x14ac:dyDescent="0.25">
      <c r="A52" s="30" t="s">
        <v>2334</v>
      </c>
      <c r="B52" s="16" t="s">
        <v>2800</v>
      </c>
      <c r="C52" s="178">
        <v>50</v>
      </c>
      <c r="D52" t="s">
        <v>2548</v>
      </c>
      <c r="E52" s="35">
        <v>25033.571</v>
      </c>
      <c r="F52" s="178">
        <v>500.67142000000001</v>
      </c>
      <c r="G52" s="178">
        <v>75.959999999999994</v>
      </c>
      <c r="H52" s="180">
        <v>12777.37</v>
      </c>
      <c r="I52" s="178">
        <v>173.11743022643498</v>
      </c>
      <c r="J52" s="181">
        <v>0</v>
      </c>
      <c r="K52" s="179">
        <v>0</v>
      </c>
      <c r="L52" s="178">
        <v>0</v>
      </c>
      <c r="M52" s="179">
        <v>0</v>
      </c>
      <c r="N52" s="179">
        <v>0</v>
      </c>
      <c r="O52" s="181">
        <v>0</v>
      </c>
      <c r="P52" s="179">
        <v>0</v>
      </c>
      <c r="Q52" s="178">
        <v>3.7</v>
      </c>
      <c r="R52" s="179">
        <v>639.16</v>
      </c>
      <c r="S52" s="179">
        <v>1219.3814204844657</v>
      </c>
      <c r="T52" s="181">
        <v>0</v>
      </c>
      <c r="U52" s="179">
        <v>0</v>
      </c>
      <c r="V52" s="178">
        <v>4.5</v>
      </c>
      <c r="W52" s="179">
        <v>786.1099999999999</v>
      </c>
      <c r="X52" s="179">
        <v>1483.0314573459718</v>
      </c>
      <c r="Y52" s="181">
        <v>0</v>
      </c>
      <c r="Z52" s="179">
        <v>0</v>
      </c>
      <c r="AA52" s="178">
        <v>11.4</v>
      </c>
      <c r="AB52" s="179">
        <v>1973.5900000000001</v>
      </c>
      <c r="AC52" s="179">
        <v>3757.0130252764616</v>
      </c>
      <c r="AD52" s="181">
        <v>6</v>
      </c>
      <c r="AE52" s="179">
        <v>3004.0285199999998</v>
      </c>
      <c r="AF52" s="178">
        <v>11.4</v>
      </c>
      <c r="AG52" s="179">
        <v>1973.5900000000001</v>
      </c>
      <c r="AH52" s="179">
        <v>3757.0130252764616</v>
      </c>
      <c r="AI52" s="181">
        <v>6</v>
      </c>
      <c r="AJ52" s="179">
        <v>3004.0285199999998</v>
      </c>
      <c r="AK52" s="178">
        <v>11.4</v>
      </c>
      <c r="AL52" s="179">
        <v>1973.5900000000001</v>
      </c>
      <c r="AM52" s="179">
        <v>3757.0130252764616</v>
      </c>
      <c r="AN52" s="181">
        <v>6</v>
      </c>
      <c r="AO52" s="179">
        <v>3004.0285199999998</v>
      </c>
      <c r="AP52" s="178">
        <v>25</v>
      </c>
      <c r="AQ52" s="179">
        <v>4072.69</v>
      </c>
      <c r="AR52" s="179">
        <v>8239.0636519220643</v>
      </c>
      <c r="AS52" s="181">
        <v>13</v>
      </c>
      <c r="AT52" s="179">
        <v>6508.7284600000003</v>
      </c>
      <c r="AU52" s="178">
        <v>25</v>
      </c>
      <c r="AV52" s="179">
        <v>4072.69</v>
      </c>
      <c r="AW52" s="179">
        <v>8239.0636519220643</v>
      </c>
      <c r="AX52" s="181">
        <v>20</v>
      </c>
      <c r="AY52" s="179">
        <v>10013.428400000001</v>
      </c>
      <c r="AZ52" s="178">
        <v>29.3</v>
      </c>
      <c r="BA52" s="179">
        <v>4703.09</v>
      </c>
      <c r="BB52" s="179">
        <v>9656.1826000526617</v>
      </c>
      <c r="BC52" s="181">
        <v>37.5</v>
      </c>
      <c r="BD52" s="179">
        <v>18775.178250000001</v>
      </c>
      <c r="BE52" s="178">
        <v>42.3</v>
      </c>
      <c r="BF52" s="179">
        <v>6955.89</v>
      </c>
      <c r="BG52" s="179">
        <v>13940.495699052133</v>
      </c>
      <c r="BH52" s="181">
        <v>50</v>
      </c>
      <c r="BI52" s="179">
        <v>25033.571</v>
      </c>
      <c r="BJ52" s="178">
        <v>46.8</v>
      </c>
      <c r="BK52" s="179">
        <v>7725.89</v>
      </c>
      <c r="BL52" s="179">
        <v>15423.527156398106</v>
      </c>
      <c r="BM52" s="181">
        <v>50</v>
      </c>
      <c r="BN52" s="179">
        <v>25033.571</v>
      </c>
      <c r="BO52" s="178">
        <v>72.400000000000006</v>
      </c>
      <c r="BP52" s="179">
        <v>12163.27</v>
      </c>
      <c r="BQ52" s="179">
        <v>23860.328335966304</v>
      </c>
      <c r="BR52" s="181">
        <v>50</v>
      </c>
      <c r="BS52" s="179">
        <v>25033.571</v>
      </c>
      <c r="BT52" s="168">
        <v>75.959999999999994</v>
      </c>
      <c r="BU52" s="179">
        <v>12777.37</v>
      </c>
      <c r="BV52" s="179">
        <v>25033.571</v>
      </c>
      <c r="BW52" s="181">
        <v>50</v>
      </c>
      <c r="BX52" s="179">
        <v>25033.571</v>
      </c>
      <c r="BY52" s="168">
        <v>75.959999999999994</v>
      </c>
      <c r="BZ52" s="179">
        <v>12777.37</v>
      </c>
      <c r="CA52" s="179">
        <v>25033.571</v>
      </c>
      <c r="CB52" s="179">
        <v>0</v>
      </c>
    </row>
    <row r="53" spans="1:80" x14ac:dyDescent="0.25">
      <c r="A53" s="30" t="s">
        <v>2335</v>
      </c>
      <c r="B53" s="16" t="s">
        <v>2801</v>
      </c>
      <c r="C53" s="178">
        <v>415.6</v>
      </c>
      <c r="D53" t="s">
        <v>2548</v>
      </c>
      <c r="E53" s="35">
        <v>32767.072000000004</v>
      </c>
      <c r="F53" s="178">
        <v>78.842810394610211</v>
      </c>
      <c r="G53" s="178">
        <v>438.8</v>
      </c>
      <c r="H53" s="180">
        <v>59600.367999999995</v>
      </c>
      <c r="I53" s="178">
        <v>183.27484047402004</v>
      </c>
      <c r="J53" s="181">
        <v>0</v>
      </c>
      <c r="K53" s="179">
        <v>0</v>
      </c>
      <c r="L53" s="178">
        <v>0</v>
      </c>
      <c r="M53" s="179">
        <v>1027.52</v>
      </c>
      <c r="N53" s="179">
        <v>0</v>
      </c>
      <c r="O53" s="181">
        <v>42.75</v>
      </c>
      <c r="P53" s="179">
        <v>3370.5301443695867</v>
      </c>
      <c r="Q53" s="178">
        <v>39.6</v>
      </c>
      <c r="R53" s="179">
        <v>3727.95</v>
      </c>
      <c r="S53" s="179">
        <v>2957.101301731997</v>
      </c>
      <c r="T53" s="181">
        <v>48.38</v>
      </c>
      <c r="U53" s="179">
        <v>3814.4151668912423</v>
      </c>
      <c r="V53" s="178">
        <v>47.4</v>
      </c>
      <c r="W53" s="179">
        <v>5156.1099999999997</v>
      </c>
      <c r="X53" s="179">
        <v>3539.5606490428445</v>
      </c>
      <c r="Y53" s="181">
        <v>48.38</v>
      </c>
      <c r="Z53" s="179">
        <v>3814.4151668912423</v>
      </c>
      <c r="AA53" s="178">
        <v>45.4</v>
      </c>
      <c r="AB53" s="179">
        <v>5156.1099999999997</v>
      </c>
      <c r="AC53" s="179">
        <v>3390.2120984503194</v>
      </c>
      <c r="AD53" s="181">
        <v>84.88</v>
      </c>
      <c r="AE53" s="179">
        <v>6692.1777462945147</v>
      </c>
      <c r="AF53" s="178">
        <v>90.7</v>
      </c>
      <c r="AG53" s="179">
        <v>5156.1099999999997</v>
      </c>
      <c r="AH53" s="179">
        <v>6772.9567693710123</v>
      </c>
      <c r="AI53" s="181">
        <v>94.38</v>
      </c>
      <c r="AJ53" s="179">
        <v>7441.1844450433118</v>
      </c>
      <c r="AK53" s="178">
        <v>134.6</v>
      </c>
      <c r="AL53" s="179">
        <v>13190.409999999998</v>
      </c>
      <c r="AM53" s="179">
        <v>10051.157454876937</v>
      </c>
      <c r="AN53" s="181">
        <v>205</v>
      </c>
      <c r="AO53" s="179">
        <v>16162.776130895094</v>
      </c>
      <c r="AP53" s="178">
        <v>217.2</v>
      </c>
      <c r="AQ53" s="179">
        <v>19988.209999999995</v>
      </c>
      <c r="AR53" s="179">
        <v>16219.252594348223</v>
      </c>
      <c r="AS53" s="181">
        <v>260</v>
      </c>
      <c r="AT53" s="179">
        <v>20499.130702598653</v>
      </c>
      <c r="AU53" s="178">
        <v>247.6</v>
      </c>
      <c r="AV53" s="179">
        <v>25554.207999999995</v>
      </c>
      <c r="AW53" s="179">
        <v>18489.350563354605</v>
      </c>
      <c r="AX53" s="181">
        <v>321</v>
      </c>
      <c r="AY53" s="179">
        <v>25308.542136669879</v>
      </c>
      <c r="AZ53" s="178">
        <v>301</v>
      </c>
      <c r="BA53" s="179">
        <v>35339.828000000001</v>
      </c>
      <c r="BB53" s="179">
        <v>22476.956864175023</v>
      </c>
      <c r="BC53" s="181">
        <v>415.6</v>
      </c>
      <c r="BD53" s="179">
        <v>32767.072000000007</v>
      </c>
      <c r="BE53" s="178">
        <v>347.4</v>
      </c>
      <c r="BF53" s="179">
        <v>42843.938000000002</v>
      </c>
      <c r="BG53" s="179">
        <v>25941.843237921606</v>
      </c>
      <c r="BH53" s="181">
        <v>415.6</v>
      </c>
      <c r="BI53" s="179">
        <v>32767.072000000007</v>
      </c>
      <c r="BJ53" s="178">
        <v>409.6</v>
      </c>
      <c r="BK53" s="179">
        <v>54234.838000000003</v>
      </c>
      <c r="BL53" s="179">
        <v>30586.583161349135</v>
      </c>
      <c r="BM53" s="181">
        <v>415.6</v>
      </c>
      <c r="BN53" s="179">
        <v>32767.072000000007</v>
      </c>
      <c r="BO53" s="178">
        <v>433.6</v>
      </c>
      <c r="BP53" s="179">
        <v>58636.468000000001</v>
      </c>
      <c r="BQ53" s="179">
        <v>32378.765768459438</v>
      </c>
      <c r="BR53" s="181">
        <v>415.6</v>
      </c>
      <c r="BS53" s="179">
        <v>32767.072000000007</v>
      </c>
      <c r="BT53" s="168">
        <v>438.8</v>
      </c>
      <c r="BU53" s="179">
        <v>59600.367999999995</v>
      </c>
      <c r="BV53" s="179">
        <v>32767.072000000004</v>
      </c>
      <c r="BW53" s="181">
        <v>415.6</v>
      </c>
      <c r="BX53" s="179">
        <v>32767.072000000007</v>
      </c>
      <c r="BY53" s="168">
        <v>438.8</v>
      </c>
      <c r="BZ53" s="179">
        <v>59600.367999999995</v>
      </c>
      <c r="CA53" s="179">
        <v>32767.072000000004</v>
      </c>
      <c r="CB53" s="179">
        <v>0</v>
      </c>
    </row>
    <row r="54" spans="1:80" x14ac:dyDescent="0.25">
      <c r="A54" s="30" t="s">
        <v>2336</v>
      </c>
      <c r="B54" s="16" t="s">
        <v>2815</v>
      </c>
      <c r="C54" s="178">
        <v>0</v>
      </c>
      <c r="D54" t="s">
        <v>2548</v>
      </c>
      <c r="E54" s="35">
        <v>0</v>
      </c>
      <c r="F54" s="178">
        <v>0</v>
      </c>
      <c r="G54" s="178">
        <v>7.8</v>
      </c>
      <c r="H54" s="180">
        <v>1518.6200000000001</v>
      </c>
      <c r="I54" s="178">
        <v>194.6948717948718</v>
      </c>
      <c r="J54" s="181">
        <v>0</v>
      </c>
      <c r="K54" s="179">
        <v>0</v>
      </c>
      <c r="L54" s="178">
        <v>0</v>
      </c>
      <c r="M54" s="179">
        <v>0</v>
      </c>
      <c r="N54" s="179">
        <v>0</v>
      </c>
      <c r="O54" s="181">
        <v>0</v>
      </c>
      <c r="P54" s="179">
        <v>0</v>
      </c>
      <c r="Q54" s="178">
        <v>2.642082943725224</v>
      </c>
      <c r="R54" s="179">
        <v>514.4</v>
      </c>
      <c r="S54" s="179">
        <v>0</v>
      </c>
      <c r="T54" s="181">
        <v>0</v>
      </c>
      <c r="U54" s="179">
        <v>0</v>
      </c>
      <c r="V54" s="178">
        <v>2.642082943725224</v>
      </c>
      <c r="W54" s="179">
        <v>514.4</v>
      </c>
      <c r="X54" s="179">
        <v>0</v>
      </c>
      <c r="Y54" s="181">
        <v>0</v>
      </c>
      <c r="Z54" s="179">
        <v>0</v>
      </c>
      <c r="AA54" s="178">
        <v>2.642082943725224</v>
      </c>
      <c r="AB54" s="179">
        <v>514.4</v>
      </c>
      <c r="AC54" s="179">
        <v>0</v>
      </c>
      <c r="AD54" s="181">
        <v>0</v>
      </c>
      <c r="AE54" s="179">
        <v>0</v>
      </c>
      <c r="AF54" s="178">
        <v>2.642082943725224</v>
      </c>
      <c r="AG54" s="179">
        <v>514.4</v>
      </c>
      <c r="AH54" s="179">
        <v>0</v>
      </c>
      <c r="AI54" s="181">
        <v>0</v>
      </c>
      <c r="AJ54" s="179">
        <v>0</v>
      </c>
      <c r="AK54" s="178">
        <v>2.642082943725224</v>
      </c>
      <c r="AL54" s="179">
        <v>514.4</v>
      </c>
      <c r="AM54" s="179">
        <v>0</v>
      </c>
      <c r="AN54" s="181">
        <v>0</v>
      </c>
      <c r="AO54" s="179">
        <v>0</v>
      </c>
      <c r="AP54" s="178">
        <v>2.642082943725224</v>
      </c>
      <c r="AQ54" s="179">
        <v>514.4</v>
      </c>
      <c r="AR54" s="179">
        <v>0</v>
      </c>
      <c r="AS54" s="181">
        <v>0</v>
      </c>
      <c r="AT54" s="179">
        <v>0</v>
      </c>
      <c r="AU54" s="178">
        <v>2.642082943725224</v>
      </c>
      <c r="AV54" s="179">
        <v>514.4</v>
      </c>
      <c r="AW54" s="179">
        <v>0</v>
      </c>
      <c r="AX54" s="181">
        <v>0</v>
      </c>
      <c r="AY54" s="179">
        <v>0</v>
      </c>
      <c r="AZ54" s="178">
        <v>2.642082943725224</v>
      </c>
      <c r="BA54" s="179">
        <v>514.4</v>
      </c>
      <c r="BB54" s="179">
        <v>0</v>
      </c>
      <c r="BC54" s="181">
        <v>0</v>
      </c>
      <c r="BD54" s="179">
        <v>0</v>
      </c>
      <c r="BE54" s="178">
        <v>7.8000000000000007</v>
      </c>
      <c r="BF54" s="179">
        <v>1518.6200000000001</v>
      </c>
      <c r="BG54" s="179">
        <v>0</v>
      </c>
      <c r="BH54" s="181">
        <v>0</v>
      </c>
      <c r="BI54" s="179">
        <v>0</v>
      </c>
      <c r="BJ54" s="178">
        <v>7.8000000000000007</v>
      </c>
      <c r="BK54" s="179">
        <v>1518.6200000000001</v>
      </c>
      <c r="BL54" s="179">
        <v>0</v>
      </c>
      <c r="BM54" s="181">
        <v>0</v>
      </c>
      <c r="BN54" s="179">
        <v>0</v>
      </c>
      <c r="BO54" s="178">
        <v>7.8000000000000007</v>
      </c>
      <c r="BP54" s="179">
        <v>1518.6200000000001</v>
      </c>
      <c r="BQ54" s="179">
        <v>0</v>
      </c>
      <c r="BR54" s="181">
        <v>0</v>
      </c>
      <c r="BS54" s="179">
        <v>0</v>
      </c>
      <c r="BT54" s="178">
        <v>7.8000000000000007</v>
      </c>
      <c r="BU54" s="179">
        <v>1518.6200000000001</v>
      </c>
      <c r="BV54" s="179">
        <v>0</v>
      </c>
      <c r="BW54" s="181">
        <v>0</v>
      </c>
      <c r="BX54" s="179">
        <v>0</v>
      </c>
      <c r="BY54" s="178">
        <v>7.8000000000000007</v>
      </c>
      <c r="BZ54" s="179">
        <v>1518.6200000000001</v>
      </c>
      <c r="CA54" s="179">
        <v>0</v>
      </c>
      <c r="CB54" s="179">
        <v>0</v>
      </c>
    </row>
    <row r="55" spans="1:80" x14ac:dyDescent="0.25">
      <c r="A55" s="30" t="s">
        <v>2337</v>
      </c>
      <c r="B55" s="16" t="s">
        <v>2814</v>
      </c>
      <c r="C55" s="178">
        <v>275</v>
      </c>
      <c r="D55" t="s">
        <v>2548</v>
      </c>
      <c r="E55" s="35">
        <v>53069.024139534886</v>
      </c>
      <c r="F55" s="178">
        <v>192.97826959830869</v>
      </c>
      <c r="G55" s="178">
        <v>111.56</v>
      </c>
      <c r="H55" s="180">
        <v>21753.955000000002</v>
      </c>
      <c r="I55" s="178">
        <v>194.99780387235569</v>
      </c>
      <c r="J55" s="181">
        <v>0</v>
      </c>
      <c r="K55" s="179">
        <v>0</v>
      </c>
      <c r="L55" s="178">
        <v>0</v>
      </c>
      <c r="M55" s="179">
        <v>0</v>
      </c>
      <c r="N55" s="179">
        <v>0</v>
      </c>
      <c r="O55" s="181">
        <v>21</v>
      </c>
      <c r="P55" s="179">
        <v>4052.5436615644826</v>
      </c>
      <c r="Q55" s="178">
        <v>21</v>
      </c>
      <c r="R55" s="179">
        <v>4036.36</v>
      </c>
      <c r="S55" s="179">
        <v>9989.687225979138</v>
      </c>
      <c r="T55" s="181">
        <v>21</v>
      </c>
      <c r="U55" s="179">
        <v>4052.5436615644826</v>
      </c>
      <c r="V55" s="178">
        <v>21</v>
      </c>
      <c r="W55" s="179">
        <v>4036.36</v>
      </c>
      <c r="X55" s="179">
        <v>9989.687225979138</v>
      </c>
      <c r="Y55" s="181">
        <v>21</v>
      </c>
      <c r="Z55" s="179">
        <v>4052.5436615644826</v>
      </c>
      <c r="AA55" s="178">
        <v>21</v>
      </c>
      <c r="AB55" s="179">
        <v>4036.36</v>
      </c>
      <c r="AC55" s="179">
        <v>9989.687225979138</v>
      </c>
      <c r="AD55" s="181">
        <v>65</v>
      </c>
      <c r="AE55" s="179">
        <v>12543.587523890064</v>
      </c>
      <c r="AF55" s="178">
        <v>65</v>
      </c>
      <c r="AG55" s="179">
        <v>12347.88</v>
      </c>
      <c r="AH55" s="179">
        <v>30920.460461363997</v>
      </c>
      <c r="AI55" s="181">
        <v>65</v>
      </c>
      <c r="AJ55" s="179">
        <v>12543.587523890064</v>
      </c>
      <c r="AK55" s="178">
        <v>65</v>
      </c>
      <c r="AL55" s="179">
        <v>12347.88</v>
      </c>
      <c r="AM55" s="179">
        <v>30920.460461363997</v>
      </c>
      <c r="AN55" s="181">
        <v>100</v>
      </c>
      <c r="AO55" s="179">
        <v>19297.826959830869</v>
      </c>
      <c r="AP55" s="178">
        <v>111.56</v>
      </c>
      <c r="AQ55" s="179">
        <v>20965.02</v>
      </c>
      <c r="AR55" s="179">
        <v>53069.024139534886</v>
      </c>
      <c r="AS55" s="181">
        <v>100</v>
      </c>
      <c r="AT55" s="179">
        <v>19297.826959830869</v>
      </c>
      <c r="AU55" s="178">
        <v>111.56</v>
      </c>
      <c r="AV55" s="179">
        <v>20983.15</v>
      </c>
      <c r="AW55" s="179">
        <v>53069.024139534886</v>
      </c>
      <c r="AX55" s="181">
        <v>275</v>
      </c>
      <c r="AY55" s="179">
        <v>53069.024139534886</v>
      </c>
      <c r="AZ55" s="178">
        <v>111.56</v>
      </c>
      <c r="BA55" s="179">
        <v>21255.195</v>
      </c>
      <c r="BB55" s="179">
        <v>53069.024139534886</v>
      </c>
      <c r="BC55" s="181">
        <v>275</v>
      </c>
      <c r="BD55" s="179">
        <v>53069.024139534886</v>
      </c>
      <c r="BE55" s="178">
        <v>111.56</v>
      </c>
      <c r="BF55" s="179">
        <v>21255.195</v>
      </c>
      <c r="BG55" s="179">
        <v>53069.024139534886</v>
      </c>
      <c r="BH55" s="181">
        <v>275</v>
      </c>
      <c r="BI55" s="179">
        <v>53069.024139534886</v>
      </c>
      <c r="BJ55" s="178">
        <v>111.56</v>
      </c>
      <c r="BK55" s="179">
        <v>21255.195</v>
      </c>
      <c r="BL55" s="179">
        <v>53069.024139534886</v>
      </c>
      <c r="BM55" s="181">
        <v>275</v>
      </c>
      <c r="BN55" s="179">
        <v>53069.024139534886</v>
      </c>
      <c r="BO55" s="178">
        <v>111.56</v>
      </c>
      <c r="BP55" s="179">
        <v>21753.955000000002</v>
      </c>
      <c r="BQ55" s="179">
        <v>53069.024139534886</v>
      </c>
      <c r="BR55" s="181">
        <v>275</v>
      </c>
      <c r="BS55" s="179">
        <v>53069.024139534886</v>
      </c>
      <c r="BT55" s="178">
        <v>111.56</v>
      </c>
      <c r="BU55" s="179">
        <v>21753.955000000002</v>
      </c>
      <c r="BV55" s="179">
        <v>53069.024139534886</v>
      </c>
      <c r="BW55" s="181">
        <v>275</v>
      </c>
      <c r="BX55" s="179">
        <v>53069.024139534886</v>
      </c>
      <c r="BY55" s="178">
        <v>111.56</v>
      </c>
      <c r="BZ55" s="179">
        <v>21753.955000000002</v>
      </c>
      <c r="CA55" s="179">
        <v>53069.024139534886</v>
      </c>
      <c r="CB55" s="179">
        <v>0</v>
      </c>
    </row>
    <row r="56" spans="1:80" x14ac:dyDescent="0.25">
      <c r="A56" s="30" t="s">
        <v>2338</v>
      </c>
      <c r="B56" s="16" t="s">
        <v>2802</v>
      </c>
      <c r="C56" s="178">
        <v>40</v>
      </c>
      <c r="D56" t="s">
        <v>82</v>
      </c>
      <c r="E56" s="35">
        <v>30143.130000000005</v>
      </c>
      <c r="F56" s="178">
        <v>753.57825000000014</v>
      </c>
      <c r="G56" s="178">
        <v>85.5</v>
      </c>
      <c r="H56" s="180">
        <v>14398.4665</v>
      </c>
      <c r="I56" s="178">
        <v>197.07239766081869</v>
      </c>
      <c r="J56" s="181">
        <v>5</v>
      </c>
      <c r="K56" s="179">
        <v>3767.8912500000006</v>
      </c>
      <c r="L56" s="178">
        <v>5</v>
      </c>
      <c r="M56" s="179">
        <v>0</v>
      </c>
      <c r="N56" s="179">
        <v>1762.7561403508773</v>
      </c>
      <c r="O56" s="181">
        <v>5</v>
      </c>
      <c r="P56" s="179">
        <v>3767.8912500000006</v>
      </c>
      <c r="Q56" s="178">
        <v>5</v>
      </c>
      <c r="R56" s="179">
        <v>0</v>
      </c>
      <c r="S56" s="179">
        <v>1762.7561403508773</v>
      </c>
      <c r="T56" s="181">
        <v>5</v>
      </c>
      <c r="U56" s="179">
        <v>3767.8912500000006</v>
      </c>
      <c r="V56" s="168">
        <v>5</v>
      </c>
      <c r="W56" s="179">
        <v>0</v>
      </c>
      <c r="X56" s="179">
        <v>1762.7561403508773</v>
      </c>
      <c r="Y56" s="181">
        <v>8</v>
      </c>
      <c r="Z56" s="179">
        <v>6028.6260000000011</v>
      </c>
      <c r="AA56" s="168">
        <v>7</v>
      </c>
      <c r="AB56" s="179">
        <v>0</v>
      </c>
      <c r="AC56" s="179">
        <v>2467.8585964912281</v>
      </c>
      <c r="AD56" s="181">
        <v>8</v>
      </c>
      <c r="AE56" s="179">
        <v>6028.6260000000011</v>
      </c>
      <c r="AF56" s="168">
        <v>7</v>
      </c>
      <c r="AG56" s="179">
        <v>0</v>
      </c>
      <c r="AH56" s="179">
        <v>2467.8585964912281</v>
      </c>
      <c r="AI56" s="181">
        <v>8</v>
      </c>
      <c r="AJ56" s="179">
        <v>6028.6260000000011</v>
      </c>
      <c r="AK56" s="168">
        <v>7</v>
      </c>
      <c r="AL56" s="179">
        <v>0</v>
      </c>
      <c r="AM56" s="179">
        <v>2467.8585964912281</v>
      </c>
      <c r="AN56" s="181">
        <v>30</v>
      </c>
      <c r="AO56" s="179">
        <v>22607.347500000003</v>
      </c>
      <c r="AP56" s="168">
        <v>39</v>
      </c>
      <c r="AQ56" s="179">
        <v>6089.32</v>
      </c>
      <c r="AR56" s="179">
        <v>13749.497894736844</v>
      </c>
      <c r="AS56" s="181">
        <v>40</v>
      </c>
      <c r="AT56" s="179">
        <v>30143.130000000005</v>
      </c>
      <c r="AU56" s="168">
        <v>66.5</v>
      </c>
      <c r="AV56" s="179">
        <v>11409.9715</v>
      </c>
      <c r="AW56" s="179">
        <v>23444.656666666669</v>
      </c>
      <c r="AX56" s="181">
        <v>40</v>
      </c>
      <c r="AY56" s="179">
        <v>30143.130000000005</v>
      </c>
      <c r="AZ56" s="168">
        <v>69.5</v>
      </c>
      <c r="BA56" s="179">
        <v>11772.6965</v>
      </c>
      <c r="BB56" s="179">
        <v>24502.310350877196</v>
      </c>
      <c r="BC56" s="181">
        <v>40</v>
      </c>
      <c r="BD56" s="179">
        <v>30143.130000000005</v>
      </c>
      <c r="BE56" s="168">
        <v>69.5</v>
      </c>
      <c r="BF56" s="179">
        <v>11772.6965</v>
      </c>
      <c r="BG56" s="179">
        <v>24502.310350877196</v>
      </c>
      <c r="BH56" s="181">
        <v>40</v>
      </c>
      <c r="BI56" s="179">
        <v>30143.130000000005</v>
      </c>
      <c r="BJ56" s="168">
        <v>73</v>
      </c>
      <c r="BK56" s="179">
        <v>12407.4665</v>
      </c>
      <c r="BL56" s="179">
        <v>25736.23964912281</v>
      </c>
      <c r="BM56" s="181">
        <v>40</v>
      </c>
      <c r="BN56" s="179">
        <v>30143.130000000005</v>
      </c>
      <c r="BO56" s="168">
        <v>75.5</v>
      </c>
      <c r="BP56" s="179">
        <v>12407.4665</v>
      </c>
      <c r="BQ56" s="179">
        <v>26617.61771929825</v>
      </c>
      <c r="BR56" s="181">
        <v>40</v>
      </c>
      <c r="BS56" s="179">
        <v>30143.130000000005</v>
      </c>
      <c r="BT56" s="168">
        <v>85.5</v>
      </c>
      <c r="BU56" s="179">
        <v>14398.4665</v>
      </c>
      <c r="BV56" s="179">
        <v>30143.130000000005</v>
      </c>
      <c r="BW56" s="181">
        <v>40</v>
      </c>
      <c r="BX56" s="179">
        <v>30143.130000000005</v>
      </c>
      <c r="BY56" s="168">
        <v>85.5</v>
      </c>
      <c r="BZ56" s="179">
        <v>14398.4665</v>
      </c>
      <c r="CA56" s="179">
        <v>30143.130000000005</v>
      </c>
      <c r="CB56" s="179">
        <v>0</v>
      </c>
    </row>
    <row r="57" spans="1:80" x14ac:dyDescent="0.25">
      <c r="A57" s="30" t="s">
        <v>2339</v>
      </c>
      <c r="B57" s="16" t="s">
        <v>1959</v>
      </c>
      <c r="C57" s="178">
        <v>6</v>
      </c>
      <c r="D57" t="s">
        <v>2548</v>
      </c>
      <c r="E57" s="35">
        <v>0</v>
      </c>
      <c r="F57" s="178">
        <v>0</v>
      </c>
      <c r="G57" s="178">
        <v>27</v>
      </c>
      <c r="H57" s="180">
        <v>4110.9400000000005</v>
      </c>
      <c r="I57" s="178">
        <v>152.25925925925927</v>
      </c>
      <c r="J57" s="181">
        <v>0</v>
      </c>
      <c r="K57" s="179">
        <v>0</v>
      </c>
      <c r="L57" s="178">
        <v>0</v>
      </c>
      <c r="M57" s="179">
        <v>0</v>
      </c>
      <c r="N57" s="179">
        <v>0</v>
      </c>
      <c r="O57" s="181">
        <v>3</v>
      </c>
      <c r="P57" s="179">
        <v>0</v>
      </c>
      <c r="Q57" s="178">
        <v>21</v>
      </c>
      <c r="R57" s="179">
        <v>3249</v>
      </c>
      <c r="S57" s="179">
        <v>0</v>
      </c>
      <c r="T57" s="181">
        <v>3</v>
      </c>
      <c r="U57" s="179">
        <v>0</v>
      </c>
      <c r="V57" s="168">
        <v>21</v>
      </c>
      <c r="W57" s="179">
        <v>3249</v>
      </c>
      <c r="X57" s="179">
        <v>0</v>
      </c>
      <c r="Y57" s="181">
        <v>3</v>
      </c>
      <c r="Z57" s="179">
        <v>0</v>
      </c>
      <c r="AA57" s="168">
        <v>21</v>
      </c>
      <c r="AB57" s="179">
        <v>3249</v>
      </c>
      <c r="AC57" s="179">
        <v>0</v>
      </c>
      <c r="AD57" s="181">
        <v>4</v>
      </c>
      <c r="AE57" s="179">
        <v>0</v>
      </c>
      <c r="AF57" s="168">
        <v>25</v>
      </c>
      <c r="AG57" s="179">
        <v>3929.94</v>
      </c>
      <c r="AH57" s="179">
        <v>0</v>
      </c>
      <c r="AI57" s="181">
        <v>6</v>
      </c>
      <c r="AJ57" s="179">
        <v>0</v>
      </c>
      <c r="AK57" s="168">
        <v>27</v>
      </c>
      <c r="AL57" s="179">
        <v>4110.9400000000005</v>
      </c>
      <c r="AM57" s="179">
        <v>0</v>
      </c>
      <c r="AN57" s="181">
        <v>6</v>
      </c>
      <c r="AO57" s="179">
        <v>0</v>
      </c>
      <c r="AP57" s="168">
        <v>27</v>
      </c>
      <c r="AQ57" s="179">
        <v>4110.9400000000005</v>
      </c>
      <c r="AR57" s="179">
        <v>0</v>
      </c>
      <c r="AS57" s="181"/>
      <c r="AT57" s="179">
        <v>0</v>
      </c>
      <c r="AU57" s="168">
        <v>27</v>
      </c>
      <c r="AV57" s="179">
        <v>4110.9400000000005</v>
      </c>
      <c r="AW57" s="179">
        <v>0</v>
      </c>
      <c r="AX57" s="181">
        <v>6</v>
      </c>
      <c r="AY57" s="179">
        <v>0</v>
      </c>
      <c r="AZ57" s="168">
        <v>27</v>
      </c>
      <c r="BA57" s="179">
        <v>4110.9400000000005</v>
      </c>
      <c r="BB57" s="179">
        <v>0</v>
      </c>
      <c r="BC57" s="181">
        <v>6</v>
      </c>
      <c r="BD57" s="179">
        <v>0</v>
      </c>
      <c r="BE57" s="168">
        <v>27</v>
      </c>
      <c r="BF57" s="179">
        <v>4110.9400000000005</v>
      </c>
      <c r="BG57" s="179">
        <v>0</v>
      </c>
      <c r="BH57" s="181">
        <v>6</v>
      </c>
      <c r="BI57" s="179">
        <v>0</v>
      </c>
      <c r="BJ57" s="168">
        <v>27</v>
      </c>
      <c r="BK57" s="179">
        <v>4110.9400000000005</v>
      </c>
      <c r="BL57" s="179">
        <v>0</v>
      </c>
      <c r="BM57" s="181">
        <v>6</v>
      </c>
      <c r="BN57" s="179">
        <v>0</v>
      </c>
      <c r="BO57" s="168">
        <v>27</v>
      </c>
      <c r="BP57" s="179">
        <v>4110.9400000000005</v>
      </c>
      <c r="BQ57" s="179">
        <v>0</v>
      </c>
      <c r="BR57" s="181">
        <v>6</v>
      </c>
      <c r="BS57" s="179">
        <v>0</v>
      </c>
      <c r="BT57" s="168">
        <v>27</v>
      </c>
      <c r="BU57" s="179">
        <v>4110.9400000000005</v>
      </c>
      <c r="BV57" s="179">
        <v>0</v>
      </c>
      <c r="BW57" s="181">
        <v>6</v>
      </c>
      <c r="BX57" s="179">
        <v>0</v>
      </c>
      <c r="BY57" s="168">
        <v>27</v>
      </c>
      <c r="BZ57" s="179">
        <v>4110.9400000000005</v>
      </c>
      <c r="CA57" s="179">
        <v>0</v>
      </c>
      <c r="CB57" s="179">
        <v>0</v>
      </c>
    </row>
    <row r="58" spans="1:80" x14ac:dyDescent="0.25">
      <c r="A58" s="30" t="s">
        <v>2340</v>
      </c>
      <c r="B58" s="16" t="s">
        <v>2803</v>
      </c>
      <c r="C58" s="178">
        <v>1885</v>
      </c>
      <c r="D58" t="s">
        <v>82</v>
      </c>
      <c r="E58" s="35">
        <v>69229.03</v>
      </c>
      <c r="F58" s="178">
        <v>36.726275862068967</v>
      </c>
      <c r="G58" s="178">
        <v>1885</v>
      </c>
      <c r="H58" s="180">
        <v>68183.89360000001</v>
      </c>
      <c r="I58" s="178">
        <v>36.171883289124665</v>
      </c>
      <c r="J58" s="181">
        <v>0</v>
      </c>
      <c r="K58" s="179">
        <v>0</v>
      </c>
      <c r="L58" s="178">
        <v>0</v>
      </c>
      <c r="M58" s="179">
        <v>0</v>
      </c>
      <c r="N58" s="179">
        <v>0</v>
      </c>
      <c r="O58" s="181">
        <v>0</v>
      </c>
      <c r="P58" s="179">
        <v>0</v>
      </c>
      <c r="Q58" s="178">
        <v>0</v>
      </c>
      <c r="R58" s="179">
        <v>0</v>
      </c>
      <c r="S58" s="179">
        <v>0</v>
      </c>
      <c r="T58" s="181">
        <v>0</v>
      </c>
      <c r="U58" s="179">
        <v>0</v>
      </c>
      <c r="V58" s="168">
        <v>0</v>
      </c>
      <c r="W58" s="179">
        <v>0</v>
      </c>
      <c r="X58" s="179">
        <v>0</v>
      </c>
      <c r="Y58" s="181">
        <v>0</v>
      </c>
      <c r="Z58" s="179">
        <v>0</v>
      </c>
      <c r="AA58" s="168">
        <v>0</v>
      </c>
      <c r="AB58" s="179">
        <v>0</v>
      </c>
      <c r="AC58" s="179">
        <v>0</v>
      </c>
      <c r="AD58" s="181">
        <v>0</v>
      </c>
      <c r="AE58" s="179">
        <v>0</v>
      </c>
      <c r="AF58" s="168">
        <v>0</v>
      </c>
      <c r="AG58" s="179">
        <v>0</v>
      </c>
      <c r="AH58" s="179">
        <v>0</v>
      </c>
      <c r="AI58" s="181">
        <v>0</v>
      </c>
      <c r="AJ58" s="179">
        <v>0</v>
      </c>
      <c r="AK58" s="168">
        <v>0</v>
      </c>
      <c r="AL58" s="179">
        <v>0</v>
      </c>
      <c r="AM58" s="179">
        <v>0</v>
      </c>
      <c r="AN58" s="181">
        <v>1500</v>
      </c>
      <c r="AO58" s="179">
        <v>55089.413793103449</v>
      </c>
      <c r="AP58" s="168">
        <v>1475</v>
      </c>
      <c r="AQ58" s="179">
        <v>53387.92</v>
      </c>
      <c r="AR58" s="179">
        <v>54171.25689655172</v>
      </c>
      <c r="AS58" s="181">
        <v>1800</v>
      </c>
      <c r="AT58" s="179">
        <v>66107.296551724139</v>
      </c>
      <c r="AU58" s="168">
        <v>1761</v>
      </c>
      <c r="AV58" s="179">
        <v>63646.935999999994</v>
      </c>
      <c r="AW58" s="179">
        <v>64674.971793103447</v>
      </c>
      <c r="AX58" s="181">
        <v>1800</v>
      </c>
      <c r="AY58" s="179">
        <v>66107.296551724139</v>
      </c>
      <c r="AZ58" s="168">
        <v>1802</v>
      </c>
      <c r="BA58" s="179">
        <v>65146.935999999994</v>
      </c>
      <c r="BB58" s="179">
        <v>66180.749103448266</v>
      </c>
      <c r="BC58" s="181">
        <v>1800</v>
      </c>
      <c r="BD58" s="179">
        <v>66107.296551724139</v>
      </c>
      <c r="BE58" s="168">
        <v>1802</v>
      </c>
      <c r="BF58" s="179">
        <v>65308.433599999997</v>
      </c>
      <c r="BG58" s="179">
        <v>66180.749103448266</v>
      </c>
      <c r="BH58" s="181">
        <v>1885</v>
      </c>
      <c r="BI58" s="179">
        <v>69229.03</v>
      </c>
      <c r="BJ58" s="168">
        <v>1802</v>
      </c>
      <c r="BK58" s="179">
        <v>65308.433599999997</v>
      </c>
      <c r="BL58" s="179">
        <v>66180.749103448266</v>
      </c>
      <c r="BM58" s="181">
        <v>1885</v>
      </c>
      <c r="BN58" s="179">
        <v>69229.03</v>
      </c>
      <c r="BO58" s="168">
        <v>1885</v>
      </c>
      <c r="BP58" s="179">
        <v>68183.89360000001</v>
      </c>
      <c r="BQ58" s="179">
        <v>69229.03</v>
      </c>
      <c r="BR58" s="181">
        <v>1885</v>
      </c>
      <c r="BS58" s="179">
        <v>69229.03</v>
      </c>
      <c r="BT58" s="168">
        <v>1885</v>
      </c>
      <c r="BU58" s="179">
        <v>68183.89360000001</v>
      </c>
      <c r="BV58" s="179">
        <v>69229.03</v>
      </c>
      <c r="BW58" s="181">
        <v>1885</v>
      </c>
      <c r="BX58" s="179">
        <v>69229.03</v>
      </c>
      <c r="BY58" s="168">
        <v>1885</v>
      </c>
      <c r="BZ58" s="179">
        <v>68183.89360000001</v>
      </c>
      <c r="CA58" s="179">
        <v>69229.03</v>
      </c>
      <c r="CB58" s="179">
        <v>0</v>
      </c>
    </row>
    <row r="59" spans="1:80" x14ac:dyDescent="0.25">
      <c r="A59" s="30" t="s">
        <v>2341</v>
      </c>
      <c r="B59" s="16" t="s">
        <v>81</v>
      </c>
      <c r="C59" s="178">
        <v>996</v>
      </c>
      <c r="D59" t="s">
        <v>82</v>
      </c>
      <c r="E59" s="35">
        <v>15119.56</v>
      </c>
      <c r="F59" s="178">
        <v>15.180281124497991</v>
      </c>
      <c r="G59" s="178">
        <v>988.8</v>
      </c>
      <c r="H59" s="180">
        <v>13323.907379999999</v>
      </c>
      <c r="I59" s="178">
        <v>13.474919093851133</v>
      </c>
      <c r="J59" s="181">
        <v>50</v>
      </c>
      <c r="K59" s="179">
        <v>759.0140562248996</v>
      </c>
      <c r="L59" s="178">
        <v>32</v>
      </c>
      <c r="M59" s="179">
        <v>431.68</v>
      </c>
      <c r="N59" s="179">
        <v>489.30614886731394</v>
      </c>
      <c r="O59" s="181">
        <v>150</v>
      </c>
      <c r="P59" s="179">
        <v>2277.0421686746986</v>
      </c>
      <c r="Q59" s="178">
        <v>141</v>
      </c>
      <c r="R59" s="179">
        <v>1900.5</v>
      </c>
      <c r="S59" s="179">
        <v>2156.0052184466022</v>
      </c>
      <c r="T59" s="181">
        <v>150</v>
      </c>
      <c r="U59" s="179">
        <v>2277.0421686746986</v>
      </c>
      <c r="V59" s="168">
        <v>141</v>
      </c>
      <c r="W59" s="179">
        <v>1900.5</v>
      </c>
      <c r="X59" s="179">
        <v>2156.0052184466022</v>
      </c>
      <c r="Y59" s="181">
        <v>200</v>
      </c>
      <c r="Z59" s="179">
        <v>3036.0562248995984</v>
      </c>
      <c r="AA59" s="168">
        <v>199</v>
      </c>
      <c r="AB59" s="179">
        <v>2681.4017000000003</v>
      </c>
      <c r="AC59" s="179">
        <v>3042.8726132686083</v>
      </c>
      <c r="AD59" s="181">
        <v>300</v>
      </c>
      <c r="AE59" s="179">
        <v>4554.0843373493972</v>
      </c>
      <c r="AF59" s="168">
        <v>296</v>
      </c>
      <c r="AG59" s="179">
        <v>3998.0249400000002</v>
      </c>
      <c r="AH59" s="179">
        <v>4526.0818770226533</v>
      </c>
      <c r="AI59" s="181">
        <v>430</v>
      </c>
      <c r="AJ59" s="179">
        <v>6527.5208835341364</v>
      </c>
      <c r="AK59" s="168">
        <v>427</v>
      </c>
      <c r="AL59" s="179">
        <v>5767.2079200000007</v>
      </c>
      <c r="AM59" s="179">
        <v>6529.1789239482205</v>
      </c>
      <c r="AN59" s="181">
        <v>580</v>
      </c>
      <c r="AO59" s="179">
        <v>8804.5630522088359</v>
      </c>
      <c r="AP59" s="168">
        <v>570</v>
      </c>
      <c r="AQ59" s="179">
        <v>7702.1241</v>
      </c>
      <c r="AR59" s="179">
        <v>8715.7657766990287</v>
      </c>
      <c r="AS59" s="181">
        <v>700</v>
      </c>
      <c r="AT59" s="179">
        <v>10626.196787148594</v>
      </c>
      <c r="AU59" s="168">
        <v>680</v>
      </c>
      <c r="AV59" s="179">
        <v>9183.4228600000006</v>
      </c>
      <c r="AW59" s="179">
        <v>10397.75566343042</v>
      </c>
      <c r="AX59" s="181">
        <v>830</v>
      </c>
      <c r="AY59" s="179">
        <v>12599.633333333333</v>
      </c>
      <c r="AZ59" s="168">
        <v>833</v>
      </c>
      <c r="BA59" s="179">
        <v>11252.63798</v>
      </c>
      <c r="BB59" s="179">
        <v>12737.250687702266</v>
      </c>
      <c r="BC59" s="181">
        <v>988.8</v>
      </c>
      <c r="BD59" s="179">
        <v>15010.261975903613</v>
      </c>
      <c r="BE59" s="168">
        <v>857</v>
      </c>
      <c r="BF59" s="179">
        <v>11569.675079999999</v>
      </c>
      <c r="BG59" s="179">
        <v>13104.230299352752</v>
      </c>
      <c r="BH59" s="181">
        <v>996</v>
      </c>
      <c r="BI59" s="179">
        <v>15119.56</v>
      </c>
      <c r="BJ59" s="168">
        <v>988.8</v>
      </c>
      <c r="BK59" s="179">
        <v>13264.164179999998</v>
      </c>
      <c r="BL59" s="179">
        <v>15119.56</v>
      </c>
      <c r="BM59" s="181">
        <v>996</v>
      </c>
      <c r="BN59" s="179">
        <v>15119.56</v>
      </c>
      <c r="BO59" s="168">
        <v>988.8</v>
      </c>
      <c r="BP59" s="179">
        <v>13323.907379999999</v>
      </c>
      <c r="BQ59" s="179">
        <v>15119.56</v>
      </c>
      <c r="BR59" s="181">
        <v>996</v>
      </c>
      <c r="BS59" s="179">
        <v>15119.56</v>
      </c>
      <c r="BT59" s="168">
        <v>988.8</v>
      </c>
      <c r="BU59" s="179">
        <v>13323.907379999999</v>
      </c>
      <c r="BV59" s="179">
        <v>15119.56</v>
      </c>
      <c r="BW59" s="181">
        <v>996</v>
      </c>
      <c r="BX59" s="179">
        <v>15119.56</v>
      </c>
      <c r="BY59" s="168">
        <v>988.8</v>
      </c>
      <c r="BZ59" s="179">
        <v>13323.907379999999</v>
      </c>
      <c r="CA59" s="179">
        <v>15119.56</v>
      </c>
      <c r="CB59" s="179">
        <v>0</v>
      </c>
    </row>
    <row r="60" spans="1:80" x14ac:dyDescent="0.25">
      <c r="A60" s="30" t="s">
        <v>2342</v>
      </c>
      <c r="B60" s="16" t="s">
        <v>2804</v>
      </c>
      <c r="C60" s="178">
        <v>1</v>
      </c>
      <c r="D60" t="s">
        <v>2732</v>
      </c>
      <c r="E60" s="35">
        <v>4620</v>
      </c>
      <c r="F60" s="178">
        <v>4620</v>
      </c>
      <c r="G60" s="178">
        <v>1</v>
      </c>
      <c r="H60" s="180">
        <v>959.07</v>
      </c>
      <c r="I60" s="178">
        <v>959</v>
      </c>
      <c r="J60" s="181">
        <v>0.5</v>
      </c>
      <c r="K60" s="179">
        <v>2310</v>
      </c>
      <c r="L60" s="178">
        <v>0.4</v>
      </c>
      <c r="M60" s="179">
        <v>445.2</v>
      </c>
      <c r="N60" s="179">
        <v>1848</v>
      </c>
      <c r="O60" s="181">
        <v>0.5</v>
      </c>
      <c r="P60" s="179">
        <v>2310</v>
      </c>
      <c r="Q60" s="178">
        <v>0.6</v>
      </c>
      <c r="R60" s="179">
        <v>578.95000000000005</v>
      </c>
      <c r="S60" s="179">
        <v>2772</v>
      </c>
      <c r="T60" s="181">
        <v>0.5</v>
      </c>
      <c r="U60" s="179">
        <v>2310</v>
      </c>
      <c r="V60" s="168">
        <v>0.9</v>
      </c>
      <c r="W60" s="179">
        <v>870.43000000000006</v>
      </c>
      <c r="X60" s="179">
        <v>4158</v>
      </c>
      <c r="Y60" s="181">
        <v>1</v>
      </c>
      <c r="Z60" s="179">
        <v>4620</v>
      </c>
      <c r="AA60" s="168">
        <v>0.9</v>
      </c>
      <c r="AB60" s="179">
        <v>870.43000000000006</v>
      </c>
      <c r="AC60" s="179">
        <v>4158</v>
      </c>
      <c r="AD60" s="181">
        <v>1</v>
      </c>
      <c r="AE60" s="179">
        <v>4620</v>
      </c>
      <c r="AF60" s="168">
        <v>0.9</v>
      </c>
      <c r="AG60" s="179">
        <v>870.43000000000006</v>
      </c>
      <c r="AH60" s="179">
        <v>4158</v>
      </c>
      <c r="AI60" s="181">
        <v>1</v>
      </c>
      <c r="AJ60" s="179">
        <v>4620</v>
      </c>
      <c r="AK60" s="168">
        <v>1</v>
      </c>
      <c r="AL60" s="179">
        <v>959.07</v>
      </c>
      <c r="AM60" s="179">
        <v>4620</v>
      </c>
      <c r="AN60" s="181">
        <v>1</v>
      </c>
      <c r="AO60" s="179">
        <v>4620</v>
      </c>
      <c r="AP60" s="168">
        <v>1</v>
      </c>
      <c r="AQ60" s="179">
        <v>959.07</v>
      </c>
      <c r="AR60" s="179">
        <v>4620</v>
      </c>
      <c r="AS60" s="181">
        <v>1</v>
      </c>
      <c r="AT60" s="179">
        <v>4620</v>
      </c>
      <c r="AU60" s="168">
        <v>1</v>
      </c>
      <c r="AV60" s="179">
        <v>959.07</v>
      </c>
      <c r="AW60" s="179">
        <v>4620</v>
      </c>
      <c r="AX60" s="181">
        <v>1</v>
      </c>
      <c r="AY60" s="179">
        <v>4620</v>
      </c>
      <c r="AZ60" s="168">
        <v>1</v>
      </c>
      <c r="BA60" s="179">
        <v>959.07</v>
      </c>
      <c r="BB60" s="179">
        <v>4620</v>
      </c>
      <c r="BC60" s="181">
        <v>1</v>
      </c>
      <c r="BD60" s="179">
        <v>4620</v>
      </c>
      <c r="BE60" s="168">
        <v>1</v>
      </c>
      <c r="BF60" s="179">
        <v>959.07</v>
      </c>
      <c r="BG60" s="179">
        <v>4620</v>
      </c>
      <c r="BH60" s="181">
        <v>1</v>
      </c>
      <c r="BI60" s="179">
        <v>4620</v>
      </c>
      <c r="BJ60" s="168">
        <v>1</v>
      </c>
      <c r="BK60" s="179">
        <v>959.07</v>
      </c>
      <c r="BL60" s="179">
        <v>4620</v>
      </c>
      <c r="BM60" s="181">
        <v>1</v>
      </c>
      <c r="BN60" s="179">
        <v>4620</v>
      </c>
      <c r="BO60" s="168">
        <v>1</v>
      </c>
      <c r="BP60" s="179">
        <v>959.07</v>
      </c>
      <c r="BQ60" s="179">
        <v>4620</v>
      </c>
      <c r="BR60" s="181">
        <v>1</v>
      </c>
      <c r="BS60" s="179">
        <v>4620</v>
      </c>
      <c r="BT60" s="168">
        <v>1</v>
      </c>
      <c r="BU60" s="179">
        <v>959.07</v>
      </c>
      <c r="BV60" s="179">
        <v>4620</v>
      </c>
      <c r="BW60" s="181">
        <v>1</v>
      </c>
      <c r="BX60" s="179">
        <v>4620</v>
      </c>
      <c r="BY60" s="168">
        <v>1</v>
      </c>
      <c r="BZ60" s="179">
        <v>959.07</v>
      </c>
      <c r="CA60" s="179">
        <v>4620</v>
      </c>
      <c r="CB60" s="179">
        <v>0</v>
      </c>
    </row>
    <row r="61" spans="1:80" x14ac:dyDescent="0.25">
      <c r="A61" s="30" t="s">
        <v>2343</v>
      </c>
      <c r="B61" s="16" t="s">
        <v>2805</v>
      </c>
      <c r="C61" s="178">
        <v>1339.2</v>
      </c>
      <c r="D61" t="s">
        <v>2593</v>
      </c>
      <c r="E61" s="35">
        <v>13862.600044444445</v>
      </c>
      <c r="F61" s="178">
        <v>10.351403856365327</v>
      </c>
      <c r="G61" s="178">
        <v>1339.2</v>
      </c>
      <c r="H61" s="180">
        <v>14373.948</v>
      </c>
      <c r="I61" s="178">
        <v>10.733273596176822</v>
      </c>
      <c r="J61" s="181">
        <v>432</v>
      </c>
      <c r="K61" s="179">
        <v>4471.8064659498214</v>
      </c>
      <c r="L61" s="178">
        <v>403.2</v>
      </c>
      <c r="M61" s="179">
        <v>4350</v>
      </c>
      <c r="N61" s="179">
        <v>4173.6860348864993</v>
      </c>
      <c r="O61" s="181">
        <v>864</v>
      </c>
      <c r="P61" s="179">
        <v>8943.6129318996427</v>
      </c>
      <c r="Q61" s="178">
        <v>720</v>
      </c>
      <c r="R61" s="179">
        <v>8180.2</v>
      </c>
      <c r="S61" s="179">
        <v>7453.0107765830344</v>
      </c>
      <c r="T61" s="181">
        <v>864</v>
      </c>
      <c r="U61" s="179">
        <v>8943.6129318996427</v>
      </c>
      <c r="V61" s="168">
        <v>806.4</v>
      </c>
      <c r="W61" s="179">
        <v>8558.1</v>
      </c>
      <c r="X61" s="179">
        <v>8347.3720697729987</v>
      </c>
      <c r="Y61" s="181">
        <v>864</v>
      </c>
      <c r="Z61" s="179">
        <v>8943.6129318996427</v>
      </c>
      <c r="AA61" s="168">
        <v>806.4</v>
      </c>
      <c r="AB61" s="179">
        <v>8558.1</v>
      </c>
      <c r="AC61" s="179">
        <v>8347.3720697729987</v>
      </c>
      <c r="AD61" s="181">
        <v>864</v>
      </c>
      <c r="AE61" s="179">
        <v>8943.6129318996427</v>
      </c>
      <c r="AF61" s="168">
        <v>806.4</v>
      </c>
      <c r="AG61" s="179">
        <v>8558.1</v>
      </c>
      <c r="AH61" s="179">
        <v>8347.3720697729987</v>
      </c>
      <c r="AI61" s="181">
        <v>864</v>
      </c>
      <c r="AJ61" s="179">
        <v>8943.6129318996427</v>
      </c>
      <c r="AK61" s="168">
        <v>806.4</v>
      </c>
      <c r="AL61" s="179">
        <v>8558.1</v>
      </c>
      <c r="AM61" s="179">
        <v>8347.3720697729987</v>
      </c>
      <c r="AN61" s="181">
        <v>1123.2</v>
      </c>
      <c r="AO61" s="179">
        <v>11626.696811469536</v>
      </c>
      <c r="AP61" s="168">
        <v>1022.4</v>
      </c>
      <c r="AQ61" s="179">
        <v>11001.6</v>
      </c>
      <c r="AR61" s="179">
        <v>10583.27530274791</v>
      </c>
      <c r="AS61" s="181">
        <v>1123.2</v>
      </c>
      <c r="AT61" s="179">
        <v>11626.696811469536</v>
      </c>
      <c r="AU61" s="168">
        <v>1022.4</v>
      </c>
      <c r="AV61" s="179">
        <v>11001.6</v>
      </c>
      <c r="AW61" s="179">
        <v>10583.27530274791</v>
      </c>
      <c r="AX61" s="181">
        <v>1339.2</v>
      </c>
      <c r="AY61" s="179">
        <v>13862.600044444445</v>
      </c>
      <c r="AZ61" s="168">
        <v>1022.4</v>
      </c>
      <c r="BA61" s="179">
        <v>11001.6</v>
      </c>
      <c r="BB61" s="179">
        <v>10583.27530274791</v>
      </c>
      <c r="BC61" s="181">
        <v>1339.2</v>
      </c>
      <c r="BD61" s="179">
        <v>13862.600044444445</v>
      </c>
      <c r="BE61" s="168">
        <v>1195.2</v>
      </c>
      <c r="BF61" s="179">
        <v>12814.358</v>
      </c>
      <c r="BG61" s="179">
        <v>12371.997889127839</v>
      </c>
      <c r="BH61" s="181">
        <v>1339.2</v>
      </c>
      <c r="BI61" s="179">
        <v>13862.600044444445</v>
      </c>
      <c r="BJ61" s="168">
        <v>1267.2</v>
      </c>
      <c r="BK61" s="179">
        <v>13600.358</v>
      </c>
      <c r="BL61" s="179">
        <v>13117.298966786142</v>
      </c>
      <c r="BM61" s="181">
        <v>1339.2</v>
      </c>
      <c r="BN61" s="179">
        <v>13862.600044444445</v>
      </c>
      <c r="BO61" s="168">
        <v>1339.2</v>
      </c>
      <c r="BP61" s="179">
        <v>14373.948</v>
      </c>
      <c r="BQ61" s="179">
        <v>13862.600044444445</v>
      </c>
      <c r="BR61" s="181">
        <v>1339.2</v>
      </c>
      <c r="BS61" s="179">
        <v>13862.600044444445</v>
      </c>
      <c r="BT61" s="168">
        <v>1339.2</v>
      </c>
      <c r="BU61" s="179">
        <v>14373.948</v>
      </c>
      <c r="BV61" s="179">
        <v>13862.600044444445</v>
      </c>
      <c r="BW61" s="181">
        <v>1339.2</v>
      </c>
      <c r="BX61" s="179">
        <v>13862.600044444445</v>
      </c>
      <c r="BY61" s="168">
        <v>1339.2</v>
      </c>
      <c r="BZ61" s="179">
        <v>14373.948</v>
      </c>
      <c r="CA61" s="179">
        <v>13862.600044444445</v>
      </c>
      <c r="CB61" s="179">
        <v>0</v>
      </c>
    </row>
    <row r="62" spans="1:80" x14ac:dyDescent="0.25">
      <c r="A62" s="30" t="s">
        <v>2344</v>
      </c>
      <c r="B62" s="16" t="s">
        <v>2806</v>
      </c>
      <c r="C62" s="178">
        <v>202.4</v>
      </c>
      <c r="D62" t="s">
        <v>2594</v>
      </c>
      <c r="E62" s="35">
        <v>68168.088000000003</v>
      </c>
      <c r="F62" s="178">
        <v>336.79885375494069</v>
      </c>
      <c r="G62" s="178">
        <v>202.4</v>
      </c>
      <c r="H62" s="180">
        <v>67270</v>
      </c>
      <c r="I62" s="178">
        <v>332.36166007905138</v>
      </c>
      <c r="J62" s="181">
        <v>25.2</v>
      </c>
      <c r="K62" s="179">
        <v>8487.3311146245051</v>
      </c>
      <c r="L62" s="178">
        <v>0</v>
      </c>
      <c r="M62" s="179">
        <v>0</v>
      </c>
      <c r="N62" s="179">
        <v>0</v>
      </c>
      <c r="O62" s="181">
        <v>25.2</v>
      </c>
      <c r="P62" s="179">
        <v>8487.3311146245051</v>
      </c>
      <c r="Q62" s="178">
        <v>0</v>
      </c>
      <c r="R62" s="179">
        <v>0</v>
      </c>
      <c r="S62" s="179">
        <v>0</v>
      </c>
      <c r="T62" s="181">
        <v>25.2</v>
      </c>
      <c r="U62" s="179">
        <v>8487.3311146245051</v>
      </c>
      <c r="V62" s="168">
        <v>0</v>
      </c>
      <c r="W62" s="179">
        <v>0</v>
      </c>
      <c r="X62" s="179">
        <v>0</v>
      </c>
      <c r="Y62" s="181">
        <v>25.2</v>
      </c>
      <c r="Z62" s="179">
        <v>8487.3311146245051</v>
      </c>
      <c r="AA62" s="168">
        <v>0</v>
      </c>
      <c r="AB62" s="179">
        <v>0</v>
      </c>
      <c r="AC62" s="179">
        <v>0</v>
      </c>
      <c r="AD62" s="181">
        <v>43.2</v>
      </c>
      <c r="AE62" s="179">
        <v>14549.710482213439</v>
      </c>
      <c r="AF62" s="168">
        <v>33.6</v>
      </c>
      <c r="AG62" s="179">
        <v>11100</v>
      </c>
      <c r="AH62" s="179">
        <v>11316.44148616601</v>
      </c>
      <c r="AI62" s="181">
        <v>43.2</v>
      </c>
      <c r="AJ62" s="179">
        <v>14549.710482213439</v>
      </c>
      <c r="AK62" s="168">
        <v>43.2</v>
      </c>
      <c r="AL62" s="179">
        <v>14604</v>
      </c>
      <c r="AM62" s="179">
        <v>14549.710482213441</v>
      </c>
      <c r="AN62" s="181">
        <v>43.2</v>
      </c>
      <c r="AO62" s="179">
        <v>14549.710482213439</v>
      </c>
      <c r="AP62" s="168">
        <v>43.2</v>
      </c>
      <c r="AQ62" s="179">
        <v>14604</v>
      </c>
      <c r="AR62" s="179">
        <v>14549.710482213441</v>
      </c>
      <c r="AS62" s="181">
        <v>43.2</v>
      </c>
      <c r="AT62" s="179">
        <v>14549.710482213439</v>
      </c>
      <c r="AU62" s="168">
        <v>43.2</v>
      </c>
      <c r="AV62" s="179">
        <v>14604</v>
      </c>
      <c r="AW62" s="179">
        <v>14549.710482213441</v>
      </c>
      <c r="AX62" s="181">
        <v>43.2</v>
      </c>
      <c r="AY62" s="179">
        <v>14549.710482213439</v>
      </c>
      <c r="AZ62" s="168">
        <v>43.2</v>
      </c>
      <c r="BA62" s="179">
        <v>14604</v>
      </c>
      <c r="BB62" s="179">
        <v>14549.710482213441</v>
      </c>
      <c r="BC62" s="181">
        <v>202.4</v>
      </c>
      <c r="BD62" s="179">
        <v>68168.088000000003</v>
      </c>
      <c r="BE62" s="168">
        <v>194.4</v>
      </c>
      <c r="BF62" s="179">
        <v>64204</v>
      </c>
      <c r="BG62" s="179">
        <v>65473.697169960476</v>
      </c>
      <c r="BH62" s="181">
        <v>202.4</v>
      </c>
      <c r="BI62" s="179">
        <v>68168.088000000003</v>
      </c>
      <c r="BJ62" s="168">
        <v>194.4</v>
      </c>
      <c r="BK62" s="179">
        <v>64204</v>
      </c>
      <c r="BL62" s="179">
        <v>65473.697169960476</v>
      </c>
      <c r="BM62" s="181">
        <v>202.4</v>
      </c>
      <c r="BN62" s="179">
        <v>68168.088000000003</v>
      </c>
      <c r="BO62" s="168">
        <v>202.4</v>
      </c>
      <c r="BP62" s="179">
        <v>67270</v>
      </c>
      <c r="BQ62" s="179">
        <v>68168.088000000003</v>
      </c>
      <c r="BR62" s="181">
        <v>202.4</v>
      </c>
      <c r="BS62" s="179">
        <v>68168.088000000003</v>
      </c>
      <c r="BT62" s="168">
        <v>202.4</v>
      </c>
      <c r="BU62" s="179">
        <v>67270</v>
      </c>
      <c r="BV62" s="179">
        <v>68168.088000000003</v>
      </c>
      <c r="BW62" s="181">
        <v>202.4</v>
      </c>
      <c r="BX62" s="179">
        <v>68168.088000000003</v>
      </c>
      <c r="BY62" s="168">
        <v>202.4</v>
      </c>
      <c r="BZ62" s="179">
        <v>67270</v>
      </c>
      <c r="CA62" s="179">
        <v>68168.088000000003</v>
      </c>
      <c r="CB62" s="179">
        <v>0</v>
      </c>
    </row>
    <row r="63" spans="1:80" x14ac:dyDescent="0.25">
      <c r="A63" s="30" t="s">
        <v>2345</v>
      </c>
      <c r="B63" s="16" t="s">
        <v>2807</v>
      </c>
      <c r="C63" s="178">
        <v>19</v>
      </c>
      <c r="D63" t="s">
        <v>2732</v>
      </c>
      <c r="E63" s="35">
        <v>3000</v>
      </c>
      <c r="F63" s="178">
        <v>157.89473684210526</v>
      </c>
      <c r="G63" s="178">
        <v>19</v>
      </c>
      <c r="H63" s="180">
        <v>8583.0400000000009</v>
      </c>
      <c r="I63" s="178">
        <v>451.73684210526318</v>
      </c>
      <c r="J63" s="181">
        <v>0</v>
      </c>
      <c r="K63" s="179">
        <v>0</v>
      </c>
      <c r="L63" s="178">
        <v>0</v>
      </c>
      <c r="M63" s="179">
        <v>0</v>
      </c>
      <c r="N63" s="179">
        <v>0</v>
      </c>
      <c r="O63" s="181">
        <v>0</v>
      </c>
      <c r="P63" s="179">
        <v>0</v>
      </c>
      <c r="Q63" s="178">
        <v>0</v>
      </c>
      <c r="R63" s="179">
        <v>0</v>
      </c>
      <c r="S63" s="179">
        <v>0</v>
      </c>
      <c r="T63" s="181">
        <v>0</v>
      </c>
      <c r="U63" s="179">
        <v>0</v>
      </c>
      <c r="V63" s="168">
        <v>0</v>
      </c>
      <c r="W63" s="179">
        <v>0</v>
      </c>
      <c r="X63" s="179">
        <v>0</v>
      </c>
      <c r="Y63" s="181">
        <v>0</v>
      </c>
      <c r="Z63" s="179">
        <v>0</v>
      </c>
      <c r="AA63" s="168">
        <v>0</v>
      </c>
      <c r="AB63" s="179">
        <v>0</v>
      </c>
      <c r="AC63" s="179">
        <v>0</v>
      </c>
      <c r="AD63" s="181">
        <v>17</v>
      </c>
      <c r="AE63" s="179">
        <v>2684.2105263157896</v>
      </c>
      <c r="AF63" s="168">
        <v>0</v>
      </c>
      <c r="AG63" s="179">
        <v>0</v>
      </c>
      <c r="AH63" s="179">
        <v>0</v>
      </c>
      <c r="AI63" s="181">
        <v>17</v>
      </c>
      <c r="AJ63" s="179">
        <v>2684.2105263157896</v>
      </c>
      <c r="AK63" s="168">
        <v>0</v>
      </c>
      <c r="AL63" s="179">
        <v>0</v>
      </c>
      <c r="AM63" s="179">
        <v>0</v>
      </c>
      <c r="AN63" s="181">
        <v>17</v>
      </c>
      <c r="AO63" s="179">
        <v>2684.2105263157896</v>
      </c>
      <c r="AP63" s="168">
        <v>5</v>
      </c>
      <c r="AQ63" s="179">
        <v>2320</v>
      </c>
      <c r="AR63" s="179">
        <v>789.47368421052624</v>
      </c>
      <c r="AS63" s="181">
        <v>17</v>
      </c>
      <c r="AT63" s="179">
        <v>2684.2105263157896</v>
      </c>
      <c r="AU63" s="168">
        <v>11</v>
      </c>
      <c r="AV63" s="179">
        <v>5253.5</v>
      </c>
      <c r="AW63" s="179">
        <v>1736.8421052631579</v>
      </c>
      <c r="AX63" s="181">
        <v>17</v>
      </c>
      <c r="AY63" s="179">
        <v>2684.2105263157896</v>
      </c>
      <c r="AZ63" s="168">
        <v>11</v>
      </c>
      <c r="BA63" s="179">
        <v>5253.5</v>
      </c>
      <c r="BB63" s="179">
        <v>1736.8421052631579</v>
      </c>
      <c r="BC63" s="181">
        <v>17</v>
      </c>
      <c r="BD63" s="179">
        <v>2684.2105263157896</v>
      </c>
      <c r="BE63" s="168">
        <v>13</v>
      </c>
      <c r="BF63" s="179">
        <v>5849.5</v>
      </c>
      <c r="BG63" s="179">
        <v>2052.6315789473683</v>
      </c>
      <c r="BH63" s="181">
        <v>19</v>
      </c>
      <c r="BI63" s="179">
        <v>3000</v>
      </c>
      <c r="BJ63" s="168">
        <v>13</v>
      </c>
      <c r="BK63" s="179">
        <v>6128.5</v>
      </c>
      <c r="BL63" s="179">
        <v>2052.6315789473683</v>
      </c>
      <c r="BM63" s="181">
        <v>19</v>
      </c>
      <c r="BN63" s="179">
        <v>3000</v>
      </c>
      <c r="BO63" s="168">
        <v>13</v>
      </c>
      <c r="BP63" s="179">
        <v>6128.5</v>
      </c>
      <c r="BQ63" s="179">
        <v>2052.6315789473683</v>
      </c>
      <c r="BR63" s="181">
        <v>19</v>
      </c>
      <c r="BS63" s="179">
        <v>3000</v>
      </c>
      <c r="BT63" s="168">
        <v>19</v>
      </c>
      <c r="BU63" s="179">
        <v>8583.0400000000009</v>
      </c>
      <c r="BV63" s="179">
        <v>3000</v>
      </c>
      <c r="BW63" s="181">
        <v>19</v>
      </c>
      <c r="BX63" s="179">
        <v>3000</v>
      </c>
      <c r="BY63" s="168">
        <v>19</v>
      </c>
      <c r="BZ63" s="179">
        <v>8583.0400000000009</v>
      </c>
      <c r="CA63" s="179">
        <v>3000</v>
      </c>
      <c r="CB63" s="179">
        <v>0</v>
      </c>
    </row>
    <row r="64" spans="1:80" x14ac:dyDescent="0.25">
      <c r="A64" s="30" t="s">
        <v>2346</v>
      </c>
      <c r="B64" s="16" t="s">
        <v>2808</v>
      </c>
      <c r="C64" s="178">
        <v>67.86</v>
      </c>
      <c r="D64" t="s">
        <v>2594</v>
      </c>
      <c r="E64" s="35">
        <v>32433.919999999998</v>
      </c>
      <c r="F64" s="178">
        <v>477.9534335396404</v>
      </c>
      <c r="G64" s="178">
        <v>67.86</v>
      </c>
      <c r="H64" s="180">
        <v>10551.499</v>
      </c>
      <c r="I64" s="178">
        <v>155.4818744473917</v>
      </c>
      <c r="J64" s="181">
        <v>0</v>
      </c>
      <c r="K64" s="179">
        <v>0</v>
      </c>
      <c r="L64" s="178">
        <v>0</v>
      </c>
      <c r="M64" s="179">
        <v>0</v>
      </c>
      <c r="N64" s="179">
        <v>0</v>
      </c>
      <c r="O64" s="181">
        <v>0</v>
      </c>
      <c r="P64" s="179">
        <v>0</v>
      </c>
      <c r="Q64" s="178">
        <v>0</v>
      </c>
      <c r="R64" s="179">
        <v>0</v>
      </c>
      <c r="S64" s="179">
        <v>0</v>
      </c>
      <c r="T64" s="181">
        <v>11.7</v>
      </c>
      <c r="U64" s="179">
        <v>5592.0551724137922</v>
      </c>
      <c r="V64" s="168">
        <v>28.08</v>
      </c>
      <c r="W64" s="179">
        <v>1778</v>
      </c>
      <c r="X64" s="179">
        <v>13420.932413793102</v>
      </c>
      <c r="Y64" s="181">
        <v>11.7</v>
      </c>
      <c r="Z64" s="179">
        <v>5592.0551724137922</v>
      </c>
      <c r="AA64" s="168">
        <v>11.7</v>
      </c>
      <c r="AB64" s="179">
        <v>1778</v>
      </c>
      <c r="AC64" s="179">
        <v>5592.0551724137922</v>
      </c>
      <c r="AD64" s="181">
        <v>11.7</v>
      </c>
      <c r="AE64" s="179">
        <v>5592.0551724137922</v>
      </c>
      <c r="AF64" s="168">
        <v>11.7</v>
      </c>
      <c r="AG64" s="179">
        <v>1778</v>
      </c>
      <c r="AH64" s="179">
        <v>5592.0551724137922</v>
      </c>
      <c r="AI64" s="181">
        <v>49.14</v>
      </c>
      <c r="AJ64" s="179">
        <v>23486.631724137929</v>
      </c>
      <c r="AK64" s="168">
        <v>49.14</v>
      </c>
      <c r="AL64" s="179">
        <v>7592</v>
      </c>
      <c r="AM64" s="179">
        <v>23486.631724137929</v>
      </c>
      <c r="AN64" s="181">
        <v>49.14</v>
      </c>
      <c r="AO64" s="179">
        <v>23486.631724137929</v>
      </c>
      <c r="AP64" s="168">
        <v>49.14</v>
      </c>
      <c r="AQ64" s="179">
        <v>7592</v>
      </c>
      <c r="AR64" s="179">
        <v>23486.631724137929</v>
      </c>
      <c r="AS64" s="181">
        <v>49.14</v>
      </c>
      <c r="AT64" s="179">
        <v>23486.631724137929</v>
      </c>
      <c r="AU64" s="168">
        <v>49.14</v>
      </c>
      <c r="AV64" s="179">
        <v>7592</v>
      </c>
      <c r="AW64" s="179">
        <v>23486.631724137929</v>
      </c>
      <c r="AX64" s="181">
        <v>67.86</v>
      </c>
      <c r="AY64" s="179">
        <v>32433.919999999998</v>
      </c>
      <c r="AZ64" s="168">
        <v>49.14</v>
      </c>
      <c r="BA64" s="179">
        <v>7592</v>
      </c>
      <c r="BB64" s="179">
        <v>23486.631724137929</v>
      </c>
      <c r="BC64" s="181">
        <v>67.86</v>
      </c>
      <c r="BD64" s="179">
        <v>32433.919999999998</v>
      </c>
      <c r="BE64" s="168">
        <v>56.16</v>
      </c>
      <c r="BF64" s="179">
        <v>8731.9989999999998</v>
      </c>
      <c r="BG64" s="179">
        <v>26841.864827586203</v>
      </c>
      <c r="BH64" s="181">
        <v>67.86</v>
      </c>
      <c r="BI64" s="179">
        <v>32433.919999999998</v>
      </c>
      <c r="BJ64" s="168">
        <v>67.86</v>
      </c>
      <c r="BK64" s="179">
        <v>10551.499</v>
      </c>
      <c r="BL64" s="179">
        <v>32433.919999999998</v>
      </c>
      <c r="BM64" s="181">
        <v>67.86</v>
      </c>
      <c r="BN64" s="179">
        <v>32433.919999999998</v>
      </c>
      <c r="BO64" s="168">
        <v>67.86</v>
      </c>
      <c r="BP64" s="179">
        <v>10551.499</v>
      </c>
      <c r="BQ64" s="179">
        <v>32433.919999999998</v>
      </c>
      <c r="BR64" s="181">
        <v>67.86</v>
      </c>
      <c r="BS64" s="179">
        <v>32433.919999999998</v>
      </c>
      <c r="BT64" s="168">
        <v>67.86</v>
      </c>
      <c r="BU64" s="179">
        <v>10551.499</v>
      </c>
      <c r="BV64" s="179">
        <v>32433.919999999998</v>
      </c>
      <c r="BW64" s="181">
        <v>67.86</v>
      </c>
      <c r="BX64" s="179">
        <v>32433.919999999998</v>
      </c>
      <c r="BY64" s="168">
        <v>67.86</v>
      </c>
      <c r="BZ64" s="179">
        <v>10551.499</v>
      </c>
      <c r="CA64" s="179">
        <v>32433.919999999998</v>
      </c>
      <c r="CB64" s="179">
        <v>0</v>
      </c>
    </row>
    <row r="65" spans="1:80" x14ac:dyDescent="0.25">
      <c r="A65" s="30" t="s">
        <v>2347</v>
      </c>
      <c r="B65" s="16" t="s">
        <v>2809</v>
      </c>
      <c r="C65" s="178">
        <v>19</v>
      </c>
      <c r="D65" t="s">
        <v>2732</v>
      </c>
      <c r="E65" s="35">
        <v>25742.699999999997</v>
      </c>
      <c r="F65" s="178">
        <v>1354.878947368421</v>
      </c>
      <c r="G65" s="178">
        <v>19</v>
      </c>
      <c r="H65" s="180">
        <v>13460</v>
      </c>
      <c r="I65" s="178">
        <v>708.42105263157896</v>
      </c>
      <c r="J65" s="181">
        <v>0</v>
      </c>
      <c r="K65" s="179">
        <v>0</v>
      </c>
      <c r="L65" s="178">
        <v>0</v>
      </c>
      <c r="M65" s="179">
        <v>0</v>
      </c>
      <c r="N65" s="179">
        <v>0</v>
      </c>
      <c r="O65" s="181">
        <v>0</v>
      </c>
      <c r="P65" s="179">
        <v>0</v>
      </c>
      <c r="Q65" s="178">
        <v>0</v>
      </c>
      <c r="R65" s="179">
        <v>0</v>
      </c>
      <c r="S65" s="179">
        <v>0</v>
      </c>
      <c r="T65" s="181">
        <v>0</v>
      </c>
      <c r="U65" s="179">
        <v>0</v>
      </c>
      <c r="V65" s="168">
        <v>1</v>
      </c>
      <c r="W65" s="179">
        <v>511.67</v>
      </c>
      <c r="X65" s="179">
        <v>1354.8789473684208</v>
      </c>
      <c r="Y65" s="181">
        <v>0</v>
      </c>
      <c r="Z65" s="179">
        <v>0</v>
      </c>
      <c r="AA65" s="168">
        <v>1</v>
      </c>
      <c r="AB65" s="179">
        <v>511.67</v>
      </c>
      <c r="AC65" s="179">
        <v>1354.8789473684208</v>
      </c>
      <c r="AD65" s="181">
        <v>17</v>
      </c>
      <c r="AE65" s="179">
        <v>23032.942105263159</v>
      </c>
      <c r="AF65" s="168">
        <v>17</v>
      </c>
      <c r="AG65" s="179">
        <v>12001.7</v>
      </c>
      <c r="AH65" s="179">
        <v>23032.942105263155</v>
      </c>
      <c r="AI65" s="181">
        <v>17</v>
      </c>
      <c r="AJ65" s="179">
        <v>23032.942105263159</v>
      </c>
      <c r="AK65" s="168">
        <v>17</v>
      </c>
      <c r="AL65" s="179">
        <v>12001.7</v>
      </c>
      <c r="AM65" s="179">
        <v>23032.942105263155</v>
      </c>
      <c r="AN65" s="181">
        <v>17</v>
      </c>
      <c r="AO65" s="179">
        <v>23032.942105263159</v>
      </c>
      <c r="AP65" s="168">
        <v>17</v>
      </c>
      <c r="AQ65" s="179">
        <v>12001.7</v>
      </c>
      <c r="AR65" s="179">
        <v>23032.942105263155</v>
      </c>
      <c r="AS65" s="181">
        <v>17</v>
      </c>
      <c r="AT65" s="179">
        <v>23032.942105263159</v>
      </c>
      <c r="AU65" s="168">
        <v>17</v>
      </c>
      <c r="AV65" s="179">
        <v>12001.7</v>
      </c>
      <c r="AW65" s="179">
        <v>23032.942105263155</v>
      </c>
      <c r="AX65" s="181">
        <v>17</v>
      </c>
      <c r="AY65" s="179">
        <v>23032.942105263159</v>
      </c>
      <c r="AZ65" s="168">
        <v>17</v>
      </c>
      <c r="BA65" s="179">
        <v>12001.7</v>
      </c>
      <c r="BB65" s="179">
        <v>23032.942105263155</v>
      </c>
      <c r="BC65" s="181">
        <v>17</v>
      </c>
      <c r="BD65" s="179">
        <v>23032.942105263159</v>
      </c>
      <c r="BE65" s="168">
        <v>17</v>
      </c>
      <c r="BF65" s="179">
        <v>12001.7</v>
      </c>
      <c r="BG65" s="179">
        <v>23032.942105263155</v>
      </c>
      <c r="BH65" s="181">
        <v>17</v>
      </c>
      <c r="BI65" s="179">
        <v>23032.942105263159</v>
      </c>
      <c r="BJ65" s="168">
        <v>17</v>
      </c>
      <c r="BK65" s="179">
        <v>12001.7</v>
      </c>
      <c r="BL65" s="179">
        <v>23032.942105263155</v>
      </c>
      <c r="BM65" s="181">
        <v>19</v>
      </c>
      <c r="BN65" s="179">
        <v>25742.699999999997</v>
      </c>
      <c r="BO65" s="168">
        <v>19</v>
      </c>
      <c r="BP65" s="179">
        <v>13460</v>
      </c>
      <c r="BQ65" s="179">
        <v>25742.699999999997</v>
      </c>
      <c r="BR65" s="181">
        <v>19</v>
      </c>
      <c r="BS65" s="179">
        <v>25742.699999999997</v>
      </c>
      <c r="BT65" s="168">
        <v>19</v>
      </c>
      <c r="BU65" s="179">
        <v>13460</v>
      </c>
      <c r="BV65" s="179">
        <v>25742.699999999997</v>
      </c>
      <c r="BW65" s="181">
        <v>19</v>
      </c>
      <c r="BX65" s="179">
        <v>25742.699999999997</v>
      </c>
      <c r="BY65" s="168">
        <v>19</v>
      </c>
      <c r="BZ65" s="179">
        <v>13460</v>
      </c>
      <c r="CA65" s="179">
        <v>25742.699999999997</v>
      </c>
      <c r="CB65" s="179">
        <v>0</v>
      </c>
    </row>
    <row r="66" spans="1:80" x14ac:dyDescent="0.25">
      <c r="A66" s="30" t="s">
        <v>2348</v>
      </c>
      <c r="B66" s="16" t="s">
        <v>2813</v>
      </c>
      <c r="C66" s="178">
        <v>0</v>
      </c>
      <c r="D66" t="s">
        <v>2766</v>
      </c>
      <c r="E66" s="35">
        <v>0</v>
      </c>
      <c r="F66" s="178">
        <v>0</v>
      </c>
      <c r="G66" s="178">
        <v>1</v>
      </c>
      <c r="H66" s="180">
        <v>134.4</v>
      </c>
      <c r="I66" s="178">
        <v>134</v>
      </c>
      <c r="J66" s="181">
        <v>0</v>
      </c>
      <c r="K66" s="179">
        <v>0</v>
      </c>
      <c r="L66" s="178">
        <v>0</v>
      </c>
      <c r="M66" s="179">
        <v>0</v>
      </c>
      <c r="N66" s="179">
        <v>0</v>
      </c>
      <c r="O66" s="181">
        <v>0</v>
      </c>
      <c r="P66" s="179">
        <v>0</v>
      </c>
      <c r="Q66" s="178">
        <v>0</v>
      </c>
      <c r="R66" s="179">
        <v>0</v>
      </c>
      <c r="S66" s="179">
        <v>0</v>
      </c>
      <c r="T66" s="181">
        <v>0</v>
      </c>
      <c r="U66" s="179">
        <v>0</v>
      </c>
      <c r="V66" s="168">
        <v>0</v>
      </c>
      <c r="W66" s="179">
        <v>0</v>
      </c>
      <c r="X66" s="179">
        <v>0</v>
      </c>
      <c r="Y66" s="181">
        <v>0</v>
      </c>
      <c r="Z66" s="179">
        <v>0</v>
      </c>
      <c r="AA66" s="168">
        <v>0</v>
      </c>
      <c r="AB66" s="179">
        <v>0</v>
      </c>
      <c r="AC66" s="179">
        <v>0</v>
      </c>
      <c r="AD66" s="181">
        <v>0</v>
      </c>
      <c r="AE66" s="179">
        <v>0</v>
      </c>
      <c r="AF66" s="168">
        <v>0</v>
      </c>
      <c r="AG66" s="179">
        <v>0</v>
      </c>
      <c r="AH66" s="179">
        <v>0</v>
      </c>
      <c r="AI66" s="181">
        <v>0</v>
      </c>
      <c r="AJ66" s="179">
        <v>0</v>
      </c>
      <c r="AK66" s="168">
        <v>0</v>
      </c>
      <c r="AL66" s="179">
        <v>0</v>
      </c>
      <c r="AM66" s="179">
        <v>0</v>
      </c>
      <c r="AN66" s="181">
        <v>0</v>
      </c>
      <c r="AO66" s="179">
        <v>0</v>
      </c>
      <c r="AP66" s="168">
        <v>0</v>
      </c>
      <c r="AQ66" s="179">
        <v>0</v>
      </c>
      <c r="AR66" s="179">
        <v>0</v>
      </c>
      <c r="AS66" s="181">
        <v>0</v>
      </c>
      <c r="AT66" s="179">
        <v>0</v>
      </c>
      <c r="AU66" s="168">
        <v>0</v>
      </c>
      <c r="AV66" s="179">
        <v>0</v>
      </c>
      <c r="AW66" s="179">
        <v>0</v>
      </c>
      <c r="AX66" s="181">
        <v>0</v>
      </c>
      <c r="AY66" s="179">
        <v>0</v>
      </c>
      <c r="AZ66" s="168">
        <v>0</v>
      </c>
      <c r="BA66" s="179">
        <v>0</v>
      </c>
      <c r="BB66" s="179">
        <v>0</v>
      </c>
      <c r="BC66" s="181">
        <v>0</v>
      </c>
      <c r="BD66" s="179">
        <v>0</v>
      </c>
      <c r="BE66" s="168">
        <v>0</v>
      </c>
      <c r="BF66" s="179">
        <v>0</v>
      </c>
      <c r="BG66" s="179">
        <v>0</v>
      </c>
      <c r="BH66" s="181"/>
      <c r="BI66" s="179">
        <v>0</v>
      </c>
      <c r="BJ66" s="168"/>
      <c r="BK66" s="179">
        <v>0</v>
      </c>
      <c r="BL66" s="179">
        <v>0</v>
      </c>
      <c r="BM66" s="181">
        <v>0</v>
      </c>
      <c r="BN66" s="179">
        <v>0</v>
      </c>
      <c r="BO66" s="168">
        <v>1</v>
      </c>
      <c r="BP66" s="179">
        <v>134.4</v>
      </c>
      <c r="BQ66" s="179">
        <v>0</v>
      </c>
      <c r="BR66" s="181">
        <v>0</v>
      </c>
      <c r="BS66" s="179">
        <v>0</v>
      </c>
      <c r="BT66" s="168">
        <v>1</v>
      </c>
      <c r="BU66" s="179">
        <v>134.4</v>
      </c>
      <c r="BV66" s="179">
        <v>0</v>
      </c>
      <c r="BW66" s="181">
        <v>0</v>
      </c>
      <c r="BX66" s="179">
        <v>0</v>
      </c>
      <c r="BY66" s="168">
        <v>1</v>
      </c>
      <c r="BZ66" s="179">
        <v>134.4</v>
      </c>
      <c r="CA66" s="179">
        <v>0</v>
      </c>
      <c r="CB66" s="179">
        <v>0</v>
      </c>
    </row>
    <row r="67" spans="1:80" x14ac:dyDescent="0.25">
      <c r="A67" s="26" t="s">
        <v>781</v>
      </c>
      <c r="B67" s="25" t="s">
        <v>2755</v>
      </c>
      <c r="C67" s="27"/>
      <c r="D67" s="26" t="s">
        <v>781</v>
      </c>
      <c r="E67" s="182">
        <v>3194691.681497511</v>
      </c>
      <c r="F67" s="183"/>
      <c r="G67" s="26"/>
      <c r="H67" s="182">
        <v>3156786.2266900009</v>
      </c>
      <c r="I67" s="26"/>
      <c r="J67" s="184"/>
      <c r="K67" s="182">
        <v>89286.235999365454</v>
      </c>
      <c r="L67" s="173"/>
      <c r="M67" s="182">
        <v>57561.538999999997</v>
      </c>
      <c r="N67" s="182">
        <v>72181.865708159181</v>
      </c>
      <c r="O67" s="184"/>
      <c r="P67" s="182">
        <v>241340.4625128441</v>
      </c>
      <c r="Q67" s="173"/>
      <c r="R67" s="182">
        <v>192294.53399999999</v>
      </c>
      <c r="S67" s="182">
        <v>188466.40658131184</v>
      </c>
      <c r="T67" s="184"/>
      <c r="U67" s="182">
        <v>320137.95163559169</v>
      </c>
      <c r="V67" s="173"/>
      <c r="W67" s="182">
        <v>241449.15399999995</v>
      </c>
      <c r="X67" s="182">
        <v>238406.47643247139</v>
      </c>
      <c r="Y67" s="184"/>
      <c r="Z67" s="182">
        <v>454985.74601257924</v>
      </c>
      <c r="AA67" s="173"/>
      <c r="AB67" s="182">
        <v>338467.78669999994</v>
      </c>
      <c r="AC67" s="182">
        <v>333019.86327004875</v>
      </c>
      <c r="AD67" s="184"/>
      <c r="AE67" s="182">
        <v>678602.04845892568</v>
      </c>
      <c r="AF67" s="173"/>
      <c r="AG67" s="182">
        <v>482125.73994</v>
      </c>
      <c r="AH67" s="182">
        <v>504477.45622582798</v>
      </c>
      <c r="AI67" s="184"/>
      <c r="AJ67" s="182">
        <v>938526.83955023566</v>
      </c>
      <c r="AK67" s="173"/>
      <c r="AL67" s="182">
        <v>688306.02791999979</v>
      </c>
      <c r="AM67" s="182">
        <v>745457.33720307599</v>
      </c>
      <c r="AN67" s="184"/>
      <c r="AO67" s="182">
        <v>1400917.8432136208</v>
      </c>
      <c r="AP67" s="173"/>
      <c r="AQ67" s="182">
        <v>1064916.9608499999</v>
      </c>
      <c r="AR67" s="182">
        <v>1090502.9507265559</v>
      </c>
      <c r="AS67" s="184"/>
      <c r="AT67" s="182">
        <v>1937707.8168716168</v>
      </c>
      <c r="AU67" s="173"/>
      <c r="AV67" s="182">
        <v>1542416.8238599997</v>
      </c>
      <c r="AW67" s="182">
        <v>1680135.888540413</v>
      </c>
      <c r="AX67" s="184"/>
      <c r="AY67" s="182">
        <v>2276680.8636724348</v>
      </c>
      <c r="AZ67" s="173"/>
      <c r="BA67" s="182">
        <v>1809587.3054800001</v>
      </c>
      <c r="BB67" s="182">
        <v>1944256.1473691899</v>
      </c>
      <c r="BC67" s="184"/>
      <c r="BD67" s="182">
        <v>2726958.1320251073</v>
      </c>
      <c r="BE67" s="173"/>
      <c r="BF67" s="182">
        <v>2255080.3025899995</v>
      </c>
      <c r="BG67" s="182">
        <v>2386117.7515251078</v>
      </c>
      <c r="BH67" s="184"/>
      <c r="BI67" s="182">
        <v>3174601.9236027738</v>
      </c>
      <c r="BJ67" s="173"/>
      <c r="BK67" s="182">
        <v>2727591.5624900009</v>
      </c>
      <c r="BL67" s="182">
        <v>2747230.4392762226</v>
      </c>
      <c r="BM67" s="184"/>
      <c r="BN67" s="182">
        <v>3194691.681497511</v>
      </c>
      <c r="BO67" s="173"/>
      <c r="BP67" s="182">
        <v>3043660.3666900019</v>
      </c>
      <c r="BQ67" s="182">
        <v>3053562.8817430483</v>
      </c>
      <c r="BR67" s="184"/>
      <c r="BS67" s="182">
        <v>3194691.681497511</v>
      </c>
      <c r="BT67" s="173"/>
      <c r="BU67" s="182">
        <v>3123351.5616900013</v>
      </c>
      <c r="BV67" s="182">
        <v>3153427.3036417272</v>
      </c>
      <c r="BW67" s="184"/>
      <c r="BX67" s="182">
        <v>3194691.681497511</v>
      </c>
      <c r="BY67" s="173"/>
      <c r="BZ67" s="182">
        <v>3156786.2266900009</v>
      </c>
      <c r="CA67" s="182">
        <v>3194691.681497511</v>
      </c>
    </row>
    <row r="70" spans="1:80" x14ac:dyDescent="0.25">
      <c r="I70"/>
    </row>
    <row r="71" spans="1:80" x14ac:dyDescent="0.25">
      <c r="B71"/>
      <c r="C71" s="29" t="s">
        <v>2760</v>
      </c>
      <c r="D71" s="29" t="s">
        <v>2761</v>
      </c>
      <c r="E71" s="29" t="s">
        <v>2758</v>
      </c>
      <c r="F71" s="29"/>
      <c r="G71" s="29"/>
      <c r="H71" s="29"/>
      <c r="I71" s="29"/>
    </row>
    <row r="72" spans="1:80" x14ac:dyDescent="0.25">
      <c r="B72" s="185">
        <v>40817</v>
      </c>
      <c r="C72" s="179">
        <v>89286.235999365454</v>
      </c>
      <c r="D72" s="179">
        <v>72181.865708159181</v>
      </c>
      <c r="E72" s="179">
        <v>57561.538999999997</v>
      </c>
      <c r="F72" s="178"/>
      <c r="G72" s="179"/>
      <c r="H72" s="179"/>
      <c r="I72" s="179"/>
    </row>
    <row r="73" spans="1:80" x14ac:dyDescent="0.25">
      <c r="B73" s="185">
        <v>40848</v>
      </c>
      <c r="C73" s="179">
        <v>241340.4625128441</v>
      </c>
      <c r="D73" s="179">
        <v>188466.40658131184</v>
      </c>
      <c r="E73" s="179">
        <v>192294.53399999999</v>
      </c>
      <c r="F73" s="178"/>
      <c r="G73" s="179"/>
      <c r="H73" s="179"/>
      <c r="I73" s="179"/>
    </row>
    <row r="74" spans="1:80" x14ac:dyDescent="0.25">
      <c r="B74" s="185">
        <v>40878</v>
      </c>
      <c r="C74" s="179">
        <v>320137.95163559169</v>
      </c>
      <c r="D74" s="179">
        <v>238406.47643247139</v>
      </c>
      <c r="E74" s="179">
        <v>241449.15399999995</v>
      </c>
      <c r="F74" s="178"/>
      <c r="G74" s="179"/>
      <c r="H74" s="179"/>
      <c r="I74" s="179"/>
    </row>
    <row r="75" spans="1:80" x14ac:dyDescent="0.25">
      <c r="B75" s="185">
        <v>40909</v>
      </c>
      <c r="C75" s="179">
        <v>454985.74601257924</v>
      </c>
      <c r="D75" s="179">
        <v>333019.86327004875</v>
      </c>
      <c r="E75" s="179">
        <v>338467.78669999994</v>
      </c>
      <c r="F75" s="178"/>
      <c r="G75" s="179"/>
      <c r="H75" s="179"/>
      <c r="I75" s="179"/>
    </row>
    <row r="76" spans="1:80" x14ac:dyDescent="0.25">
      <c r="B76" s="185">
        <v>40940</v>
      </c>
      <c r="C76" s="179">
        <v>678602.04845892568</v>
      </c>
      <c r="D76" s="179">
        <v>504477.45622582798</v>
      </c>
      <c r="E76" s="179">
        <v>482125.73994</v>
      </c>
      <c r="F76" s="178"/>
      <c r="G76" s="179"/>
      <c r="H76" s="179"/>
      <c r="I76" s="179"/>
    </row>
    <row r="77" spans="1:80" x14ac:dyDescent="0.25">
      <c r="B77" s="185">
        <v>40969</v>
      </c>
      <c r="C77" s="179">
        <v>938526.83955023566</v>
      </c>
      <c r="D77" s="179">
        <v>745457.33720307599</v>
      </c>
      <c r="E77" s="179">
        <v>688306.02791999979</v>
      </c>
      <c r="F77" s="178"/>
      <c r="G77" s="179"/>
      <c r="H77" s="179"/>
      <c r="I77" s="179"/>
    </row>
    <row r="78" spans="1:80" x14ac:dyDescent="0.25">
      <c r="B78" s="185">
        <v>41000</v>
      </c>
      <c r="C78" s="179">
        <v>1400917.8432136208</v>
      </c>
      <c r="D78" s="179">
        <v>1090502.9507265559</v>
      </c>
      <c r="E78" s="179">
        <v>1064916.9608499999</v>
      </c>
      <c r="F78" s="178"/>
      <c r="G78" s="179"/>
      <c r="H78" s="179"/>
      <c r="I78" s="179"/>
    </row>
    <row r="79" spans="1:80" x14ac:dyDescent="0.25">
      <c r="B79" s="185">
        <v>41030</v>
      </c>
      <c r="C79" s="179">
        <v>1937707.8168716168</v>
      </c>
      <c r="D79" s="179">
        <v>1680135.888540413</v>
      </c>
      <c r="E79" s="179">
        <v>1542416.8238599997</v>
      </c>
      <c r="F79" s="178"/>
      <c r="G79" s="179"/>
      <c r="H79" s="179"/>
      <c r="I79" s="179"/>
    </row>
    <row r="80" spans="1:80" x14ac:dyDescent="0.25">
      <c r="B80" s="185">
        <v>41061</v>
      </c>
      <c r="C80" s="179">
        <v>2276680.8636724348</v>
      </c>
      <c r="D80" s="179">
        <v>1944256.1473691899</v>
      </c>
      <c r="E80" s="179">
        <v>1809587.3054800001</v>
      </c>
      <c r="F80" s="178"/>
      <c r="G80" s="179"/>
      <c r="H80" s="179"/>
      <c r="I80" s="179"/>
    </row>
    <row r="81" spans="2:11" x14ac:dyDescent="0.25">
      <c r="B81" s="185">
        <v>41091</v>
      </c>
      <c r="C81" s="179">
        <v>2726958.1320251073</v>
      </c>
      <c r="D81" s="179">
        <v>2386117.7515251078</v>
      </c>
      <c r="E81" s="179">
        <v>2255080.3025899995</v>
      </c>
      <c r="F81" s="178"/>
      <c r="G81" s="179"/>
      <c r="H81" s="179"/>
      <c r="I81" s="179"/>
    </row>
    <row r="82" spans="2:11" x14ac:dyDescent="0.25">
      <c r="B82" s="185">
        <v>41122</v>
      </c>
      <c r="C82" s="179">
        <v>3174601.9236027738</v>
      </c>
      <c r="D82" s="179">
        <v>2747230.4392762226</v>
      </c>
      <c r="E82" s="179">
        <v>2727591.5624900009</v>
      </c>
      <c r="F82" s="178"/>
      <c r="G82" s="179"/>
      <c r="H82" s="179"/>
      <c r="I82" s="179"/>
    </row>
    <row r="83" spans="2:11" x14ac:dyDescent="0.25">
      <c r="B83" s="185">
        <v>41153</v>
      </c>
      <c r="C83" s="179">
        <v>3194691.681497511</v>
      </c>
      <c r="D83" s="179">
        <v>3053562.8817430483</v>
      </c>
      <c r="E83" s="179">
        <v>3043660.3666900019</v>
      </c>
      <c r="F83" s="178"/>
      <c r="G83" s="179"/>
      <c r="H83" s="179"/>
      <c r="I83" s="179"/>
    </row>
    <row r="84" spans="2:11" x14ac:dyDescent="0.25">
      <c r="B84" s="185">
        <v>41183</v>
      </c>
      <c r="C84" s="179">
        <v>3194691.681497511</v>
      </c>
      <c r="D84" s="179">
        <v>3153427.3036417272</v>
      </c>
      <c r="E84" s="179">
        <v>3123351.5616900013</v>
      </c>
      <c r="F84" s="178"/>
      <c r="G84" s="179"/>
      <c r="H84" s="179"/>
      <c r="I84" s="179"/>
    </row>
    <row r="85" spans="2:11" x14ac:dyDescent="0.25">
      <c r="B85" s="185">
        <v>41214</v>
      </c>
      <c r="C85" s="179">
        <v>3194691.681497511</v>
      </c>
      <c r="D85" s="179">
        <v>3194691.681497511</v>
      </c>
      <c r="E85" s="179">
        <v>3156786.2266900009</v>
      </c>
      <c r="F85" s="178"/>
      <c r="G85" s="179"/>
      <c r="H85" s="179"/>
      <c r="I85" s="179"/>
      <c r="K85" s="179"/>
    </row>
    <row r="86" spans="2:11" x14ac:dyDescent="0.25">
      <c r="B86" s="185"/>
      <c r="C86" s="179"/>
      <c r="D86" s="179"/>
      <c r="E86" s="179"/>
      <c r="I86"/>
    </row>
    <row r="87" spans="2:11" x14ac:dyDescent="0.25">
      <c r="I8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938FA-7541-4798-BDDF-6905AA32B426}">
  <dimension ref="A1:AF4493"/>
  <sheetViews>
    <sheetView topLeftCell="A36" workbookViewId="0">
      <selection activeCell="AD24" sqref="AD24"/>
    </sheetView>
  </sheetViews>
  <sheetFormatPr defaultRowHeight="15" x14ac:dyDescent="0.25"/>
  <cols>
    <col min="1" max="1" width="11.5703125" bestFit="1" customWidth="1"/>
    <col min="2" max="2" width="50.7109375" style="16" customWidth="1"/>
    <col min="3" max="3" width="24.28515625" bestFit="1" customWidth="1"/>
    <col min="4" max="4" width="6.28515625" bestFit="1" customWidth="1"/>
    <col min="6" max="6" width="11.140625" bestFit="1" customWidth="1"/>
    <col min="7" max="7" width="11.7109375" bestFit="1" customWidth="1"/>
    <col min="8" max="8" width="16.42578125" style="30" bestFit="1" customWidth="1"/>
    <col min="10" max="10" width="16.42578125" style="33" bestFit="1" customWidth="1"/>
    <col min="11" max="11" width="14.28515625" style="35" bestFit="1" customWidth="1"/>
    <col min="12" max="12" width="11.5703125" bestFit="1" customWidth="1"/>
    <col min="13" max="17" width="12.5703125" bestFit="1" customWidth="1"/>
    <col min="18" max="25" width="14.28515625" bestFit="1" customWidth="1"/>
    <col min="26" max="26" width="14.28515625" hidden="1" customWidth="1"/>
    <col min="27" max="31" width="14.28515625" style="34" bestFit="1" customWidth="1"/>
  </cols>
  <sheetData>
    <row r="1" spans="1:32" s="10" customFormat="1" x14ac:dyDescent="0.25">
      <c r="A1" s="10" t="s">
        <v>778</v>
      </c>
      <c r="B1" s="11" t="s">
        <v>779</v>
      </c>
      <c r="C1" s="10" t="s">
        <v>780</v>
      </c>
      <c r="D1" s="10" t="s">
        <v>3</v>
      </c>
      <c r="E1" s="10" t="s">
        <v>6</v>
      </c>
      <c r="F1" s="10" t="s">
        <v>7</v>
      </c>
      <c r="G1" s="10" t="s">
        <v>12</v>
      </c>
      <c r="H1" s="29" t="s">
        <v>1851</v>
      </c>
      <c r="J1" s="92" t="s">
        <v>1851</v>
      </c>
      <c r="K1" s="189" t="s">
        <v>2758</v>
      </c>
      <c r="L1" s="190">
        <v>40817</v>
      </c>
      <c r="M1" s="190">
        <v>40848</v>
      </c>
      <c r="N1" s="190">
        <v>40878</v>
      </c>
      <c r="O1" s="190">
        <v>40909</v>
      </c>
      <c r="P1" s="190">
        <v>40940</v>
      </c>
      <c r="Q1" s="190">
        <v>40969</v>
      </c>
      <c r="R1" s="190">
        <v>41000</v>
      </c>
      <c r="S1" s="190">
        <v>41030</v>
      </c>
      <c r="T1" s="190">
        <v>41061</v>
      </c>
      <c r="U1" s="190">
        <v>41091</v>
      </c>
      <c r="V1" s="190">
        <v>41122</v>
      </c>
      <c r="W1" s="190">
        <v>41153</v>
      </c>
      <c r="X1" s="190">
        <v>41183</v>
      </c>
      <c r="Y1" s="190">
        <v>41214</v>
      </c>
      <c r="Z1" s="238">
        <v>41244</v>
      </c>
      <c r="AA1" s="242"/>
      <c r="AB1" s="242"/>
      <c r="AC1" s="242"/>
      <c r="AD1" s="242"/>
      <c r="AE1" s="242"/>
      <c r="AF1" s="37"/>
    </row>
    <row r="2" spans="1:32" x14ac:dyDescent="0.25">
      <c r="A2" s="12" t="s">
        <v>781</v>
      </c>
      <c r="B2" s="11" t="s">
        <v>1852</v>
      </c>
      <c r="C2" s="10" t="s">
        <v>781</v>
      </c>
      <c r="D2" s="10" t="s">
        <v>781</v>
      </c>
      <c r="E2" s="13"/>
      <c r="F2" s="13"/>
      <c r="G2" s="14"/>
      <c r="H2" s="29"/>
      <c r="J2" s="92" t="s">
        <v>781</v>
      </c>
      <c r="K2" s="94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239"/>
    </row>
    <row r="3" spans="1:32" x14ac:dyDescent="0.25">
      <c r="A3" s="15">
        <v>40870</v>
      </c>
      <c r="B3" s="16" t="s">
        <v>782</v>
      </c>
      <c r="C3" t="s">
        <v>32</v>
      </c>
      <c r="D3" t="s">
        <v>783</v>
      </c>
      <c r="E3" s="17">
        <v>1</v>
      </c>
      <c r="F3" s="17">
        <v>2701.68</v>
      </c>
      <c r="G3" s="18">
        <v>2701.68</v>
      </c>
      <c r="H3" s="30" t="s">
        <v>2284</v>
      </c>
      <c r="J3" s="80">
        <v>11</v>
      </c>
      <c r="K3" s="94">
        <f t="shared" ref="K3:K34" si="0">SUMIF(H:H,J3,G:G)</f>
        <v>44729.58</v>
      </c>
      <c r="L3" s="94">
        <f t="shared" ref="L3:Y3" si="1">SUMIFS($G:$G,$A:$A,"&lt;"&amp;M$1,$H:$H,$J3)</f>
        <v>0</v>
      </c>
      <c r="M3" s="94">
        <f t="shared" si="1"/>
        <v>2701.68</v>
      </c>
      <c r="N3" s="94">
        <f t="shared" si="1"/>
        <v>2701.68</v>
      </c>
      <c r="O3" s="94">
        <f t="shared" si="1"/>
        <v>3812.3799999999997</v>
      </c>
      <c r="P3" s="94">
        <f t="shared" si="1"/>
        <v>7648.3799999999992</v>
      </c>
      <c r="Q3" s="94">
        <f t="shared" si="1"/>
        <v>9078.3799999999992</v>
      </c>
      <c r="R3" s="94">
        <f t="shared" si="1"/>
        <v>11980.48</v>
      </c>
      <c r="S3" s="94">
        <f t="shared" si="1"/>
        <v>21999.279999999999</v>
      </c>
      <c r="T3" s="94">
        <f t="shared" si="1"/>
        <v>21999.279999999999</v>
      </c>
      <c r="U3" s="94">
        <f t="shared" si="1"/>
        <v>31311.879999999997</v>
      </c>
      <c r="V3" s="94">
        <f t="shared" si="1"/>
        <v>34782.129999999997</v>
      </c>
      <c r="W3" s="94">
        <f t="shared" si="1"/>
        <v>42620.43</v>
      </c>
      <c r="X3" s="94">
        <f t="shared" si="1"/>
        <v>44729.58</v>
      </c>
      <c r="Y3" s="94">
        <f t="shared" si="1"/>
        <v>44729.58</v>
      </c>
      <c r="Z3" s="240"/>
      <c r="AA3" s="243"/>
      <c r="AB3" s="243"/>
      <c r="AC3" s="243"/>
      <c r="AD3" s="243"/>
      <c r="AE3" s="243"/>
    </row>
    <row r="4" spans="1:32" x14ac:dyDescent="0.25">
      <c r="A4" s="15">
        <v>40931</v>
      </c>
      <c r="B4" s="16" t="s">
        <v>784</v>
      </c>
      <c r="C4" t="s">
        <v>785</v>
      </c>
      <c r="D4" t="s">
        <v>783</v>
      </c>
      <c r="E4" s="17">
        <v>1</v>
      </c>
      <c r="F4" s="17">
        <v>742</v>
      </c>
      <c r="G4" s="18">
        <v>742</v>
      </c>
      <c r="H4" s="30" t="s">
        <v>2284</v>
      </c>
      <c r="J4" s="80">
        <v>12</v>
      </c>
      <c r="K4" s="94">
        <f t="shared" si="0"/>
        <v>18263.07</v>
      </c>
      <c r="L4" s="94">
        <f t="shared" ref="L4:Y4" si="2">SUMIFS($G:$G,$A:$A,"&lt;"&amp;M$1,$H:$H,$J4)</f>
        <v>0</v>
      </c>
      <c r="M4" s="94">
        <f t="shared" si="2"/>
        <v>0</v>
      </c>
      <c r="N4" s="94">
        <f t="shared" si="2"/>
        <v>0</v>
      </c>
      <c r="O4" s="94">
        <f t="shared" si="2"/>
        <v>0</v>
      </c>
      <c r="P4" s="94">
        <f t="shared" si="2"/>
        <v>0</v>
      </c>
      <c r="Q4" s="94">
        <f t="shared" si="2"/>
        <v>1634.92</v>
      </c>
      <c r="R4" s="94">
        <f t="shared" si="2"/>
        <v>1634.92</v>
      </c>
      <c r="S4" s="94">
        <f t="shared" si="2"/>
        <v>1634.92</v>
      </c>
      <c r="T4" s="94">
        <f t="shared" si="2"/>
        <v>7912.42</v>
      </c>
      <c r="U4" s="94">
        <f t="shared" si="2"/>
        <v>10091.92</v>
      </c>
      <c r="V4" s="94">
        <f t="shared" si="2"/>
        <v>11058.92</v>
      </c>
      <c r="W4" s="94">
        <f t="shared" si="2"/>
        <v>12071.02</v>
      </c>
      <c r="X4" s="94">
        <f t="shared" si="2"/>
        <v>12825.67</v>
      </c>
      <c r="Y4" s="94">
        <f t="shared" si="2"/>
        <v>18263.07</v>
      </c>
      <c r="Z4" s="240"/>
      <c r="AA4" s="243"/>
      <c r="AB4" s="243"/>
      <c r="AC4" s="243"/>
      <c r="AD4" s="243"/>
      <c r="AE4" s="243"/>
    </row>
    <row r="5" spans="1:32" x14ac:dyDescent="0.25">
      <c r="A5" s="15">
        <v>40931</v>
      </c>
      <c r="B5" s="16" t="s">
        <v>786</v>
      </c>
      <c r="C5" t="s">
        <v>785</v>
      </c>
      <c r="D5" t="s">
        <v>783</v>
      </c>
      <c r="E5" s="17">
        <v>1</v>
      </c>
      <c r="F5" s="17">
        <v>368.7</v>
      </c>
      <c r="G5" s="18">
        <v>368.7</v>
      </c>
      <c r="H5" s="30" t="s">
        <v>2284</v>
      </c>
      <c r="J5" s="80">
        <v>13</v>
      </c>
      <c r="K5" s="94">
        <f t="shared" si="0"/>
        <v>27869.52</v>
      </c>
      <c r="L5" s="94">
        <f t="shared" ref="L5:Y5" si="3">SUMIFS($G:$G,$A:$A,"&lt;"&amp;M$1,$H:$H,$J5)</f>
        <v>0</v>
      </c>
      <c r="M5" s="94">
        <f t="shared" si="3"/>
        <v>1591.54</v>
      </c>
      <c r="N5" s="94">
        <f t="shared" si="3"/>
        <v>2350.81</v>
      </c>
      <c r="O5" s="94">
        <f t="shared" si="3"/>
        <v>2670.9</v>
      </c>
      <c r="P5" s="94">
        <f t="shared" si="3"/>
        <v>4611.7</v>
      </c>
      <c r="Q5" s="94">
        <f t="shared" si="3"/>
        <v>4611.7</v>
      </c>
      <c r="R5" s="94">
        <f t="shared" si="3"/>
        <v>9695.7800000000007</v>
      </c>
      <c r="S5" s="94">
        <f t="shared" si="3"/>
        <v>12901.68</v>
      </c>
      <c r="T5" s="94">
        <f t="shared" si="3"/>
        <v>14673.95</v>
      </c>
      <c r="U5" s="94">
        <f t="shared" si="3"/>
        <v>14673.95</v>
      </c>
      <c r="V5" s="94">
        <f t="shared" si="3"/>
        <v>25104.7</v>
      </c>
      <c r="W5" s="94">
        <f t="shared" si="3"/>
        <v>27744.07</v>
      </c>
      <c r="X5" s="94">
        <f t="shared" si="3"/>
        <v>27869.52</v>
      </c>
      <c r="Y5" s="94">
        <f t="shared" si="3"/>
        <v>27869.52</v>
      </c>
      <c r="Z5" s="240"/>
      <c r="AA5" s="243"/>
      <c r="AB5" s="243"/>
      <c r="AC5" s="243"/>
      <c r="AD5" s="243"/>
      <c r="AE5" s="243"/>
    </row>
    <row r="6" spans="1:32" x14ac:dyDescent="0.25">
      <c r="A6" s="15">
        <v>40961</v>
      </c>
      <c r="B6" s="16" t="s">
        <v>787</v>
      </c>
      <c r="C6" t="s">
        <v>788</v>
      </c>
      <c r="D6" t="s">
        <v>783</v>
      </c>
      <c r="E6" s="17">
        <v>1</v>
      </c>
      <c r="F6" s="17">
        <v>666.5</v>
      </c>
      <c r="G6" s="18">
        <v>666.5</v>
      </c>
      <c r="H6" s="30" t="s">
        <v>2284</v>
      </c>
      <c r="J6" s="80">
        <v>15</v>
      </c>
      <c r="K6" s="94">
        <f t="shared" si="0"/>
        <v>4054.9</v>
      </c>
      <c r="L6" s="94">
        <f t="shared" ref="L6:Y6" si="4">SUMIFS($G:$G,$A:$A,"&lt;"&amp;M$1,$H:$H,$J6)</f>
        <v>0</v>
      </c>
      <c r="M6" s="94">
        <f t="shared" si="4"/>
        <v>0</v>
      </c>
      <c r="N6" s="94">
        <f t="shared" si="4"/>
        <v>0</v>
      </c>
      <c r="O6" s="94">
        <f t="shared" si="4"/>
        <v>195</v>
      </c>
      <c r="P6" s="94">
        <f t="shared" si="4"/>
        <v>195</v>
      </c>
      <c r="Q6" s="94">
        <f t="shared" si="4"/>
        <v>1480</v>
      </c>
      <c r="R6" s="94">
        <f t="shared" si="4"/>
        <v>1480</v>
      </c>
      <c r="S6" s="94">
        <f t="shared" si="4"/>
        <v>2282.5</v>
      </c>
      <c r="T6" s="94">
        <f t="shared" si="4"/>
        <v>2860</v>
      </c>
      <c r="U6" s="94">
        <f t="shared" si="4"/>
        <v>3107.5</v>
      </c>
      <c r="V6" s="94">
        <f t="shared" si="4"/>
        <v>4054.9</v>
      </c>
      <c r="W6" s="94">
        <f t="shared" si="4"/>
        <v>4054.9</v>
      </c>
      <c r="X6" s="94">
        <f t="shared" si="4"/>
        <v>4054.9</v>
      </c>
      <c r="Y6" s="94">
        <f t="shared" si="4"/>
        <v>4054.9</v>
      </c>
      <c r="Z6" s="240"/>
      <c r="AA6" s="243"/>
      <c r="AB6" s="243"/>
      <c r="AC6" s="243"/>
      <c r="AD6" s="243"/>
      <c r="AE6" s="243"/>
    </row>
    <row r="7" spans="1:32" x14ac:dyDescent="0.25">
      <c r="A7" s="15">
        <v>40961</v>
      </c>
      <c r="B7" s="16" t="s">
        <v>789</v>
      </c>
      <c r="C7" t="s">
        <v>788</v>
      </c>
      <c r="D7" t="s">
        <v>783</v>
      </c>
      <c r="E7" s="17">
        <v>1</v>
      </c>
      <c r="F7" s="17">
        <v>3169.5</v>
      </c>
      <c r="G7" s="18">
        <v>3169.5</v>
      </c>
      <c r="H7" s="30" t="s">
        <v>2284</v>
      </c>
      <c r="J7" s="80">
        <v>32</v>
      </c>
      <c r="K7" s="94">
        <f t="shared" si="0"/>
        <v>2535.3200000000002</v>
      </c>
      <c r="L7" s="94">
        <f t="shared" ref="L7:Y7" si="5">SUMIFS($G:$G,$A:$A,"&lt;"&amp;M$1,$H:$H,$J7)</f>
        <v>0</v>
      </c>
      <c r="M7" s="94">
        <f t="shared" si="5"/>
        <v>0</v>
      </c>
      <c r="N7" s="94">
        <f t="shared" si="5"/>
        <v>0</v>
      </c>
      <c r="O7" s="94">
        <f t="shared" si="5"/>
        <v>0</v>
      </c>
      <c r="P7" s="94">
        <f t="shared" si="5"/>
        <v>0</v>
      </c>
      <c r="Q7" s="94">
        <f t="shared" si="5"/>
        <v>0</v>
      </c>
      <c r="R7" s="94">
        <f t="shared" si="5"/>
        <v>0</v>
      </c>
      <c r="S7" s="94">
        <f t="shared" si="5"/>
        <v>1933.19</v>
      </c>
      <c r="T7" s="94">
        <f t="shared" si="5"/>
        <v>1959.3400000000001</v>
      </c>
      <c r="U7" s="94">
        <f t="shared" si="5"/>
        <v>1987.65</v>
      </c>
      <c r="V7" s="94">
        <f t="shared" si="5"/>
        <v>1997.0900000000001</v>
      </c>
      <c r="W7" s="94">
        <f t="shared" si="5"/>
        <v>2350.36</v>
      </c>
      <c r="X7" s="94">
        <f t="shared" si="5"/>
        <v>2535.3200000000002</v>
      </c>
      <c r="Y7" s="94">
        <f t="shared" si="5"/>
        <v>2535.3200000000002</v>
      </c>
      <c r="Z7" s="240"/>
      <c r="AA7" s="243"/>
      <c r="AB7" s="243"/>
      <c r="AC7" s="243"/>
      <c r="AD7" s="243"/>
      <c r="AE7" s="243"/>
    </row>
    <row r="8" spans="1:32" x14ac:dyDescent="0.25">
      <c r="A8" s="15">
        <v>40980</v>
      </c>
      <c r="B8" s="16" t="s">
        <v>790</v>
      </c>
      <c r="C8" t="s">
        <v>788</v>
      </c>
      <c r="D8" t="s">
        <v>783</v>
      </c>
      <c r="E8" s="17">
        <v>1</v>
      </c>
      <c r="F8" s="17">
        <v>1430</v>
      </c>
      <c r="G8" s="18">
        <v>1430</v>
      </c>
      <c r="H8" s="30" t="s">
        <v>2284</v>
      </c>
      <c r="J8" s="80">
        <v>33</v>
      </c>
      <c r="K8" s="94">
        <f t="shared" si="0"/>
        <v>25138.26999999999</v>
      </c>
      <c r="L8" s="94">
        <f t="shared" ref="L8:Y8" si="6">SUMIFS($G:$G,$A:$A,"&lt;"&amp;M$1,$H:$H,$J8)</f>
        <v>0</v>
      </c>
      <c r="M8" s="94">
        <f t="shared" si="6"/>
        <v>0</v>
      </c>
      <c r="N8" s="94">
        <f t="shared" si="6"/>
        <v>2940.25</v>
      </c>
      <c r="O8" s="94">
        <f t="shared" si="6"/>
        <v>2940.25</v>
      </c>
      <c r="P8" s="94">
        <f t="shared" si="6"/>
        <v>2940.25</v>
      </c>
      <c r="Q8" s="94">
        <f t="shared" si="6"/>
        <v>4770.45</v>
      </c>
      <c r="R8" s="94">
        <f t="shared" si="6"/>
        <v>7250.7849999999999</v>
      </c>
      <c r="S8" s="94">
        <f t="shared" si="6"/>
        <v>8553.17</v>
      </c>
      <c r="T8" s="94">
        <f t="shared" si="6"/>
        <v>8553.17</v>
      </c>
      <c r="U8" s="94">
        <f t="shared" si="6"/>
        <v>8553.17</v>
      </c>
      <c r="V8" s="94">
        <f t="shared" si="6"/>
        <v>11683.645</v>
      </c>
      <c r="W8" s="94">
        <f t="shared" si="6"/>
        <v>15479.394999999999</v>
      </c>
      <c r="X8" s="94">
        <f t="shared" si="6"/>
        <v>25138.26999999999</v>
      </c>
      <c r="Y8" s="94">
        <f t="shared" si="6"/>
        <v>25138.26999999999</v>
      </c>
      <c r="Z8" s="240"/>
      <c r="AA8" s="243"/>
      <c r="AB8" s="243"/>
      <c r="AC8" s="243"/>
      <c r="AD8" s="243"/>
      <c r="AE8" s="243"/>
    </row>
    <row r="9" spans="1:32" x14ac:dyDescent="0.25">
      <c r="A9" s="15">
        <v>41018</v>
      </c>
      <c r="B9" s="16" t="s">
        <v>791</v>
      </c>
      <c r="C9" t="s">
        <v>788</v>
      </c>
      <c r="D9" t="s">
        <v>783</v>
      </c>
      <c r="E9" s="17">
        <v>1</v>
      </c>
      <c r="F9" s="17">
        <v>781.6</v>
      </c>
      <c r="G9" s="18">
        <v>781.6</v>
      </c>
      <c r="H9" s="30" t="s">
        <v>2284</v>
      </c>
      <c r="J9" s="80">
        <v>41</v>
      </c>
      <c r="K9" s="94">
        <f t="shared" si="0"/>
        <v>12448.88</v>
      </c>
      <c r="L9" s="94">
        <f t="shared" ref="L9:Y9" si="7">SUMIFS($G:$G,$A:$A,"&lt;"&amp;M$1,$H:$H,$J9)</f>
        <v>0</v>
      </c>
      <c r="M9" s="94">
        <f t="shared" si="7"/>
        <v>330</v>
      </c>
      <c r="N9" s="94">
        <f t="shared" si="7"/>
        <v>330</v>
      </c>
      <c r="O9" s="94">
        <f t="shared" si="7"/>
        <v>330</v>
      </c>
      <c r="P9" s="94">
        <f t="shared" si="7"/>
        <v>1352.8000000000002</v>
      </c>
      <c r="Q9" s="94">
        <f t="shared" si="7"/>
        <v>2167.9250000000002</v>
      </c>
      <c r="R9" s="94">
        <f t="shared" si="7"/>
        <v>2167.9250000000002</v>
      </c>
      <c r="S9" s="94">
        <f t="shared" si="7"/>
        <v>7077.4350000000013</v>
      </c>
      <c r="T9" s="94">
        <f t="shared" si="7"/>
        <v>7077.4350000000013</v>
      </c>
      <c r="U9" s="94">
        <f t="shared" si="7"/>
        <v>11067.78</v>
      </c>
      <c r="V9" s="94">
        <f t="shared" si="7"/>
        <v>12448.88</v>
      </c>
      <c r="W9" s="94">
        <f t="shared" si="7"/>
        <v>12448.88</v>
      </c>
      <c r="X9" s="94">
        <f t="shared" si="7"/>
        <v>12448.88</v>
      </c>
      <c r="Y9" s="94">
        <f t="shared" si="7"/>
        <v>12448.88</v>
      </c>
      <c r="Z9" s="240"/>
      <c r="AA9" s="243"/>
      <c r="AB9" s="243"/>
      <c r="AC9" s="243"/>
      <c r="AD9" s="243"/>
      <c r="AE9" s="243"/>
    </row>
    <row r="10" spans="1:32" x14ac:dyDescent="0.25">
      <c r="A10" s="15">
        <v>41018</v>
      </c>
      <c r="B10" s="16" t="s">
        <v>792</v>
      </c>
      <c r="C10" t="s">
        <v>788</v>
      </c>
      <c r="D10" t="s">
        <v>783</v>
      </c>
      <c r="E10" s="17">
        <v>1</v>
      </c>
      <c r="F10" s="17">
        <v>1029.5</v>
      </c>
      <c r="G10" s="18">
        <v>1029.5</v>
      </c>
      <c r="H10" s="30" t="s">
        <v>2284</v>
      </c>
      <c r="J10" s="80">
        <v>52</v>
      </c>
      <c r="K10" s="94">
        <f t="shared" si="0"/>
        <v>193.5</v>
      </c>
      <c r="L10" s="94">
        <f t="shared" ref="L10:Y10" si="8">SUMIFS($G:$G,$A:$A,"&lt;"&amp;M$1,$H:$H,$J10)</f>
        <v>0</v>
      </c>
      <c r="M10" s="94">
        <f t="shared" si="8"/>
        <v>0</v>
      </c>
      <c r="N10" s="94">
        <f t="shared" si="8"/>
        <v>0</v>
      </c>
      <c r="O10" s="94">
        <f t="shared" si="8"/>
        <v>0</v>
      </c>
      <c r="P10" s="94">
        <f t="shared" si="8"/>
        <v>0</v>
      </c>
      <c r="Q10" s="94">
        <f t="shared" si="8"/>
        <v>0</v>
      </c>
      <c r="R10" s="94">
        <f t="shared" si="8"/>
        <v>0</v>
      </c>
      <c r="S10" s="94">
        <f t="shared" si="8"/>
        <v>193.5</v>
      </c>
      <c r="T10" s="94">
        <f t="shared" si="8"/>
        <v>193.5</v>
      </c>
      <c r="U10" s="94">
        <f t="shared" si="8"/>
        <v>193.5</v>
      </c>
      <c r="V10" s="94">
        <f t="shared" si="8"/>
        <v>193.5</v>
      </c>
      <c r="W10" s="94">
        <f t="shared" si="8"/>
        <v>193.5</v>
      </c>
      <c r="X10" s="94">
        <f t="shared" si="8"/>
        <v>193.5</v>
      </c>
      <c r="Y10" s="94">
        <f t="shared" si="8"/>
        <v>193.5</v>
      </c>
      <c r="Z10" s="240"/>
      <c r="AA10" s="243"/>
      <c r="AB10" s="243"/>
      <c r="AC10" s="243"/>
      <c r="AD10" s="243"/>
      <c r="AE10" s="243"/>
    </row>
    <row r="11" spans="1:32" x14ac:dyDescent="0.25">
      <c r="A11" s="15">
        <v>41018</v>
      </c>
      <c r="B11" s="16" t="s">
        <v>793</v>
      </c>
      <c r="C11" t="s">
        <v>788</v>
      </c>
      <c r="D11" t="s">
        <v>783</v>
      </c>
      <c r="E11" s="17">
        <v>1</v>
      </c>
      <c r="F11" s="17">
        <v>1091</v>
      </c>
      <c r="G11" s="18">
        <v>1091</v>
      </c>
      <c r="H11" s="30" t="s">
        <v>2284</v>
      </c>
      <c r="J11" s="80">
        <v>53</v>
      </c>
      <c r="K11" s="94">
        <f t="shared" si="0"/>
        <v>308767.98300000018</v>
      </c>
      <c r="L11" s="94">
        <f t="shared" ref="L11:Y11" si="9">SUMIFS($G:$G,$A:$A,"&lt;"&amp;M$1,$H:$H,$J11)</f>
        <v>18346.463999999993</v>
      </c>
      <c r="M11" s="94">
        <f t="shared" si="9"/>
        <v>37000.538999999997</v>
      </c>
      <c r="N11" s="94">
        <f t="shared" si="9"/>
        <v>40441.938999999991</v>
      </c>
      <c r="O11" s="94">
        <f t="shared" si="9"/>
        <v>71961.763999999966</v>
      </c>
      <c r="P11" s="94">
        <f t="shared" si="9"/>
        <v>97868.888999999923</v>
      </c>
      <c r="Q11" s="94">
        <f t="shared" si="9"/>
        <v>114354.86399999993</v>
      </c>
      <c r="R11" s="94">
        <f t="shared" si="9"/>
        <v>164115.94399999984</v>
      </c>
      <c r="S11" s="94">
        <f t="shared" si="9"/>
        <v>188753.53149999984</v>
      </c>
      <c r="T11" s="94">
        <f t="shared" si="9"/>
        <v>230001.57699999987</v>
      </c>
      <c r="U11" s="94">
        <f t="shared" si="9"/>
        <v>238750.47699999987</v>
      </c>
      <c r="V11" s="94">
        <f t="shared" si="9"/>
        <v>274349.87700000004</v>
      </c>
      <c r="W11" s="94">
        <f t="shared" si="9"/>
        <v>305562.63300000021</v>
      </c>
      <c r="X11" s="94">
        <f t="shared" si="9"/>
        <v>308767.98300000018</v>
      </c>
      <c r="Y11" s="94">
        <f t="shared" si="9"/>
        <v>308767.98300000018</v>
      </c>
      <c r="Z11" s="240"/>
      <c r="AA11" s="243"/>
      <c r="AB11" s="243"/>
      <c r="AC11" s="243"/>
      <c r="AD11" s="243"/>
      <c r="AE11" s="243"/>
    </row>
    <row r="12" spans="1:32" x14ac:dyDescent="0.25">
      <c r="A12" s="15">
        <v>41050</v>
      </c>
      <c r="B12" s="16" t="s">
        <v>794</v>
      </c>
      <c r="C12" t="s">
        <v>788</v>
      </c>
      <c r="D12" t="s">
        <v>783</v>
      </c>
      <c r="E12" s="17">
        <v>1</v>
      </c>
      <c r="F12" s="17">
        <v>1102.4000000000001</v>
      </c>
      <c r="G12" s="18">
        <v>1102.4000000000001</v>
      </c>
      <c r="H12" s="30" t="s">
        <v>2284</v>
      </c>
      <c r="J12" s="80">
        <v>57</v>
      </c>
      <c r="K12" s="94">
        <f t="shared" si="0"/>
        <v>215667.31699999992</v>
      </c>
      <c r="L12" s="94">
        <f t="shared" ref="L12:Y12" si="10">SUMIFS($G:$G,$A:$A,"&lt;"&amp;M$1,$H:$H,$J12)</f>
        <v>0</v>
      </c>
      <c r="M12" s="94">
        <f t="shared" si="10"/>
        <v>0</v>
      </c>
      <c r="N12" s="94">
        <f t="shared" si="10"/>
        <v>0</v>
      </c>
      <c r="O12" s="94">
        <f t="shared" si="10"/>
        <v>0</v>
      </c>
      <c r="P12" s="94">
        <f t="shared" si="10"/>
        <v>0</v>
      </c>
      <c r="Q12" s="94">
        <f t="shared" si="10"/>
        <v>0</v>
      </c>
      <c r="R12" s="94">
        <f t="shared" si="10"/>
        <v>42660.383749999986</v>
      </c>
      <c r="S12" s="94">
        <f t="shared" si="10"/>
        <v>81882.518499999933</v>
      </c>
      <c r="T12" s="94">
        <f t="shared" si="10"/>
        <v>81882.518499999933</v>
      </c>
      <c r="U12" s="94">
        <f t="shared" si="10"/>
        <v>146832.57349999994</v>
      </c>
      <c r="V12" s="94">
        <f t="shared" si="10"/>
        <v>206533.27199999991</v>
      </c>
      <c r="W12" s="94">
        <f t="shared" si="10"/>
        <v>215667.31699999992</v>
      </c>
      <c r="X12" s="94">
        <f t="shared" si="10"/>
        <v>215667.31699999992</v>
      </c>
      <c r="Y12" s="94">
        <f t="shared" si="10"/>
        <v>215667.31699999992</v>
      </c>
      <c r="Z12" s="240"/>
      <c r="AA12" s="243"/>
      <c r="AB12" s="243"/>
      <c r="AC12" s="243"/>
      <c r="AD12" s="243"/>
      <c r="AE12" s="243"/>
    </row>
    <row r="13" spans="1:32" x14ac:dyDescent="0.25">
      <c r="A13" s="15">
        <v>41050</v>
      </c>
      <c r="B13" s="16" t="s">
        <v>795</v>
      </c>
      <c r="C13" t="s">
        <v>788</v>
      </c>
      <c r="D13" t="s">
        <v>783</v>
      </c>
      <c r="E13" s="17">
        <v>1</v>
      </c>
      <c r="F13" s="17">
        <v>2554.8000000000002</v>
      </c>
      <c r="G13" s="18">
        <v>2554.8000000000002</v>
      </c>
      <c r="H13" s="30" t="s">
        <v>2284</v>
      </c>
      <c r="J13" s="80">
        <v>61</v>
      </c>
      <c r="K13" s="94">
        <f t="shared" si="0"/>
        <v>4390.4250000000002</v>
      </c>
      <c r="L13" s="94">
        <f t="shared" ref="L13:Y13" si="11">SUMIFS($G:$G,$A:$A,"&lt;"&amp;M$1,$H:$H,$J13)</f>
        <v>530.25</v>
      </c>
      <c r="M13" s="94">
        <f t="shared" si="11"/>
        <v>2080.5</v>
      </c>
      <c r="N13" s="94">
        <f t="shared" si="11"/>
        <v>2080.5</v>
      </c>
      <c r="O13" s="94">
        <f t="shared" si="11"/>
        <v>2080.5</v>
      </c>
      <c r="P13" s="94">
        <f t="shared" si="11"/>
        <v>2080.5</v>
      </c>
      <c r="Q13" s="94">
        <f t="shared" si="11"/>
        <v>3667.6250000000005</v>
      </c>
      <c r="R13" s="94">
        <f t="shared" si="11"/>
        <v>3667.6250000000005</v>
      </c>
      <c r="S13" s="94">
        <f t="shared" si="11"/>
        <v>3667.6250000000005</v>
      </c>
      <c r="T13" s="94">
        <f t="shared" si="11"/>
        <v>3667.6250000000005</v>
      </c>
      <c r="U13" s="94">
        <f t="shared" si="11"/>
        <v>3667.6250000000005</v>
      </c>
      <c r="V13" s="94">
        <f t="shared" si="11"/>
        <v>4390.4250000000002</v>
      </c>
      <c r="W13" s="94">
        <f t="shared" si="11"/>
        <v>4390.4250000000002</v>
      </c>
      <c r="X13" s="94">
        <f t="shared" si="11"/>
        <v>4390.4250000000002</v>
      </c>
      <c r="Y13" s="94">
        <f t="shared" si="11"/>
        <v>4390.4250000000002</v>
      </c>
      <c r="Z13" s="240"/>
      <c r="AA13" s="243"/>
      <c r="AB13" s="243"/>
      <c r="AC13" s="243"/>
      <c r="AD13" s="243"/>
      <c r="AE13" s="243"/>
    </row>
    <row r="14" spans="1:32" x14ac:dyDescent="0.25">
      <c r="A14" s="15">
        <v>41050</v>
      </c>
      <c r="B14" s="16" t="s">
        <v>796</v>
      </c>
      <c r="C14" t="s">
        <v>788</v>
      </c>
      <c r="D14" t="s">
        <v>783</v>
      </c>
      <c r="E14" s="17">
        <v>1</v>
      </c>
      <c r="F14" s="17">
        <v>4954.1000000000004</v>
      </c>
      <c r="G14" s="18">
        <v>4954.1000000000004</v>
      </c>
      <c r="H14" s="30" t="s">
        <v>2284</v>
      </c>
      <c r="J14" s="80">
        <v>62</v>
      </c>
      <c r="K14" s="94">
        <f t="shared" si="0"/>
        <v>382852.62550000066</v>
      </c>
      <c r="L14" s="94">
        <f t="shared" ref="L14:Y14" si="12">SUMIFS($G:$G,$A:$A,"&lt;"&amp;M$1,$H:$H,$J14)</f>
        <v>3990.07</v>
      </c>
      <c r="M14" s="94">
        <f t="shared" si="12"/>
        <v>29107.37999999999</v>
      </c>
      <c r="N14" s="94">
        <f t="shared" si="12"/>
        <v>44215.209999999992</v>
      </c>
      <c r="O14" s="94">
        <f t="shared" si="12"/>
        <v>59531.289999999979</v>
      </c>
      <c r="P14" s="94">
        <f t="shared" si="12"/>
        <v>76785.939999999988</v>
      </c>
      <c r="Q14" s="94">
        <f t="shared" si="12"/>
        <v>110169.11500000006</v>
      </c>
      <c r="R14" s="94">
        <f t="shared" si="12"/>
        <v>152455.78000000012</v>
      </c>
      <c r="S14" s="94">
        <f t="shared" si="12"/>
        <v>194475.97750000012</v>
      </c>
      <c r="T14" s="94">
        <f t="shared" si="12"/>
        <v>229892.64850000007</v>
      </c>
      <c r="U14" s="94">
        <f t="shared" si="12"/>
        <v>260952.62350000013</v>
      </c>
      <c r="V14" s="94">
        <f t="shared" si="12"/>
        <v>333157.83550000045</v>
      </c>
      <c r="W14" s="94">
        <f t="shared" si="12"/>
        <v>382852.62550000066</v>
      </c>
      <c r="X14" s="94">
        <f t="shared" si="12"/>
        <v>382852.62550000066</v>
      </c>
      <c r="Y14" s="94">
        <f t="shared" si="12"/>
        <v>382852.62550000066</v>
      </c>
      <c r="Z14" s="240"/>
      <c r="AA14" s="243"/>
      <c r="AB14" s="243"/>
      <c r="AC14" s="243"/>
      <c r="AD14" s="243"/>
      <c r="AE14" s="243"/>
    </row>
    <row r="15" spans="1:32" x14ac:dyDescent="0.25">
      <c r="A15" s="15">
        <v>41050</v>
      </c>
      <c r="B15" s="16" t="s">
        <v>797</v>
      </c>
      <c r="C15" t="s">
        <v>788</v>
      </c>
      <c r="D15" t="s">
        <v>783</v>
      </c>
      <c r="E15" s="17">
        <v>1</v>
      </c>
      <c r="F15" s="17">
        <v>1407.5</v>
      </c>
      <c r="G15" s="18">
        <v>1407.5</v>
      </c>
      <c r="H15" s="30" t="s">
        <v>2284</v>
      </c>
      <c r="J15" s="80">
        <v>63</v>
      </c>
      <c r="K15" s="94">
        <f t="shared" si="0"/>
        <v>86275.347999999954</v>
      </c>
      <c r="L15" s="94">
        <f t="shared" ref="L15:Y15" si="13">SUMIFS($G:$G,$A:$A,"&lt;"&amp;M$1,$H:$H,$J15)</f>
        <v>0</v>
      </c>
      <c r="M15" s="94">
        <f t="shared" si="13"/>
        <v>4226.7100000000009</v>
      </c>
      <c r="N15" s="94">
        <f t="shared" si="13"/>
        <v>4226.7100000000009</v>
      </c>
      <c r="O15" s="94">
        <f t="shared" si="13"/>
        <v>4226.7100000000009</v>
      </c>
      <c r="P15" s="94">
        <f t="shared" si="13"/>
        <v>7927.9100000000026</v>
      </c>
      <c r="Q15" s="94">
        <f t="shared" si="13"/>
        <v>14756.620000000003</v>
      </c>
      <c r="R15" s="94">
        <f t="shared" si="13"/>
        <v>30773.570000000011</v>
      </c>
      <c r="S15" s="94">
        <f t="shared" si="13"/>
        <v>36702.470000000016</v>
      </c>
      <c r="T15" s="94">
        <f t="shared" si="13"/>
        <v>46879.84500000003</v>
      </c>
      <c r="U15" s="94">
        <f t="shared" si="13"/>
        <v>47698.995000000024</v>
      </c>
      <c r="V15" s="94">
        <f t="shared" si="13"/>
        <v>66733.096000000005</v>
      </c>
      <c r="W15" s="94">
        <f t="shared" si="13"/>
        <v>86275.347999999954</v>
      </c>
      <c r="X15" s="94">
        <f t="shared" si="13"/>
        <v>86275.347999999954</v>
      </c>
      <c r="Y15" s="94">
        <f t="shared" si="13"/>
        <v>86275.347999999954</v>
      </c>
      <c r="Z15" s="240"/>
      <c r="AA15" s="243"/>
      <c r="AB15" s="243"/>
      <c r="AC15" s="243"/>
      <c r="AD15" s="243"/>
      <c r="AE15" s="243"/>
    </row>
    <row r="16" spans="1:32" x14ac:dyDescent="0.25">
      <c r="A16" s="15">
        <v>41107</v>
      </c>
      <c r="B16" s="16" t="s">
        <v>798</v>
      </c>
      <c r="C16" t="s">
        <v>788</v>
      </c>
      <c r="D16" t="s">
        <v>783</v>
      </c>
      <c r="E16" s="17">
        <v>1</v>
      </c>
      <c r="F16" s="17">
        <v>6777.6</v>
      </c>
      <c r="G16" s="18">
        <v>6777.6</v>
      </c>
      <c r="H16" s="30" t="s">
        <v>2284</v>
      </c>
      <c r="J16" s="80">
        <v>64</v>
      </c>
      <c r="K16" s="94">
        <f t="shared" si="0"/>
        <v>274290.02500000002</v>
      </c>
      <c r="L16" s="94">
        <f t="shared" ref="L16:Y16" si="14">SUMIFS($G:$G,$A:$A,"&lt;"&amp;M$1,$H:$H,$J16)</f>
        <v>1377.5</v>
      </c>
      <c r="M16" s="94">
        <f t="shared" si="14"/>
        <v>1377.5</v>
      </c>
      <c r="N16" s="94">
        <f t="shared" si="14"/>
        <v>10775.265000000001</v>
      </c>
      <c r="O16" s="94">
        <f t="shared" si="14"/>
        <v>10775.265000000001</v>
      </c>
      <c r="P16" s="94">
        <f t="shared" si="14"/>
        <v>10775.265000000001</v>
      </c>
      <c r="Q16" s="94">
        <f t="shared" si="14"/>
        <v>10775.265000000001</v>
      </c>
      <c r="R16" s="94">
        <f t="shared" si="14"/>
        <v>10775.265000000001</v>
      </c>
      <c r="S16" s="94">
        <f t="shared" si="14"/>
        <v>72009.514999999999</v>
      </c>
      <c r="T16" s="94">
        <f t="shared" si="14"/>
        <v>79412.514999999999</v>
      </c>
      <c r="U16" s="94">
        <f t="shared" si="14"/>
        <v>86553.345000000001</v>
      </c>
      <c r="V16" s="94">
        <f t="shared" si="14"/>
        <v>198423.96500000003</v>
      </c>
      <c r="W16" s="94">
        <f t="shared" si="14"/>
        <v>274117.52500000002</v>
      </c>
      <c r="X16" s="94">
        <f t="shared" si="14"/>
        <v>274290.02500000002</v>
      </c>
      <c r="Y16" s="94">
        <f t="shared" si="14"/>
        <v>274290.02500000002</v>
      </c>
      <c r="Z16" s="240"/>
      <c r="AA16" s="243"/>
      <c r="AB16" s="243"/>
      <c r="AC16" s="243"/>
      <c r="AD16" s="243"/>
      <c r="AE16" s="243"/>
    </row>
    <row r="17" spans="1:31" x14ac:dyDescent="0.25">
      <c r="A17" s="15">
        <v>41116</v>
      </c>
      <c r="B17" s="16" t="s">
        <v>799</v>
      </c>
      <c r="C17" t="s">
        <v>788</v>
      </c>
      <c r="D17" t="s">
        <v>783</v>
      </c>
      <c r="E17" s="17">
        <v>1</v>
      </c>
      <c r="F17" s="17">
        <v>2535</v>
      </c>
      <c r="G17" s="18">
        <v>2535</v>
      </c>
      <c r="H17" s="30" t="s">
        <v>2284</v>
      </c>
      <c r="J17" s="80">
        <v>65</v>
      </c>
      <c r="K17" s="94">
        <f t="shared" si="0"/>
        <v>261664.12900000004</v>
      </c>
      <c r="L17" s="94">
        <f t="shared" ref="L17:Y17" si="15">SUMIFS($G:$G,$A:$A,"&lt;"&amp;M$1,$H:$H,$J17)</f>
        <v>0</v>
      </c>
      <c r="M17" s="94">
        <f t="shared" si="15"/>
        <v>0</v>
      </c>
      <c r="N17" s="94">
        <f t="shared" si="15"/>
        <v>0</v>
      </c>
      <c r="O17" s="94">
        <f t="shared" si="15"/>
        <v>0</v>
      </c>
      <c r="P17" s="94">
        <f t="shared" si="15"/>
        <v>0</v>
      </c>
      <c r="Q17" s="94">
        <f t="shared" si="15"/>
        <v>0</v>
      </c>
      <c r="R17" s="94">
        <f t="shared" si="15"/>
        <v>0</v>
      </c>
      <c r="S17" s="94">
        <f t="shared" si="15"/>
        <v>108392.66899999999</v>
      </c>
      <c r="T17" s="94">
        <f t="shared" si="15"/>
        <v>108392.66899999999</v>
      </c>
      <c r="U17" s="94">
        <f t="shared" si="15"/>
        <v>251275.16899999999</v>
      </c>
      <c r="V17" s="94">
        <f t="shared" si="15"/>
        <v>251275.16899999999</v>
      </c>
      <c r="W17" s="94">
        <f t="shared" si="15"/>
        <v>258529.91899999999</v>
      </c>
      <c r="X17" s="94">
        <f t="shared" si="15"/>
        <v>261664.12900000004</v>
      </c>
      <c r="Y17" s="94">
        <f t="shared" si="15"/>
        <v>261664.12900000004</v>
      </c>
      <c r="Z17" s="240"/>
      <c r="AA17" s="243"/>
      <c r="AB17" s="243"/>
      <c r="AC17" s="243"/>
      <c r="AD17" s="243"/>
      <c r="AE17" s="243"/>
    </row>
    <row r="18" spans="1:31" x14ac:dyDescent="0.25">
      <c r="A18" s="15">
        <v>41136</v>
      </c>
      <c r="B18" s="16" t="s">
        <v>800</v>
      </c>
      <c r="C18" t="s">
        <v>788</v>
      </c>
      <c r="D18" t="s">
        <v>783</v>
      </c>
      <c r="E18" s="17">
        <v>1</v>
      </c>
      <c r="F18" s="17">
        <v>606.1</v>
      </c>
      <c r="G18" s="18">
        <v>606.1</v>
      </c>
      <c r="H18" s="30" t="s">
        <v>2284</v>
      </c>
      <c r="J18" s="80">
        <v>66</v>
      </c>
      <c r="K18" s="94">
        <f t="shared" si="0"/>
        <v>4773.75</v>
      </c>
      <c r="L18" s="94">
        <f t="shared" ref="L18:Y18" si="16">SUMIFS($G:$G,$A:$A,"&lt;"&amp;M$1,$H:$H,$J18)</f>
        <v>0</v>
      </c>
      <c r="M18" s="94">
        <f t="shared" si="16"/>
        <v>0</v>
      </c>
      <c r="N18" s="94">
        <f t="shared" si="16"/>
        <v>0</v>
      </c>
      <c r="O18" s="94">
        <f t="shared" si="16"/>
        <v>0</v>
      </c>
      <c r="P18" s="94">
        <f t="shared" si="16"/>
        <v>0</v>
      </c>
      <c r="Q18" s="94">
        <f t="shared" si="16"/>
        <v>0</v>
      </c>
      <c r="R18" s="94">
        <f t="shared" si="16"/>
        <v>0</v>
      </c>
      <c r="S18" s="94">
        <f t="shared" si="16"/>
        <v>0</v>
      </c>
      <c r="T18" s="94">
        <f t="shared" si="16"/>
        <v>0</v>
      </c>
      <c r="U18" s="94">
        <f t="shared" si="16"/>
        <v>0</v>
      </c>
      <c r="V18" s="94">
        <f t="shared" si="16"/>
        <v>0</v>
      </c>
      <c r="W18" s="94">
        <f t="shared" si="16"/>
        <v>2153</v>
      </c>
      <c r="X18" s="94">
        <f t="shared" si="16"/>
        <v>2153</v>
      </c>
      <c r="Y18" s="94">
        <f t="shared" si="16"/>
        <v>4773.75</v>
      </c>
      <c r="Z18" s="240"/>
      <c r="AA18" s="243"/>
      <c r="AB18" s="243"/>
      <c r="AC18" s="243"/>
      <c r="AD18" s="243"/>
      <c r="AE18" s="243"/>
    </row>
    <row r="19" spans="1:31" x14ac:dyDescent="0.25">
      <c r="A19" s="15">
        <v>41137</v>
      </c>
      <c r="B19" s="16" t="s">
        <v>801</v>
      </c>
      <c r="C19" t="s">
        <v>788</v>
      </c>
      <c r="D19" t="s">
        <v>783</v>
      </c>
      <c r="E19" s="17">
        <v>1</v>
      </c>
      <c r="F19" s="17">
        <v>1006.5</v>
      </c>
      <c r="G19" s="18">
        <v>1006.5</v>
      </c>
      <c r="H19" s="30" t="s">
        <v>2284</v>
      </c>
      <c r="J19" s="80">
        <v>67</v>
      </c>
      <c r="K19" s="94">
        <f t="shared" si="0"/>
        <v>2520.9499999999998</v>
      </c>
      <c r="L19" s="94">
        <f t="shared" ref="L19:Y19" si="17">SUMIFS($G:$G,$A:$A,"&lt;"&amp;M$1,$H:$H,$J19)</f>
        <v>0</v>
      </c>
      <c r="M19" s="94">
        <f t="shared" si="17"/>
        <v>0</v>
      </c>
      <c r="N19" s="94">
        <f t="shared" si="17"/>
        <v>0</v>
      </c>
      <c r="O19" s="94">
        <f t="shared" si="17"/>
        <v>0</v>
      </c>
      <c r="P19" s="94">
        <f t="shared" si="17"/>
        <v>0</v>
      </c>
      <c r="Q19" s="94">
        <f t="shared" si="17"/>
        <v>0</v>
      </c>
      <c r="R19" s="94">
        <f t="shared" si="17"/>
        <v>415.45000000000005</v>
      </c>
      <c r="S19" s="94">
        <f t="shared" si="17"/>
        <v>415.45000000000005</v>
      </c>
      <c r="T19" s="94">
        <f t="shared" si="17"/>
        <v>945.7</v>
      </c>
      <c r="U19" s="94">
        <f t="shared" si="17"/>
        <v>1563.2</v>
      </c>
      <c r="V19" s="94">
        <f t="shared" si="17"/>
        <v>1563.2</v>
      </c>
      <c r="W19" s="94">
        <f t="shared" si="17"/>
        <v>2520.9499999999998</v>
      </c>
      <c r="X19" s="94">
        <f t="shared" si="17"/>
        <v>2520.9499999999998</v>
      </c>
      <c r="Y19" s="94">
        <f t="shared" si="17"/>
        <v>2520.9499999999998</v>
      </c>
      <c r="Z19" s="240"/>
      <c r="AA19" s="243"/>
      <c r="AB19" s="243"/>
      <c r="AC19" s="243"/>
      <c r="AD19" s="243"/>
      <c r="AE19" s="243"/>
    </row>
    <row r="20" spans="1:31" x14ac:dyDescent="0.25">
      <c r="A20" s="15">
        <v>41137</v>
      </c>
      <c r="B20" s="16" t="s">
        <v>802</v>
      </c>
      <c r="C20" t="s">
        <v>788</v>
      </c>
      <c r="D20" t="s">
        <v>783</v>
      </c>
      <c r="E20" s="17">
        <v>1</v>
      </c>
      <c r="F20" s="17">
        <v>1857.65</v>
      </c>
      <c r="G20" s="18">
        <v>1857.65</v>
      </c>
      <c r="H20" s="30" t="s">
        <v>2284</v>
      </c>
      <c r="J20" s="80">
        <v>68</v>
      </c>
      <c r="K20" s="94">
        <f t="shared" si="0"/>
        <v>46094.080000000002</v>
      </c>
      <c r="L20" s="94">
        <f t="shared" ref="L20:Y20" si="18">SUMIFS($G:$G,$A:$A,"&lt;"&amp;M$1,$H:$H,$J20)</f>
        <v>0</v>
      </c>
      <c r="M20" s="94">
        <f t="shared" si="18"/>
        <v>0</v>
      </c>
      <c r="N20" s="94">
        <f t="shared" si="18"/>
        <v>0</v>
      </c>
      <c r="O20" s="94">
        <f t="shared" si="18"/>
        <v>0</v>
      </c>
      <c r="P20" s="94">
        <f t="shared" si="18"/>
        <v>0</v>
      </c>
      <c r="Q20" s="94">
        <f t="shared" si="18"/>
        <v>0</v>
      </c>
      <c r="R20" s="94">
        <f t="shared" si="18"/>
        <v>13611.895</v>
      </c>
      <c r="S20" s="94">
        <f t="shared" si="18"/>
        <v>13611.895</v>
      </c>
      <c r="T20" s="94">
        <f t="shared" si="18"/>
        <v>46094.080000000002</v>
      </c>
      <c r="U20" s="94">
        <f t="shared" si="18"/>
        <v>46094.080000000002</v>
      </c>
      <c r="V20" s="94">
        <f t="shared" si="18"/>
        <v>46094.080000000002</v>
      </c>
      <c r="W20" s="94">
        <f t="shared" si="18"/>
        <v>46094.080000000002</v>
      </c>
      <c r="X20" s="94">
        <f t="shared" si="18"/>
        <v>46094.080000000002</v>
      </c>
      <c r="Y20" s="94">
        <f t="shared" si="18"/>
        <v>46094.080000000002</v>
      </c>
      <c r="Z20" s="240"/>
      <c r="AA20" s="243"/>
      <c r="AB20" s="243"/>
      <c r="AC20" s="243"/>
      <c r="AD20" s="243"/>
      <c r="AE20" s="243"/>
    </row>
    <row r="21" spans="1:31" x14ac:dyDescent="0.25">
      <c r="A21" s="15">
        <v>41169</v>
      </c>
      <c r="B21" s="16" t="s">
        <v>803</v>
      </c>
      <c r="C21" t="s">
        <v>788</v>
      </c>
      <c r="D21" t="s">
        <v>783</v>
      </c>
      <c r="E21" s="17">
        <v>1</v>
      </c>
      <c r="F21" s="17">
        <v>1859</v>
      </c>
      <c r="G21" s="18">
        <v>1859</v>
      </c>
      <c r="H21" s="30" t="s">
        <v>2284</v>
      </c>
      <c r="J21" s="80">
        <v>71</v>
      </c>
      <c r="K21" s="94">
        <f t="shared" si="0"/>
        <v>86929.584300000046</v>
      </c>
      <c r="L21" s="94">
        <f t="shared" ref="L21:Y21" si="19">SUMIFS($G:$G,$A:$A,"&lt;"&amp;M$1,$H:$H,$J21)</f>
        <v>0</v>
      </c>
      <c r="M21" s="94">
        <f t="shared" si="19"/>
        <v>3547.1</v>
      </c>
      <c r="N21" s="94">
        <f t="shared" si="19"/>
        <v>3547.1</v>
      </c>
      <c r="O21" s="94">
        <f t="shared" si="19"/>
        <v>3547.1</v>
      </c>
      <c r="P21" s="94">
        <f t="shared" si="19"/>
        <v>3711.73</v>
      </c>
      <c r="Q21" s="94">
        <f t="shared" si="19"/>
        <v>24033.010000000002</v>
      </c>
      <c r="R21" s="94">
        <f t="shared" si="19"/>
        <v>35554.820000000007</v>
      </c>
      <c r="S21" s="94">
        <f t="shared" si="19"/>
        <v>39508.570000000007</v>
      </c>
      <c r="T21" s="94">
        <f t="shared" si="19"/>
        <v>44816.72</v>
      </c>
      <c r="U21" s="94">
        <f t="shared" si="19"/>
        <v>54736.04500000002</v>
      </c>
      <c r="V21" s="94">
        <f t="shared" si="19"/>
        <v>62825.159300000021</v>
      </c>
      <c r="W21" s="94">
        <f t="shared" si="19"/>
        <v>69605.634300000034</v>
      </c>
      <c r="X21" s="94">
        <f t="shared" si="19"/>
        <v>86079.584300000046</v>
      </c>
      <c r="Y21" s="94">
        <f t="shared" si="19"/>
        <v>86929.584300000046</v>
      </c>
      <c r="Z21" s="240"/>
      <c r="AA21" s="243"/>
      <c r="AB21" s="243"/>
      <c r="AC21" s="243"/>
      <c r="AD21" s="243"/>
      <c r="AE21" s="243"/>
    </row>
    <row r="22" spans="1:31" x14ac:dyDescent="0.25">
      <c r="A22" s="15">
        <v>41169</v>
      </c>
      <c r="B22" s="16" t="s">
        <v>804</v>
      </c>
      <c r="C22" t="s">
        <v>788</v>
      </c>
      <c r="D22" t="s">
        <v>783</v>
      </c>
      <c r="E22" s="17">
        <v>1</v>
      </c>
      <c r="F22" s="17">
        <v>1625</v>
      </c>
      <c r="G22" s="18">
        <v>1625</v>
      </c>
      <c r="H22" s="30" t="s">
        <v>2284</v>
      </c>
      <c r="J22" s="80">
        <v>72</v>
      </c>
      <c r="K22" s="94">
        <f t="shared" si="0"/>
        <v>13301.4</v>
      </c>
      <c r="L22" s="94">
        <f t="shared" ref="L22:Y22" si="20">SUMIFS($G:$G,$A:$A,"&lt;"&amp;M$1,$H:$H,$J22)</f>
        <v>0</v>
      </c>
      <c r="M22" s="94">
        <f t="shared" si="20"/>
        <v>141.4</v>
      </c>
      <c r="N22" s="94">
        <f t="shared" si="20"/>
        <v>4001.4</v>
      </c>
      <c r="O22" s="94">
        <f t="shared" si="20"/>
        <v>13301.4</v>
      </c>
      <c r="P22" s="94">
        <f t="shared" si="20"/>
        <v>13301.4</v>
      </c>
      <c r="Q22" s="94">
        <f t="shared" si="20"/>
        <v>13301.4</v>
      </c>
      <c r="R22" s="94">
        <f t="shared" si="20"/>
        <v>13301.4</v>
      </c>
      <c r="S22" s="94">
        <f t="shared" si="20"/>
        <v>13301.4</v>
      </c>
      <c r="T22" s="94">
        <f t="shared" si="20"/>
        <v>13301.4</v>
      </c>
      <c r="U22" s="94">
        <f t="shared" si="20"/>
        <v>13301.4</v>
      </c>
      <c r="V22" s="94">
        <f t="shared" si="20"/>
        <v>13301.4</v>
      </c>
      <c r="W22" s="94">
        <f t="shared" si="20"/>
        <v>13301.4</v>
      </c>
      <c r="X22" s="94">
        <f t="shared" si="20"/>
        <v>13301.4</v>
      </c>
      <c r="Y22" s="94">
        <f t="shared" si="20"/>
        <v>13301.4</v>
      </c>
      <c r="Z22" s="240"/>
      <c r="AA22" s="243"/>
      <c r="AB22" s="243"/>
      <c r="AC22" s="243"/>
      <c r="AD22" s="243"/>
      <c r="AE22" s="243"/>
    </row>
    <row r="23" spans="1:31" x14ac:dyDescent="0.25">
      <c r="A23" s="15">
        <v>41169</v>
      </c>
      <c r="B23" s="16" t="s">
        <v>805</v>
      </c>
      <c r="C23" t="s">
        <v>788</v>
      </c>
      <c r="D23" t="s">
        <v>783</v>
      </c>
      <c r="E23" s="17">
        <v>1</v>
      </c>
      <c r="F23" s="17">
        <v>1292</v>
      </c>
      <c r="G23" s="18">
        <v>1292</v>
      </c>
      <c r="H23" s="30" t="s">
        <v>2284</v>
      </c>
      <c r="J23" s="80">
        <v>73</v>
      </c>
      <c r="K23" s="94">
        <f t="shared" si="0"/>
        <v>55980.800000000003</v>
      </c>
      <c r="L23" s="94">
        <f t="shared" ref="L23:Y23" si="21">SUMIFS($G:$G,$A:$A,"&lt;"&amp;M$1,$H:$H,$J23)</f>
        <v>0</v>
      </c>
      <c r="M23" s="94">
        <f t="shared" si="21"/>
        <v>0</v>
      </c>
      <c r="N23" s="94">
        <f t="shared" si="21"/>
        <v>0</v>
      </c>
      <c r="O23" s="94">
        <f t="shared" si="21"/>
        <v>360</v>
      </c>
      <c r="P23" s="94">
        <f t="shared" si="21"/>
        <v>4660</v>
      </c>
      <c r="Q23" s="94">
        <f t="shared" si="21"/>
        <v>5212.8</v>
      </c>
      <c r="R23" s="94">
        <f t="shared" si="21"/>
        <v>6172.3</v>
      </c>
      <c r="S23" s="94">
        <f t="shared" si="21"/>
        <v>13640.674999999999</v>
      </c>
      <c r="T23" s="94">
        <f t="shared" si="21"/>
        <v>20798.850000000002</v>
      </c>
      <c r="U23" s="94">
        <f t="shared" si="21"/>
        <v>25310.230000000003</v>
      </c>
      <c r="V23" s="94">
        <f t="shared" si="21"/>
        <v>29815.230000000003</v>
      </c>
      <c r="W23" s="94">
        <f t="shared" si="21"/>
        <v>39114.5</v>
      </c>
      <c r="X23" s="94">
        <f t="shared" si="21"/>
        <v>55980.800000000003</v>
      </c>
      <c r="Y23" s="94">
        <f t="shared" si="21"/>
        <v>55980.800000000003</v>
      </c>
      <c r="Z23" s="240"/>
      <c r="AA23" s="243"/>
      <c r="AB23" s="243"/>
      <c r="AC23" s="243"/>
      <c r="AD23" s="243"/>
      <c r="AE23" s="243"/>
    </row>
    <row r="24" spans="1:31" x14ac:dyDescent="0.25">
      <c r="A24" s="15">
        <v>41169</v>
      </c>
      <c r="B24" s="16" t="s">
        <v>806</v>
      </c>
      <c r="C24" t="s">
        <v>788</v>
      </c>
      <c r="D24" t="s">
        <v>783</v>
      </c>
      <c r="E24" s="17">
        <v>1</v>
      </c>
      <c r="F24" s="17">
        <v>684</v>
      </c>
      <c r="G24" s="18">
        <v>684</v>
      </c>
      <c r="H24" s="30" t="s">
        <v>2284</v>
      </c>
      <c r="J24" s="80">
        <v>75</v>
      </c>
      <c r="K24" s="94">
        <f t="shared" si="0"/>
        <v>8705.77</v>
      </c>
      <c r="L24" s="94">
        <f t="shared" ref="L24:Y24" si="22">SUMIFS($G:$G,$A:$A,"&lt;"&amp;M$1,$H:$H,$J24)</f>
        <v>0</v>
      </c>
      <c r="M24" s="94">
        <f t="shared" si="22"/>
        <v>2715.72</v>
      </c>
      <c r="N24" s="94">
        <f t="shared" si="22"/>
        <v>2715.72</v>
      </c>
      <c r="O24" s="94">
        <f t="shared" si="22"/>
        <v>3652.4949999999999</v>
      </c>
      <c r="P24" s="94">
        <f t="shared" si="22"/>
        <v>4218.0949999999993</v>
      </c>
      <c r="Q24" s="94">
        <f t="shared" si="22"/>
        <v>4530.6949999999997</v>
      </c>
      <c r="R24" s="94">
        <f t="shared" si="22"/>
        <v>4530.6949999999997</v>
      </c>
      <c r="S24" s="94">
        <f t="shared" si="22"/>
        <v>4684.7450000000008</v>
      </c>
      <c r="T24" s="94">
        <f t="shared" si="22"/>
        <v>4826.1450000000004</v>
      </c>
      <c r="U24" s="94">
        <f t="shared" si="22"/>
        <v>5321.0450000000001</v>
      </c>
      <c r="V24" s="94">
        <f t="shared" si="22"/>
        <v>7397.32</v>
      </c>
      <c r="W24" s="94">
        <f t="shared" si="22"/>
        <v>8705.77</v>
      </c>
      <c r="X24" s="94">
        <f t="shared" si="22"/>
        <v>8705.77</v>
      </c>
      <c r="Y24" s="94">
        <f t="shared" si="22"/>
        <v>8705.77</v>
      </c>
      <c r="Z24" s="240"/>
      <c r="AA24" s="243"/>
      <c r="AB24" s="243"/>
      <c r="AC24" s="243"/>
      <c r="AD24" s="243"/>
      <c r="AE24" s="243"/>
    </row>
    <row r="25" spans="1:31" x14ac:dyDescent="0.25">
      <c r="A25" s="15">
        <v>41169</v>
      </c>
      <c r="B25" s="16" t="s">
        <v>807</v>
      </c>
      <c r="C25" t="s">
        <v>788</v>
      </c>
      <c r="D25" t="s">
        <v>783</v>
      </c>
      <c r="E25" s="17">
        <v>1</v>
      </c>
      <c r="F25" s="17">
        <v>2378.3000000000002</v>
      </c>
      <c r="G25" s="18">
        <v>2378.3000000000002</v>
      </c>
      <c r="H25" s="30" t="s">
        <v>2284</v>
      </c>
      <c r="J25" s="80">
        <v>81</v>
      </c>
      <c r="K25" s="94">
        <f t="shared" si="0"/>
        <v>19984.005000000008</v>
      </c>
      <c r="L25" s="94">
        <f t="shared" ref="L25:Y25" si="23">SUMIFS($G:$G,$A:$A,"&lt;"&amp;M$1,$H:$H,$J25)</f>
        <v>0</v>
      </c>
      <c r="M25" s="94">
        <f t="shared" si="23"/>
        <v>0</v>
      </c>
      <c r="N25" s="94">
        <f t="shared" si="23"/>
        <v>300.47500000000002</v>
      </c>
      <c r="O25" s="94">
        <f t="shared" si="23"/>
        <v>8879.9900000000016</v>
      </c>
      <c r="P25" s="94">
        <f t="shared" si="23"/>
        <v>8879.9900000000016</v>
      </c>
      <c r="Q25" s="94">
        <f t="shared" si="23"/>
        <v>15528.440000000004</v>
      </c>
      <c r="R25" s="94">
        <f t="shared" si="23"/>
        <v>15528.440000000004</v>
      </c>
      <c r="S25" s="94">
        <f t="shared" si="23"/>
        <v>15528.440000000004</v>
      </c>
      <c r="T25" s="94">
        <f t="shared" si="23"/>
        <v>15528.440000000004</v>
      </c>
      <c r="U25" s="94">
        <f t="shared" si="23"/>
        <v>17758.585000000006</v>
      </c>
      <c r="V25" s="94">
        <f t="shared" si="23"/>
        <v>19882.545000000009</v>
      </c>
      <c r="W25" s="94">
        <f t="shared" si="23"/>
        <v>19984.005000000008</v>
      </c>
      <c r="X25" s="94">
        <f t="shared" si="23"/>
        <v>19984.005000000008</v>
      </c>
      <c r="Y25" s="94">
        <f t="shared" si="23"/>
        <v>19984.005000000008</v>
      </c>
      <c r="Z25" s="240"/>
      <c r="AA25" s="243"/>
      <c r="AB25" s="243"/>
      <c r="AC25" s="243"/>
      <c r="AD25" s="243"/>
      <c r="AE25" s="243"/>
    </row>
    <row r="26" spans="1:31" ht="30" x14ac:dyDescent="0.25">
      <c r="A26" s="15">
        <v>41200</v>
      </c>
      <c r="B26" s="16" t="s">
        <v>808</v>
      </c>
      <c r="C26" t="s">
        <v>788</v>
      </c>
      <c r="D26" t="s">
        <v>783</v>
      </c>
      <c r="E26" s="17">
        <v>1</v>
      </c>
      <c r="F26" s="17">
        <v>754.65</v>
      </c>
      <c r="G26" s="18">
        <v>754.65</v>
      </c>
      <c r="H26" s="30" t="s">
        <v>2284</v>
      </c>
      <c r="J26" s="80">
        <v>85</v>
      </c>
      <c r="K26" s="94">
        <f t="shared" si="0"/>
        <v>16398.014999999999</v>
      </c>
      <c r="L26" s="94">
        <f t="shared" ref="L26:Y26" si="24">SUMIFS($G:$G,$A:$A,"&lt;"&amp;M$1,$H:$H,$J26)</f>
        <v>0</v>
      </c>
      <c r="M26" s="94">
        <f t="shared" si="24"/>
        <v>0</v>
      </c>
      <c r="N26" s="94">
        <f t="shared" si="24"/>
        <v>70.7</v>
      </c>
      <c r="O26" s="94">
        <f t="shared" si="24"/>
        <v>2064.2249999999999</v>
      </c>
      <c r="P26" s="94">
        <f t="shared" si="24"/>
        <v>2064.2249999999999</v>
      </c>
      <c r="Q26" s="94">
        <f t="shared" si="24"/>
        <v>2970.5249999999996</v>
      </c>
      <c r="R26" s="94">
        <f t="shared" si="24"/>
        <v>5692.9249999999984</v>
      </c>
      <c r="S26" s="94">
        <f t="shared" si="24"/>
        <v>9640.3150000000005</v>
      </c>
      <c r="T26" s="94">
        <f t="shared" si="24"/>
        <v>9640.3150000000005</v>
      </c>
      <c r="U26" s="94">
        <f t="shared" si="24"/>
        <v>9923.1149999999998</v>
      </c>
      <c r="V26" s="94">
        <f t="shared" si="24"/>
        <v>9923.1149999999998</v>
      </c>
      <c r="W26" s="94">
        <f t="shared" si="24"/>
        <v>9923.1149999999998</v>
      </c>
      <c r="X26" s="94">
        <f t="shared" si="24"/>
        <v>16398.014999999999</v>
      </c>
      <c r="Y26" s="94">
        <f t="shared" si="24"/>
        <v>16398.014999999999</v>
      </c>
      <c r="Z26" s="240"/>
      <c r="AA26" s="243"/>
      <c r="AB26" s="243"/>
      <c r="AC26" s="243"/>
      <c r="AD26" s="243"/>
      <c r="AE26" s="243"/>
    </row>
    <row r="27" spans="1:31" x14ac:dyDescent="0.25">
      <c r="A27" s="15">
        <v>41200</v>
      </c>
      <c r="B27" s="16" t="s">
        <v>809</v>
      </c>
      <c r="C27" t="s">
        <v>788</v>
      </c>
      <c r="D27" t="s">
        <v>783</v>
      </c>
      <c r="E27" s="17">
        <v>1</v>
      </c>
      <c r="F27" s="17">
        <v>1354.5</v>
      </c>
      <c r="G27" s="18">
        <v>1354.5</v>
      </c>
      <c r="H27" s="30" t="s">
        <v>2284</v>
      </c>
      <c r="J27" s="80">
        <v>86</v>
      </c>
      <c r="K27" s="94">
        <f t="shared" si="0"/>
        <v>41911.81</v>
      </c>
      <c r="L27" s="94">
        <f t="shared" ref="L27:Y27" si="25">SUMIFS($G:$G,$A:$A,"&lt;"&amp;M$1,$H:$H,$J27)</f>
        <v>0</v>
      </c>
      <c r="M27" s="94">
        <f t="shared" si="25"/>
        <v>0</v>
      </c>
      <c r="N27" s="94">
        <f t="shared" si="25"/>
        <v>0</v>
      </c>
      <c r="O27" s="94">
        <f t="shared" si="25"/>
        <v>0</v>
      </c>
      <c r="P27" s="94">
        <f t="shared" si="25"/>
        <v>0</v>
      </c>
      <c r="Q27" s="94">
        <f t="shared" si="25"/>
        <v>0</v>
      </c>
      <c r="R27" s="94">
        <f t="shared" si="25"/>
        <v>0</v>
      </c>
      <c r="S27" s="94">
        <f t="shared" si="25"/>
        <v>0</v>
      </c>
      <c r="T27" s="94">
        <f t="shared" si="25"/>
        <v>0</v>
      </c>
      <c r="U27" s="94">
        <f t="shared" si="25"/>
        <v>0</v>
      </c>
      <c r="V27" s="94">
        <f t="shared" si="25"/>
        <v>71.81</v>
      </c>
      <c r="W27" s="94">
        <f t="shared" si="25"/>
        <v>41911.81</v>
      </c>
      <c r="X27" s="94">
        <f t="shared" si="25"/>
        <v>41911.81</v>
      </c>
      <c r="Y27" s="94">
        <f t="shared" si="25"/>
        <v>41911.81</v>
      </c>
      <c r="Z27" s="240"/>
      <c r="AA27" s="243"/>
      <c r="AB27" s="243"/>
      <c r="AC27" s="243"/>
      <c r="AD27" s="243"/>
      <c r="AE27" s="243"/>
    </row>
    <row r="28" spans="1:31" x14ac:dyDescent="0.25">
      <c r="A28" s="19" t="s">
        <v>781</v>
      </c>
      <c r="B28" s="20" t="s">
        <v>810</v>
      </c>
      <c r="C28" s="21" t="s">
        <v>781</v>
      </c>
      <c r="D28" s="21" t="s">
        <v>781</v>
      </c>
      <c r="E28" s="22"/>
      <c r="F28" s="22"/>
      <c r="G28" s="23">
        <v>44729.58</v>
      </c>
      <c r="H28" s="31" t="s">
        <v>2285</v>
      </c>
      <c r="J28" s="80">
        <v>87</v>
      </c>
      <c r="K28" s="94">
        <f t="shared" si="0"/>
        <v>58724.450000000055</v>
      </c>
      <c r="L28" s="94">
        <f t="shared" ref="L28:Y28" si="26">SUMIFS($G:$G,$A:$A,"&lt;"&amp;M$1,$H:$H,$J28)</f>
        <v>0</v>
      </c>
      <c r="M28" s="94">
        <f t="shared" si="26"/>
        <v>11174.725</v>
      </c>
      <c r="N28" s="94">
        <f t="shared" si="26"/>
        <v>11892.875000000002</v>
      </c>
      <c r="O28" s="94">
        <f t="shared" si="26"/>
        <v>14670.175000000005</v>
      </c>
      <c r="P28" s="94">
        <f t="shared" si="26"/>
        <v>25627</v>
      </c>
      <c r="Q28" s="94">
        <f t="shared" si="26"/>
        <v>30238.400000000005</v>
      </c>
      <c r="R28" s="94">
        <f t="shared" si="26"/>
        <v>30238.400000000005</v>
      </c>
      <c r="S28" s="94">
        <f t="shared" si="26"/>
        <v>33913.30000000001</v>
      </c>
      <c r="T28" s="94">
        <f t="shared" si="26"/>
        <v>45796.425000000068</v>
      </c>
      <c r="U28" s="94">
        <f t="shared" si="26"/>
        <v>46263.925000000068</v>
      </c>
      <c r="V28" s="94">
        <f t="shared" si="26"/>
        <v>58565.375000000058</v>
      </c>
      <c r="W28" s="94">
        <f t="shared" si="26"/>
        <v>58724.450000000055</v>
      </c>
      <c r="X28" s="94">
        <f t="shared" si="26"/>
        <v>58724.450000000055</v>
      </c>
      <c r="Y28" s="94">
        <f t="shared" si="26"/>
        <v>58724.450000000055</v>
      </c>
      <c r="Z28" s="240"/>
      <c r="AA28" s="243"/>
      <c r="AB28" s="243"/>
      <c r="AC28" s="243"/>
      <c r="AD28" s="243"/>
      <c r="AE28" s="243"/>
    </row>
    <row r="29" spans="1:31" x14ac:dyDescent="0.25">
      <c r="A29" s="15" t="s">
        <v>781</v>
      </c>
      <c r="B29" s="16" t="s">
        <v>781</v>
      </c>
      <c r="C29" t="s">
        <v>781</v>
      </c>
      <c r="D29" t="s">
        <v>781</v>
      </c>
      <c r="E29" s="17"/>
      <c r="F29" s="17"/>
      <c r="G29" s="18"/>
      <c r="H29" s="30" t="s">
        <v>2285</v>
      </c>
      <c r="J29" s="80">
        <v>103</v>
      </c>
      <c r="K29" s="94">
        <f t="shared" si="0"/>
        <v>287637.5</v>
      </c>
      <c r="L29" s="94">
        <f t="shared" ref="L29:Y29" si="27">SUMIFS($G:$G,$A:$A,"&lt;"&amp;M$1,$H:$H,$J29)</f>
        <v>0</v>
      </c>
      <c r="M29" s="94">
        <f t="shared" si="27"/>
        <v>0</v>
      </c>
      <c r="N29" s="94">
        <f t="shared" si="27"/>
        <v>920</v>
      </c>
      <c r="O29" s="94">
        <f t="shared" si="27"/>
        <v>920</v>
      </c>
      <c r="P29" s="94">
        <f t="shared" si="27"/>
        <v>920</v>
      </c>
      <c r="Q29" s="94">
        <f t="shared" si="27"/>
        <v>43097.100000000006</v>
      </c>
      <c r="R29" s="94">
        <f t="shared" si="27"/>
        <v>73213.5</v>
      </c>
      <c r="S29" s="94">
        <f t="shared" si="27"/>
        <v>151583.5</v>
      </c>
      <c r="T29" s="94">
        <f t="shared" si="27"/>
        <v>196911.5</v>
      </c>
      <c r="U29" s="94">
        <f t="shared" si="27"/>
        <v>207821.5</v>
      </c>
      <c r="V29" s="94">
        <f t="shared" si="27"/>
        <v>280837.5</v>
      </c>
      <c r="W29" s="94">
        <f t="shared" si="27"/>
        <v>280837.5</v>
      </c>
      <c r="X29" s="94">
        <f t="shared" si="27"/>
        <v>280837.5</v>
      </c>
      <c r="Y29" s="94">
        <f t="shared" si="27"/>
        <v>287637.5</v>
      </c>
      <c r="Z29" s="240"/>
      <c r="AA29" s="243"/>
      <c r="AB29" s="243"/>
      <c r="AC29" s="243"/>
      <c r="AD29" s="243"/>
      <c r="AE29" s="243"/>
    </row>
    <row r="30" spans="1:31" x14ac:dyDescent="0.25">
      <c r="A30" s="12" t="s">
        <v>781</v>
      </c>
      <c r="B30" s="11" t="s">
        <v>1853</v>
      </c>
      <c r="C30" s="10" t="s">
        <v>781</v>
      </c>
      <c r="D30" s="10" t="s">
        <v>781</v>
      </c>
      <c r="E30" s="13"/>
      <c r="F30" s="13"/>
      <c r="G30" s="14"/>
      <c r="H30" s="29" t="s">
        <v>2285</v>
      </c>
      <c r="J30" s="80">
        <v>110</v>
      </c>
      <c r="K30" s="94">
        <f t="shared" si="0"/>
        <v>110</v>
      </c>
      <c r="L30" s="94">
        <f t="shared" ref="L30:Y30" si="28">SUMIFS($G:$G,$A:$A,"&lt;"&amp;M$1,$H:$H,$J30)</f>
        <v>0</v>
      </c>
      <c r="M30" s="94">
        <f t="shared" si="28"/>
        <v>0</v>
      </c>
      <c r="N30" s="94">
        <f t="shared" si="28"/>
        <v>0</v>
      </c>
      <c r="O30" s="94">
        <f t="shared" si="28"/>
        <v>0</v>
      </c>
      <c r="P30" s="94">
        <f t="shared" si="28"/>
        <v>0</v>
      </c>
      <c r="Q30" s="94">
        <f t="shared" si="28"/>
        <v>0</v>
      </c>
      <c r="R30" s="94">
        <f t="shared" si="28"/>
        <v>0</v>
      </c>
      <c r="S30" s="94">
        <f t="shared" si="28"/>
        <v>0</v>
      </c>
      <c r="T30" s="94">
        <f t="shared" si="28"/>
        <v>110</v>
      </c>
      <c r="U30" s="94">
        <f t="shared" si="28"/>
        <v>110</v>
      </c>
      <c r="V30" s="94">
        <f t="shared" si="28"/>
        <v>110</v>
      </c>
      <c r="W30" s="94">
        <f t="shared" si="28"/>
        <v>110</v>
      </c>
      <c r="X30" s="94">
        <f t="shared" si="28"/>
        <v>110</v>
      </c>
      <c r="Y30" s="94">
        <f t="shared" si="28"/>
        <v>110</v>
      </c>
      <c r="Z30" s="240"/>
      <c r="AA30" s="243"/>
      <c r="AB30" s="243"/>
      <c r="AC30" s="243"/>
      <c r="AD30" s="243"/>
      <c r="AE30" s="243"/>
    </row>
    <row r="31" spans="1:31" x14ac:dyDescent="0.25">
      <c r="A31" s="15">
        <v>40980</v>
      </c>
      <c r="B31" s="16" t="s">
        <v>811</v>
      </c>
      <c r="C31" t="s">
        <v>32</v>
      </c>
      <c r="D31" t="s">
        <v>783</v>
      </c>
      <c r="E31" s="17">
        <v>1</v>
      </c>
      <c r="F31" s="17">
        <v>1634.92</v>
      </c>
      <c r="G31" s="18">
        <v>1634.92</v>
      </c>
      <c r="H31" s="30" t="s">
        <v>2286</v>
      </c>
      <c r="J31" s="80">
        <v>120</v>
      </c>
      <c r="K31" s="94">
        <f t="shared" si="0"/>
        <v>350</v>
      </c>
      <c r="L31" s="94">
        <f t="shared" ref="L31:Y31" si="29">SUMIFS($G:$G,$A:$A,"&lt;"&amp;M$1,$H:$H,$J31)</f>
        <v>0</v>
      </c>
      <c r="M31" s="94">
        <f t="shared" si="29"/>
        <v>0</v>
      </c>
      <c r="N31" s="94">
        <f t="shared" si="29"/>
        <v>0</v>
      </c>
      <c r="O31" s="94">
        <f t="shared" si="29"/>
        <v>0</v>
      </c>
      <c r="P31" s="94">
        <f t="shared" si="29"/>
        <v>0</v>
      </c>
      <c r="Q31" s="94">
        <f t="shared" si="29"/>
        <v>0</v>
      </c>
      <c r="R31" s="94">
        <f t="shared" si="29"/>
        <v>0</v>
      </c>
      <c r="S31" s="94">
        <f t="shared" si="29"/>
        <v>0</v>
      </c>
      <c r="T31" s="94">
        <f t="shared" si="29"/>
        <v>0</v>
      </c>
      <c r="U31" s="94">
        <f t="shared" si="29"/>
        <v>0</v>
      </c>
      <c r="V31" s="94">
        <f t="shared" si="29"/>
        <v>350</v>
      </c>
      <c r="W31" s="94">
        <f t="shared" si="29"/>
        <v>350</v>
      </c>
      <c r="X31" s="94">
        <f t="shared" si="29"/>
        <v>350</v>
      </c>
      <c r="Y31" s="94">
        <f t="shared" si="29"/>
        <v>350</v>
      </c>
      <c r="Z31" s="240"/>
      <c r="AA31" s="243"/>
      <c r="AB31" s="243"/>
      <c r="AC31" s="243"/>
      <c r="AD31" s="243"/>
      <c r="AE31" s="243"/>
    </row>
    <row r="32" spans="1:31" x14ac:dyDescent="0.25">
      <c r="A32" s="15">
        <v>41075</v>
      </c>
      <c r="B32" s="16" t="s">
        <v>812</v>
      </c>
      <c r="C32" t="s">
        <v>788</v>
      </c>
      <c r="D32" t="s">
        <v>783</v>
      </c>
      <c r="E32" s="17">
        <v>1</v>
      </c>
      <c r="F32" s="17">
        <v>1747.3</v>
      </c>
      <c r="G32" s="18">
        <v>1747.3</v>
      </c>
      <c r="H32" s="30" t="s">
        <v>2286</v>
      </c>
      <c r="J32" s="80">
        <v>121</v>
      </c>
      <c r="K32" s="94">
        <f t="shared" si="0"/>
        <v>5977.08</v>
      </c>
      <c r="L32" s="94">
        <f t="shared" ref="L32:Y32" si="30">SUMIFS($G:$G,$A:$A,"&lt;"&amp;M$1,$H:$H,$J32)</f>
        <v>0</v>
      </c>
      <c r="M32" s="94">
        <f t="shared" si="30"/>
        <v>0</v>
      </c>
      <c r="N32" s="94">
        <f t="shared" si="30"/>
        <v>0</v>
      </c>
      <c r="O32" s="94">
        <f t="shared" si="30"/>
        <v>0</v>
      </c>
      <c r="P32" s="94">
        <f t="shared" si="30"/>
        <v>0</v>
      </c>
      <c r="Q32" s="94">
        <f t="shared" si="30"/>
        <v>0</v>
      </c>
      <c r="R32" s="94">
        <f t="shared" si="30"/>
        <v>0</v>
      </c>
      <c r="S32" s="94">
        <f t="shared" si="30"/>
        <v>0</v>
      </c>
      <c r="T32" s="94">
        <f t="shared" si="30"/>
        <v>0</v>
      </c>
      <c r="U32" s="94">
        <f t="shared" si="30"/>
        <v>0</v>
      </c>
      <c r="V32" s="94">
        <f t="shared" si="30"/>
        <v>388.85</v>
      </c>
      <c r="W32" s="94">
        <f t="shared" si="30"/>
        <v>388.85</v>
      </c>
      <c r="X32" s="94">
        <f t="shared" si="30"/>
        <v>4027.08</v>
      </c>
      <c r="Y32" s="94">
        <f t="shared" si="30"/>
        <v>5977.08</v>
      </c>
      <c r="Z32" s="240"/>
      <c r="AA32" s="243"/>
      <c r="AB32" s="243"/>
      <c r="AC32" s="243"/>
      <c r="AD32" s="243"/>
      <c r="AE32" s="243"/>
    </row>
    <row r="33" spans="1:31" x14ac:dyDescent="0.25">
      <c r="A33" s="15">
        <v>41075</v>
      </c>
      <c r="B33" s="16" t="s">
        <v>813</v>
      </c>
      <c r="C33" t="s">
        <v>788</v>
      </c>
      <c r="D33" t="s">
        <v>783</v>
      </c>
      <c r="E33" s="17">
        <v>1</v>
      </c>
      <c r="F33" s="17">
        <v>944.8</v>
      </c>
      <c r="G33" s="18">
        <v>944.8</v>
      </c>
      <c r="H33" s="30" t="s">
        <v>2286</v>
      </c>
      <c r="J33" s="80">
        <v>141</v>
      </c>
      <c r="K33" s="94">
        <f t="shared" si="0"/>
        <v>38275.730000000003</v>
      </c>
      <c r="L33" s="94">
        <f t="shared" ref="L33:Y33" si="31">SUMIFS($G:$G,$A:$A,"&lt;"&amp;M$1,$H:$H,$J33)</f>
        <v>392.1</v>
      </c>
      <c r="M33" s="94">
        <f t="shared" si="31"/>
        <v>1169.8</v>
      </c>
      <c r="N33" s="94">
        <f t="shared" si="31"/>
        <v>1452.6</v>
      </c>
      <c r="O33" s="94">
        <f t="shared" si="31"/>
        <v>1452.6</v>
      </c>
      <c r="P33" s="94">
        <f t="shared" si="31"/>
        <v>2477.75</v>
      </c>
      <c r="Q33" s="94">
        <f t="shared" si="31"/>
        <v>3511.7249999999995</v>
      </c>
      <c r="R33" s="94">
        <f t="shared" si="31"/>
        <v>6481.875</v>
      </c>
      <c r="S33" s="94">
        <f t="shared" si="31"/>
        <v>15744.025</v>
      </c>
      <c r="T33" s="94">
        <f t="shared" si="31"/>
        <v>16434.625</v>
      </c>
      <c r="U33" s="94">
        <f t="shared" si="31"/>
        <v>22795.575000000001</v>
      </c>
      <c r="V33" s="94">
        <f t="shared" si="31"/>
        <v>30373.010000000006</v>
      </c>
      <c r="W33" s="94">
        <f t="shared" si="31"/>
        <v>37429.480000000003</v>
      </c>
      <c r="X33" s="94">
        <f t="shared" si="31"/>
        <v>38098.980000000003</v>
      </c>
      <c r="Y33" s="94">
        <f t="shared" si="31"/>
        <v>38275.730000000003</v>
      </c>
      <c r="Z33" s="240"/>
      <c r="AA33" s="243"/>
      <c r="AB33" s="243"/>
      <c r="AC33" s="243"/>
      <c r="AD33" s="243"/>
      <c r="AE33" s="243"/>
    </row>
    <row r="34" spans="1:31" x14ac:dyDescent="0.25">
      <c r="A34" s="15">
        <v>41075</v>
      </c>
      <c r="B34" s="16" t="s">
        <v>814</v>
      </c>
      <c r="C34" t="s">
        <v>788</v>
      </c>
      <c r="D34" t="s">
        <v>783</v>
      </c>
      <c r="E34" s="17">
        <v>1</v>
      </c>
      <c r="F34" s="17">
        <v>1908.4</v>
      </c>
      <c r="G34" s="18">
        <v>1908.4</v>
      </c>
      <c r="H34" s="30" t="s">
        <v>2286</v>
      </c>
      <c r="J34" s="80">
        <v>151</v>
      </c>
      <c r="K34" s="94">
        <f t="shared" si="0"/>
        <v>4825.8200000000015</v>
      </c>
      <c r="L34" s="94">
        <f t="shared" ref="L34:Y34" si="32">SUMIFS($G:$G,$A:$A,"&lt;"&amp;M$1,$H:$H,$J34)</f>
        <v>1843.575</v>
      </c>
      <c r="M34" s="94">
        <f t="shared" si="32"/>
        <v>2002.6500000000003</v>
      </c>
      <c r="N34" s="94">
        <f t="shared" si="32"/>
        <v>2002.6500000000003</v>
      </c>
      <c r="O34" s="94">
        <f t="shared" si="32"/>
        <v>2374.3900000000003</v>
      </c>
      <c r="P34" s="94">
        <f t="shared" si="32"/>
        <v>2374.3900000000003</v>
      </c>
      <c r="Q34" s="94">
        <f t="shared" si="32"/>
        <v>2957.6650000000009</v>
      </c>
      <c r="R34" s="94">
        <f t="shared" si="32"/>
        <v>2957.6650000000009</v>
      </c>
      <c r="S34" s="94">
        <f t="shared" si="32"/>
        <v>4411.67</v>
      </c>
      <c r="T34" s="94">
        <f t="shared" si="32"/>
        <v>4411.67</v>
      </c>
      <c r="U34" s="94">
        <f t="shared" si="32"/>
        <v>4613.7200000000012</v>
      </c>
      <c r="V34" s="94">
        <f t="shared" si="32"/>
        <v>4613.7200000000012</v>
      </c>
      <c r="W34" s="94">
        <f t="shared" si="32"/>
        <v>4613.7200000000012</v>
      </c>
      <c r="X34" s="94">
        <f t="shared" si="32"/>
        <v>4825.8200000000015</v>
      </c>
      <c r="Y34" s="94">
        <f t="shared" si="32"/>
        <v>4825.8200000000015</v>
      </c>
      <c r="Z34" s="240"/>
      <c r="AA34" s="243"/>
      <c r="AB34" s="243"/>
      <c r="AC34" s="243"/>
      <c r="AD34" s="243"/>
      <c r="AE34" s="243"/>
    </row>
    <row r="35" spans="1:31" x14ac:dyDescent="0.25">
      <c r="A35" s="15">
        <v>41075</v>
      </c>
      <c r="B35" s="16" t="s">
        <v>815</v>
      </c>
      <c r="C35" t="s">
        <v>788</v>
      </c>
      <c r="D35" t="s">
        <v>783</v>
      </c>
      <c r="E35" s="17">
        <v>1</v>
      </c>
      <c r="F35" s="17">
        <v>1677</v>
      </c>
      <c r="G35" s="18">
        <v>1677</v>
      </c>
      <c r="H35" s="30" t="s">
        <v>2286</v>
      </c>
      <c r="J35" s="80">
        <v>181</v>
      </c>
      <c r="K35" s="94">
        <f t="shared" ref="K35:K66" si="33">SUMIF(H:H,J35,G:G)</f>
        <v>65321.650000000009</v>
      </c>
      <c r="L35" s="94">
        <f t="shared" ref="L35:Y35" si="34">SUMIFS($G:$G,$A:$A,"&lt;"&amp;M$1,$H:$H,$J35)</f>
        <v>9003.0250000000015</v>
      </c>
      <c r="M35" s="94">
        <f t="shared" si="34"/>
        <v>12534.825000000003</v>
      </c>
      <c r="N35" s="94">
        <f t="shared" si="34"/>
        <v>14467.875000000005</v>
      </c>
      <c r="O35" s="94">
        <f t="shared" si="34"/>
        <v>14467.875000000005</v>
      </c>
      <c r="P35" s="94">
        <f t="shared" si="34"/>
        <v>20079.275000000005</v>
      </c>
      <c r="Q35" s="94">
        <f t="shared" si="34"/>
        <v>20471.375000000007</v>
      </c>
      <c r="R35" s="94">
        <f t="shared" si="34"/>
        <v>20471.375000000007</v>
      </c>
      <c r="S35" s="94">
        <f t="shared" si="34"/>
        <v>20471.375000000007</v>
      </c>
      <c r="T35" s="94">
        <f t="shared" si="34"/>
        <v>20471.375000000007</v>
      </c>
      <c r="U35" s="94">
        <f t="shared" si="34"/>
        <v>64546.375000000007</v>
      </c>
      <c r="V35" s="94">
        <f t="shared" si="34"/>
        <v>64546.375000000007</v>
      </c>
      <c r="W35" s="94">
        <f t="shared" si="34"/>
        <v>65321.650000000009</v>
      </c>
      <c r="X35" s="94">
        <f t="shared" si="34"/>
        <v>65321.650000000009</v>
      </c>
      <c r="Y35" s="94">
        <f t="shared" si="34"/>
        <v>65321.650000000009</v>
      </c>
      <c r="Z35" s="240"/>
      <c r="AA35" s="243"/>
      <c r="AB35" s="243"/>
      <c r="AC35" s="243"/>
      <c r="AD35" s="243"/>
      <c r="AE35" s="243"/>
    </row>
    <row r="36" spans="1:31" x14ac:dyDescent="0.25">
      <c r="A36" s="15">
        <v>41107</v>
      </c>
      <c r="B36" s="16" t="s">
        <v>816</v>
      </c>
      <c r="C36" t="s">
        <v>788</v>
      </c>
      <c r="D36" t="s">
        <v>783</v>
      </c>
      <c r="E36" s="17">
        <v>1</v>
      </c>
      <c r="F36" s="17">
        <v>2179.5</v>
      </c>
      <c r="G36" s="18">
        <v>2179.5</v>
      </c>
      <c r="H36" s="30" t="s">
        <v>2286</v>
      </c>
      <c r="J36" s="80">
        <v>182</v>
      </c>
      <c r="K36" s="94">
        <f t="shared" si="33"/>
        <v>570</v>
      </c>
      <c r="L36" s="94">
        <f t="shared" ref="L36:Y36" si="35">SUMIFS($G:$G,$A:$A,"&lt;"&amp;M$1,$H:$H,$J36)</f>
        <v>0</v>
      </c>
      <c r="M36" s="94">
        <f t="shared" si="35"/>
        <v>0</v>
      </c>
      <c r="N36" s="94">
        <f t="shared" si="35"/>
        <v>0</v>
      </c>
      <c r="O36" s="94">
        <f t="shared" si="35"/>
        <v>570</v>
      </c>
      <c r="P36" s="94">
        <f t="shared" si="35"/>
        <v>570</v>
      </c>
      <c r="Q36" s="94">
        <f t="shared" si="35"/>
        <v>570</v>
      </c>
      <c r="R36" s="94">
        <f t="shared" si="35"/>
        <v>570</v>
      </c>
      <c r="S36" s="94">
        <f t="shared" si="35"/>
        <v>570</v>
      </c>
      <c r="T36" s="94">
        <f t="shared" si="35"/>
        <v>570</v>
      </c>
      <c r="U36" s="94">
        <f t="shared" si="35"/>
        <v>570</v>
      </c>
      <c r="V36" s="94">
        <f t="shared" si="35"/>
        <v>570</v>
      </c>
      <c r="W36" s="94">
        <f t="shared" si="35"/>
        <v>570</v>
      </c>
      <c r="X36" s="94">
        <f t="shared" si="35"/>
        <v>570</v>
      </c>
      <c r="Y36" s="94">
        <f t="shared" si="35"/>
        <v>570</v>
      </c>
      <c r="Z36" s="240"/>
      <c r="AA36" s="243"/>
      <c r="AB36" s="243"/>
      <c r="AC36" s="243"/>
      <c r="AD36" s="243"/>
      <c r="AE36" s="243"/>
    </row>
    <row r="37" spans="1:31" x14ac:dyDescent="0.25">
      <c r="A37" s="15">
        <v>41137</v>
      </c>
      <c r="B37" s="16" t="s">
        <v>817</v>
      </c>
      <c r="C37" t="s">
        <v>788</v>
      </c>
      <c r="D37" t="s">
        <v>783</v>
      </c>
      <c r="E37" s="17">
        <v>1</v>
      </c>
      <c r="F37" s="17">
        <v>967</v>
      </c>
      <c r="G37" s="18">
        <v>967</v>
      </c>
      <c r="H37" s="30" t="s">
        <v>2286</v>
      </c>
      <c r="J37" s="80">
        <v>201</v>
      </c>
      <c r="K37" s="94">
        <f t="shared" si="33"/>
        <v>13650.62</v>
      </c>
      <c r="L37" s="94">
        <f t="shared" ref="L37:Y37" si="36">SUMIFS($G:$G,$A:$A,"&lt;"&amp;M$1,$H:$H,$J37)</f>
        <v>0</v>
      </c>
      <c r="M37" s="94">
        <f t="shared" si="36"/>
        <v>0</v>
      </c>
      <c r="N37" s="94">
        <f t="shared" si="36"/>
        <v>0</v>
      </c>
      <c r="O37" s="94">
        <f t="shared" si="36"/>
        <v>0</v>
      </c>
      <c r="P37" s="94">
        <f t="shared" si="36"/>
        <v>0</v>
      </c>
      <c r="Q37" s="94">
        <f t="shared" si="36"/>
        <v>0</v>
      </c>
      <c r="R37" s="94">
        <f t="shared" si="36"/>
        <v>0</v>
      </c>
      <c r="S37" s="94">
        <f t="shared" si="36"/>
        <v>0</v>
      </c>
      <c r="T37" s="94">
        <f t="shared" si="36"/>
        <v>0</v>
      </c>
      <c r="U37" s="94">
        <f t="shared" si="36"/>
        <v>0</v>
      </c>
      <c r="V37" s="94">
        <f t="shared" si="36"/>
        <v>0</v>
      </c>
      <c r="W37" s="94">
        <f t="shared" si="36"/>
        <v>0</v>
      </c>
      <c r="X37" s="94">
        <f t="shared" si="36"/>
        <v>0</v>
      </c>
      <c r="Y37" s="94">
        <f t="shared" si="36"/>
        <v>13650.62</v>
      </c>
      <c r="Z37" s="240"/>
      <c r="AA37" s="243"/>
      <c r="AB37" s="243"/>
      <c r="AC37" s="243"/>
      <c r="AD37" s="243"/>
      <c r="AE37" s="243"/>
    </row>
    <row r="38" spans="1:31" x14ac:dyDescent="0.25">
      <c r="A38" s="15">
        <v>41169</v>
      </c>
      <c r="B38" s="16" t="s">
        <v>803</v>
      </c>
      <c r="C38" t="s">
        <v>788</v>
      </c>
      <c r="D38" t="s">
        <v>783</v>
      </c>
      <c r="E38" s="17">
        <v>1</v>
      </c>
      <c r="F38" s="17">
        <v>609.6</v>
      </c>
      <c r="G38" s="18">
        <v>609.6</v>
      </c>
      <c r="H38" s="30" t="s">
        <v>2286</v>
      </c>
      <c r="J38" s="80">
        <v>220</v>
      </c>
      <c r="K38" s="94">
        <f t="shared" si="33"/>
        <v>1500</v>
      </c>
      <c r="L38" s="94">
        <f t="shared" ref="L38:Y38" si="37">SUMIFS($G:$G,$A:$A,"&lt;"&amp;M$1,$H:$H,$J38)</f>
        <v>0</v>
      </c>
      <c r="M38" s="94">
        <f t="shared" si="37"/>
        <v>0</v>
      </c>
      <c r="N38" s="94">
        <f t="shared" si="37"/>
        <v>0</v>
      </c>
      <c r="O38" s="94">
        <f t="shared" si="37"/>
        <v>0</v>
      </c>
      <c r="P38" s="94">
        <f t="shared" si="37"/>
        <v>0</v>
      </c>
      <c r="Q38" s="94">
        <f t="shared" si="37"/>
        <v>0</v>
      </c>
      <c r="R38" s="94">
        <f t="shared" si="37"/>
        <v>0</v>
      </c>
      <c r="S38" s="94">
        <f t="shared" si="37"/>
        <v>0</v>
      </c>
      <c r="T38" s="94">
        <f t="shared" si="37"/>
        <v>1500</v>
      </c>
      <c r="U38" s="94">
        <f t="shared" si="37"/>
        <v>1500</v>
      </c>
      <c r="V38" s="94">
        <f t="shared" si="37"/>
        <v>1500</v>
      </c>
      <c r="W38" s="94">
        <f t="shared" si="37"/>
        <v>1500</v>
      </c>
      <c r="X38" s="94">
        <f t="shared" si="37"/>
        <v>1500</v>
      </c>
      <c r="Y38" s="94">
        <f t="shared" si="37"/>
        <v>1500</v>
      </c>
      <c r="Z38" s="240"/>
      <c r="AA38" s="243"/>
      <c r="AB38" s="243"/>
      <c r="AC38" s="243"/>
      <c r="AD38" s="243"/>
      <c r="AE38" s="243"/>
    </row>
    <row r="39" spans="1:31" x14ac:dyDescent="0.25">
      <c r="A39" s="15">
        <v>41169</v>
      </c>
      <c r="B39" s="16" t="s">
        <v>804</v>
      </c>
      <c r="C39" t="s">
        <v>788</v>
      </c>
      <c r="D39" t="s">
        <v>783</v>
      </c>
      <c r="E39" s="17">
        <v>1</v>
      </c>
      <c r="F39" s="17">
        <v>402.5</v>
      </c>
      <c r="G39" s="18">
        <v>402.5</v>
      </c>
      <c r="H39" s="30" t="s">
        <v>2286</v>
      </c>
      <c r="J39" s="80">
        <v>221</v>
      </c>
      <c r="K39" s="94">
        <f t="shared" si="33"/>
        <v>31753.727999999999</v>
      </c>
      <c r="L39" s="94">
        <f t="shared" ref="L39:Y39" si="38">SUMIFS($G:$G,$A:$A,"&lt;"&amp;M$1,$H:$H,$J39)</f>
        <v>0</v>
      </c>
      <c r="M39" s="94">
        <f t="shared" si="38"/>
        <v>0</v>
      </c>
      <c r="N39" s="94">
        <f t="shared" si="38"/>
        <v>0</v>
      </c>
      <c r="O39" s="94">
        <f t="shared" si="38"/>
        <v>420</v>
      </c>
      <c r="P39" s="94">
        <f t="shared" si="38"/>
        <v>420</v>
      </c>
      <c r="Q39" s="94">
        <f t="shared" si="38"/>
        <v>420</v>
      </c>
      <c r="R39" s="94">
        <f t="shared" si="38"/>
        <v>31753.727999999999</v>
      </c>
      <c r="S39" s="94">
        <f t="shared" si="38"/>
        <v>31753.727999999999</v>
      </c>
      <c r="T39" s="94">
        <f t="shared" si="38"/>
        <v>31753.727999999999</v>
      </c>
      <c r="U39" s="94">
        <f t="shared" si="38"/>
        <v>31753.727999999999</v>
      </c>
      <c r="V39" s="94">
        <f t="shared" si="38"/>
        <v>31753.727999999999</v>
      </c>
      <c r="W39" s="94">
        <f t="shared" si="38"/>
        <v>31753.727999999999</v>
      </c>
      <c r="X39" s="94">
        <f t="shared" si="38"/>
        <v>31753.727999999999</v>
      </c>
      <c r="Y39" s="94">
        <f t="shared" si="38"/>
        <v>31753.727999999999</v>
      </c>
      <c r="Z39" s="240"/>
      <c r="AA39" s="243"/>
      <c r="AB39" s="243"/>
      <c r="AC39" s="243"/>
      <c r="AD39" s="243"/>
      <c r="AE39" s="243"/>
    </row>
    <row r="40" spans="1:31" ht="30" x14ac:dyDescent="0.25">
      <c r="A40" s="15">
        <v>41200</v>
      </c>
      <c r="B40" s="16" t="s">
        <v>818</v>
      </c>
      <c r="C40" t="s">
        <v>788</v>
      </c>
      <c r="D40" t="s">
        <v>783</v>
      </c>
      <c r="E40" s="17">
        <v>1</v>
      </c>
      <c r="F40" s="17">
        <v>754.65</v>
      </c>
      <c r="G40" s="18">
        <v>754.65</v>
      </c>
      <c r="H40" s="30" t="s">
        <v>2286</v>
      </c>
      <c r="J40" s="80">
        <v>222</v>
      </c>
      <c r="K40" s="94">
        <f t="shared" si="33"/>
        <v>129487.45999999999</v>
      </c>
      <c r="L40" s="94">
        <f t="shared" ref="L40:Y40" si="39">SUMIFS($G:$G,$A:$A,"&lt;"&amp;M$1,$H:$H,$J40)</f>
        <v>0</v>
      </c>
      <c r="M40" s="94">
        <f t="shared" si="39"/>
        <v>11551.5</v>
      </c>
      <c r="N40" s="94">
        <f t="shared" si="39"/>
        <v>11551.5</v>
      </c>
      <c r="O40" s="94">
        <f t="shared" si="39"/>
        <v>23754.800000000003</v>
      </c>
      <c r="P40" s="94">
        <f t="shared" si="39"/>
        <v>43750.600000000006</v>
      </c>
      <c r="Q40" s="94">
        <f t="shared" si="39"/>
        <v>62671.850000000006</v>
      </c>
      <c r="R40" s="94">
        <f t="shared" si="39"/>
        <v>80452.859999999957</v>
      </c>
      <c r="S40" s="94">
        <f t="shared" si="39"/>
        <v>99607.46</v>
      </c>
      <c r="T40" s="94">
        <f t="shared" si="39"/>
        <v>123613.56</v>
      </c>
      <c r="U40" s="94">
        <f t="shared" si="39"/>
        <v>126686.95999999999</v>
      </c>
      <c r="V40" s="94">
        <f t="shared" si="39"/>
        <v>128160.95999999999</v>
      </c>
      <c r="W40" s="94">
        <f t="shared" si="39"/>
        <v>129487.45999999999</v>
      </c>
      <c r="X40" s="94">
        <f t="shared" si="39"/>
        <v>129487.45999999999</v>
      </c>
      <c r="Y40" s="94">
        <f t="shared" si="39"/>
        <v>129487.45999999999</v>
      </c>
      <c r="Z40" s="240"/>
      <c r="AA40" s="243"/>
      <c r="AB40" s="243"/>
      <c r="AC40" s="243"/>
      <c r="AD40" s="243"/>
      <c r="AE40" s="243"/>
    </row>
    <row r="41" spans="1:31" x14ac:dyDescent="0.25">
      <c r="A41" s="15">
        <v>41225</v>
      </c>
      <c r="B41" s="16" t="s">
        <v>819</v>
      </c>
      <c r="C41" t="s">
        <v>788</v>
      </c>
      <c r="D41" t="s">
        <v>783</v>
      </c>
      <c r="E41" s="17">
        <v>1</v>
      </c>
      <c r="F41" s="17">
        <v>2329.4</v>
      </c>
      <c r="G41" s="18">
        <v>2329.4</v>
      </c>
      <c r="H41" s="30" t="s">
        <v>2286</v>
      </c>
      <c r="J41" s="80">
        <v>901</v>
      </c>
      <c r="K41" s="94">
        <f t="shared" si="33"/>
        <v>658</v>
      </c>
      <c r="L41" s="94">
        <f t="shared" ref="L41:Y41" si="40">SUMIFS($G:$G,$A:$A,"&lt;"&amp;M$1,$H:$H,$J41)</f>
        <v>405</v>
      </c>
      <c r="M41" s="94">
        <f t="shared" si="40"/>
        <v>405</v>
      </c>
      <c r="N41" s="94">
        <f t="shared" si="40"/>
        <v>405</v>
      </c>
      <c r="O41" s="94">
        <f t="shared" si="40"/>
        <v>405</v>
      </c>
      <c r="P41" s="94">
        <f t="shared" si="40"/>
        <v>405</v>
      </c>
      <c r="Q41" s="94">
        <f t="shared" si="40"/>
        <v>405</v>
      </c>
      <c r="R41" s="94">
        <f t="shared" si="40"/>
        <v>405</v>
      </c>
      <c r="S41" s="94">
        <f t="shared" si="40"/>
        <v>405</v>
      </c>
      <c r="T41" s="94">
        <f t="shared" si="40"/>
        <v>405</v>
      </c>
      <c r="U41" s="94">
        <f t="shared" si="40"/>
        <v>405</v>
      </c>
      <c r="V41" s="94">
        <f t="shared" si="40"/>
        <v>405</v>
      </c>
      <c r="W41" s="94">
        <f t="shared" si="40"/>
        <v>405</v>
      </c>
      <c r="X41" s="94">
        <f t="shared" si="40"/>
        <v>405</v>
      </c>
      <c r="Y41" s="94">
        <f t="shared" si="40"/>
        <v>658</v>
      </c>
      <c r="Z41" s="240"/>
      <c r="AA41" s="243"/>
      <c r="AB41" s="243"/>
      <c r="AC41" s="243"/>
      <c r="AD41" s="243"/>
      <c r="AE41" s="243"/>
    </row>
    <row r="42" spans="1:31" x14ac:dyDescent="0.25">
      <c r="A42" s="15">
        <v>41225</v>
      </c>
      <c r="B42" s="16" t="s">
        <v>820</v>
      </c>
      <c r="C42" t="s">
        <v>788</v>
      </c>
      <c r="D42" t="s">
        <v>783</v>
      </c>
      <c r="E42" s="17">
        <v>1</v>
      </c>
      <c r="F42" s="17">
        <v>500</v>
      </c>
      <c r="G42" s="18">
        <v>500</v>
      </c>
      <c r="H42" s="30" t="s">
        <v>2286</v>
      </c>
      <c r="J42" s="80">
        <v>902</v>
      </c>
      <c r="K42" s="94">
        <f t="shared" si="33"/>
        <v>150862.33041000064</v>
      </c>
      <c r="L42" s="94">
        <f t="shared" ref="L42:Y42" si="41">SUMIFS($G:$G,$A:$A,"&lt;"&amp;M$1,$H:$H,$J42)</f>
        <v>13526.855000000001</v>
      </c>
      <c r="M42" s="94">
        <f t="shared" si="41"/>
        <v>22713.004999999997</v>
      </c>
      <c r="N42" s="94">
        <f t="shared" si="41"/>
        <v>27021.604999999996</v>
      </c>
      <c r="O42" s="94">
        <f t="shared" si="41"/>
        <v>33520.409999999996</v>
      </c>
      <c r="P42" s="94">
        <f t="shared" si="41"/>
        <v>42783.900000000009</v>
      </c>
      <c r="Q42" s="94">
        <f t="shared" si="41"/>
        <v>56715.04000000003</v>
      </c>
      <c r="R42" s="94">
        <f t="shared" si="41"/>
        <v>69999.890000000058</v>
      </c>
      <c r="S42" s="94">
        <f t="shared" si="41"/>
        <v>84074.65000000014</v>
      </c>
      <c r="T42" s="94">
        <f t="shared" si="41"/>
        <v>97646.740000000209</v>
      </c>
      <c r="U42" s="94">
        <f t="shared" si="41"/>
        <v>112695.31541000021</v>
      </c>
      <c r="V42" s="94">
        <f t="shared" si="41"/>
        <v>129067.99541000034</v>
      </c>
      <c r="W42" s="94">
        <f t="shared" si="41"/>
        <v>142999.13541000048</v>
      </c>
      <c r="X42" s="94">
        <f t="shared" si="41"/>
        <v>150862.33041000064</v>
      </c>
      <c r="Y42" s="94">
        <f t="shared" si="41"/>
        <v>150862.33041000064</v>
      </c>
      <c r="Z42" s="240"/>
      <c r="AA42" s="243"/>
      <c r="AB42" s="243"/>
      <c r="AC42" s="243"/>
      <c r="AD42" s="243"/>
      <c r="AE42" s="243"/>
    </row>
    <row r="43" spans="1:31" x14ac:dyDescent="0.25">
      <c r="A43" s="15">
        <v>41225</v>
      </c>
      <c r="B43" s="16" t="s">
        <v>821</v>
      </c>
      <c r="C43" t="s">
        <v>788</v>
      </c>
      <c r="D43" t="s">
        <v>783</v>
      </c>
      <c r="E43" s="17">
        <v>1</v>
      </c>
      <c r="F43" s="17">
        <v>2608</v>
      </c>
      <c r="G43" s="18">
        <v>2608</v>
      </c>
      <c r="H43" s="30" t="s">
        <v>2286</v>
      </c>
      <c r="J43" s="80">
        <v>903</v>
      </c>
      <c r="K43" s="94">
        <f t="shared" si="33"/>
        <v>14376.32</v>
      </c>
      <c r="L43" s="94">
        <f t="shared" ref="L43:Y43" si="42">SUMIFS($G:$G,$A:$A,"&lt;"&amp;M$1,$H:$H,$J43)</f>
        <v>750.57999999999993</v>
      </c>
      <c r="M43" s="94">
        <f t="shared" si="42"/>
        <v>2720.2200000000003</v>
      </c>
      <c r="N43" s="94">
        <f t="shared" si="42"/>
        <v>2720.2200000000003</v>
      </c>
      <c r="O43" s="94">
        <f t="shared" si="42"/>
        <v>4272.22</v>
      </c>
      <c r="P43" s="94">
        <f t="shared" si="42"/>
        <v>5837.02</v>
      </c>
      <c r="Q43" s="94">
        <f t="shared" si="42"/>
        <v>5837.02</v>
      </c>
      <c r="R43" s="94">
        <f t="shared" si="42"/>
        <v>5962.02</v>
      </c>
      <c r="S43" s="94">
        <f t="shared" si="42"/>
        <v>7419.52</v>
      </c>
      <c r="T43" s="94">
        <f t="shared" si="42"/>
        <v>8856.7200000000012</v>
      </c>
      <c r="U43" s="94">
        <f t="shared" si="42"/>
        <v>10176.720000000001</v>
      </c>
      <c r="V43" s="94">
        <f t="shared" si="42"/>
        <v>11540.720000000001</v>
      </c>
      <c r="W43" s="94">
        <f t="shared" si="42"/>
        <v>12906.52</v>
      </c>
      <c r="X43" s="94">
        <f t="shared" si="42"/>
        <v>14376.32</v>
      </c>
      <c r="Y43" s="94">
        <f t="shared" si="42"/>
        <v>14376.32</v>
      </c>
      <c r="Z43" s="240"/>
      <c r="AA43" s="243"/>
      <c r="AB43" s="243"/>
      <c r="AC43" s="243"/>
      <c r="AD43" s="243"/>
      <c r="AE43" s="243"/>
    </row>
    <row r="44" spans="1:31" x14ac:dyDescent="0.25">
      <c r="A44" s="19" t="s">
        <v>781</v>
      </c>
      <c r="B44" s="20" t="s">
        <v>822</v>
      </c>
      <c r="C44" s="21" t="s">
        <v>781</v>
      </c>
      <c r="D44" s="21" t="s">
        <v>781</v>
      </c>
      <c r="E44" s="22"/>
      <c r="F44" s="22"/>
      <c r="G44" s="23">
        <v>18263.07</v>
      </c>
      <c r="H44" s="31" t="s">
        <v>2285</v>
      </c>
      <c r="J44" s="80">
        <v>904</v>
      </c>
      <c r="K44" s="94">
        <f t="shared" si="33"/>
        <v>29769.099999999988</v>
      </c>
      <c r="L44" s="94">
        <f t="shared" ref="L44:Y44" si="43">SUMIFS($G:$G,$A:$A,"&lt;"&amp;M$1,$H:$H,$J44)</f>
        <v>0</v>
      </c>
      <c r="M44" s="94">
        <f t="shared" si="43"/>
        <v>18281.809999999998</v>
      </c>
      <c r="N44" s="94">
        <f t="shared" si="43"/>
        <v>18281.809999999998</v>
      </c>
      <c r="O44" s="94">
        <f t="shared" si="43"/>
        <v>18281.809999999998</v>
      </c>
      <c r="P44" s="94">
        <f t="shared" si="43"/>
        <v>18893.809999999998</v>
      </c>
      <c r="Q44" s="94">
        <f t="shared" si="43"/>
        <v>20141.269999999997</v>
      </c>
      <c r="R44" s="94">
        <f t="shared" si="43"/>
        <v>21581.269999999997</v>
      </c>
      <c r="S44" s="94">
        <f t="shared" si="43"/>
        <v>21800.269999999997</v>
      </c>
      <c r="T44" s="94">
        <f t="shared" si="43"/>
        <v>23436.109999999997</v>
      </c>
      <c r="U44" s="94">
        <f t="shared" si="43"/>
        <v>25093.549999999996</v>
      </c>
      <c r="V44" s="94">
        <f t="shared" si="43"/>
        <v>28294.049999999992</v>
      </c>
      <c r="W44" s="94">
        <f t="shared" si="43"/>
        <v>29683.899999999991</v>
      </c>
      <c r="X44" s="94">
        <f t="shared" si="43"/>
        <v>29769.099999999988</v>
      </c>
      <c r="Y44" s="94">
        <f t="shared" si="43"/>
        <v>29769.099999999988</v>
      </c>
      <c r="Z44" s="240"/>
      <c r="AA44" s="243"/>
      <c r="AB44" s="243"/>
      <c r="AC44" s="243"/>
      <c r="AD44" s="243"/>
      <c r="AE44" s="243"/>
    </row>
    <row r="45" spans="1:31" x14ac:dyDescent="0.25">
      <c r="A45" s="15" t="s">
        <v>781</v>
      </c>
      <c r="B45" s="16" t="s">
        <v>781</v>
      </c>
      <c r="C45" t="s">
        <v>781</v>
      </c>
      <c r="D45" t="s">
        <v>781</v>
      </c>
      <c r="E45" s="17"/>
      <c r="F45" s="17"/>
      <c r="G45" s="18"/>
      <c r="H45" s="30" t="s">
        <v>2285</v>
      </c>
      <c r="J45" s="80">
        <v>905</v>
      </c>
      <c r="K45" s="94">
        <f t="shared" si="33"/>
        <v>13752.069000000007</v>
      </c>
      <c r="L45" s="94">
        <f t="shared" ref="L45:Y45" si="44">SUMIFS($G:$G,$A:$A,"&lt;"&amp;M$1,$H:$H,$J45)</f>
        <v>0</v>
      </c>
      <c r="M45" s="94">
        <f t="shared" si="44"/>
        <v>695.04999999999984</v>
      </c>
      <c r="N45" s="94">
        <f t="shared" si="44"/>
        <v>1275.2199999999998</v>
      </c>
      <c r="O45" s="94">
        <f t="shared" si="44"/>
        <v>1850.0659999999996</v>
      </c>
      <c r="P45" s="94">
        <f t="shared" si="44"/>
        <v>2924.0959999999991</v>
      </c>
      <c r="Q45" s="94">
        <f t="shared" si="44"/>
        <v>4223.0259999999989</v>
      </c>
      <c r="R45" s="94">
        <f t="shared" si="44"/>
        <v>7172.9259999999995</v>
      </c>
      <c r="S45" s="94">
        <f t="shared" si="44"/>
        <v>8068.6009999999997</v>
      </c>
      <c r="T45" s="94">
        <f t="shared" si="44"/>
        <v>9756.4509999999991</v>
      </c>
      <c r="U45" s="94">
        <f t="shared" si="44"/>
        <v>11068.731</v>
      </c>
      <c r="V45" s="94">
        <f t="shared" si="44"/>
        <v>12303.091000000002</v>
      </c>
      <c r="W45" s="94">
        <f t="shared" si="44"/>
        <v>13382.734000000004</v>
      </c>
      <c r="X45" s="94">
        <f t="shared" si="44"/>
        <v>13752.069000000007</v>
      </c>
      <c r="Y45" s="94">
        <f t="shared" si="44"/>
        <v>13752.069000000007</v>
      </c>
      <c r="Z45" s="240"/>
      <c r="AA45" s="243"/>
      <c r="AB45" s="243"/>
      <c r="AC45" s="243"/>
      <c r="AD45" s="243"/>
      <c r="AE45" s="243"/>
    </row>
    <row r="46" spans="1:31" x14ac:dyDescent="0.25">
      <c r="A46" s="12" t="s">
        <v>781</v>
      </c>
      <c r="B46" s="11" t="s">
        <v>1854</v>
      </c>
      <c r="C46" s="10" t="s">
        <v>781</v>
      </c>
      <c r="D46" s="10" t="s">
        <v>781</v>
      </c>
      <c r="E46" s="13"/>
      <c r="F46" s="13"/>
      <c r="G46" s="14"/>
      <c r="H46" s="29" t="s">
        <v>2285</v>
      </c>
      <c r="J46" s="80">
        <v>907</v>
      </c>
      <c r="K46" s="94">
        <f t="shared" si="33"/>
        <v>14352.61</v>
      </c>
      <c r="L46" s="94">
        <f t="shared" ref="L46:Y46" si="45">SUMIFS($G:$G,$A:$A,"&lt;"&amp;M$1,$H:$H,$J46)</f>
        <v>1141.72</v>
      </c>
      <c r="M46" s="94">
        <f t="shared" si="45"/>
        <v>1281.52</v>
      </c>
      <c r="N46" s="94">
        <f t="shared" si="45"/>
        <v>1281.52</v>
      </c>
      <c r="O46" s="94">
        <f t="shared" si="45"/>
        <v>1281.52</v>
      </c>
      <c r="P46" s="94">
        <f t="shared" si="45"/>
        <v>1560.94</v>
      </c>
      <c r="Q46" s="94">
        <f t="shared" si="45"/>
        <v>4882.34</v>
      </c>
      <c r="R46" s="94">
        <f t="shared" si="45"/>
        <v>6852.34</v>
      </c>
      <c r="S46" s="94">
        <f t="shared" si="45"/>
        <v>9256.14</v>
      </c>
      <c r="T46" s="94">
        <f t="shared" si="45"/>
        <v>9949.14</v>
      </c>
      <c r="U46" s="94">
        <f t="shared" si="45"/>
        <v>12285.79</v>
      </c>
      <c r="V46" s="94">
        <f t="shared" si="45"/>
        <v>13626.150000000001</v>
      </c>
      <c r="W46" s="94">
        <f t="shared" si="45"/>
        <v>14152.61</v>
      </c>
      <c r="X46" s="94">
        <f t="shared" si="45"/>
        <v>14352.61</v>
      </c>
      <c r="Y46" s="94">
        <f t="shared" si="45"/>
        <v>14352.61</v>
      </c>
      <c r="Z46" s="240"/>
      <c r="AA46" s="243"/>
      <c r="AB46" s="243"/>
      <c r="AC46" s="243"/>
      <c r="AD46" s="243"/>
      <c r="AE46" s="243"/>
    </row>
    <row r="47" spans="1:31" ht="30" x14ac:dyDescent="0.25">
      <c r="A47" s="15">
        <v>40872</v>
      </c>
      <c r="B47" s="16" t="s">
        <v>823</v>
      </c>
      <c r="C47" t="s">
        <v>785</v>
      </c>
      <c r="D47" t="s">
        <v>783</v>
      </c>
      <c r="E47" s="17">
        <v>1</v>
      </c>
      <c r="F47" s="17">
        <v>600</v>
      </c>
      <c r="G47" s="18">
        <v>600</v>
      </c>
      <c r="H47" s="30" t="s">
        <v>2287</v>
      </c>
      <c r="J47" s="80">
        <v>908</v>
      </c>
      <c r="K47" s="94">
        <f t="shared" si="33"/>
        <v>413.73</v>
      </c>
      <c r="L47" s="94">
        <f t="shared" ref="L47:Y47" si="46">SUMIFS($G:$G,$A:$A,"&lt;"&amp;M$1,$H:$H,$J47)</f>
        <v>0</v>
      </c>
      <c r="M47" s="94">
        <f t="shared" si="46"/>
        <v>0</v>
      </c>
      <c r="N47" s="94">
        <f t="shared" si="46"/>
        <v>0</v>
      </c>
      <c r="O47" s="94">
        <f t="shared" si="46"/>
        <v>0</v>
      </c>
      <c r="P47" s="94">
        <f t="shared" si="46"/>
        <v>0</v>
      </c>
      <c r="Q47" s="94">
        <f t="shared" si="46"/>
        <v>0</v>
      </c>
      <c r="R47" s="94">
        <f t="shared" si="46"/>
        <v>271.75</v>
      </c>
      <c r="S47" s="94">
        <f t="shared" si="46"/>
        <v>271.75</v>
      </c>
      <c r="T47" s="94">
        <f t="shared" si="46"/>
        <v>271.75</v>
      </c>
      <c r="U47" s="94">
        <f t="shared" si="46"/>
        <v>271.75</v>
      </c>
      <c r="V47" s="94">
        <f t="shared" si="46"/>
        <v>271.75</v>
      </c>
      <c r="W47" s="94">
        <f t="shared" si="46"/>
        <v>413.73</v>
      </c>
      <c r="X47" s="94">
        <f t="shared" si="46"/>
        <v>413.73</v>
      </c>
      <c r="Y47" s="94">
        <f t="shared" si="46"/>
        <v>413.73</v>
      </c>
      <c r="Z47" s="240"/>
      <c r="AA47" s="243"/>
      <c r="AB47" s="243"/>
      <c r="AC47" s="243"/>
      <c r="AD47" s="243"/>
      <c r="AE47" s="243"/>
    </row>
    <row r="48" spans="1:31" x14ac:dyDescent="0.25">
      <c r="A48" s="15">
        <v>40877</v>
      </c>
      <c r="B48" s="16" t="s">
        <v>824</v>
      </c>
      <c r="C48" t="s">
        <v>785</v>
      </c>
      <c r="D48" t="s">
        <v>783</v>
      </c>
      <c r="E48" s="17">
        <v>1</v>
      </c>
      <c r="F48" s="17">
        <v>991.54</v>
      </c>
      <c r="G48" s="18">
        <v>991.54</v>
      </c>
      <c r="H48" s="30" t="s">
        <v>2287</v>
      </c>
      <c r="J48" s="80">
        <v>911</v>
      </c>
      <c r="K48" s="94">
        <f t="shared" si="33"/>
        <v>2626.9</v>
      </c>
      <c r="L48" s="94">
        <f t="shared" ref="L48:Y48" si="47">SUMIFS($G:$G,$A:$A,"&lt;"&amp;M$1,$H:$H,$J48)</f>
        <v>0</v>
      </c>
      <c r="M48" s="94">
        <f t="shared" si="47"/>
        <v>117.84</v>
      </c>
      <c r="N48" s="94">
        <f t="shared" si="47"/>
        <v>117.84</v>
      </c>
      <c r="O48" s="94">
        <f t="shared" si="47"/>
        <v>117.84</v>
      </c>
      <c r="P48" s="94">
        <f t="shared" si="47"/>
        <v>386.96000000000004</v>
      </c>
      <c r="Q48" s="94">
        <f t="shared" si="47"/>
        <v>386.96000000000004</v>
      </c>
      <c r="R48" s="94">
        <f t="shared" si="47"/>
        <v>386.96000000000004</v>
      </c>
      <c r="S48" s="94">
        <f t="shared" si="47"/>
        <v>642.95000000000005</v>
      </c>
      <c r="T48" s="94">
        <f t="shared" si="47"/>
        <v>898.94</v>
      </c>
      <c r="U48" s="94">
        <f t="shared" si="47"/>
        <v>898.94</v>
      </c>
      <c r="V48" s="94">
        <f t="shared" si="47"/>
        <v>1080.5</v>
      </c>
      <c r="W48" s="94">
        <f t="shared" si="47"/>
        <v>1080.5</v>
      </c>
      <c r="X48" s="94">
        <f t="shared" si="47"/>
        <v>1080.5</v>
      </c>
      <c r="Y48" s="94">
        <f t="shared" si="47"/>
        <v>2626.9</v>
      </c>
      <c r="Z48" s="240"/>
      <c r="AA48" s="243"/>
      <c r="AB48" s="243"/>
      <c r="AC48" s="243"/>
      <c r="AD48" s="243"/>
      <c r="AE48" s="243"/>
    </row>
    <row r="49" spans="1:31" x14ac:dyDescent="0.25">
      <c r="A49" s="15">
        <v>40891</v>
      </c>
      <c r="B49" s="16" t="s">
        <v>825</v>
      </c>
      <c r="C49" t="s">
        <v>785</v>
      </c>
      <c r="D49" t="s">
        <v>783</v>
      </c>
      <c r="E49" s="17">
        <v>1</v>
      </c>
      <c r="F49" s="17">
        <v>446</v>
      </c>
      <c r="G49" s="18">
        <v>446</v>
      </c>
      <c r="H49" s="30" t="s">
        <v>2287</v>
      </c>
      <c r="J49" s="80">
        <v>913</v>
      </c>
      <c r="K49" s="94">
        <f t="shared" si="33"/>
        <v>13752.764999999989</v>
      </c>
      <c r="L49" s="94">
        <f t="shared" ref="L49:Y49" si="48">SUMIFS($G:$G,$A:$A,"&lt;"&amp;M$1,$H:$H,$J49)</f>
        <v>0</v>
      </c>
      <c r="M49" s="94">
        <f t="shared" si="48"/>
        <v>0</v>
      </c>
      <c r="N49" s="94">
        <f t="shared" si="48"/>
        <v>0</v>
      </c>
      <c r="O49" s="94">
        <f t="shared" si="48"/>
        <v>450.75</v>
      </c>
      <c r="P49" s="94">
        <f t="shared" si="48"/>
        <v>1705.675</v>
      </c>
      <c r="Q49" s="94">
        <f t="shared" si="48"/>
        <v>6955.15</v>
      </c>
      <c r="R49" s="94">
        <f t="shared" si="48"/>
        <v>6955.15</v>
      </c>
      <c r="S49" s="94">
        <f t="shared" si="48"/>
        <v>8328.9499999999971</v>
      </c>
      <c r="T49" s="94">
        <f t="shared" si="48"/>
        <v>9443.9499999999935</v>
      </c>
      <c r="U49" s="94">
        <f t="shared" si="48"/>
        <v>13752.764999999989</v>
      </c>
      <c r="V49" s="94">
        <f t="shared" si="48"/>
        <v>13752.764999999989</v>
      </c>
      <c r="W49" s="94">
        <f t="shared" si="48"/>
        <v>13752.764999999989</v>
      </c>
      <c r="X49" s="94">
        <f t="shared" si="48"/>
        <v>13752.764999999989</v>
      </c>
      <c r="Y49" s="94">
        <f t="shared" si="48"/>
        <v>13752.764999999989</v>
      </c>
      <c r="Z49" s="240"/>
      <c r="AA49" s="243"/>
      <c r="AB49" s="243"/>
      <c r="AC49" s="243"/>
      <c r="AD49" s="243"/>
      <c r="AE49" s="243"/>
    </row>
    <row r="50" spans="1:31" x14ac:dyDescent="0.25">
      <c r="A50" s="15">
        <v>40898</v>
      </c>
      <c r="B50" s="16" t="s">
        <v>826</v>
      </c>
      <c r="C50" t="s">
        <v>827</v>
      </c>
      <c r="D50" t="s">
        <v>783</v>
      </c>
      <c r="E50" s="17">
        <v>1</v>
      </c>
      <c r="F50" s="17">
        <v>313.27</v>
      </c>
      <c r="G50" s="18">
        <v>313.27</v>
      </c>
      <c r="H50" s="30" t="s">
        <v>2287</v>
      </c>
      <c r="J50" s="80">
        <v>915</v>
      </c>
      <c r="K50" s="94">
        <f t="shared" si="33"/>
        <v>925.02</v>
      </c>
      <c r="L50" s="94">
        <f t="shared" ref="L50:Y50" si="49">SUMIFS($G:$G,$A:$A,"&lt;"&amp;M$1,$H:$H,$J50)</f>
        <v>0</v>
      </c>
      <c r="M50" s="94">
        <f t="shared" si="49"/>
        <v>0</v>
      </c>
      <c r="N50" s="94">
        <f t="shared" si="49"/>
        <v>0</v>
      </c>
      <c r="O50" s="94">
        <f t="shared" si="49"/>
        <v>0</v>
      </c>
      <c r="P50" s="94">
        <f t="shared" si="49"/>
        <v>159.07499999999999</v>
      </c>
      <c r="Q50" s="94">
        <f t="shared" si="49"/>
        <v>159.07499999999999</v>
      </c>
      <c r="R50" s="94">
        <f t="shared" si="49"/>
        <v>159.07499999999999</v>
      </c>
      <c r="S50" s="94">
        <f t="shared" si="49"/>
        <v>159.07499999999999</v>
      </c>
      <c r="T50" s="94">
        <f t="shared" si="49"/>
        <v>159.07499999999999</v>
      </c>
      <c r="U50" s="94">
        <f t="shared" si="49"/>
        <v>775.27499999999998</v>
      </c>
      <c r="V50" s="94">
        <f t="shared" si="49"/>
        <v>775.27499999999998</v>
      </c>
      <c r="W50" s="94">
        <f t="shared" si="49"/>
        <v>775.27499999999998</v>
      </c>
      <c r="X50" s="94">
        <f t="shared" si="49"/>
        <v>775.27499999999998</v>
      </c>
      <c r="Y50" s="94">
        <f t="shared" si="49"/>
        <v>925.02</v>
      </c>
      <c r="Z50" s="240"/>
      <c r="AA50" s="243"/>
      <c r="AB50" s="243"/>
      <c r="AC50" s="243"/>
      <c r="AD50" s="243"/>
      <c r="AE50" s="243"/>
    </row>
    <row r="51" spans="1:31" x14ac:dyDescent="0.25">
      <c r="A51" s="15">
        <v>40939</v>
      </c>
      <c r="B51" s="16" t="s">
        <v>828</v>
      </c>
      <c r="C51" t="s">
        <v>785</v>
      </c>
      <c r="D51" t="s">
        <v>783</v>
      </c>
      <c r="E51" s="17">
        <v>1</v>
      </c>
      <c r="F51" s="17">
        <v>320.08999999999997</v>
      </c>
      <c r="G51" s="18">
        <v>320.08999999999997</v>
      </c>
      <c r="H51" s="30" t="s">
        <v>2287</v>
      </c>
      <c r="J51" s="80" t="s">
        <v>2333</v>
      </c>
      <c r="K51" s="94">
        <f t="shared" si="33"/>
        <v>372.81</v>
      </c>
      <c r="L51" s="94">
        <f t="shared" ref="L51:Y51" si="50">SUMIFS($G:$G,$A:$A,"&lt;"&amp;M$1,$H:$H,$J51)</f>
        <v>0</v>
      </c>
      <c r="M51" s="94">
        <f t="shared" si="50"/>
        <v>0</v>
      </c>
      <c r="N51" s="94">
        <f t="shared" si="50"/>
        <v>0</v>
      </c>
      <c r="O51" s="94">
        <f t="shared" si="50"/>
        <v>0</v>
      </c>
      <c r="P51" s="94">
        <f t="shared" si="50"/>
        <v>0</v>
      </c>
      <c r="Q51" s="94">
        <f t="shared" si="50"/>
        <v>0</v>
      </c>
      <c r="R51" s="94">
        <f t="shared" si="50"/>
        <v>255.8</v>
      </c>
      <c r="S51" s="94">
        <f t="shared" si="50"/>
        <v>255.8</v>
      </c>
      <c r="T51" s="94">
        <f t="shared" si="50"/>
        <v>372.81</v>
      </c>
      <c r="U51" s="94">
        <f t="shared" si="50"/>
        <v>372.81</v>
      </c>
      <c r="V51" s="94">
        <f t="shared" si="50"/>
        <v>372.81</v>
      </c>
      <c r="W51" s="94">
        <f t="shared" si="50"/>
        <v>372.81</v>
      </c>
      <c r="X51" s="94">
        <f t="shared" si="50"/>
        <v>372.81</v>
      </c>
      <c r="Y51" s="94">
        <f t="shared" si="50"/>
        <v>372.81</v>
      </c>
      <c r="Z51" s="240"/>
      <c r="AA51" s="243"/>
      <c r="AB51" s="243"/>
      <c r="AC51" s="243"/>
      <c r="AD51" s="243"/>
      <c r="AE51" s="243"/>
    </row>
    <row r="52" spans="1:31" x14ac:dyDescent="0.25">
      <c r="A52" s="15">
        <v>40968</v>
      </c>
      <c r="B52" s="16" t="s">
        <v>829</v>
      </c>
      <c r="C52" t="s">
        <v>785</v>
      </c>
      <c r="D52" t="s">
        <v>783</v>
      </c>
      <c r="E52" s="17">
        <v>1</v>
      </c>
      <c r="F52" s="17">
        <v>1058.81</v>
      </c>
      <c r="G52" s="18">
        <v>1058.81</v>
      </c>
      <c r="H52" s="30" t="s">
        <v>2287</v>
      </c>
      <c r="J52" s="80" t="s">
        <v>2334</v>
      </c>
      <c r="K52" s="94">
        <f t="shared" si="33"/>
        <v>12777.37</v>
      </c>
      <c r="L52" s="94">
        <f t="shared" ref="L52:Y52" si="51">SUMIFS($G:$G,$A:$A,"&lt;"&amp;M$1,$H:$H,$J52)</f>
        <v>0</v>
      </c>
      <c r="M52" s="94">
        <f t="shared" si="51"/>
        <v>639.16</v>
      </c>
      <c r="N52" s="94">
        <f t="shared" si="51"/>
        <v>786.1099999999999</v>
      </c>
      <c r="O52" s="94">
        <f t="shared" si="51"/>
        <v>1973.5900000000001</v>
      </c>
      <c r="P52" s="94">
        <f t="shared" si="51"/>
        <v>1973.5900000000001</v>
      </c>
      <c r="Q52" s="94">
        <f t="shared" si="51"/>
        <v>1973.5900000000001</v>
      </c>
      <c r="R52" s="94">
        <f t="shared" si="51"/>
        <v>4072.69</v>
      </c>
      <c r="S52" s="94">
        <f t="shared" si="51"/>
        <v>4072.69</v>
      </c>
      <c r="T52" s="94">
        <f t="shared" si="51"/>
        <v>4703.09</v>
      </c>
      <c r="U52" s="94">
        <f t="shared" si="51"/>
        <v>6955.89</v>
      </c>
      <c r="V52" s="94">
        <f t="shared" si="51"/>
        <v>7725.89</v>
      </c>
      <c r="W52" s="94">
        <f t="shared" si="51"/>
        <v>12163.27</v>
      </c>
      <c r="X52" s="94">
        <f t="shared" si="51"/>
        <v>12777.37</v>
      </c>
      <c r="Y52" s="94">
        <f t="shared" si="51"/>
        <v>12777.37</v>
      </c>
      <c r="Z52" s="240"/>
      <c r="AA52" s="243"/>
      <c r="AB52" s="243"/>
      <c r="AC52" s="243"/>
      <c r="AD52" s="243"/>
      <c r="AE52" s="243"/>
    </row>
    <row r="53" spans="1:31" x14ac:dyDescent="0.25">
      <c r="A53" s="15">
        <v>40968</v>
      </c>
      <c r="B53" s="16" t="s">
        <v>830</v>
      </c>
      <c r="C53" t="s">
        <v>785</v>
      </c>
      <c r="D53" t="s">
        <v>783</v>
      </c>
      <c r="E53" s="17">
        <v>1</v>
      </c>
      <c r="F53" s="17">
        <v>819.63</v>
      </c>
      <c r="G53" s="18">
        <v>819.63</v>
      </c>
      <c r="H53" s="30" t="s">
        <v>2287</v>
      </c>
      <c r="J53" s="80" t="s">
        <v>2335</v>
      </c>
      <c r="K53" s="94">
        <f t="shared" si="33"/>
        <v>59600.367999999995</v>
      </c>
      <c r="L53" s="94">
        <f t="shared" ref="L53:Y53" si="52">SUMIFS($G:$G,$A:$A,"&lt;"&amp;M$1,$H:$H,$J53)</f>
        <v>1027.52</v>
      </c>
      <c r="M53" s="94">
        <f t="shared" si="52"/>
        <v>3727.95</v>
      </c>
      <c r="N53" s="94">
        <f t="shared" si="52"/>
        <v>5156.1099999999997</v>
      </c>
      <c r="O53" s="94">
        <f t="shared" si="52"/>
        <v>5156.1099999999997</v>
      </c>
      <c r="P53" s="94">
        <f t="shared" si="52"/>
        <v>5156.1099999999997</v>
      </c>
      <c r="Q53" s="94">
        <f t="shared" si="52"/>
        <v>13190.409999999998</v>
      </c>
      <c r="R53" s="94">
        <f t="shared" si="52"/>
        <v>19988.209999999995</v>
      </c>
      <c r="S53" s="94">
        <f t="shared" si="52"/>
        <v>25554.207999999995</v>
      </c>
      <c r="T53" s="94">
        <f t="shared" si="52"/>
        <v>35339.828000000001</v>
      </c>
      <c r="U53" s="94">
        <f t="shared" si="52"/>
        <v>42843.938000000002</v>
      </c>
      <c r="V53" s="94">
        <f t="shared" si="52"/>
        <v>54234.838000000003</v>
      </c>
      <c r="W53" s="94">
        <f t="shared" si="52"/>
        <v>58636.468000000001</v>
      </c>
      <c r="X53" s="94">
        <f t="shared" si="52"/>
        <v>59600.367999999995</v>
      </c>
      <c r="Y53" s="94">
        <f t="shared" si="52"/>
        <v>59600.367999999995</v>
      </c>
      <c r="Z53" s="240"/>
      <c r="AA53" s="243"/>
      <c r="AB53" s="243"/>
      <c r="AC53" s="243"/>
      <c r="AD53" s="243"/>
      <c r="AE53" s="243"/>
    </row>
    <row r="54" spans="1:31" x14ac:dyDescent="0.25">
      <c r="A54" s="15">
        <v>40968</v>
      </c>
      <c r="B54" s="16" t="s">
        <v>831</v>
      </c>
      <c r="C54" t="s">
        <v>785</v>
      </c>
      <c r="D54" t="s">
        <v>783</v>
      </c>
      <c r="E54" s="17">
        <v>1</v>
      </c>
      <c r="F54" s="17">
        <v>62.36</v>
      </c>
      <c r="G54" s="18">
        <v>62.36</v>
      </c>
      <c r="H54" s="30" t="s">
        <v>2287</v>
      </c>
      <c r="J54" s="80" t="s">
        <v>2336</v>
      </c>
      <c r="K54" s="94">
        <f t="shared" si="33"/>
        <v>1518.6200000000001</v>
      </c>
      <c r="L54" s="94">
        <f t="shared" ref="L54:Y54" si="53">SUMIFS($G:$G,$A:$A,"&lt;"&amp;M$1,$H:$H,$J54)</f>
        <v>0</v>
      </c>
      <c r="M54" s="94">
        <f t="shared" si="53"/>
        <v>514.4</v>
      </c>
      <c r="N54" s="94">
        <f t="shared" si="53"/>
        <v>514.4</v>
      </c>
      <c r="O54" s="94">
        <f t="shared" si="53"/>
        <v>514.4</v>
      </c>
      <c r="P54" s="94">
        <f t="shared" si="53"/>
        <v>514.4</v>
      </c>
      <c r="Q54" s="94">
        <f t="shared" si="53"/>
        <v>514.4</v>
      </c>
      <c r="R54" s="94">
        <f t="shared" si="53"/>
        <v>514.4</v>
      </c>
      <c r="S54" s="94">
        <f t="shared" si="53"/>
        <v>514.4</v>
      </c>
      <c r="T54" s="94">
        <f t="shared" si="53"/>
        <v>514.4</v>
      </c>
      <c r="U54" s="94">
        <f t="shared" si="53"/>
        <v>1518.6200000000001</v>
      </c>
      <c r="V54" s="94">
        <f t="shared" si="53"/>
        <v>1518.6200000000001</v>
      </c>
      <c r="W54" s="94">
        <f t="shared" si="53"/>
        <v>1518.6200000000001</v>
      </c>
      <c r="X54" s="94">
        <f t="shared" si="53"/>
        <v>1518.6200000000001</v>
      </c>
      <c r="Y54" s="94">
        <f t="shared" si="53"/>
        <v>1518.6200000000001</v>
      </c>
      <c r="Z54" s="240"/>
      <c r="AA54" s="243"/>
      <c r="AB54" s="243"/>
      <c r="AC54" s="243"/>
      <c r="AD54" s="243"/>
      <c r="AE54" s="243"/>
    </row>
    <row r="55" spans="1:31" x14ac:dyDescent="0.25">
      <c r="A55" s="15">
        <v>41029</v>
      </c>
      <c r="B55" s="16" t="s">
        <v>832</v>
      </c>
      <c r="C55" t="s">
        <v>785</v>
      </c>
      <c r="D55" t="s">
        <v>783</v>
      </c>
      <c r="E55" s="17">
        <v>1</v>
      </c>
      <c r="F55" s="17">
        <v>1319.18</v>
      </c>
      <c r="G55" s="18">
        <v>1319.18</v>
      </c>
      <c r="H55" s="30" t="s">
        <v>2287</v>
      </c>
      <c r="J55" s="80" t="s">
        <v>2337</v>
      </c>
      <c r="K55" s="94">
        <f t="shared" si="33"/>
        <v>21753.955000000002</v>
      </c>
      <c r="L55" s="94">
        <f t="shared" ref="L55:Y55" si="54">SUMIFS($G:$G,$A:$A,"&lt;"&amp;M$1,$H:$H,$J55)</f>
        <v>0</v>
      </c>
      <c r="M55" s="94">
        <f t="shared" si="54"/>
        <v>4036.36</v>
      </c>
      <c r="N55" s="94">
        <f t="shared" si="54"/>
        <v>4036.36</v>
      </c>
      <c r="O55" s="94">
        <f t="shared" si="54"/>
        <v>4036.36</v>
      </c>
      <c r="P55" s="94">
        <f t="shared" si="54"/>
        <v>12347.88</v>
      </c>
      <c r="Q55" s="94">
        <f t="shared" si="54"/>
        <v>12347.88</v>
      </c>
      <c r="R55" s="94">
        <f t="shared" si="54"/>
        <v>20965.02</v>
      </c>
      <c r="S55" s="94">
        <f t="shared" si="54"/>
        <v>20983.15</v>
      </c>
      <c r="T55" s="94">
        <f t="shared" si="54"/>
        <v>21255.195</v>
      </c>
      <c r="U55" s="94">
        <f t="shared" si="54"/>
        <v>21255.195</v>
      </c>
      <c r="V55" s="94">
        <f t="shared" si="54"/>
        <v>21255.195</v>
      </c>
      <c r="W55" s="94">
        <f t="shared" si="54"/>
        <v>21753.955000000002</v>
      </c>
      <c r="X55" s="94">
        <f t="shared" si="54"/>
        <v>21753.955000000002</v>
      </c>
      <c r="Y55" s="94">
        <f t="shared" si="54"/>
        <v>21753.955000000002</v>
      </c>
      <c r="Z55" s="240"/>
      <c r="AA55" s="243"/>
      <c r="AB55" s="243"/>
      <c r="AC55" s="243"/>
      <c r="AD55" s="243"/>
      <c r="AE55" s="243"/>
    </row>
    <row r="56" spans="1:31" x14ac:dyDescent="0.25">
      <c r="A56" s="15">
        <v>41029</v>
      </c>
      <c r="B56" s="16" t="s">
        <v>833</v>
      </c>
      <c r="C56" t="s">
        <v>785</v>
      </c>
      <c r="D56" t="s">
        <v>783</v>
      </c>
      <c r="E56" s="17">
        <v>1</v>
      </c>
      <c r="F56" s="17">
        <v>821</v>
      </c>
      <c r="G56" s="18">
        <v>821</v>
      </c>
      <c r="H56" s="30" t="s">
        <v>2287</v>
      </c>
      <c r="J56" s="80" t="s">
        <v>2338</v>
      </c>
      <c r="K56" s="94">
        <f t="shared" si="33"/>
        <v>14398.4665</v>
      </c>
      <c r="L56" s="94">
        <f t="shared" ref="L56:Y56" si="55">SUMIFS($G:$G,$A:$A,"&lt;"&amp;M$1,$H:$H,$J56)</f>
        <v>0</v>
      </c>
      <c r="M56" s="94">
        <f t="shared" si="55"/>
        <v>0</v>
      </c>
      <c r="N56" s="94">
        <f t="shared" si="55"/>
        <v>0</v>
      </c>
      <c r="O56" s="94">
        <f t="shared" si="55"/>
        <v>0</v>
      </c>
      <c r="P56" s="94">
        <f t="shared" si="55"/>
        <v>0</v>
      </c>
      <c r="Q56" s="94">
        <f t="shared" si="55"/>
        <v>0</v>
      </c>
      <c r="R56" s="94">
        <f t="shared" si="55"/>
        <v>6089.32</v>
      </c>
      <c r="S56" s="94">
        <f t="shared" si="55"/>
        <v>11409.9715</v>
      </c>
      <c r="T56" s="94">
        <f t="shared" si="55"/>
        <v>11772.6965</v>
      </c>
      <c r="U56" s="94">
        <f t="shared" si="55"/>
        <v>11772.6965</v>
      </c>
      <c r="V56" s="94">
        <f t="shared" si="55"/>
        <v>12407.4665</v>
      </c>
      <c r="W56" s="94">
        <f t="shared" si="55"/>
        <v>12407.4665</v>
      </c>
      <c r="X56" s="94">
        <f t="shared" si="55"/>
        <v>14398.4665</v>
      </c>
      <c r="Y56" s="94">
        <f t="shared" si="55"/>
        <v>14398.4665</v>
      </c>
      <c r="Z56" s="240"/>
      <c r="AA56" s="243"/>
      <c r="AB56" s="243"/>
      <c r="AC56" s="243"/>
      <c r="AD56" s="243"/>
      <c r="AE56" s="243"/>
    </row>
    <row r="57" spans="1:31" x14ac:dyDescent="0.25">
      <c r="A57" s="15">
        <v>41029</v>
      </c>
      <c r="B57" s="16" t="s">
        <v>834</v>
      </c>
      <c r="C57" t="s">
        <v>785</v>
      </c>
      <c r="D57" t="s">
        <v>783</v>
      </c>
      <c r="E57" s="17">
        <v>1</v>
      </c>
      <c r="F57" s="17">
        <v>2943.9</v>
      </c>
      <c r="G57" s="18">
        <v>2943.9</v>
      </c>
      <c r="H57" s="30" t="s">
        <v>2287</v>
      </c>
      <c r="J57" s="80" t="s">
        <v>2339</v>
      </c>
      <c r="K57" s="94">
        <f t="shared" si="33"/>
        <v>4110.9400000000005</v>
      </c>
      <c r="L57" s="94">
        <f t="shared" ref="L57:Y57" si="56">SUMIFS($G:$G,$A:$A,"&lt;"&amp;M$1,$H:$H,$J57)</f>
        <v>0</v>
      </c>
      <c r="M57" s="94">
        <f t="shared" si="56"/>
        <v>3249</v>
      </c>
      <c r="N57" s="94">
        <f t="shared" si="56"/>
        <v>3249</v>
      </c>
      <c r="O57" s="94">
        <f t="shared" si="56"/>
        <v>3249</v>
      </c>
      <c r="P57" s="94">
        <f t="shared" si="56"/>
        <v>3929.94</v>
      </c>
      <c r="Q57" s="94">
        <f t="shared" si="56"/>
        <v>4110.9400000000005</v>
      </c>
      <c r="R57" s="94">
        <f t="shared" si="56"/>
        <v>4110.9400000000005</v>
      </c>
      <c r="S57" s="94">
        <f t="shared" si="56"/>
        <v>4110.9400000000005</v>
      </c>
      <c r="T57" s="94">
        <f t="shared" si="56"/>
        <v>4110.9400000000005</v>
      </c>
      <c r="U57" s="94">
        <f t="shared" si="56"/>
        <v>4110.9400000000005</v>
      </c>
      <c r="V57" s="94">
        <f t="shared" si="56"/>
        <v>4110.9400000000005</v>
      </c>
      <c r="W57" s="94">
        <f t="shared" si="56"/>
        <v>4110.9400000000005</v>
      </c>
      <c r="X57" s="94">
        <f t="shared" si="56"/>
        <v>4110.9400000000005</v>
      </c>
      <c r="Y57" s="94">
        <f t="shared" si="56"/>
        <v>4110.9400000000005</v>
      </c>
      <c r="Z57" s="240"/>
      <c r="AA57" s="243"/>
      <c r="AB57" s="243"/>
      <c r="AC57" s="243"/>
      <c r="AD57" s="243"/>
      <c r="AE57" s="243"/>
    </row>
    <row r="58" spans="1:31" x14ac:dyDescent="0.25">
      <c r="A58" s="15">
        <v>41060</v>
      </c>
      <c r="B58" s="16" t="s">
        <v>835</v>
      </c>
      <c r="C58" t="s">
        <v>785</v>
      </c>
      <c r="D58" t="s">
        <v>783</v>
      </c>
      <c r="E58" s="17">
        <v>1</v>
      </c>
      <c r="F58" s="17">
        <v>970.9</v>
      </c>
      <c r="G58" s="18">
        <v>970.9</v>
      </c>
      <c r="H58" s="30" t="s">
        <v>2287</v>
      </c>
      <c r="J58" s="80" t="s">
        <v>2340</v>
      </c>
      <c r="K58" s="94">
        <f t="shared" si="33"/>
        <v>68183.89360000001</v>
      </c>
      <c r="L58" s="94">
        <f t="shared" ref="L58:Y58" si="57">SUMIFS($G:$G,$A:$A,"&lt;"&amp;M$1,$H:$H,$J58)</f>
        <v>0</v>
      </c>
      <c r="M58" s="94">
        <f t="shared" si="57"/>
        <v>0</v>
      </c>
      <c r="N58" s="94">
        <f t="shared" si="57"/>
        <v>0</v>
      </c>
      <c r="O58" s="94">
        <f t="shared" si="57"/>
        <v>0</v>
      </c>
      <c r="P58" s="94">
        <f t="shared" si="57"/>
        <v>0</v>
      </c>
      <c r="Q58" s="94">
        <f t="shared" si="57"/>
        <v>0</v>
      </c>
      <c r="R58" s="94">
        <f t="shared" si="57"/>
        <v>53387.92</v>
      </c>
      <c r="S58" s="94">
        <f t="shared" si="57"/>
        <v>63646.935999999994</v>
      </c>
      <c r="T58" s="94">
        <f t="shared" si="57"/>
        <v>65146.935999999994</v>
      </c>
      <c r="U58" s="94">
        <f t="shared" si="57"/>
        <v>65308.433599999997</v>
      </c>
      <c r="V58" s="94">
        <f t="shared" si="57"/>
        <v>65308.433599999997</v>
      </c>
      <c r="W58" s="94">
        <f t="shared" si="57"/>
        <v>68183.89360000001</v>
      </c>
      <c r="X58" s="94">
        <f t="shared" si="57"/>
        <v>68183.89360000001</v>
      </c>
      <c r="Y58" s="94">
        <f t="shared" si="57"/>
        <v>68183.89360000001</v>
      </c>
      <c r="Z58" s="240"/>
      <c r="AA58" s="243"/>
      <c r="AB58" s="243"/>
      <c r="AC58" s="243"/>
      <c r="AD58" s="243"/>
      <c r="AE58" s="243"/>
    </row>
    <row r="59" spans="1:31" x14ac:dyDescent="0.25">
      <c r="A59" s="15">
        <v>41060</v>
      </c>
      <c r="B59" s="16" t="s">
        <v>836</v>
      </c>
      <c r="C59" t="s">
        <v>785</v>
      </c>
      <c r="D59" t="s">
        <v>783</v>
      </c>
      <c r="E59" s="17">
        <v>1</v>
      </c>
      <c r="F59" s="17">
        <v>1220</v>
      </c>
      <c r="G59" s="18">
        <v>1220</v>
      </c>
      <c r="H59" s="30" t="s">
        <v>2287</v>
      </c>
      <c r="J59" s="80" t="s">
        <v>2341</v>
      </c>
      <c r="K59" s="94">
        <f t="shared" si="33"/>
        <v>13323.907379999999</v>
      </c>
      <c r="L59" s="94">
        <f t="shared" ref="L59:Y59" si="58">SUMIFS($G:$G,$A:$A,"&lt;"&amp;M$1,$H:$H,$J59)</f>
        <v>431.68</v>
      </c>
      <c r="M59" s="94">
        <f t="shared" si="58"/>
        <v>1900.5</v>
      </c>
      <c r="N59" s="94">
        <f t="shared" si="58"/>
        <v>1900.5</v>
      </c>
      <c r="O59" s="94">
        <f t="shared" si="58"/>
        <v>2681.4017000000003</v>
      </c>
      <c r="P59" s="94">
        <f t="shared" si="58"/>
        <v>3998.0249400000002</v>
      </c>
      <c r="Q59" s="94">
        <f t="shared" si="58"/>
        <v>5767.2079200000007</v>
      </c>
      <c r="R59" s="94">
        <f t="shared" si="58"/>
        <v>7702.1241</v>
      </c>
      <c r="S59" s="94">
        <f t="shared" si="58"/>
        <v>9183.4228600000006</v>
      </c>
      <c r="T59" s="94">
        <f t="shared" si="58"/>
        <v>11252.63798</v>
      </c>
      <c r="U59" s="94">
        <f t="shared" si="58"/>
        <v>11569.675079999999</v>
      </c>
      <c r="V59" s="94">
        <f t="shared" si="58"/>
        <v>13264.164179999998</v>
      </c>
      <c r="W59" s="94">
        <f t="shared" si="58"/>
        <v>13323.907379999999</v>
      </c>
      <c r="X59" s="94">
        <f t="shared" si="58"/>
        <v>13323.907379999999</v>
      </c>
      <c r="Y59" s="94">
        <f t="shared" si="58"/>
        <v>13323.907379999999</v>
      </c>
      <c r="Z59" s="240"/>
      <c r="AA59" s="243"/>
      <c r="AB59" s="243"/>
      <c r="AC59" s="243"/>
      <c r="AD59" s="243"/>
      <c r="AE59" s="243"/>
    </row>
    <row r="60" spans="1:31" x14ac:dyDescent="0.25">
      <c r="A60" s="15">
        <v>41060</v>
      </c>
      <c r="B60" s="16" t="s">
        <v>837</v>
      </c>
      <c r="C60" t="s">
        <v>785</v>
      </c>
      <c r="D60" t="s">
        <v>783</v>
      </c>
      <c r="E60" s="17">
        <v>1</v>
      </c>
      <c r="F60" s="17">
        <v>1015</v>
      </c>
      <c r="G60" s="18">
        <v>1015</v>
      </c>
      <c r="H60" s="30" t="s">
        <v>2287</v>
      </c>
      <c r="J60" s="80" t="s">
        <v>2342</v>
      </c>
      <c r="K60" s="94">
        <f t="shared" si="33"/>
        <v>959.07</v>
      </c>
      <c r="L60" s="94">
        <f t="shared" ref="L60:Y60" si="59">SUMIFS($G:$G,$A:$A,"&lt;"&amp;M$1,$H:$H,$J60)</f>
        <v>445.2</v>
      </c>
      <c r="M60" s="94">
        <f t="shared" si="59"/>
        <v>578.95000000000005</v>
      </c>
      <c r="N60" s="94">
        <f t="shared" si="59"/>
        <v>870.43000000000006</v>
      </c>
      <c r="O60" s="94">
        <f t="shared" si="59"/>
        <v>870.43000000000006</v>
      </c>
      <c r="P60" s="94">
        <f t="shared" si="59"/>
        <v>870.43000000000006</v>
      </c>
      <c r="Q60" s="94">
        <f t="shared" si="59"/>
        <v>959.07</v>
      </c>
      <c r="R60" s="94">
        <f t="shared" si="59"/>
        <v>959.07</v>
      </c>
      <c r="S60" s="94">
        <f t="shared" si="59"/>
        <v>959.07</v>
      </c>
      <c r="T60" s="94">
        <f t="shared" si="59"/>
        <v>959.07</v>
      </c>
      <c r="U60" s="94">
        <f t="shared" si="59"/>
        <v>959.07</v>
      </c>
      <c r="V60" s="94">
        <f t="shared" si="59"/>
        <v>959.07</v>
      </c>
      <c r="W60" s="94">
        <f t="shared" si="59"/>
        <v>959.07</v>
      </c>
      <c r="X60" s="94">
        <f t="shared" si="59"/>
        <v>959.07</v>
      </c>
      <c r="Y60" s="94">
        <f t="shared" si="59"/>
        <v>959.07</v>
      </c>
      <c r="Z60" s="240"/>
      <c r="AA60" s="243"/>
      <c r="AB60" s="243"/>
      <c r="AC60" s="243"/>
      <c r="AD60" s="243"/>
      <c r="AE60" s="243"/>
    </row>
    <row r="61" spans="1:31" x14ac:dyDescent="0.25">
      <c r="A61" s="15">
        <v>41090</v>
      </c>
      <c r="B61" s="16" t="s">
        <v>838</v>
      </c>
      <c r="C61" t="s">
        <v>785</v>
      </c>
      <c r="D61" t="s">
        <v>783</v>
      </c>
      <c r="E61" s="17">
        <v>1</v>
      </c>
      <c r="F61" s="17">
        <v>757.27</v>
      </c>
      <c r="G61" s="18">
        <v>757.27</v>
      </c>
      <c r="H61" s="30" t="s">
        <v>2287</v>
      </c>
      <c r="J61" s="80" t="s">
        <v>2343</v>
      </c>
      <c r="K61" s="94">
        <f t="shared" si="33"/>
        <v>14373.948</v>
      </c>
      <c r="L61" s="94">
        <f t="shared" ref="L61:Y61" si="60">SUMIFS($G:$G,$A:$A,"&lt;"&amp;M$1,$H:$H,$J61)</f>
        <v>4350</v>
      </c>
      <c r="M61" s="94">
        <f t="shared" si="60"/>
        <v>8180.2</v>
      </c>
      <c r="N61" s="94">
        <f t="shared" si="60"/>
        <v>8558.1</v>
      </c>
      <c r="O61" s="94">
        <f t="shared" si="60"/>
        <v>8558.1</v>
      </c>
      <c r="P61" s="94">
        <f t="shared" si="60"/>
        <v>8558.1</v>
      </c>
      <c r="Q61" s="94">
        <f t="shared" si="60"/>
        <v>8558.1</v>
      </c>
      <c r="R61" s="94">
        <f t="shared" si="60"/>
        <v>11001.6</v>
      </c>
      <c r="S61" s="94">
        <f t="shared" si="60"/>
        <v>11001.6</v>
      </c>
      <c r="T61" s="94">
        <f t="shared" si="60"/>
        <v>11001.6</v>
      </c>
      <c r="U61" s="94">
        <f t="shared" si="60"/>
        <v>12814.358</v>
      </c>
      <c r="V61" s="94">
        <f t="shared" si="60"/>
        <v>13600.358</v>
      </c>
      <c r="W61" s="94">
        <f t="shared" si="60"/>
        <v>14373.948</v>
      </c>
      <c r="X61" s="94">
        <f t="shared" si="60"/>
        <v>14373.948</v>
      </c>
      <c r="Y61" s="94">
        <f t="shared" si="60"/>
        <v>14373.948</v>
      </c>
      <c r="Z61" s="240"/>
      <c r="AA61" s="243"/>
      <c r="AB61" s="243"/>
      <c r="AC61" s="243"/>
      <c r="AD61" s="243"/>
      <c r="AE61" s="243"/>
    </row>
    <row r="62" spans="1:31" x14ac:dyDescent="0.25">
      <c r="A62" s="15">
        <v>41090</v>
      </c>
      <c r="B62" s="16" t="s">
        <v>839</v>
      </c>
      <c r="C62" t="s">
        <v>785</v>
      </c>
      <c r="D62" t="s">
        <v>783</v>
      </c>
      <c r="E62" s="17">
        <v>1</v>
      </c>
      <c r="F62" s="17">
        <v>1015</v>
      </c>
      <c r="G62" s="18">
        <v>1015</v>
      </c>
      <c r="H62" s="30" t="s">
        <v>2287</v>
      </c>
      <c r="J62" s="80" t="s">
        <v>2344</v>
      </c>
      <c r="K62" s="94">
        <f t="shared" si="33"/>
        <v>67270</v>
      </c>
      <c r="L62" s="94">
        <f t="shared" ref="L62:Y62" si="61">SUMIFS($G:$G,$A:$A,"&lt;"&amp;M$1,$H:$H,$J62)</f>
        <v>0</v>
      </c>
      <c r="M62" s="94">
        <f t="shared" si="61"/>
        <v>0</v>
      </c>
      <c r="N62" s="94">
        <f t="shared" si="61"/>
        <v>0</v>
      </c>
      <c r="O62" s="94">
        <f t="shared" si="61"/>
        <v>0</v>
      </c>
      <c r="P62" s="94">
        <f t="shared" si="61"/>
        <v>11100</v>
      </c>
      <c r="Q62" s="94">
        <f t="shared" si="61"/>
        <v>14604</v>
      </c>
      <c r="R62" s="94">
        <f t="shared" si="61"/>
        <v>14604</v>
      </c>
      <c r="S62" s="94">
        <f t="shared" si="61"/>
        <v>14604</v>
      </c>
      <c r="T62" s="94">
        <f t="shared" si="61"/>
        <v>14604</v>
      </c>
      <c r="U62" s="94">
        <f t="shared" si="61"/>
        <v>64204</v>
      </c>
      <c r="V62" s="94">
        <f t="shared" si="61"/>
        <v>64204</v>
      </c>
      <c r="W62" s="94">
        <f t="shared" si="61"/>
        <v>67270</v>
      </c>
      <c r="X62" s="94">
        <f t="shared" si="61"/>
        <v>67270</v>
      </c>
      <c r="Y62" s="94">
        <f t="shared" si="61"/>
        <v>67270</v>
      </c>
      <c r="Z62" s="240"/>
      <c r="AA62" s="243"/>
      <c r="AB62" s="243"/>
      <c r="AC62" s="243"/>
      <c r="AD62" s="243"/>
      <c r="AE62" s="243"/>
    </row>
    <row r="63" spans="1:31" x14ac:dyDescent="0.25">
      <c r="A63" s="15">
        <v>41131</v>
      </c>
      <c r="B63" s="16" t="s">
        <v>840</v>
      </c>
      <c r="C63" t="s">
        <v>785</v>
      </c>
      <c r="D63" t="s">
        <v>783</v>
      </c>
      <c r="E63" s="17">
        <v>1</v>
      </c>
      <c r="F63" s="17">
        <v>343.45</v>
      </c>
      <c r="G63" s="18">
        <v>343.45</v>
      </c>
      <c r="H63" s="30" t="s">
        <v>2287</v>
      </c>
      <c r="J63" s="80" t="s">
        <v>2345</v>
      </c>
      <c r="K63" s="94">
        <f t="shared" si="33"/>
        <v>8583.0400000000009</v>
      </c>
      <c r="L63" s="94">
        <f t="shared" ref="L63:Y63" si="62">SUMIFS($G:$G,$A:$A,"&lt;"&amp;M$1,$H:$H,$J63)</f>
        <v>0</v>
      </c>
      <c r="M63" s="94">
        <f t="shared" si="62"/>
        <v>0</v>
      </c>
      <c r="N63" s="94">
        <f t="shared" si="62"/>
        <v>0</v>
      </c>
      <c r="O63" s="94">
        <f t="shared" si="62"/>
        <v>0</v>
      </c>
      <c r="P63" s="94">
        <f t="shared" si="62"/>
        <v>0</v>
      </c>
      <c r="Q63" s="94">
        <f t="shared" si="62"/>
        <v>0</v>
      </c>
      <c r="R63" s="94">
        <f t="shared" si="62"/>
        <v>2320</v>
      </c>
      <c r="S63" s="94">
        <f t="shared" si="62"/>
        <v>5253.5</v>
      </c>
      <c r="T63" s="94">
        <f t="shared" si="62"/>
        <v>5253.5</v>
      </c>
      <c r="U63" s="94">
        <f t="shared" si="62"/>
        <v>5849.5</v>
      </c>
      <c r="V63" s="94">
        <f t="shared" si="62"/>
        <v>6128.5</v>
      </c>
      <c r="W63" s="94">
        <f t="shared" si="62"/>
        <v>6128.5</v>
      </c>
      <c r="X63" s="94">
        <f t="shared" si="62"/>
        <v>8583.0400000000009</v>
      </c>
      <c r="Y63" s="94">
        <f t="shared" si="62"/>
        <v>8583.0400000000009</v>
      </c>
      <c r="Z63" s="240"/>
      <c r="AA63" s="243"/>
      <c r="AB63" s="243"/>
      <c r="AC63" s="243"/>
      <c r="AD63" s="243"/>
      <c r="AE63" s="243"/>
    </row>
    <row r="64" spans="1:31" x14ac:dyDescent="0.25">
      <c r="A64" s="15">
        <v>41131</v>
      </c>
      <c r="B64" s="16" t="s">
        <v>841</v>
      </c>
      <c r="C64" t="s">
        <v>785</v>
      </c>
      <c r="D64" t="s">
        <v>783</v>
      </c>
      <c r="E64" s="17">
        <v>1</v>
      </c>
      <c r="F64" s="17">
        <v>6389.79</v>
      </c>
      <c r="G64" s="18">
        <v>6389.79</v>
      </c>
      <c r="H64" s="30" t="s">
        <v>2287</v>
      </c>
      <c r="J64" s="80" t="s">
        <v>2346</v>
      </c>
      <c r="K64" s="94">
        <f t="shared" si="33"/>
        <v>10551.499</v>
      </c>
      <c r="L64" s="94">
        <f t="shared" ref="L64:Y64" si="63">SUMIFS($G:$G,$A:$A,"&lt;"&amp;M$1,$H:$H,$J64)</f>
        <v>0</v>
      </c>
      <c r="M64" s="94">
        <f t="shared" si="63"/>
        <v>0</v>
      </c>
      <c r="N64" s="94">
        <f t="shared" si="63"/>
        <v>1778</v>
      </c>
      <c r="O64" s="94">
        <f t="shared" si="63"/>
        <v>1778</v>
      </c>
      <c r="P64" s="94">
        <f t="shared" si="63"/>
        <v>1778</v>
      </c>
      <c r="Q64" s="94">
        <f t="shared" si="63"/>
        <v>7592</v>
      </c>
      <c r="R64" s="94">
        <f t="shared" si="63"/>
        <v>7592</v>
      </c>
      <c r="S64" s="94">
        <f t="shared" si="63"/>
        <v>7592</v>
      </c>
      <c r="T64" s="94">
        <f t="shared" si="63"/>
        <v>7592</v>
      </c>
      <c r="U64" s="94">
        <f t="shared" si="63"/>
        <v>8731.9989999999998</v>
      </c>
      <c r="V64" s="94">
        <f t="shared" si="63"/>
        <v>10551.499</v>
      </c>
      <c r="W64" s="94">
        <f t="shared" si="63"/>
        <v>10551.499</v>
      </c>
      <c r="X64" s="94">
        <f t="shared" si="63"/>
        <v>10551.499</v>
      </c>
      <c r="Y64" s="94">
        <f t="shared" si="63"/>
        <v>10551.499</v>
      </c>
      <c r="Z64" s="240"/>
      <c r="AA64" s="243"/>
      <c r="AB64" s="243"/>
      <c r="AC64" s="243"/>
      <c r="AD64" s="243"/>
      <c r="AE64" s="243"/>
    </row>
    <row r="65" spans="1:31" x14ac:dyDescent="0.25">
      <c r="A65" s="15">
        <v>41152</v>
      </c>
      <c r="B65" s="16" t="s">
        <v>842</v>
      </c>
      <c r="C65" t="s">
        <v>785</v>
      </c>
      <c r="D65" t="s">
        <v>783</v>
      </c>
      <c r="E65" s="17">
        <v>1</v>
      </c>
      <c r="F65" s="17">
        <v>452.17</v>
      </c>
      <c r="G65" s="18">
        <v>452.17</v>
      </c>
      <c r="H65" s="30" t="s">
        <v>2287</v>
      </c>
      <c r="J65" s="80" t="s">
        <v>2347</v>
      </c>
      <c r="K65" s="94">
        <f t="shared" si="33"/>
        <v>13460</v>
      </c>
      <c r="L65" s="94">
        <f t="shared" ref="L65:Y65" si="64">SUMIFS($G:$G,$A:$A,"&lt;"&amp;M$1,$H:$H,$J65)</f>
        <v>0</v>
      </c>
      <c r="M65" s="94">
        <f t="shared" si="64"/>
        <v>0</v>
      </c>
      <c r="N65" s="94">
        <f t="shared" si="64"/>
        <v>511.67</v>
      </c>
      <c r="O65" s="94">
        <f t="shared" si="64"/>
        <v>511.67</v>
      </c>
      <c r="P65" s="94">
        <f t="shared" si="64"/>
        <v>12001.7</v>
      </c>
      <c r="Q65" s="94">
        <f t="shared" si="64"/>
        <v>12001.7</v>
      </c>
      <c r="R65" s="94">
        <f t="shared" si="64"/>
        <v>12001.7</v>
      </c>
      <c r="S65" s="94">
        <f t="shared" si="64"/>
        <v>12001.7</v>
      </c>
      <c r="T65" s="94">
        <f t="shared" si="64"/>
        <v>12001.7</v>
      </c>
      <c r="U65" s="94">
        <f t="shared" si="64"/>
        <v>12001.7</v>
      </c>
      <c r="V65" s="94">
        <f t="shared" si="64"/>
        <v>12001.7</v>
      </c>
      <c r="W65" s="94">
        <f t="shared" si="64"/>
        <v>13460</v>
      </c>
      <c r="X65" s="94">
        <f t="shared" si="64"/>
        <v>13460</v>
      </c>
      <c r="Y65" s="94">
        <f t="shared" si="64"/>
        <v>13460</v>
      </c>
      <c r="Z65" s="240"/>
      <c r="AA65" s="243"/>
      <c r="AB65" s="243"/>
      <c r="AC65" s="243"/>
      <c r="AD65" s="243"/>
      <c r="AE65" s="243"/>
    </row>
    <row r="66" spans="1:31" x14ac:dyDescent="0.25">
      <c r="A66" s="15">
        <v>41152</v>
      </c>
      <c r="B66" s="16" t="s">
        <v>843</v>
      </c>
      <c r="C66" t="s">
        <v>785</v>
      </c>
      <c r="D66" t="s">
        <v>783</v>
      </c>
      <c r="E66" s="17">
        <v>1</v>
      </c>
      <c r="F66" s="17">
        <v>1077.19</v>
      </c>
      <c r="G66" s="18">
        <v>1077.19</v>
      </c>
      <c r="H66" s="30" t="s">
        <v>2287</v>
      </c>
      <c r="J66" s="80" t="s">
        <v>2348</v>
      </c>
      <c r="K66" s="94">
        <f t="shared" si="33"/>
        <v>134.4</v>
      </c>
      <c r="L66" s="94">
        <f t="shared" ref="L66:Y66" si="65">SUMIFS($G:$G,$A:$A,"&lt;"&amp;M$1,$H:$H,$J66)</f>
        <v>0</v>
      </c>
      <c r="M66" s="94">
        <f t="shared" si="65"/>
        <v>0</v>
      </c>
      <c r="N66" s="94">
        <f t="shared" si="65"/>
        <v>0</v>
      </c>
      <c r="O66" s="94">
        <f t="shared" si="65"/>
        <v>0</v>
      </c>
      <c r="P66" s="94">
        <f t="shared" si="65"/>
        <v>0</v>
      </c>
      <c r="Q66" s="94">
        <f t="shared" si="65"/>
        <v>0</v>
      </c>
      <c r="R66" s="94">
        <f t="shared" si="65"/>
        <v>0</v>
      </c>
      <c r="S66" s="94">
        <f t="shared" si="65"/>
        <v>0</v>
      </c>
      <c r="T66" s="94">
        <f t="shared" si="65"/>
        <v>0</v>
      </c>
      <c r="U66" s="94">
        <f t="shared" si="65"/>
        <v>0</v>
      </c>
      <c r="V66" s="94">
        <f t="shared" si="65"/>
        <v>0</v>
      </c>
      <c r="W66" s="94">
        <f t="shared" si="65"/>
        <v>134.4</v>
      </c>
      <c r="X66" s="94">
        <f t="shared" si="65"/>
        <v>134.4</v>
      </c>
      <c r="Y66" s="94">
        <f t="shared" si="65"/>
        <v>134.4</v>
      </c>
      <c r="Z66" s="240"/>
      <c r="AA66" s="243"/>
      <c r="AB66" s="243"/>
      <c r="AC66" s="243"/>
      <c r="AD66" s="243"/>
      <c r="AE66" s="243"/>
    </row>
    <row r="67" spans="1:31" x14ac:dyDescent="0.25">
      <c r="A67" s="15">
        <v>41152</v>
      </c>
      <c r="B67" s="16" t="s">
        <v>844</v>
      </c>
      <c r="C67" t="s">
        <v>785</v>
      </c>
      <c r="D67" t="s">
        <v>783</v>
      </c>
      <c r="E67" s="17">
        <v>1</v>
      </c>
      <c r="F67" s="17">
        <v>2168.15</v>
      </c>
      <c r="G67" s="18">
        <v>2168.15</v>
      </c>
      <c r="H67" s="30" t="s">
        <v>2287</v>
      </c>
      <c r="J67" s="96" t="s">
        <v>1916</v>
      </c>
      <c r="K67" s="93">
        <f>SUM(K3:K66)</f>
        <v>3156786.2266900009</v>
      </c>
      <c r="L67" s="93">
        <f t="shared" ref="L67:Y67" si="66">SUM(L3:L66)</f>
        <v>57561.538999999997</v>
      </c>
      <c r="M67" s="93">
        <f t="shared" si="66"/>
        <v>192294.53399999999</v>
      </c>
      <c r="N67" s="93">
        <f t="shared" si="66"/>
        <v>241449.15399999995</v>
      </c>
      <c r="O67" s="93">
        <f t="shared" si="66"/>
        <v>338467.78669999994</v>
      </c>
      <c r="P67" s="93">
        <f t="shared" si="66"/>
        <v>482125.73994</v>
      </c>
      <c r="Q67" s="93">
        <f t="shared" si="66"/>
        <v>688306.02791999979</v>
      </c>
      <c r="R67" s="93">
        <f t="shared" si="66"/>
        <v>1064916.9608499999</v>
      </c>
      <c r="S67" s="93">
        <f t="shared" si="66"/>
        <v>1542416.8238599997</v>
      </c>
      <c r="T67" s="93">
        <f t="shared" si="66"/>
        <v>1809587.3054800001</v>
      </c>
      <c r="U67" s="93">
        <f t="shared" si="66"/>
        <v>2255080.3025899995</v>
      </c>
      <c r="V67" s="93">
        <f t="shared" si="66"/>
        <v>2727591.5624900009</v>
      </c>
      <c r="W67" s="93">
        <f t="shared" si="66"/>
        <v>3043660.3666900019</v>
      </c>
      <c r="X67" s="93">
        <f t="shared" si="66"/>
        <v>3123351.5616900013</v>
      </c>
      <c r="Y67" s="93">
        <f t="shared" si="66"/>
        <v>3156786.2266900009</v>
      </c>
      <c r="Z67" s="241"/>
      <c r="AA67" s="244"/>
      <c r="AB67" s="244"/>
      <c r="AC67" s="244"/>
      <c r="AD67" s="244"/>
      <c r="AE67" s="244"/>
    </row>
    <row r="68" spans="1:31" x14ac:dyDescent="0.25">
      <c r="A68" s="15">
        <v>41182</v>
      </c>
      <c r="B68" s="16" t="s">
        <v>845</v>
      </c>
      <c r="C68" t="s">
        <v>785</v>
      </c>
      <c r="D68" t="s">
        <v>783</v>
      </c>
      <c r="E68" s="17">
        <v>1</v>
      </c>
      <c r="F68" s="17">
        <v>2089.02</v>
      </c>
      <c r="G68" s="18">
        <v>2089.02</v>
      </c>
      <c r="H68" s="30" t="s">
        <v>2287</v>
      </c>
      <c r="J68" s="34"/>
    </row>
    <row r="69" spans="1:31" x14ac:dyDescent="0.25">
      <c r="A69" s="15">
        <v>41182</v>
      </c>
      <c r="B69" s="16" t="s">
        <v>846</v>
      </c>
      <c r="C69" t="s">
        <v>785</v>
      </c>
      <c r="D69" t="s">
        <v>783</v>
      </c>
      <c r="E69" s="17">
        <v>1</v>
      </c>
      <c r="F69" s="17">
        <v>550.35</v>
      </c>
      <c r="G69" s="18">
        <v>550.35</v>
      </c>
      <c r="H69" s="30" t="s">
        <v>2287</v>
      </c>
      <c r="J69" s="34"/>
    </row>
    <row r="70" spans="1:31" x14ac:dyDescent="0.25">
      <c r="A70" s="15">
        <v>41213</v>
      </c>
      <c r="B70" s="16" t="s">
        <v>847</v>
      </c>
      <c r="C70" t="s">
        <v>785</v>
      </c>
      <c r="D70" t="s">
        <v>783</v>
      </c>
      <c r="E70" s="17">
        <v>1</v>
      </c>
      <c r="F70" s="17">
        <v>125.45</v>
      </c>
      <c r="G70" s="18">
        <v>125.45</v>
      </c>
      <c r="H70" s="30" t="s">
        <v>2287</v>
      </c>
      <c r="J70" s="34"/>
    </row>
    <row r="71" spans="1:31" x14ac:dyDescent="0.25">
      <c r="A71" s="19" t="s">
        <v>781</v>
      </c>
      <c r="B71" s="20" t="s">
        <v>848</v>
      </c>
      <c r="C71" s="21" t="s">
        <v>781</v>
      </c>
      <c r="D71" s="21" t="s">
        <v>781</v>
      </c>
      <c r="E71" s="22"/>
      <c r="F71" s="22"/>
      <c r="G71" s="23">
        <v>27869.52</v>
      </c>
      <c r="H71" s="31" t="s">
        <v>2285</v>
      </c>
      <c r="J71" s="34"/>
    </row>
    <row r="72" spans="1:31" x14ac:dyDescent="0.25">
      <c r="A72" s="15" t="s">
        <v>781</v>
      </c>
      <c r="B72" s="16" t="s">
        <v>781</v>
      </c>
      <c r="C72" t="s">
        <v>781</v>
      </c>
      <c r="D72" t="s">
        <v>781</v>
      </c>
      <c r="E72" s="17"/>
      <c r="F72" s="17"/>
      <c r="G72" s="18"/>
      <c r="H72" s="30" t="s">
        <v>2285</v>
      </c>
      <c r="J72" s="34"/>
    </row>
    <row r="73" spans="1:31" x14ac:dyDescent="0.25">
      <c r="A73" s="12" t="s">
        <v>781</v>
      </c>
      <c r="B73" s="11" t="s">
        <v>1855</v>
      </c>
      <c r="C73" s="10" t="s">
        <v>781</v>
      </c>
      <c r="D73" s="10" t="s">
        <v>781</v>
      </c>
      <c r="E73" s="13"/>
      <c r="F73" s="13"/>
      <c r="G73" s="14"/>
      <c r="H73" s="29" t="s">
        <v>2285</v>
      </c>
      <c r="J73" s="34"/>
    </row>
    <row r="74" spans="1:31" ht="30" x14ac:dyDescent="0.25">
      <c r="A74" s="15">
        <v>40926</v>
      </c>
      <c r="B74" s="16" t="s">
        <v>849</v>
      </c>
      <c r="C74" t="s">
        <v>850</v>
      </c>
      <c r="D74" t="s">
        <v>783</v>
      </c>
      <c r="E74" s="17">
        <v>1.5</v>
      </c>
      <c r="F74" s="17">
        <v>130</v>
      </c>
      <c r="G74" s="18">
        <v>195</v>
      </c>
      <c r="H74" s="30" t="s">
        <v>2288</v>
      </c>
      <c r="J74" s="34"/>
    </row>
    <row r="75" spans="1:31" x14ac:dyDescent="0.25">
      <c r="A75" s="15">
        <v>40975</v>
      </c>
      <c r="B75" s="16" t="s">
        <v>851</v>
      </c>
      <c r="C75" t="s">
        <v>850</v>
      </c>
      <c r="D75" t="s">
        <v>783</v>
      </c>
      <c r="E75" s="17">
        <v>1</v>
      </c>
      <c r="F75" s="17">
        <v>130</v>
      </c>
      <c r="G75" s="18">
        <v>130</v>
      </c>
      <c r="H75" s="30" t="s">
        <v>2288</v>
      </c>
      <c r="J75" s="34"/>
    </row>
    <row r="76" spans="1:31" x14ac:dyDescent="0.25">
      <c r="A76" s="15">
        <v>40994</v>
      </c>
      <c r="B76" s="16" t="s">
        <v>852</v>
      </c>
      <c r="C76" t="s">
        <v>850</v>
      </c>
      <c r="D76" t="s">
        <v>783</v>
      </c>
      <c r="E76" s="17">
        <v>7</v>
      </c>
      <c r="F76" s="17">
        <v>165</v>
      </c>
      <c r="G76" s="18">
        <v>1155</v>
      </c>
      <c r="H76" s="30" t="s">
        <v>2288</v>
      </c>
      <c r="J76" s="34"/>
    </row>
    <row r="77" spans="1:31" x14ac:dyDescent="0.25">
      <c r="A77" s="15">
        <v>41038</v>
      </c>
      <c r="B77" s="16" t="s">
        <v>853</v>
      </c>
      <c r="C77" t="s">
        <v>850</v>
      </c>
      <c r="D77" t="s">
        <v>783</v>
      </c>
      <c r="E77" s="17">
        <v>1</v>
      </c>
      <c r="F77" s="17">
        <v>600</v>
      </c>
      <c r="G77" s="18">
        <v>600</v>
      </c>
      <c r="H77" s="30" t="s">
        <v>2288</v>
      </c>
      <c r="J77" s="34"/>
    </row>
    <row r="78" spans="1:31" ht="30" x14ac:dyDescent="0.25">
      <c r="A78" s="15">
        <v>41052</v>
      </c>
      <c r="B78" s="16" t="s">
        <v>854</v>
      </c>
      <c r="C78" t="s">
        <v>850</v>
      </c>
      <c r="D78" t="s">
        <v>783</v>
      </c>
      <c r="E78" s="17">
        <v>1.5</v>
      </c>
      <c r="F78" s="17">
        <v>135</v>
      </c>
      <c r="G78" s="18">
        <v>202.5</v>
      </c>
      <c r="H78" s="30" t="s">
        <v>2288</v>
      </c>
      <c r="J78" s="34"/>
    </row>
    <row r="79" spans="1:31" x14ac:dyDescent="0.25">
      <c r="A79" s="15">
        <v>41079</v>
      </c>
      <c r="B79" s="16" t="s">
        <v>855</v>
      </c>
      <c r="C79" t="s">
        <v>850</v>
      </c>
      <c r="D79" t="s">
        <v>783</v>
      </c>
      <c r="E79" s="17">
        <v>2.5</v>
      </c>
      <c r="F79" s="17">
        <v>165</v>
      </c>
      <c r="G79" s="18">
        <v>412.5</v>
      </c>
      <c r="H79" s="30" t="s">
        <v>2288</v>
      </c>
      <c r="J79" s="34"/>
    </row>
    <row r="80" spans="1:31" x14ac:dyDescent="0.25">
      <c r="A80" s="15">
        <v>41089</v>
      </c>
      <c r="B80" s="16" t="s">
        <v>856</v>
      </c>
      <c r="C80" t="s">
        <v>850</v>
      </c>
      <c r="D80" t="s">
        <v>783</v>
      </c>
      <c r="E80" s="17">
        <v>1</v>
      </c>
      <c r="F80" s="17">
        <v>165</v>
      </c>
      <c r="G80" s="18">
        <v>165</v>
      </c>
      <c r="H80" s="30" t="s">
        <v>2288</v>
      </c>
      <c r="J80" s="34"/>
    </row>
    <row r="81" spans="1:10" x14ac:dyDescent="0.25">
      <c r="A81" s="15">
        <v>41117</v>
      </c>
      <c r="B81" s="16" t="s">
        <v>857</v>
      </c>
      <c r="C81" t="s">
        <v>850</v>
      </c>
      <c r="D81" t="s">
        <v>783</v>
      </c>
      <c r="E81" s="17">
        <v>1.5</v>
      </c>
      <c r="F81" s="17">
        <v>165</v>
      </c>
      <c r="G81" s="18">
        <v>247.5</v>
      </c>
      <c r="H81" s="30" t="s">
        <v>2288</v>
      </c>
      <c r="J81" s="34"/>
    </row>
    <row r="82" spans="1:10" x14ac:dyDescent="0.25">
      <c r="A82" s="15">
        <v>41141</v>
      </c>
      <c r="B82" s="16" t="s">
        <v>858</v>
      </c>
      <c r="C82" t="s">
        <v>850</v>
      </c>
      <c r="D82" t="s">
        <v>783</v>
      </c>
      <c r="E82" s="17">
        <v>1</v>
      </c>
      <c r="F82" s="17">
        <v>947.4</v>
      </c>
      <c r="G82" s="18">
        <v>947.4</v>
      </c>
      <c r="H82" s="30" t="s">
        <v>2288</v>
      </c>
      <c r="J82" s="34"/>
    </row>
    <row r="83" spans="1:10" x14ac:dyDescent="0.25">
      <c r="A83" s="19" t="s">
        <v>781</v>
      </c>
      <c r="B83" s="20" t="s">
        <v>859</v>
      </c>
      <c r="C83" s="21" t="s">
        <v>781</v>
      </c>
      <c r="D83" s="21" t="s">
        <v>781</v>
      </c>
      <c r="E83" s="22"/>
      <c r="F83" s="22"/>
      <c r="G83" s="23">
        <v>4054.9</v>
      </c>
      <c r="H83" s="31" t="s">
        <v>2285</v>
      </c>
      <c r="J83" s="34"/>
    </row>
    <row r="84" spans="1:10" x14ac:dyDescent="0.25">
      <c r="A84" s="15" t="s">
        <v>781</v>
      </c>
      <c r="B84" s="16" t="s">
        <v>781</v>
      </c>
      <c r="C84" t="s">
        <v>781</v>
      </c>
      <c r="D84" t="s">
        <v>781</v>
      </c>
      <c r="E84" s="17"/>
      <c r="F84" s="17"/>
      <c r="G84" s="18"/>
      <c r="H84" s="30" t="s">
        <v>2285</v>
      </c>
      <c r="J84" s="34"/>
    </row>
    <row r="85" spans="1:10" x14ac:dyDescent="0.25">
      <c r="A85" s="12" t="s">
        <v>781</v>
      </c>
      <c r="B85" s="11" t="s">
        <v>1856</v>
      </c>
      <c r="C85" s="10" t="s">
        <v>781</v>
      </c>
      <c r="D85" s="10" t="s">
        <v>781</v>
      </c>
      <c r="E85" s="13"/>
      <c r="F85" s="13"/>
      <c r="G85" s="14"/>
      <c r="H85" s="29" t="s">
        <v>2285</v>
      </c>
      <c r="J85" s="34"/>
    </row>
    <row r="86" spans="1:10" x14ac:dyDescent="0.25">
      <c r="A86" s="15">
        <v>41051</v>
      </c>
      <c r="B86" s="16" t="s">
        <v>860</v>
      </c>
      <c r="C86" t="s">
        <v>861</v>
      </c>
      <c r="D86" t="s">
        <v>783</v>
      </c>
      <c r="E86" s="17">
        <v>1</v>
      </c>
      <c r="F86" s="17">
        <v>1586.01</v>
      </c>
      <c r="G86" s="18">
        <v>1586.01</v>
      </c>
      <c r="H86" s="30" t="s">
        <v>2289</v>
      </c>
      <c r="J86" s="34"/>
    </row>
    <row r="87" spans="1:10" x14ac:dyDescent="0.25">
      <c r="A87" s="15">
        <v>41051</v>
      </c>
      <c r="B87" s="16" t="s">
        <v>860</v>
      </c>
      <c r="C87" t="s">
        <v>861</v>
      </c>
      <c r="D87" t="s">
        <v>783</v>
      </c>
      <c r="E87" s="17">
        <v>1</v>
      </c>
      <c r="F87" s="17">
        <v>247.74</v>
      </c>
      <c r="G87" s="18">
        <v>247.74</v>
      </c>
      <c r="H87" s="30" t="s">
        <v>2289</v>
      </c>
      <c r="J87" s="34"/>
    </row>
    <row r="88" spans="1:10" x14ac:dyDescent="0.25">
      <c r="A88" s="15">
        <v>41052</v>
      </c>
      <c r="B88" s="16" t="s">
        <v>860</v>
      </c>
      <c r="C88" t="s">
        <v>861</v>
      </c>
      <c r="D88" t="s">
        <v>783</v>
      </c>
      <c r="E88" s="17">
        <v>1</v>
      </c>
      <c r="F88" s="17">
        <v>99.44</v>
      </c>
      <c r="G88" s="18">
        <v>99.44</v>
      </c>
      <c r="H88" s="30" t="s">
        <v>2289</v>
      </c>
      <c r="J88" s="34"/>
    </row>
    <row r="89" spans="1:10" x14ac:dyDescent="0.25">
      <c r="A89" s="15">
        <v>41078</v>
      </c>
      <c r="B89" s="16" t="s">
        <v>860</v>
      </c>
      <c r="C89" t="s">
        <v>861</v>
      </c>
      <c r="D89" t="s">
        <v>783</v>
      </c>
      <c r="E89" s="17">
        <v>1</v>
      </c>
      <c r="F89" s="17">
        <v>10.24</v>
      </c>
      <c r="G89" s="18">
        <v>10.24</v>
      </c>
      <c r="H89" s="30" t="s">
        <v>2289</v>
      </c>
      <c r="J89" s="34"/>
    </row>
    <row r="90" spans="1:10" x14ac:dyDescent="0.25">
      <c r="A90" s="15">
        <v>41090</v>
      </c>
      <c r="B90" s="16" t="s">
        <v>860</v>
      </c>
      <c r="C90" t="s">
        <v>861</v>
      </c>
      <c r="D90" t="s">
        <v>783</v>
      </c>
      <c r="E90" s="17">
        <v>1</v>
      </c>
      <c r="F90" s="17">
        <v>15.91</v>
      </c>
      <c r="G90" s="18">
        <v>15.91</v>
      </c>
      <c r="H90" s="30" t="s">
        <v>2289</v>
      </c>
      <c r="J90" s="34"/>
    </row>
    <row r="91" spans="1:10" x14ac:dyDescent="0.25">
      <c r="A91" s="15">
        <v>41121</v>
      </c>
      <c r="B91" s="16" t="s">
        <v>860</v>
      </c>
      <c r="C91" t="s">
        <v>861</v>
      </c>
      <c r="D91" t="s">
        <v>783</v>
      </c>
      <c r="E91" s="17">
        <v>1</v>
      </c>
      <c r="F91" s="17">
        <v>28.31</v>
      </c>
      <c r="G91" s="18">
        <v>28.31</v>
      </c>
      <c r="H91" s="30" t="s">
        <v>2289</v>
      </c>
      <c r="J91" s="34"/>
    </row>
    <row r="92" spans="1:10" x14ac:dyDescent="0.25">
      <c r="A92" s="15">
        <v>41142</v>
      </c>
      <c r="B92" s="16" t="s">
        <v>860</v>
      </c>
      <c r="C92" t="s">
        <v>861</v>
      </c>
      <c r="D92" t="s">
        <v>783</v>
      </c>
      <c r="E92" s="17">
        <v>1</v>
      </c>
      <c r="F92" s="17">
        <v>9.44</v>
      </c>
      <c r="G92" s="18">
        <v>9.44</v>
      </c>
      <c r="H92" s="30" t="s">
        <v>2289</v>
      </c>
      <c r="J92" s="34"/>
    </row>
    <row r="93" spans="1:10" x14ac:dyDescent="0.25">
      <c r="A93" s="15">
        <v>41172</v>
      </c>
      <c r="B93" s="16" t="s">
        <v>860</v>
      </c>
      <c r="C93" t="s">
        <v>861</v>
      </c>
      <c r="D93" t="s">
        <v>783</v>
      </c>
      <c r="E93" s="17">
        <v>1</v>
      </c>
      <c r="F93" s="17">
        <v>320</v>
      </c>
      <c r="G93" s="18">
        <v>320</v>
      </c>
      <c r="H93" s="30" t="s">
        <v>2289</v>
      </c>
      <c r="J93" s="34"/>
    </row>
    <row r="94" spans="1:10" x14ac:dyDescent="0.25">
      <c r="A94" s="15">
        <v>41182</v>
      </c>
      <c r="B94" s="16" t="s">
        <v>860</v>
      </c>
      <c r="C94" t="s">
        <v>861</v>
      </c>
      <c r="D94" t="s">
        <v>783</v>
      </c>
      <c r="E94" s="17">
        <v>1</v>
      </c>
      <c r="F94" s="17">
        <v>33.270000000000003</v>
      </c>
      <c r="G94" s="18">
        <v>33.270000000000003</v>
      </c>
      <c r="H94" s="30" t="s">
        <v>2289</v>
      </c>
      <c r="J94" s="34"/>
    </row>
    <row r="95" spans="1:10" x14ac:dyDescent="0.25">
      <c r="A95" s="15">
        <v>41201</v>
      </c>
      <c r="B95" s="16" t="s">
        <v>860</v>
      </c>
      <c r="C95" t="s">
        <v>861</v>
      </c>
      <c r="D95" t="s">
        <v>783</v>
      </c>
      <c r="E95" s="17">
        <v>1</v>
      </c>
      <c r="F95" s="17">
        <v>114.79</v>
      </c>
      <c r="G95" s="18">
        <v>114.79</v>
      </c>
      <c r="H95" s="30" t="s">
        <v>2289</v>
      </c>
      <c r="J95" s="34"/>
    </row>
    <row r="96" spans="1:10" x14ac:dyDescent="0.25">
      <c r="A96" s="15">
        <v>41201</v>
      </c>
      <c r="B96" s="16" t="s">
        <v>860</v>
      </c>
      <c r="C96" t="s">
        <v>861</v>
      </c>
      <c r="D96" t="s">
        <v>783</v>
      </c>
      <c r="E96" s="17">
        <v>1</v>
      </c>
      <c r="F96" s="17">
        <v>70.17</v>
      </c>
      <c r="G96" s="18">
        <v>70.17</v>
      </c>
      <c r="H96" s="30" t="s">
        <v>2289</v>
      </c>
      <c r="J96" s="34"/>
    </row>
    <row r="97" spans="1:10" x14ac:dyDescent="0.25">
      <c r="A97" s="19" t="s">
        <v>781</v>
      </c>
      <c r="B97" s="20" t="s">
        <v>862</v>
      </c>
      <c r="C97" s="21" t="s">
        <v>781</v>
      </c>
      <c r="D97" s="21" t="s">
        <v>781</v>
      </c>
      <c r="E97" s="22"/>
      <c r="F97" s="22"/>
      <c r="G97" s="23">
        <v>2535.3200000000002</v>
      </c>
      <c r="H97" s="31" t="s">
        <v>2285</v>
      </c>
      <c r="J97" s="34"/>
    </row>
    <row r="98" spans="1:10" x14ac:dyDescent="0.25">
      <c r="A98" s="15" t="s">
        <v>781</v>
      </c>
      <c r="B98" s="16" t="s">
        <v>781</v>
      </c>
      <c r="C98" t="s">
        <v>781</v>
      </c>
      <c r="D98" t="s">
        <v>781</v>
      </c>
      <c r="E98" s="17"/>
      <c r="F98" s="17"/>
      <c r="G98" s="18"/>
      <c r="H98" s="30" t="s">
        <v>2285</v>
      </c>
      <c r="J98" s="34"/>
    </row>
    <row r="99" spans="1:10" x14ac:dyDescent="0.25">
      <c r="A99" s="12" t="s">
        <v>781</v>
      </c>
      <c r="B99" s="11" t="s">
        <v>1857</v>
      </c>
      <c r="C99" s="10" t="s">
        <v>781</v>
      </c>
      <c r="D99" s="10" t="s">
        <v>781</v>
      </c>
      <c r="E99" s="13"/>
      <c r="F99" s="13"/>
      <c r="G99" s="14"/>
      <c r="H99" s="29" t="s">
        <v>2285</v>
      </c>
      <c r="J99" s="34"/>
    </row>
    <row r="100" spans="1:10" x14ac:dyDescent="0.25">
      <c r="A100" s="15">
        <v>40886</v>
      </c>
      <c r="B100" s="16" t="s">
        <v>863</v>
      </c>
      <c r="C100" t="s">
        <v>864</v>
      </c>
      <c r="D100" t="s">
        <v>48</v>
      </c>
      <c r="E100" s="17">
        <v>2</v>
      </c>
      <c r="F100" s="17">
        <v>110</v>
      </c>
      <c r="G100" s="18">
        <v>220</v>
      </c>
      <c r="H100" s="30" t="s">
        <v>2290</v>
      </c>
      <c r="J100" s="34"/>
    </row>
    <row r="101" spans="1:10" x14ac:dyDescent="0.25">
      <c r="A101" s="15">
        <v>40886</v>
      </c>
      <c r="B101" s="16" t="s">
        <v>865</v>
      </c>
      <c r="C101" t="s">
        <v>8</v>
      </c>
      <c r="D101" t="s">
        <v>48</v>
      </c>
      <c r="E101" s="17">
        <v>4</v>
      </c>
      <c r="F101" s="17">
        <v>35.35</v>
      </c>
      <c r="G101" s="18">
        <v>141.4</v>
      </c>
      <c r="H101" s="30" t="s">
        <v>2290</v>
      </c>
      <c r="J101" s="34"/>
    </row>
    <row r="102" spans="1:10" x14ac:dyDescent="0.25">
      <c r="A102" s="15">
        <v>40886</v>
      </c>
      <c r="B102" s="16" t="s">
        <v>45</v>
      </c>
      <c r="C102" t="s">
        <v>8</v>
      </c>
      <c r="D102" t="s">
        <v>48</v>
      </c>
      <c r="E102" s="17">
        <v>10</v>
      </c>
      <c r="F102" s="17">
        <v>90</v>
      </c>
      <c r="G102" s="18">
        <v>900</v>
      </c>
      <c r="H102" s="30" t="s">
        <v>2290</v>
      </c>
      <c r="J102" s="34"/>
    </row>
    <row r="103" spans="1:10" x14ac:dyDescent="0.25">
      <c r="A103" s="15">
        <v>40889</v>
      </c>
      <c r="B103" s="16" t="s">
        <v>865</v>
      </c>
      <c r="C103" t="s">
        <v>8</v>
      </c>
      <c r="D103" t="s">
        <v>48</v>
      </c>
      <c r="E103" s="17">
        <v>5.5</v>
      </c>
      <c r="F103" s="17">
        <v>35.35</v>
      </c>
      <c r="G103" s="18">
        <v>194.42500000000001</v>
      </c>
      <c r="H103" s="30" t="s">
        <v>2290</v>
      </c>
      <c r="J103" s="34"/>
    </row>
    <row r="104" spans="1:10" x14ac:dyDescent="0.25">
      <c r="A104" s="15">
        <v>40889</v>
      </c>
      <c r="B104" s="16" t="s">
        <v>866</v>
      </c>
      <c r="C104" t="s">
        <v>8</v>
      </c>
      <c r="D104" t="s">
        <v>48</v>
      </c>
      <c r="E104" s="17">
        <v>6</v>
      </c>
      <c r="F104" s="17">
        <v>65</v>
      </c>
      <c r="G104" s="18">
        <v>390</v>
      </c>
      <c r="H104" s="30" t="s">
        <v>2290</v>
      </c>
      <c r="J104" s="34"/>
    </row>
    <row r="105" spans="1:10" x14ac:dyDescent="0.25">
      <c r="A105" s="15">
        <v>40889</v>
      </c>
      <c r="B105" s="16" t="s">
        <v>45</v>
      </c>
      <c r="C105" t="s">
        <v>8</v>
      </c>
      <c r="D105" t="s">
        <v>48</v>
      </c>
      <c r="E105" s="17">
        <v>10</v>
      </c>
      <c r="F105" s="17">
        <v>90</v>
      </c>
      <c r="G105" s="18">
        <v>900</v>
      </c>
      <c r="H105" s="30" t="s">
        <v>2290</v>
      </c>
      <c r="J105" s="34"/>
    </row>
    <row r="106" spans="1:10" x14ac:dyDescent="0.25">
      <c r="A106" s="15">
        <v>40889</v>
      </c>
      <c r="B106" s="16" t="s">
        <v>865</v>
      </c>
      <c r="C106" t="s">
        <v>8</v>
      </c>
      <c r="D106" t="s">
        <v>48</v>
      </c>
      <c r="E106" s="17">
        <v>5.5</v>
      </c>
      <c r="F106" s="17">
        <v>35.35</v>
      </c>
      <c r="G106" s="18">
        <v>194.42500000000001</v>
      </c>
      <c r="H106" s="30" t="s">
        <v>2290</v>
      </c>
      <c r="J106" s="34"/>
    </row>
    <row r="107" spans="1:10" x14ac:dyDescent="0.25">
      <c r="A107" s="15">
        <v>40970</v>
      </c>
      <c r="B107" s="16" t="s">
        <v>867</v>
      </c>
      <c r="C107" t="s">
        <v>868</v>
      </c>
      <c r="D107" t="s">
        <v>48</v>
      </c>
      <c r="E107" s="17">
        <v>4.5</v>
      </c>
      <c r="F107" s="17">
        <v>90</v>
      </c>
      <c r="G107" s="18">
        <v>405</v>
      </c>
      <c r="H107" s="30" t="s">
        <v>2290</v>
      </c>
      <c r="J107" s="34"/>
    </row>
    <row r="108" spans="1:10" x14ac:dyDescent="0.25">
      <c r="A108" s="15">
        <v>40970</v>
      </c>
      <c r="B108" s="16" t="s">
        <v>869</v>
      </c>
      <c r="C108" t="s">
        <v>8</v>
      </c>
      <c r="D108" t="s">
        <v>48</v>
      </c>
      <c r="E108" s="17">
        <v>5</v>
      </c>
      <c r="F108" s="17">
        <v>35.35</v>
      </c>
      <c r="G108" s="18">
        <v>176.75</v>
      </c>
      <c r="H108" s="30" t="s">
        <v>2290</v>
      </c>
      <c r="J108" s="34"/>
    </row>
    <row r="109" spans="1:10" x14ac:dyDescent="0.25">
      <c r="A109" s="15">
        <v>40970</v>
      </c>
      <c r="B109" s="16" t="s">
        <v>865</v>
      </c>
      <c r="C109" t="s">
        <v>8</v>
      </c>
      <c r="D109" t="s">
        <v>48</v>
      </c>
      <c r="E109" s="17">
        <v>5</v>
      </c>
      <c r="F109" s="17">
        <v>35.35</v>
      </c>
      <c r="G109" s="18">
        <v>176.75</v>
      </c>
      <c r="H109" s="30" t="s">
        <v>2290</v>
      </c>
      <c r="J109" s="34"/>
    </row>
    <row r="110" spans="1:10" x14ac:dyDescent="0.25">
      <c r="A110" s="15">
        <v>40973</v>
      </c>
      <c r="B110" s="16" t="s">
        <v>869</v>
      </c>
      <c r="C110" t="s">
        <v>8</v>
      </c>
      <c r="D110" t="s">
        <v>48</v>
      </c>
      <c r="E110" s="17">
        <v>2.5</v>
      </c>
      <c r="F110" s="17">
        <v>35.35</v>
      </c>
      <c r="G110" s="18">
        <v>88.375</v>
      </c>
      <c r="H110" s="30" t="s">
        <v>2290</v>
      </c>
      <c r="J110" s="34"/>
    </row>
    <row r="111" spans="1:10" x14ac:dyDescent="0.25">
      <c r="A111" s="15">
        <v>40973</v>
      </c>
      <c r="B111" s="16" t="s">
        <v>865</v>
      </c>
      <c r="C111" t="s">
        <v>8</v>
      </c>
      <c r="D111" t="s">
        <v>48</v>
      </c>
      <c r="E111" s="17">
        <v>2.5</v>
      </c>
      <c r="F111" s="17">
        <v>35.35</v>
      </c>
      <c r="G111" s="18">
        <v>88.375</v>
      </c>
      <c r="H111" s="30" t="s">
        <v>2290</v>
      </c>
      <c r="J111" s="34"/>
    </row>
    <row r="112" spans="1:10" x14ac:dyDescent="0.25">
      <c r="A112" s="15">
        <v>40974</v>
      </c>
      <c r="B112" s="16" t="s">
        <v>869</v>
      </c>
      <c r="C112" t="s">
        <v>8</v>
      </c>
      <c r="D112" t="s">
        <v>48</v>
      </c>
      <c r="E112" s="17">
        <v>1.5</v>
      </c>
      <c r="F112" s="17">
        <v>35.35</v>
      </c>
      <c r="G112" s="18">
        <v>53.024999999999999</v>
      </c>
      <c r="H112" s="30" t="s">
        <v>2290</v>
      </c>
      <c r="J112" s="34"/>
    </row>
    <row r="113" spans="1:10" x14ac:dyDescent="0.25">
      <c r="A113" s="15">
        <v>40976</v>
      </c>
      <c r="B113" s="16" t="s">
        <v>865</v>
      </c>
      <c r="C113" t="s">
        <v>8</v>
      </c>
      <c r="D113" t="s">
        <v>48</v>
      </c>
      <c r="E113" s="17">
        <v>5.5</v>
      </c>
      <c r="F113" s="17">
        <v>35.35</v>
      </c>
      <c r="G113" s="18">
        <v>194.42500000000001</v>
      </c>
      <c r="H113" s="30" t="s">
        <v>2290</v>
      </c>
      <c r="J113" s="34"/>
    </row>
    <row r="114" spans="1:10" x14ac:dyDescent="0.25">
      <c r="A114" s="15">
        <v>40976</v>
      </c>
      <c r="B114" s="16" t="s">
        <v>867</v>
      </c>
      <c r="C114" t="s">
        <v>868</v>
      </c>
      <c r="D114" t="s">
        <v>48</v>
      </c>
      <c r="E114" s="17">
        <v>2</v>
      </c>
      <c r="F114" s="17">
        <v>90</v>
      </c>
      <c r="G114" s="18">
        <v>180</v>
      </c>
      <c r="H114" s="30" t="s">
        <v>2290</v>
      </c>
      <c r="J114" s="34"/>
    </row>
    <row r="115" spans="1:10" x14ac:dyDescent="0.25">
      <c r="A115" s="15">
        <v>40976</v>
      </c>
      <c r="B115" s="16" t="s">
        <v>870</v>
      </c>
      <c r="C115" t="s">
        <v>871</v>
      </c>
      <c r="D115" t="s">
        <v>48</v>
      </c>
      <c r="E115" s="17">
        <v>5.5</v>
      </c>
      <c r="F115" s="17">
        <v>85</v>
      </c>
      <c r="G115" s="18">
        <v>467.5</v>
      </c>
      <c r="H115" s="30" t="s">
        <v>2290</v>
      </c>
      <c r="J115" s="34"/>
    </row>
    <row r="116" spans="1:10" x14ac:dyDescent="0.25">
      <c r="A116" s="15">
        <v>41026</v>
      </c>
      <c r="B116" s="16" t="s">
        <v>865</v>
      </c>
      <c r="C116" t="s">
        <v>8</v>
      </c>
      <c r="D116" t="s">
        <v>48</v>
      </c>
      <c r="E116" s="17">
        <v>7</v>
      </c>
      <c r="F116" s="17">
        <v>48</v>
      </c>
      <c r="G116" s="18">
        <v>336</v>
      </c>
      <c r="H116" s="30" t="s">
        <v>2290</v>
      </c>
      <c r="J116" s="34"/>
    </row>
    <row r="117" spans="1:10" x14ac:dyDescent="0.25">
      <c r="A117" s="15">
        <v>41026</v>
      </c>
      <c r="B117" s="16" t="s">
        <v>865</v>
      </c>
      <c r="C117" t="s">
        <v>8</v>
      </c>
      <c r="D117" t="s">
        <v>48</v>
      </c>
      <c r="E117" s="17">
        <v>7.5</v>
      </c>
      <c r="F117" s="17">
        <v>35.35</v>
      </c>
      <c r="G117" s="18">
        <v>265.125</v>
      </c>
      <c r="H117" s="30" t="s">
        <v>2290</v>
      </c>
      <c r="J117" s="34"/>
    </row>
    <row r="118" spans="1:10" x14ac:dyDescent="0.25">
      <c r="A118" s="15">
        <v>41026</v>
      </c>
      <c r="B118" s="16" t="s">
        <v>872</v>
      </c>
      <c r="C118" t="s">
        <v>873</v>
      </c>
      <c r="D118" t="s">
        <v>48</v>
      </c>
      <c r="E118" s="17">
        <v>1</v>
      </c>
      <c r="F118" s="17">
        <v>95</v>
      </c>
      <c r="G118" s="18">
        <v>95</v>
      </c>
      <c r="H118" s="30" t="s">
        <v>2290</v>
      </c>
      <c r="J118" s="34"/>
    </row>
    <row r="119" spans="1:10" x14ac:dyDescent="0.25">
      <c r="A119" s="15">
        <v>41026</v>
      </c>
      <c r="B119" s="16" t="s">
        <v>874</v>
      </c>
      <c r="C119" t="s">
        <v>875</v>
      </c>
      <c r="D119" t="s">
        <v>48</v>
      </c>
      <c r="E119" s="17">
        <v>7</v>
      </c>
      <c r="F119" s="17">
        <v>25.78</v>
      </c>
      <c r="G119" s="18">
        <v>180.46</v>
      </c>
      <c r="H119" s="30" t="s">
        <v>2290</v>
      </c>
      <c r="J119" s="34"/>
    </row>
    <row r="120" spans="1:10" x14ac:dyDescent="0.25">
      <c r="A120" s="15">
        <v>41026</v>
      </c>
      <c r="B120" s="16" t="s">
        <v>867</v>
      </c>
      <c r="C120" t="s">
        <v>868</v>
      </c>
      <c r="D120" t="s">
        <v>48</v>
      </c>
      <c r="E120" s="17">
        <v>8</v>
      </c>
      <c r="F120" s="17">
        <v>90</v>
      </c>
      <c r="G120" s="18">
        <v>720</v>
      </c>
      <c r="H120" s="30" t="s">
        <v>2290</v>
      </c>
      <c r="J120" s="34"/>
    </row>
    <row r="121" spans="1:10" x14ac:dyDescent="0.25">
      <c r="A121" s="15">
        <v>41026</v>
      </c>
      <c r="B121" s="16" t="s">
        <v>865</v>
      </c>
      <c r="C121" t="s">
        <v>8</v>
      </c>
      <c r="D121" t="s">
        <v>48</v>
      </c>
      <c r="E121" s="17">
        <v>2.5</v>
      </c>
      <c r="F121" s="17">
        <v>35.35</v>
      </c>
      <c r="G121" s="18">
        <v>88.375</v>
      </c>
      <c r="H121" s="30" t="s">
        <v>2290</v>
      </c>
      <c r="J121" s="34"/>
    </row>
    <row r="122" spans="1:10" x14ac:dyDescent="0.25">
      <c r="A122" s="15">
        <v>41026</v>
      </c>
      <c r="B122" s="16" t="s">
        <v>865</v>
      </c>
      <c r="C122" t="s">
        <v>8</v>
      </c>
      <c r="D122" t="s">
        <v>48</v>
      </c>
      <c r="E122" s="17">
        <v>7.5</v>
      </c>
      <c r="F122" s="17">
        <v>35.35</v>
      </c>
      <c r="G122" s="18">
        <v>265.125</v>
      </c>
      <c r="H122" s="30" t="s">
        <v>2290</v>
      </c>
      <c r="J122" s="34"/>
    </row>
    <row r="123" spans="1:10" x14ac:dyDescent="0.25">
      <c r="A123" s="15">
        <v>41026</v>
      </c>
      <c r="B123" s="16" t="s">
        <v>865</v>
      </c>
      <c r="C123" t="s">
        <v>8</v>
      </c>
      <c r="D123" t="s">
        <v>48</v>
      </c>
      <c r="E123" s="17">
        <v>7.5</v>
      </c>
      <c r="F123" s="17">
        <v>35.35</v>
      </c>
      <c r="G123" s="18">
        <v>265.125</v>
      </c>
      <c r="H123" s="30" t="s">
        <v>2290</v>
      </c>
      <c r="J123" s="34"/>
    </row>
    <row r="124" spans="1:10" x14ac:dyDescent="0.25">
      <c r="A124" s="15">
        <v>41026</v>
      </c>
      <c r="B124" s="16" t="s">
        <v>865</v>
      </c>
      <c r="C124" t="s">
        <v>8</v>
      </c>
      <c r="D124" t="s">
        <v>48</v>
      </c>
      <c r="E124" s="17">
        <v>7.5</v>
      </c>
      <c r="F124" s="17">
        <v>35.35</v>
      </c>
      <c r="G124" s="18">
        <v>265.125</v>
      </c>
      <c r="H124" s="30" t="s">
        <v>2290</v>
      </c>
      <c r="J124" s="34"/>
    </row>
    <row r="125" spans="1:10" x14ac:dyDescent="0.25">
      <c r="A125" s="15">
        <v>41030</v>
      </c>
      <c r="B125" s="16" t="s">
        <v>867</v>
      </c>
      <c r="C125" t="s">
        <v>868</v>
      </c>
      <c r="D125" t="s">
        <v>48</v>
      </c>
      <c r="E125" s="17">
        <v>4</v>
      </c>
      <c r="F125" s="17">
        <v>90</v>
      </c>
      <c r="G125" s="18">
        <v>360</v>
      </c>
      <c r="H125" s="30" t="s">
        <v>2290</v>
      </c>
      <c r="J125" s="34"/>
    </row>
    <row r="126" spans="1:10" x14ac:dyDescent="0.25">
      <c r="A126" s="15">
        <v>41040</v>
      </c>
      <c r="B126" s="16" t="s">
        <v>876</v>
      </c>
      <c r="C126" t="s">
        <v>8</v>
      </c>
      <c r="D126" t="s">
        <v>48</v>
      </c>
      <c r="E126" s="17">
        <v>3</v>
      </c>
      <c r="F126" s="17">
        <v>95</v>
      </c>
      <c r="G126" s="18">
        <v>285</v>
      </c>
      <c r="H126" s="30" t="s">
        <v>2290</v>
      </c>
      <c r="J126" s="34"/>
    </row>
    <row r="127" spans="1:10" x14ac:dyDescent="0.25">
      <c r="A127" s="15">
        <v>41040</v>
      </c>
      <c r="B127" s="16" t="s">
        <v>865</v>
      </c>
      <c r="C127" t="s">
        <v>8</v>
      </c>
      <c r="D127" t="s">
        <v>48</v>
      </c>
      <c r="E127" s="17">
        <v>3</v>
      </c>
      <c r="F127" s="17">
        <v>35.35</v>
      </c>
      <c r="G127" s="18">
        <v>106.05</v>
      </c>
      <c r="H127" s="30" t="s">
        <v>2290</v>
      </c>
      <c r="J127" s="34"/>
    </row>
    <row r="128" spans="1:10" x14ac:dyDescent="0.25">
      <c r="A128" s="15">
        <v>41040</v>
      </c>
      <c r="B128" s="16" t="s">
        <v>865</v>
      </c>
      <c r="C128" t="s">
        <v>8</v>
      </c>
      <c r="D128" t="s">
        <v>48</v>
      </c>
      <c r="E128" s="17">
        <v>3</v>
      </c>
      <c r="F128" s="17">
        <v>35.35</v>
      </c>
      <c r="G128" s="18">
        <v>106.05</v>
      </c>
      <c r="H128" s="30" t="s">
        <v>2290</v>
      </c>
      <c r="J128" s="34"/>
    </row>
    <row r="129" spans="1:10" x14ac:dyDescent="0.25">
      <c r="A129" s="15">
        <v>41043</v>
      </c>
      <c r="B129" s="16" t="s">
        <v>865</v>
      </c>
      <c r="C129" t="s">
        <v>8</v>
      </c>
      <c r="D129" t="s">
        <v>48</v>
      </c>
      <c r="E129" s="17">
        <v>3.5</v>
      </c>
      <c r="F129" s="17">
        <v>35.35</v>
      </c>
      <c r="G129" s="18">
        <v>123.72499999999999</v>
      </c>
      <c r="H129" s="30" t="s">
        <v>2290</v>
      </c>
      <c r="J129" s="34"/>
    </row>
    <row r="130" spans="1:10" x14ac:dyDescent="0.25">
      <c r="A130" s="15">
        <v>41043</v>
      </c>
      <c r="B130" s="16" t="s">
        <v>877</v>
      </c>
      <c r="C130" t="s">
        <v>868</v>
      </c>
      <c r="D130" t="s">
        <v>48</v>
      </c>
      <c r="E130" s="17">
        <v>3</v>
      </c>
      <c r="F130" s="17">
        <v>90</v>
      </c>
      <c r="G130" s="18">
        <v>270</v>
      </c>
      <c r="H130" s="30" t="s">
        <v>2290</v>
      </c>
      <c r="J130" s="34"/>
    </row>
    <row r="131" spans="1:10" x14ac:dyDescent="0.25">
      <c r="A131" s="15">
        <v>41043</v>
      </c>
      <c r="B131" s="16" t="s">
        <v>874</v>
      </c>
      <c r="C131" t="s">
        <v>875</v>
      </c>
      <c r="D131" t="s">
        <v>48</v>
      </c>
      <c r="E131" s="17">
        <v>2</v>
      </c>
      <c r="F131" s="17">
        <v>25.78</v>
      </c>
      <c r="G131" s="18">
        <v>51.56</v>
      </c>
      <c r="H131" s="30" t="s">
        <v>2290</v>
      </c>
      <c r="J131" s="34"/>
    </row>
    <row r="132" spans="1:10" x14ac:dyDescent="0.25">
      <c r="A132" s="15">
        <v>41125</v>
      </c>
      <c r="B132" s="16" t="s">
        <v>878</v>
      </c>
      <c r="C132" t="s">
        <v>879</v>
      </c>
      <c r="D132" t="s">
        <v>48</v>
      </c>
      <c r="E132" s="17">
        <v>1.75</v>
      </c>
      <c r="F132" s="17">
        <v>110</v>
      </c>
      <c r="G132" s="18">
        <v>192.5</v>
      </c>
      <c r="H132" s="30" t="s">
        <v>2290</v>
      </c>
      <c r="J132" s="34"/>
    </row>
    <row r="133" spans="1:10" x14ac:dyDescent="0.25">
      <c r="A133" s="15">
        <v>41125</v>
      </c>
      <c r="B133" s="16" t="s">
        <v>865</v>
      </c>
      <c r="C133" t="s">
        <v>8</v>
      </c>
      <c r="D133" t="s">
        <v>48</v>
      </c>
      <c r="E133" s="17">
        <v>4</v>
      </c>
      <c r="F133" s="17">
        <v>35.35</v>
      </c>
      <c r="G133" s="18">
        <v>141.4</v>
      </c>
      <c r="H133" s="30" t="s">
        <v>2290</v>
      </c>
      <c r="J133" s="34"/>
    </row>
    <row r="134" spans="1:10" x14ac:dyDescent="0.25">
      <c r="A134" s="15">
        <v>41125</v>
      </c>
      <c r="B134" s="16" t="s">
        <v>865</v>
      </c>
      <c r="C134" t="s">
        <v>8</v>
      </c>
      <c r="D134" t="s">
        <v>48</v>
      </c>
      <c r="E134" s="17">
        <v>4</v>
      </c>
      <c r="F134" s="17">
        <v>35.35</v>
      </c>
      <c r="G134" s="18">
        <v>141.4</v>
      </c>
      <c r="H134" s="30" t="s">
        <v>2290</v>
      </c>
      <c r="J134" s="34"/>
    </row>
    <row r="135" spans="1:10" x14ac:dyDescent="0.25">
      <c r="A135" s="15">
        <v>41132</v>
      </c>
      <c r="B135" s="16" t="s">
        <v>880</v>
      </c>
      <c r="C135" t="s">
        <v>881</v>
      </c>
      <c r="D135" t="s">
        <v>48</v>
      </c>
      <c r="E135" s="17">
        <v>2.5</v>
      </c>
      <c r="F135" s="17">
        <v>95</v>
      </c>
      <c r="G135" s="18">
        <v>237.5</v>
      </c>
      <c r="H135" s="30" t="s">
        <v>2290</v>
      </c>
      <c r="J135" s="34"/>
    </row>
    <row r="136" spans="1:10" x14ac:dyDescent="0.25">
      <c r="A136" s="15">
        <v>41132</v>
      </c>
      <c r="B136" s="16" t="s">
        <v>878</v>
      </c>
      <c r="C136" t="s">
        <v>879</v>
      </c>
      <c r="D136" t="s">
        <v>48</v>
      </c>
      <c r="E136" s="17">
        <v>2.5</v>
      </c>
      <c r="F136" s="17">
        <v>110</v>
      </c>
      <c r="G136" s="18">
        <v>275</v>
      </c>
      <c r="H136" s="30" t="s">
        <v>2290</v>
      </c>
      <c r="J136" s="34"/>
    </row>
    <row r="137" spans="1:10" x14ac:dyDescent="0.25">
      <c r="A137" s="15">
        <v>41132</v>
      </c>
      <c r="B137" s="16" t="s">
        <v>865</v>
      </c>
      <c r="C137" t="s">
        <v>8</v>
      </c>
      <c r="D137" t="s">
        <v>48</v>
      </c>
      <c r="E137" s="17">
        <v>4</v>
      </c>
      <c r="F137" s="17">
        <v>35.35</v>
      </c>
      <c r="G137" s="18">
        <v>141.4</v>
      </c>
      <c r="H137" s="30" t="s">
        <v>2290</v>
      </c>
      <c r="J137" s="34"/>
    </row>
    <row r="138" spans="1:10" x14ac:dyDescent="0.25">
      <c r="A138" s="15">
        <v>41132</v>
      </c>
      <c r="B138" s="16" t="s">
        <v>865</v>
      </c>
      <c r="C138" t="s">
        <v>8</v>
      </c>
      <c r="D138" t="s">
        <v>48</v>
      </c>
      <c r="E138" s="17">
        <v>4</v>
      </c>
      <c r="F138" s="17">
        <v>35.35</v>
      </c>
      <c r="G138" s="18">
        <v>141.4</v>
      </c>
      <c r="H138" s="30" t="s">
        <v>2290</v>
      </c>
      <c r="J138" s="34"/>
    </row>
    <row r="139" spans="1:10" x14ac:dyDescent="0.25">
      <c r="A139" s="15">
        <v>41132</v>
      </c>
      <c r="B139" s="16" t="s">
        <v>865</v>
      </c>
      <c r="C139" t="s">
        <v>8</v>
      </c>
      <c r="D139" t="s">
        <v>48</v>
      </c>
      <c r="E139" s="17">
        <v>4</v>
      </c>
      <c r="F139" s="17">
        <v>35.35</v>
      </c>
      <c r="G139" s="18">
        <v>141.4</v>
      </c>
      <c r="H139" s="30" t="s">
        <v>2290</v>
      </c>
      <c r="J139" s="34"/>
    </row>
    <row r="140" spans="1:10" x14ac:dyDescent="0.25">
      <c r="A140" s="15">
        <v>41141</v>
      </c>
      <c r="B140" s="16" t="s">
        <v>865</v>
      </c>
      <c r="C140" t="s">
        <v>8</v>
      </c>
      <c r="D140" t="s">
        <v>48</v>
      </c>
      <c r="E140" s="17">
        <v>4.5</v>
      </c>
      <c r="F140" s="17">
        <v>35.35</v>
      </c>
      <c r="G140" s="18">
        <v>159.07499999999999</v>
      </c>
      <c r="H140" s="30" t="s">
        <v>2290</v>
      </c>
      <c r="J140" s="34"/>
    </row>
    <row r="141" spans="1:10" x14ac:dyDescent="0.25">
      <c r="A141" s="15">
        <v>41141</v>
      </c>
      <c r="B141" s="16" t="s">
        <v>878</v>
      </c>
      <c r="C141" t="s">
        <v>879</v>
      </c>
      <c r="D141" t="s">
        <v>48</v>
      </c>
      <c r="E141" s="17">
        <v>4.5</v>
      </c>
      <c r="F141" s="17">
        <v>110</v>
      </c>
      <c r="G141" s="18">
        <v>495</v>
      </c>
      <c r="H141" s="30" t="s">
        <v>2290</v>
      </c>
      <c r="J141" s="34"/>
    </row>
    <row r="142" spans="1:10" x14ac:dyDescent="0.25">
      <c r="A142" s="15">
        <v>41141</v>
      </c>
      <c r="B142" s="16" t="s">
        <v>865</v>
      </c>
      <c r="C142" t="s">
        <v>8</v>
      </c>
      <c r="D142" t="s">
        <v>48</v>
      </c>
      <c r="E142" s="17">
        <v>4.5</v>
      </c>
      <c r="F142" s="17">
        <v>35.35</v>
      </c>
      <c r="G142" s="18">
        <v>159.07499999999999</v>
      </c>
      <c r="H142" s="30" t="s">
        <v>2290</v>
      </c>
      <c r="J142" s="34"/>
    </row>
    <row r="143" spans="1:10" x14ac:dyDescent="0.25">
      <c r="A143" s="15">
        <v>41141</v>
      </c>
      <c r="B143" s="16" t="s">
        <v>882</v>
      </c>
      <c r="C143" t="s">
        <v>8</v>
      </c>
      <c r="D143" t="s">
        <v>48</v>
      </c>
      <c r="E143" s="17">
        <v>4.5</v>
      </c>
      <c r="F143" s="17">
        <v>48</v>
      </c>
      <c r="G143" s="18">
        <v>216</v>
      </c>
      <c r="H143" s="30" t="s">
        <v>2290</v>
      </c>
      <c r="J143" s="34"/>
    </row>
    <row r="144" spans="1:10" x14ac:dyDescent="0.25">
      <c r="A144" s="15">
        <v>41141</v>
      </c>
      <c r="B144" s="16" t="s">
        <v>865</v>
      </c>
      <c r="C144" t="s">
        <v>8</v>
      </c>
      <c r="D144" t="s">
        <v>48</v>
      </c>
      <c r="E144" s="17">
        <v>4.5</v>
      </c>
      <c r="F144" s="17">
        <v>35.35</v>
      </c>
      <c r="G144" s="18">
        <v>159.07499999999999</v>
      </c>
      <c r="H144" s="30" t="s">
        <v>2290</v>
      </c>
      <c r="J144" s="34"/>
    </row>
    <row r="145" spans="1:10" x14ac:dyDescent="0.25">
      <c r="A145" s="15">
        <v>41143</v>
      </c>
      <c r="B145" s="16" t="s">
        <v>865</v>
      </c>
      <c r="C145" t="s">
        <v>8</v>
      </c>
      <c r="D145" t="s">
        <v>48</v>
      </c>
      <c r="E145" s="17">
        <v>7.5</v>
      </c>
      <c r="F145" s="17">
        <v>35.35</v>
      </c>
      <c r="G145" s="18">
        <v>265.125</v>
      </c>
      <c r="H145" s="30" t="s">
        <v>2290</v>
      </c>
      <c r="J145" s="34"/>
    </row>
    <row r="146" spans="1:10" x14ac:dyDescent="0.25">
      <c r="A146" s="15">
        <v>41143</v>
      </c>
      <c r="B146" s="16" t="s">
        <v>865</v>
      </c>
      <c r="C146" t="s">
        <v>8</v>
      </c>
      <c r="D146" t="s">
        <v>48</v>
      </c>
      <c r="E146" s="17">
        <v>7.5</v>
      </c>
      <c r="F146" s="17">
        <v>35.35</v>
      </c>
      <c r="G146" s="18">
        <v>265.125</v>
      </c>
      <c r="H146" s="30" t="s">
        <v>2290</v>
      </c>
      <c r="J146" s="34"/>
    </row>
    <row r="147" spans="1:10" x14ac:dyDescent="0.25">
      <c r="A147" s="15">
        <v>41159</v>
      </c>
      <c r="B147" s="16" t="s">
        <v>883</v>
      </c>
      <c r="C147" t="s">
        <v>884</v>
      </c>
      <c r="D147" t="s">
        <v>48</v>
      </c>
      <c r="E147" s="17">
        <v>5</v>
      </c>
      <c r="F147" s="17">
        <v>66.069999999999993</v>
      </c>
      <c r="G147" s="18">
        <v>330.35</v>
      </c>
      <c r="H147" s="30" t="s">
        <v>2290</v>
      </c>
      <c r="J147" s="34"/>
    </row>
    <row r="148" spans="1:10" x14ac:dyDescent="0.25">
      <c r="A148" s="15">
        <v>41159</v>
      </c>
      <c r="B148" s="16" t="s">
        <v>865</v>
      </c>
      <c r="C148" t="s">
        <v>8</v>
      </c>
      <c r="D148" t="s">
        <v>48</v>
      </c>
      <c r="E148" s="17">
        <v>4</v>
      </c>
      <c r="F148" s="17">
        <v>35.35</v>
      </c>
      <c r="G148" s="18">
        <v>141.4</v>
      </c>
      <c r="H148" s="30" t="s">
        <v>2290</v>
      </c>
      <c r="J148" s="34"/>
    </row>
    <row r="149" spans="1:10" x14ac:dyDescent="0.25">
      <c r="A149" s="15">
        <v>41159</v>
      </c>
      <c r="B149" s="16" t="s">
        <v>885</v>
      </c>
      <c r="C149" t="s">
        <v>886</v>
      </c>
      <c r="D149" t="s">
        <v>48</v>
      </c>
      <c r="E149" s="17">
        <v>3</v>
      </c>
      <c r="F149" s="17">
        <v>95</v>
      </c>
      <c r="G149" s="18">
        <v>285</v>
      </c>
      <c r="H149" s="30" t="s">
        <v>2290</v>
      </c>
      <c r="J149" s="34"/>
    </row>
    <row r="150" spans="1:10" x14ac:dyDescent="0.25">
      <c r="A150" s="15">
        <v>41159</v>
      </c>
      <c r="B150" s="16" t="s">
        <v>878</v>
      </c>
      <c r="C150" t="s">
        <v>879</v>
      </c>
      <c r="D150" t="s">
        <v>48</v>
      </c>
      <c r="E150" s="17">
        <v>5</v>
      </c>
      <c r="F150" s="17">
        <v>110</v>
      </c>
      <c r="G150" s="18">
        <v>550</v>
      </c>
      <c r="H150" s="30" t="s">
        <v>2290</v>
      </c>
      <c r="J150" s="34"/>
    </row>
    <row r="151" spans="1:10" x14ac:dyDescent="0.25">
      <c r="A151" s="15">
        <v>41159</v>
      </c>
      <c r="B151" s="16" t="s">
        <v>865</v>
      </c>
      <c r="C151" t="s">
        <v>8</v>
      </c>
      <c r="D151" t="s">
        <v>48</v>
      </c>
      <c r="E151" s="17">
        <v>4</v>
      </c>
      <c r="F151" s="17">
        <v>35.35</v>
      </c>
      <c r="G151" s="18">
        <v>141.4</v>
      </c>
      <c r="H151" s="30" t="s">
        <v>2290</v>
      </c>
      <c r="J151" s="34"/>
    </row>
    <row r="152" spans="1:10" x14ac:dyDescent="0.25">
      <c r="A152" s="15">
        <v>41159</v>
      </c>
      <c r="B152" s="16" t="s">
        <v>882</v>
      </c>
      <c r="C152" t="s">
        <v>8</v>
      </c>
      <c r="D152" t="s">
        <v>48</v>
      </c>
      <c r="E152" s="17">
        <v>4.5</v>
      </c>
      <c r="F152" s="17">
        <v>48</v>
      </c>
      <c r="G152" s="18">
        <v>216</v>
      </c>
      <c r="H152" s="30" t="s">
        <v>2290</v>
      </c>
      <c r="J152" s="34"/>
    </row>
    <row r="153" spans="1:10" x14ac:dyDescent="0.25">
      <c r="A153" s="15">
        <v>41159</v>
      </c>
      <c r="B153" s="16" t="s">
        <v>865</v>
      </c>
      <c r="C153" t="s">
        <v>8</v>
      </c>
      <c r="D153" t="s">
        <v>48</v>
      </c>
      <c r="E153" s="17">
        <v>4</v>
      </c>
      <c r="F153" s="17">
        <v>35.35</v>
      </c>
      <c r="G153" s="18">
        <v>141.4</v>
      </c>
      <c r="H153" s="30" t="s">
        <v>2290</v>
      </c>
      <c r="J153" s="34"/>
    </row>
    <row r="154" spans="1:10" x14ac:dyDescent="0.25">
      <c r="A154" s="15">
        <v>41159</v>
      </c>
      <c r="B154" s="16" t="s">
        <v>865</v>
      </c>
      <c r="C154" t="s">
        <v>8</v>
      </c>
      <c r="D154" t="s">
        <v>48</v>
      </c>
      <c r="E154" s="17">
        <v>4</v>
      </c>
      <c r="F154" s="17">
        <v>35.35</v>
      </c>
      <c r="G154" s="18">
        <v>141.4</v>
      </c>
      <c r="H154" s="30" t="s">
        <v>2290</v>
      </c>
      <c r="J154" s="34"/>
    </row>
    <row r="155" spans="1:10" x14ac:dyDescent="0.25">
      <c r="A155" s="15">
        <v>41162</v>
      </c>
      <c r="B155" s="16" t="s">
        <v>865</v>
      </c>
      <c r="C155" t="s">
        <v>8</v>
      </c>
      <c r="D155" t="s">
        <v>48</v>
      </c>
      <c r="E155" s="17">
        <v>5</v>
      </c>
      <c r="F155" s="17">
        <v>35.35</v>
      </c>
      <c r="G155" s="18">
        <v>176.75</v>
      </c>
      <c r="H155" s="30" t="s">
        <v>2290</v>
      </c>
      <c r="J155" s="34"/>
    </row>
    <row r="156" spans="1:10" x14ac:dyDescent="0.25">
      <c r="A156" s="15">
        <v>41162</v>
      </c>
      <c r="B156" s="16" t="s">
        <v>878</v>
      </c>
      <c r="C156" t="s">
        <v>879</v>
      </c>
      <c r="D156" t="s">
        <v>48</v>
      </c>
      <c r="E156" s="17">
        <v>5</v>
      </c>
      <c r="F156" s="17">
        <v>110</v>
      </c>
      <c r="G156" s="18">
        <v>550</v>
      </c>
      <c r="H156" s="30" t="s">
        <v>2290</v>
      </c>
      <c r="J156" s="34"/>
    </row>
    <row r="157" spans="1:10" x14ac:dyDescent="0.25">
      <c r="A157" s="15">
        <v>41176</v>
      </c>
      <c r="B157" s="16" t="s">
        <v>865</v>
      </c>
      <c r="C157" t="s">
        <v>8</v>
      </c>
      <c r="D157" t="s">
        <v>48</v>
      </c>
      <c r="E157" s="17">
        <v>6.5</v>
      </c>
      <c r="F157" s="17">
        <v>35.35</v>
      </c>
      <c r="G157" s="18">
        <v>229.77500000000001</v>
      </c>
      <c r="H157" s="30" t="s">
        <v>2290</v>
      </c>
      <c r="J157" s="34"/>
    </row>
    <row r="158" spans="1:10" x14ac:dyDescent="0.25">
      <c r="A158" s="15">
        <v>41176</v>
      </c>
      <c r="B158" s="16" t="s">
        <v>865</v>
      </c>
      <c r="C158" t="s">
        <v>8</v>
      </c>
      <c r="D158" t="s">
        <v>48</v>
      </c>
      <c r="E158" s="17">
        <v>6.5</v>
      </c>
      <c r="F158" s="17">
        <v>35.35</v>
      </c>
      <c r="G158" s="18">
        <v>229.77500000000001</v>
      </c>
      <c r="H158" s="30" t="s">
        <v>2290</v>
      </c>
      <c r="J158" s="34"/>
    </row>
    <row r="159" spans="1:10" x14ac:dyDescent="0.25">
      <c r="A159" s="15">
        <v>41176</v>
      </c>
      <c r="B159" s="16" t="s">
        <v>880</v>
      </c>
      <c r="C159" t="s">
        <v>881</v>
      </c>
      <c r="D159" t="s">
        <v>48</v>
      </c>
      <c r="E159" s="17">
        <v>3.5</v>
      </c>
      <c r="F159" s="17">
        <v>95</v>
      </c>
      <c r="G159" s="18">
        <v>332.5</v>
      </c>
      <c r="H159" s="30" t="s">
        <v>2290</v>
      </c>
      <c r="J159" s="34"/>
    </row>
    <row r="160" spans="1:10" x14ac:dyDescent="0.25">
      <c r="A160" s="15">
        <v>41176</v>
      </c>
      <c r="B160" s="16" t="s">
        <v>878</v>
      </c>
      <c r="C160" t="s">
        <v>879</v>
      </c>
      <c r="D160" t="s">
        <v>48</v>
      </c>
      <c r="E160" s="17">
        <v>3</v>
      </c>
      <c r="F160" s="17">
        <v>110</v>
      </c>
      <c r="G160" s="18">
        <v>330</v>
      </c>
      <c r="H160" s="30" t="s">
        <v>2290</v>
      </c>
      <c r="J160" s="34"/>
    </row>
    <row r="161" spans="1:10" x14ac:dyDescent="0.25">
      <c r="A161" s="15">
        <v>41185</v>
      </c>
      <c r="B161" s="16" t="s">
        <v>865</v>
      </c>
      <c r="C161" t="s">
        <v>8</v>
      </c>
      <c r="D161" t="s">
        <v>48</v>
      </c>
      <c r="E161" s="17">
        <v>8</v>
      </c>
      <c r="F161" s="17">
        <v>35.35</v>
      </c>
      <c r="G161" s="18">
        <v>282.8</v>
      </c>
      <c r="H161" s="30" t="s">
        <v>2290</v>
      </c>
      <c r="J161" s="34"/>
    </row>
    <row r="162" spans="1:10" x14ac:dyDescent="0.25">
      <c r="A162" s="15">
        <v>41185</v>
      </c>
      <c r="B162" s="16" t="s">
        <v>865</v>
      </c>
      <c r="C162" t="s">
        <v>8</v>
      </c>
      <c r="D162" t="s">
        <v>48</v>
      </c>
      <c r="E162" s="17">
        <v>8</v>
      </c>
      <c r="F162" s="17">
        <v>35.35</v>
      </c>
      <c r="G162" s="18">
        <v>282.8</v>
      </c>
      <c r="H162" s="30" t="s">
        <v>2290</v>
      </c>
      <c r="J162" s="34"/>
    </row>
    <row r="163" spans="1:10" x14ac:dyDescent="0.25">
      <c r="A163" s="15">
        <v>41185</v>
      </c>
      <c r="B163" s="16" t="s">
        <v>878</v>
      </c>
      <c r="C163" t="s">
        <v>879</v>
      </c>
      <c r="D163" t="s">
        <v>48</v>
      </c>
      <c r="E163" s="17">
        <v>8</v>
      </c>
      <c r="F163" s="17">
        <v>110</v>
      </c>
      <c r="G163" s="18">
        <v>880</v>
      </c>
      <c r="H163" s="30" t="s">
        <v>2290</v>
      </c>
      <c r="J163" s="34"/>
    </row>
    <row r="164" spans="1:10" x14ac:dyDescent="0.25">
      <c r="A164" s="15">
        <v>41185</v>
      </c>
      <c r="B164" s="16" t="s">
        <v>865</v>
      </c>
      <c r="C164" t="s">
        <v>8</v>
      </c>
      <c r="D164" t="s">
        <v>48</v>
      </c>
      <c r="E164" s="17">
        <v>8</v>
      </c>
      <c r="F164" s="17">
        <v>35.35</v>
      </c>
      <c r="G164" s="18">
        <v>282.8</v>
      </c>
      <c r="H164" s="30" t="s">
        <v>2290</v>
      </c>
      <c r="J164" s="34"/>
    </row>
    <row r="165" spans="1:10" x14ac:dyDescent="0.25">
      <c r="A165" s="15">
        <v>41185</v>
      </c>
      <c r="B165" s="16" t="s">
        <v>865</v>
      </c>
      <c r="C165" t="s">
        <v>8</v>
      </c>
      <c r="D165" t="s">
        <v>48</v>
      </c>
      <c r="E165" s="17">
        <v>8</v>
      </c>
      <c r="F165" s="17">
        <v>35.35</v>
      </c>
      <c r="G165" s="18">
        <v>282.8</v>
      </c>
      <c r="H165" s="30" t="s">
        <v>2290</v>
      </c>
      <c r="J165" s="34"/>
    </row>
    <row r="166" spans="1:10" x14ac:dyDescent="0.25">
      <c r="A166" s="15">
        <v>41185</v>
      </c>
      <c r="B166" s="16" t="s">
        <v>882</v>
      </c>
      <c r="C166" t="s">
        <v>8</v>
      </c>
      <c r="D166" t="s">
        <v>48</v>
      </c>
      <c r="E166" s="17">
        <v>8</v>
      </c>
      <c r="F166" s="17">
        <v>48</v>
      </c>
      <c r="G166" s="18">
        <v>384</v>
      </c>
      <c r="H166" s="30" t="s">
        <v>2290</v>
      </c>
      <c r="J166" s="34"/>
    </row>
    <row r="167" spans="1:10" x14ac:dyDescent="0.25">
      <c r="A167" s="15">
        <v>41186</v>
      </c>
      <c r="B167" s="16" t="s">
        <v>865</v>
      </c>
      <c r="C167" t="s">
        <v>8</v>
      </c>
      <c r="D167" t="s">
        <v>48</v>
      </c>
      <c r="E167" s="17">
        <v>8</v>
      </c>
      <c r="F167" s="17">
        <v>35.35</v>
      </c>
      <c r="G167" s="18">
        <v>282.8</v>
      </c>
      <c r="H167" s="30" t="s">
        <v>2290</v>
      </c>
      <c r="J167" s="34"/>
    </row>
    <row r="168" spans="1:10" x14ac:dyDescent="0.25">
      <c r="A168" s="15">
        <v>41186</v>
      </c>
      <c r="B168" s="16" t="s">
        <v>878</v>
      </c>
      <c r="C168" t="s">
        <v>879</v>
      </c>
      <c r="D168" t="s">
        <v>48</v>
      </c>
      <c r="E168" s="17">
        <v>7.5</v>
      </c>
      <c r="F168" s="17">
        <v>110</v>
      </c>
      <c r="G168" s="18">
        <v>825</v>
      </c>
      <c r="H168" s="30" t="s">
        <v>2290</v>
      </c>
      <c r="J168" s="34"/>
    </row>
    <row r="169" spans="1:10" x14ac:dyDescent="0.25">
      <c r="A169" s="15">
        <v>41186</v>
      </c>
      <c r="B169" s="16" t="s">
        <v>865</v>
      </c>
      <c r="C169" t="s">
        <v>8</v>
      </c>
      <c r="D169" t="s">
        <v>48</v>
      </c>
      <c r="E169" s="17">
        <v>3</v>
      </c>
      <c r="F169" s="17">
        <v>35.35</v>
      </c>
      <c r="G169" s="18">
        <v>106.05</v>
      </c>
      <c r="H169" s="30" t="s">
        <v>2290</v>
      </c>
      <c r="J169" s="34"/>
    </row>
    <row r="170" spans="1:10" x14ac:dyDescent="0.25">
      <c r="A170" s="15">
        <v>41186</v>
      </c>
      <c r="B170" s="16" t="s">
        <v>865</v>
      </c>
      <c r="C170" t="s">
        <v>8</v>
      </c>
      <c r="D170" t="s">
        <v>48</v>
      </c>
      <c r="E170" s="17">
        <v>8</v>
      </c>
      <c r="F170" s="17">
        <v>35.35</v>
      </c>
      <c r="G170" s="18">
        <v>282.8</v>
      </c>
      <c r="H170" s="30" t="s">
        <v>2290</v>
      </c>
      <c r="J170" s="34"/>
    </row>
    <row r="171" spans="1:10" x14ac:dyDescent="0.25">
      <c r="A171" s="15">
        <v>41186</v>
      </c>
      <c r="B171" s="16" t="s">
        <v>882</v>
      </c>
      <c r="C171" t="s">
        <v>8</v>
      </c>
      <c r="D171" t="s">
        <v>48</v>
      </c>
      <c r="E171" s="17">
        <v>8</v>
      </c>
      <c r="F171" s="17">
        <v>48</v>
      </c>
      <c r="G171" s="18">
        <v>384</v>
      </c>
      <c r="H171" s="30" t="s">
        <v>2290</v>
      </c>
      <c r="J171" s="34"/>
    </row>
    <row r="172" spans="1:10" x14ac:dyDescent="0.25">
      <c r="A172" s="15">
        <v>41186</v>
      </c>
      <c r="B172" s="16" t="s">
        <v>865</v>
      </c>
      <c r="C172" t="s">
        <v>8</v>
      </c>
      <c r="D172" t="s">
        <v>48</v>
      </c>
      <c r="E172" s="17">
        <v>3</v>
      </c>
      <c r="F172" s="17">
        <v>35.35</v>
      </c>
      <c r="G172" s="18">
        <v>106.05</v>
      </c>
      <c r="H172" s="30" t="s">
        <v>2290</v>
      </c>
      <c r="J172" s="34"/>
    </row>
    <row r="173" spans="1:10" x14ac:dyDescent="0.25">
      <c r="A173" s="15">
        <v>41187</v>
      </c>
      <c r="B173" s="16" t="s">
        <v>865</v>
      </c>
      <c r="C173" t="s">
        <v>8</v>
      </c>
      <c r="D173" t="s">
        <v>48</v>
      </c>
      <c r="E173" s="17">
        <v>2.5</v>
      </c>
      <c r="F173" s="17">
        <v>35.35</v>
      </c>
      <c r="G173" s="18">
        <v>88.375</v>
      </c>
      <c r="H173" s="30" t="s">
        <v>2290</v>
      </c>
      <c r="J173" s="34"/>
    </row>
    <row r="174" spans="1:10" x14ac:dyDescent="0.25">
      <c r="A174" s="15">
        <v>41187</v>
      </c>
      <c r="B174" s="16" t="s">
        <v>882</v>
      </c>
      <c r="C174" t="s">
        <v>8</v>
      </c>
      <c r="D174" t="s">
        <v>48</v>
      </c>
      <c r="E174" s="17">
        <v>2.5</v>
      </c>
      <c r="F174" s="17">
        <v>48</v>
      </c>
      <c r="G174" s="18">
        <v>120</v>
      </c>
      <c r="H174" s="30" t="s">
        <v>2290</v>
      </c>
      <c r="J174" s="34"/>
    </row>
    <row r="175" spans="1:10" x14ac:dyDescent="0.25">
      <c r="A175" s="15">
        <v>41187</v>
      </c>
      <c r="B175" s="16" t="s">
        <v>865</v>
      </c>
      <c r="C175" t="s">
        <v>8</v>
      </c>
      <c r="D175" t="s">
        <v>48</v>
      </c>
      <c r="E175" s="17">
        <v>2.5</v>
      </c>
      <c r="F175" s="17">
        <v>35.35</v>
      </c>
      <c r="G175" s="18">
        <v>88.375</v>
      </c>
      <c r="H175" s="30" t="s">
        <v>2290</v>
      </c>
      <c r="J175" s="34"/>
    </row>
    <row r="176" spans="1:10" x14ac:dyDescent="0.25">
      <c r="A176" s="15">
        <v>41187</v>
      </c>
      <c r="B176" s="16" t="s">
        <v>878</v>
      </c>
      <c r="C176" t="s">
        <v>879</v>
      </c>
      <c r="D176" t="s">
        <v>48</v>
      </c>
      <c r="E176" s="17">
        <v>2.5</v>
      </c>
      <c r="F176" s="17">
        <v>110</v>
      </c>
      <c r="G176" s="18">
        <v>275</v>
      </c>
      <c r="H176" s="30" t="s">
        <v>2290</v>
      </c>
      <c r="J176" s="34"/>
    </row>
    <row r="177" spans="1:10" x14ac:dyDescent="0.25">
      <c r="A177" s="15">
        <v>41187</v>
      </c>
      <c r="B177" s="16" t="s">
        <v>865</v>
      </c>
      <c r="C177" t="s">
        <v>8</v>
      </c>
      <c r="D177" t="s">
        <v>48</v>
      </c>
      <c r="E177" s="17">
        <v>2.5</v>
      </c>
      <c r="F177" s="17">
        <v>35.35</v>
      </c>
      <c r="G177" s="18">
        <v>88.375</v>
      </c>
      <c r="H177" s="30" t="s">
        <v>2290</v>
      </c>
      <c r="J177" s="34"/>
    </row>
    <row r="178" spans="1:10" x14ac:dyDescent="0.25">
      <c r="A178" s="15">
        <v>41187</v>
      </c>
      <c r="B178" s="16" t="s">
        <v>865</v>
      </c>
      <c r="C178" t="s">
        <v>8</v>
      </c>
      <c r="D178" t="s">
        <v>48</v>
      </c>
      <c r="E178" s="17">
        <v>2.5</v>
      </c>
      <c r="F178" s="17">
        <v>35.35</v>
      </c>
      <c r="G178" s="18">
        <v>88.375</v>
      </c>
      <c r="H178" s="30" t="s">
        <v>2290</v>
      </c>
      <c r="J178" s="34"/>
    </row>
    <row r="179" spans="1:10" x14ac:dyDescent="0.25">
      <c r="A179" s="15">
        <v>41192</v>
      </c>
      <c r="B179" s="16" t="s">
        <v>865</v>
      </c>
      <c r="C179" t="s">
        <v>8</v>
      </c>
      <c r="D179" t="s">
        <v>48</v>
      </c>
      <c r="E179" s="17">
        <v>8</v>
      </c>
      <c r="F179" s="17">
        <v>35.35</v>
      </c>
      <c r="G179" s="18">
        <v>282.8</v>
      </c>
      <c r="H179" s="30" t="s">
        <v>2290</v>
      </c>
      <c r="J179" s="34"/>
    </row>
    <row r="180" spans="1:10" x14ac:dyDescent="0.25">
      <c r="A180" s="15">
        <v>41192</v>
      </c>
      <c r="B180" s="16" t="s">
        <v>887</v>
      </c>
      <c r="C180" t="s">
        <v>873</v>
      </c>
      <c r="D180" t="s">
        <v>48</v>
      </c>
      <c r="E180" s="17">
        <v>7.5</v>
      </c>
      <c r="F180" s="17">
        <v>95</v>
      </c>
      <c r="G180" s="18">
        <v>712.5</v>
      </c>
      <c r="H180" s="30" t="s">
        <v>2290</v>
      </c>
      <c r="J180" s="34"/>
    </row>
    <row r="181" spans="1:10" x14ac:dyDescent="0.25">
      <c r="A181" s="15">
        <v>41192</v>
      </c>
      <c r="B181" s="16" t="s">
        <v>865</v>
      </c>
      <c r="C181" t="s">
        <v>8</v>
      </c>
      <c r="D181" t="s">
        <v>48</v>
      </c>
      <c r="E181" s="17">
        <v>8</v>
      </c>
      <c r="F181" s="17">
        <v>35.35</v>
      </c>
      <c r="G181" s="18">
        <v>282.8</v>
      </c>
      <c r="H181" s="30" t="s">
        <v>2290</v>
      </c>
      <c r="J181" s="34"/>
    </row>
    <row r="182" spans="1:10" x14ac:dyDescent="0.25">
      <c r="A182" s="15">
        <v>41192</v>
      </c>
      <c r="B182" s="16" t="s">
        <v>882</v>
      </c>
      <c r="C182" t="s">
        <v>8</v>
      </c>
      <c r="D182" t="s">
        <v>48</v>
      </c>
      <c r="E182" s="17">
        <v>8</v>
      </c>
      <c r="F182" s="17">
        <v>48</v>
      </c>
      <c r="G182" s="18">
        <v>384</v>
      </c>
      <c r="H182" s="30" t="s">
        <v>2290</v>
      </c>
      <c r="J182" s="34"/>
    </row>
    <row r="183" spans="1:10" x14ac:dyDescent="0.25">
      <c r="A183" s="15">
        <v>41192</v>
      </c>
      <c r="B183" s="16" t="s">
        <v>878</v>
      </c>
      <c r="C183" t="s">
        <v>879</v>
      </c>
      <c r="D183" t="s">
        <v>48</v>
      </c>
      <c r="E183" s="17">
        <v>8</v>
      </c>
      <c r="F183" s="17">
        <v>110</v>
      </c>
      <c r="G183" s="18">
        <v>880</v>
      </c>
      <c r="H183" s="30" t="s">
        <v>2290</v>
      </c>
      <c r="J183" s="34"/>
    </row>
    <row r="184" spans="1:10" x14ac:dyDescent="0.25">
      <c r="A184" s="15">
        <v>41193</v>
      </c>
      <c r="B184" s="16" t="s">
        <v>878</v>
      </c>
      <c r="C184" t="s">
        <v>879</v>
      </c>
      <c r="D184" t="s">
        <v>48</v>
      </c>
      <c r="E184" s="17">
        <v>4.5</v>
      </c>
      <c r="F184" s="17">
        <v>110</v>
      </c>
      <c r="G184" s="18">
        <v>495</v>
      </c>
      <c r="H184" s="30" t="s">
        <v>2290</v>
      </c>
      <c r="J184" s="34"/>
    </row>
    <row r="185" spans="1:10" x14ac:dyDescent="0.25">
      <c r="A185" s="15">
        <v>41193</v>
      </c>
      <c r="B185" s="16" t="s">
        <v>865</v>
      </c>
      <c r="C185" t="s">
        <v>8</v>
      </c>
      <c r="D185" t="s">
        <v>48</v>
      </c>
      <c r="E185" s="17">
        <v>8</v>
      </c>
      <c r="F185" s="17">
        <v>35.35</v>
      </c>
      <c r="G185" s="18">
        <v>282.8</v>
      </c>
      <c r="H185" s="30" t="s">
        <v>2290</v>
      </c>
      <c r="J185" s="34"/>
    </row>
    <row r="186" spans="1:10" x14ac:dyDescent="0.25">
      <c r="A186" s="15">
        <v>41193</v>
      </c>
      <c r="B186" s="16" t="s">
        <v>882</v>
      </c>
      <c r="C186" t="s">
        <v>8</v>
      </c>
      <c r="D186" t="s">
        <v>48</v>
      </c>
      <c r="E186" s="17">
        <v>8</v>
      </c>
      <c r="F186" s="17">
        <v>48</v>
      </c>
      <c r="G186" s="18">
        <v>384</v>
      </c>
      <c r="H186" s="30" t="s">
        <v>2290</v>
      </c>
      <c r="J186" s="34"/>
    </row>
    <row r="187" spans="1:10" x14ac:dyDescent="0.25">
      <c r="A187" s="15">
        <v>41193</v>
      </c>
      <c r="B187" s="16" t="s">
        <v>865</v>
      </c>
      <c r="C187" t="s">
        <v>8</v>
      </c>
      <c r="D187" t="s">
        <v>48</v>
      </c>
      <c r="E187" s="17">
        <v>8</v>
      </c>
      <c r="F187" s="17">
        <v>35.35</v>
      </c>
      <c r="G187" s="18">
        <v>282.8</v>
      </c>
      <c r="H187" s="30" t="s">
        <v>2290</v>
      </c>
      <c r="J187" s="34"/>
    </row>
    <row r="188" spans="1:10" x14ac:dyDescent="0.25">
      <c r="A188" s="15">
        <v>41194</v>
      </c>
      <c r="B188" s="16" t="s">
        <v>865</v>
      </c>
      <c r="C188" t="s">
        <v>8</v>
      </c>
      <c r="D188" t="s">
        <v>48</v>
      </c>
      <c r="E188" s="17">
        <v>6.5</v>
      </c>
      <c r="F188" s="17">
        <v>35.35</v>
      </c>
      <c r="G188" s="18">
        <v>229.77500000000001</v>
      </c>
      <c r="H188" s="30" t="s">
        <v>2290</v>
      </c>
      <c r="J188" s="34"/>
    </row>
    <row r="189" spans="1:10" x14ac:dyDescent="0.25">
      <c r="A189" s="15">
        <v>41194</v>
      </c>
      <c r="B189" s="16" t="s">
        <v>882</v>
      </c>
      <c r="C189" t="s">
        <v>8</v>
      </c>
      <c r="D189" t="s">
        <v>48</v>
      </c>
      <c r="E189" s="17">
        <v>6.5</v>
      </c>
      <c r="F189" s="17">
        <v>48</v>
      </c>
      <c r="G189" s="18">
        <v>312</v>
      </c>
      <c r="H189" s="30" t="s">
        <v>2290</v>
      </c>
      <c r="J189" s="34"/>
    </row>
    <row r="190" spans="1:10" x14ac:dyDescent="0.25">
      <c r="A190" s="19" t="s">
        <v>781</v>
      </c>
      <c r="B190" s="20" t="s">
        <v>888</v>
      </c>
      <c r="C190" s="21" t="s">
        <v>781</v>
      </c>
      <c r="D190" s="21" t="s">
        <v>781</v>
      </c>
      <c r="E190" s="22"/>
      <c r="F190" s="22"/>
      <c r="G190" s="23">
        <v>25138.27</v>
      </c>
      <c r="H190" s="31" t="s">
        <v>2285</v>
      </c>
      <c r="J190" s="34"/>
    </row>
    <row r="191" spans="1:10" x14ac:dyDescent="0.25">
      <c r="A191" s="15" t="s">
        <v>781</v>
      </c>
      <c r="B191" s="16" t="s">
        <v>781</v>
      </c>
      <c r="C191" t="s">
        <v>781</v>
      </c>
      <c r="D191" t="s">
        <v>781</v>
      </c>
      <c r="E191" s="17"/>
      <c r="F191" s="17"/>
      <c r="G191" s="18"/>
      <c r="H191" s="30" t="s">
        <v>2285</v>
      </c>
      <c r="J191" s="34"/>
    </row>
    <row r="192" spans="1:10" x14ac:dyDescent="0.25">
      <c r="A192" s="12" t="s">
        <v>781</v>
      </c>
      <c r="B192" s="11" t="s">
        <v>1858</v>
      </c>
      <c r="C192" s="10" t="s">
        <v>781</v>
      </c>
      <c r="D192" s="10" t="s">
        <v>781</v>
      </c>
      <c r="E192" s="13"/>
      <c r="F192" s="13"/>
      <c r="G192" s="14"/>
      <c r="H192" s="29" t="s">
        <v>2285</v>
      </c>
      <c r="J192" s="34"/>
    </row>
    <row r="193" spans="1:10" x14ac:dyDescent="0.25">
      <c r="A193" s="15">
        <v>40855</v>
      </c>
      <c r="B193" s="16" t="s">
        <v>863</v>
      </c>
      <c r="C193" t="s">
        <v>864</v>
      </c>
      <c r="D193" t="s">
        <v>48</v>
      </c>
      <c r="E193" s="17">
        <v>1</v>
      </c>
      <c r="F193" s="17">
        <v>110</v>
      </c>
      <c r="G193" s="18">
        <v>110</v>
      </c>
      <c r="H193" s="30" t="s">
        <v>2291</v>
      </c>
      <c r="J193" s="34"/>
    </row>
    <row r="194" spans="1:10" x14ac:dyDescent="0.25">
      <c r="A194" s="15">
        <v>40856</v>
      </c>
      <c r="B194" s="16" t="s">
        <v>889</v>
      </c>
      <c r="C194" t="s">
        <v>864</v>
      </c>
      <c r="D194" t="s">
        <v>48</v>
      </c>
      <c r="E194" s="17">
        <v>2</v>
      </c>
      <c r="F194" s="17">
        <v>110</v>
      </c>
      <c r="G194" s="18">
        <v>220</v>
      </c>
      <c r="H194" s="30" t="s">
        <v>2291</v>
      </c>
      <c r="J194" s="34"/>
    </row>
    <row r="195" spans="1:10" x14ac:dyDescent="0.25">
      <c r="A195" s="15">
        <v>40962</v>
      </c>
      <c r="B195" s="16" t="s">
        <v>865</v>
      </c>
      <c r="C195" t="s">
        <v>8</v>
      </c>
      <c r="D195" t="s">
        <v>48</v>
      </c>
      <c r="E195" s="17">
        <v>4</v>
      </c>
      <c r="F195" s="17">
        <v>35.35</v>
      </c>
      <c r="G195" s="18">
        <v>141.4</v>
      </c>
      <c r="H195" s="30" t="s">
        <v>2291</v>
      </c>
      <c r="J195" s="34"/>
    </row>
    <row r="196" spans="1:10" x14ac:dyDescent="0.25">
      <c r="A196" s="15">
        <v>40962</v>
      </c>
      <c r="B196" s="16" t="s">
        <v>867</v>
      </c>
      <c r="C196" t="s">
        <v>868</v>
      </c>
      <c r="D196" t="s">
        <v>48</v>
      </c>
      <c r="E196" s="17">
        <v>4</v>
      </c>
      <c r="F196" s="17">
        <v>90</v>
      </c>
      <c r="G196" s="18">
        <v>360</v>
      </c>
      <c r="H196" s="30" t="s">
        <v>2291</v>
      </c>
      <c r="J196" s="34"/>
    </row>
    <row r="197" spans="1:10" x14ac:dyDescent="0.25">
      <c r="A197" s="15">
        <v>40962</v>
      </c>
      <c r="B197" s="16" t="s">
        <v>880</v>
      </c>
      <c r="C197" t="s">
        <v>881</v>
      </c>
      <c r="D197" t="s">
        <v>48</v>
      </c>
      <c r="E197" s="17">
        <v>4</v>
      </c>
      <c r="F197" s="17">
        <v>95</v>
      </c>
      <c r="G197" s="18">
        <v>380</v>
      </c>
      <c r="H197" s="30" t="s">
        <v>2291</v>
      </c>
      <c r="J197" s="34"/>
    </row>
    <row r="198" spans="1:10" x14ac:dyDescent="0.25">
      <c r="A198" s="15">
        <v>40962</v>
      </c>
      <c r="B198" s="16" t="s">
        <v>869</v>
      </c>
      <c r="C198" t="s">
        <v>8</v>
      </c>
      <c r="D198" t="s">
        <v>48</v>
      </c>
      <c r="E198" s="17">
        <v>4</v>
      </c>
      <c r="F198" s="17">
        <v>35.35</v>
      </c>
      <c r="G198" s="18">
        <v>141.4</v>
      </c>
      <c r="H198" s="30" t="s">
        <v>2291</v>
      </c>
      <c r="J198" s="34"/>
    </row>
    <row r="199" spans="1:10" x14ac:dyDescent="0.25">
      <c r="A199" s="15">
        <v>40970</v>
      </c>
      <c r="B199" s="16" t="s">
        <v>880</v>
      </c>
      <c r="C199" t="s">
        <v>881</v>
      </c>
      <c r="D199" t="s">
        <v>48</v>
      </c>
      <c r="E199" s="17">
        <v>4</v>
      </c>
      <c r="F199" s="17">
        <v>95</v>
      </c>
      <c r="G199" s="18">
        <v>380</v>
      </c>
      <c r="H199" s="30" t="s">
        <v>2291</v>
      </c>
      <c r="J199" s="34"/>
    </row>
    <row r="200" spans="1:10" x14ac:dyDescent="0.25">
      <c r="A200" s="15">
        <v>40973</v>
      </c>
      <c r="B200" s="16" t="s">
        <v>869</v>
      </c>
      <c r="C200" t="s">
        <v>8</v>
      </c>
      <c r="D200" t="s">
        <v>48</v>
      </c>
      <c r="E200" s="17">
        <v>3.5</v>
      </c>
      <c r="F200" s="17">
        <v>35.35</v>
      </c>
      <c r="G200" s="18">
        <v>123.72499999999999</v>
      </c>
      <c r="H200" s="30" t="s">
        <v>2291</v>
      </c>
      <c r="J200" s="34"/>
    </row>
    <row r="201" spans="1:10" x14ac:dyDescent="0.25">
      <c r="A201" s="15">
        <v>40973</v>
      </c>
      <c r="B201" s="16" t="s">
        <v>869</v>
      </c>
      <c r="C201" t="s">
        <v>8</v>
      </c>
      <c r="D201" t="s">
        <v>48</v>
      </c>
      <c r="E201" s="17">
        <v>1</v>
      </c>
      <c r="F201" s="17">
        <v>35.35</v>
      </c>
      <c r="G201" s="18">
        <v>35.35</v>
      </c>
      <c r="H201" s="30" t="s">
        <v>2291</v>
      </c>
      <c r="J201" s="34"/>
    </row>
    <row r="202" spans="1:10" x14ac:dyDescent="0.25">
      <c r="A202" s="15">
        <v>40973</v>
      </c>
      <c r="B202" s="16" t="s">
        <v>865</v>
      </c>
      <c r="C202" t="s">
        <v>8</v>
      </c>
      <c r="D202" t="s">
        <v>48</v>
      </c>
      <c r="E202" s="17">
        <v>1</v>
      </c>
      <c r="F202" s="17">
        <v>35.35</v>
      </c>
      <c r="G202" s="18">
        <v>35.35</v>
      </c>
      <c r="H202" s="30" t="s">
        <v>2291</v>
      </c>
      <c r="J202" s="34"/>
    </row>
    <row r="203" spans="1:10" x14ac:dyDescent="0.25">
      <c r="A203" s="15">
        <v>40974</v>
      </c>
      <c r="B203" s="16" t="s">
        <v>869</v>
      </c>
      <c r="C203" t="s">
        <v>8</v>
      </c>
      <c r="D203" t="s">
        <v>48</v>
      </c>
      <c r="E203" s="17">
        <v>2</v>
      </c>
      <c r="F203" s="17">
        <v>35.35</v>
      </c>
      <c r="G203" s="18">
        <v>70.7</v>
      </c>
      <c r="H203" s="30" t="s">
        <v>2291</v>
      </c>
      <c r="J203" s="34"/>
    </row>
    <row r="204" spans="1:10" x14ac:dyDescent="0.25">
      <c r="A204" s="15">
        <v>40974</v>
      </c>
      <c r="B204" s="16" t="s">
        <v>890</v>
      </c>
      <c r="C204" t="s">
        <v>871</v>
      </c>
      <c r="D204" t="s">
        <v>48</v>
      </c>
      <c r="E204" s="17">
        <v>2</v>
      </c>
      <c r="F204" s="17">
        <v>85</v>
      </c>
      <c r="G204" s="18">
        <v>170</v>
      </c>
      <c r="H204" s="30" t="s">
        <v>2291</v>
      </c>
      <c r="J204" s="34"/>
    </row>
    <row r="205" spans="1:10" x14ac:dyDescent="0.25">
      <c r="A205" s="15">
        <v>41043</v>
      </c>
      <c r="B205" s="16" t="s">
        <v>865</v>
      </c>
      <c r="C205" t="s">
        <v>8</v>
      </c>
      <c r="D205" t="s">
        <v>48</v>
      </c>
      <c r="E205" s="17">
        <v>6</v>
      </c>
      <c r="F205" s="17">
        <v>35.35</v>
      </c>
      <c r="G205" s="18">
        <v>212.1</v>
      </c>
      <c r="H205" s="30" t="s">
        <v>2291</v>
      </c>
      <c r="J205" s="34"/>
    </row>
    <row r="206" spans="1:10" x14ac:dyDescent="0.25">
      <c r="A206" s="15">
        <v>41043</v>
      </c>
      <c r="B206" s="16" t="s">
        <v>891</v>
      </c>
      <c r="C206" t="s">
        <v>892</v>
      </c>
      <c r="D206" t="s">
        <v>783</v>
      </c>
      <c r="E206" s="17">
        <v>1</v>
      </c>
      <c r="F206" s="17">
        <v>64.959999999999994</v>
      </c>
      <c r="G206" s="18">
        <v>64.959999999999994</v>
      </c>
      <c r="H206" s="30" t="s">
        <v>2291</v>
      </c>
      <c r="J206" s="34"/>
    </row>
    <row r="207" spans="1:10" x14ac:dyDescent="0.25">
      <c r="A207" s="15">
        <v>41043</v>
      </c>
      <c r="B207" s="16" t="s">
        <v>865</v>
      </c>
      <c r="C207" t="s">
        <v>8</v>
      </c>
      <c r="D207" t="s">
        <v>48</v>
      </c>
      <c r="E207" s="17">
        <v>6</v>
      </c>
      <c r="F207" s="17">
        <v>35.35</v>
      </c>
      <c r="G207" s="18">
        <v>212.1</v>
      </c>
      <c r="H207" s="30" t="s">
        <v>2291</v>
      </c>
      <c r="J207" s="34"/>
    </row>
    <row r="208" spans="1:10" x14ac:dyDescent="0.25">
      <c r="A208" s="15">
        <v>41043</v>
      </c>
      <c r="B208" s="16" t="s">
        <v>877</v>
      </c>
      <c r="C208" t="s">
        <v>868</v>
      </c>
      <c r="D208" t="s">
        <v>48</v>
      </c>
      <c r="E208" s="17">
        <v>3</v>
      </c>
      <c r="F208" s="17">
        <v>90</v>
      </c>
      <c r="G208" s="18">
        <v>270</v>
      </c>
      <c r="H208" s="30" t="s">
        <v>2291</v>
      </c>
      <c r="J208" s="34"/>
    </row>
    <row r="209" spans="1:10" x14ac:dyDescent="0.25">
      <c r="A209" s="15">
        <v>41043</v>
      </c>
      <c r="B209" s="16" t="s">
        <v>865</v>
      </c>
      <c r="C209" t="s">
        <v>8</v>
      </c>
      <c r="D209" t="s">
        <v>48</v>
      </c>
      <c r="E209" s="17">
        <v>6</v>
      </c>
      <c r="F209" s="17">
        <v>35.35</v>
      </c>
      <c r="G209" s="18">
        <v>212.1</v>
      </c>
      <c r="H209" s="30" t="s">
        <v>2291</v>
      </c>
      <c r="J209" s="34"/>
    </row>
    <row r="210" spans="1:10" x14ac:dyDescent="0.25">
      <c r="A210" s="15">
        <v>41043</v>
      </c>
      <c r="B210" s="16" t="s">
        <v>865</v>
      </c>
      <c r="C210" t="s">
        <v>8</v>
      </c>
      <c r="D210" t="s">
        <v>48</v>
      </c>
      <c r="E210" s="17">
        <v>6</v>
      </c>
      <c r="F210" s="17">
        <v>48</v>
      </c>
      <c r="G210" s="18">
        <v>288</v>
      </c>
      <c r="H210" s="30" t="s">
        <v>2291</v>
      </c>
      <c r="J210" s="34"/>
    </row>
    <row r="211" spans="1:10" x14ac:dyDescent="0.25">
      <c r="A211" s="15">
        <v>41043</v>
      </c>
      <c r="B211" s="16" t="s">
        <v>893</v>
      </c>
      <c r="C211" t="s">
        <v>886</v>
      </c>
      <c r="D211" t="s">
        <v>48</v>
      </c>
      <c r="E211" s="17">
        <v>4</v>
      </c>
      <c r="F211" s="17">
        <v>130</v>
      </c>
      <c r="G211" s="18">
        <v>520</v>
      </c>
      <c r="H211" s="30" t="s">
        <v>2291</v>
      </c>
      <c r="J211" s="34"/>
    </row>
    <row r="212" spans="1:10" x14ac:dyDescent="0.25">
      <c r="A212" s="15">
        <v>41044</v>
      </c>
      <c r="B212" s="16" t="s">
        <v>865</v>
      </c>
      <c r="C212" t="s">
        <v>8</v>
      </c>
      <c r="D212" t="s">
        <v>48</v>
      </c>
      <c r="E212" s="17">
        <v>6</v>
      </c>
      <c r="F212" s="17">
        <v>35.35</v>
      </c>
      <c r="G212" s="18">
        <v>212.1</v>
      </c>
      <c r="H212" s="30" t="s">
        <v>2291</v>
      </c>
      <c r="J212" s="34"/>
    </row>
    <row r="213" spans="1:10" x14ac:dyDescent="0.25">
      <c r="A213" s="15">
        <v>41044</v>
      </c>
      <c r="B213" s="16" t="s">
        <v>865</v>
      </c>
      <c r="C213" t="s">
        <v>8</v>
      </c>
      <c r="D213" t="s">
        <v>48</v>
      </c>
      <c r="E213" s="17">
        <v>6</v>
      </c>
      <c r="F213" s="17">
        <v>35.35</v>
      </c>
      <c r="G213" s="18">
        <v>212.1</v>
      </c>
      <c r="H213" s="30" t="s">
        <v>2291</v>
      </c>
      <c r="J213" s="34"/>
    </row>
    <row r="214" spans="1:10" x14ac:dyDescent="0.25">
      <c r="A214" s="15">
        <v>41044</v>
      </c>
      <c r="B214" s="16" t="s">
        <v>877</v>
      </c>
      <c r="C214" t="s">
        <v>868</v>
      </c>
      <c r="D214" t="s">
        <v>48</v>
      </c>
      <c r="E214" s="17">
        <v>6</v>
      </c>
      <c r="F214" s="17">
        <v>90</v>
      </c>
      <c r="G214" s="18">
        <v>540</v>
      </c>
      <c r="H214" s="30" t="s">
        <v>2291</v>
      </c>
      <c r="J214" s="34"/>
    </row>
    <row r="215" spans="1:10" x14ac:dyDescent="0.25">
      <c r="A215" s="15">
        <v>41044</v>
      </c>
      <c r="B215" s="16" t="s">
        <v>865</v>
      </c>
      <c r="C215" t="s">
        <v>8</v>
      </c>
      <c r="D215" t="s">
        <v>48</v>
      </c>
      <c r="E215" s="17">
        <v>6</v>
      </c>
      <c r="F215" s="17">
        <v>48</v>
      </c>
      <c r="G215" s="18">
        <v>288</v>
      </c>
      <c r="H215" s="30" t="s">
        <v>2291</v>
      </c>
      <c r="J215" s="34"/>
    </row>
    <row r="216" spans="1:10" x14ac:dyDescent="0.25">
      <c r="A216" s="15">
        <v>41044</v>
      </c>
      <c r="B216" s="16" t="s">
        <v>865</v>
      </c>
      <c r="C216" t="s">
        <v>8</v>
      </c>
      <c r="D216" t="s">
        <v>48</v>
      </c>
      <c r="E216" s="17">
        <v>6</v>
      </c>
      <c r="F216" s="17">
        <v>35.35</v>
      </c>
      <c r="G216" s="18">
        <v>212.1</v>
      </c>
      <c r="H216" s="30" t="s">
        <v>2291</v>
      </c>
      <c r="J216" s="34"/>
    </row>
    <row r="217" spans="1:10" x14ac:dyDescent="0.25">
      <c r="A217" s="15">
        <v>41044</v>
      </c>
      <c r="B217" s="16" t="s">
        <v>865</v>
      </c>
      <c r="C217" t="s">
        <v>8</v>
      </c>
      <c r="D217" t="s">
        <v>48</v>
      </c>
      <c r="E217" s="17">
        <v>6</v>
      </c>
      <c r="F217" s="17">
        <v>35.35</v>
      </c>
      <c r="G217" s="18">
        <v>212.1</v>
      </c>
      <c r="H217" s="30" t="s">
        <v>2291</v>
      </c>
      <c r="J217" s="34"/>
    </row>
    <row r="218" spans="1:10" x14ac:dyDescent="0.25">
      <c r="A218" s="15">
        <v>41045</v>
      </c>
      <c r="B218" s="16" t="s">
        <v>865</v>
      </c>
      <c r="C218" t="s">
        <v>8</v>
      </c>
      <c r="D218" t="s">
        <v>48</v>
      </c>
      <c r="E218" s="17">
        <v>2.5</v>
      </c>
      <c r="F218" s="17">
        <v>35.35</v>
      </c>
      <c r="G218" s="18">
        <v>88.375</v>
      </c>
      <c r="H218" s="30" t="s">
        <v>2291</v>
      </c>
      <c r="J218" s="34"/>
    </row>
    <row r="219" spans="1:10" x14ac:dyDescent="0.25">
      <c r="A219" s="15">
        <v>41045</v>
      </c>
      <c r="B219" s="16" t="s">
        <v>894</v>
      </c>
      <c r="C219" t="s">
        <v>892</v>
      </c>
      <c r="D219" t="s">
        <v>783</v>
      </c>
      <c r="E219" s="17">
        <v>1</v>
      </c>
      <c r="F219" s="17">
        <v>405</v>
      </c>
      <c r="G219" s="18">
        <v>405</v>
      </c>
      <c r="H219" s="30" t="s">
        <v>2291</v>
      </c>
      <c r="J219" s="34"/>
    </row>
    <row r="220" spans="1:10" x14ac:dyDescent="0.25">
      <c r="A220" s="15">
        <v>41045</v>
      </c>
      <c r="B220" s="16" t="s">
        <v>865</v>
      </c>
      <c r="C220" t="s">
        <v>8</v>
      </c>
      <c r="D220" t="s">
        <v>48</v>
      </c>
      <c r="E220" s="17">
        <v>2.5</v>
      </c>
      <c r="F220" s="17">
        <v>48</v>
      </c>
      <c r="G220" s="18">
        <v>120</v>
      </c>
      <c r="H220" s="30" t="s">
        <v>2291</v>
      </c>
      <c r="J220" s="34"/>
    </row>
    <row r="221" spans="1:10" x14ac:dyDescent="0.25">
      <c r="A221" s="15">
        <v>41045</v>
      </c>
      <c r="B221" s="16" t="s">
        <v>877</v>
      </c>
      <c r="C221" t="s">
        <v>868</v>
      </c>
      <c r="D221" t="s">
        <v>48</v>
      </c>
      <c r="E221" s="17">
        <v>6</v>
      </c>
      <c r="F221" s="17">
        <v>90</v>
      </c>
      <c r="G221" s="18">
        <v>540</v>
      </c>
      <c r="H221" s="30" t="s">
        <v>2291</v>
      </c>
      <c r="J221" s="34"/>
    </row>
    <row r="222" spans="1:10" x14ac:dyDescent="0.25">
      <c r="A222" s="15">
        <v>41045</v>
      </c>
      <c r="B222" s="16" t="s">
        <v>865</v>
      </c>
      <c r="C222" t="s">
        <v>8</v>
      </c>
      <c r="D222" t="s">
        <v>48</v>
      </c>
      <c r="E222" s="17">
        <v>6</v>
      </c>
      <c r="F222" s="17">
        <v>35.35</v>
      </c>
      <c r="G222" s="18">
        <v>212.1</v>
      </c>
      <c r="H222" s="30" t="s">
        <v>2291</v>
      </c>
      <c r="J222" s="34"/>
    </row>
    <row r="223" spans="1:10" x14ac:dyDescent="0.25">
      <c r="A223" s="15">
        <v>41045</v>
      </c>
      <c r="B223" s="16" t="s">
        <v>865</v>
      </c>
      <c r="C223" t="s">
        <v>8</v>
      </c>
      <c r="D223" t="s">
        <v>48</v>
      </c>
      <c r="E223" s="17">
        <v>2.5</v>
      </c>
      <c r="F223" s="17">
        <v>35.35</v>
      </c>
      <c r="G223" s="18">
        <v>88.375</v>
      </c>
      <c r="H223" s="30" t="s">
        <v>2291</v>
      </c>
      <c r="J223" s="34"/>
    </row>
    <row r="224" spans="1:10" x14ac:dyDescent="0.25">
      <c r="A224" s="15">
        <v>41093</v>
      </c>
      <c r="B224" s="16" t="s">
        <v>865</v>
      </c>
      <c r="C224" t="s">
        <v>8</v>
      </c>
      <c r="D224" t="s">
        <v>48</v>
      </c>
      <c r="E224" s="17">
        <v>7.5</v>
      </c>
      <c r="F224" s="17">
        <v>35.35</v>
      </c>
      <c r="G224" s="18">
        <v>265.125</v>
      </c>
      <c r="H224" s="30" t="s">
        <v>2291</v>
      </c>
      <c r="J224" s="34"/>
    </row>
    <row r="225" spans="1:10" x14ac:dyDescent="0.25">
      <c r="A225" s="15">
        <v>41093</v>
      </c>
      <c r="B225" s="16" t="s">
        <v>878</v>
      </c>
      <c r="C225" t="s">
        <v>879</v>
      </c>
      <c r="D225" t="s">
        <v>48</v>
      </c>
      <c r="E225" s="17">
        <v>7.5</v>
      </c>
      <c r="F225" s="17">
        <v>110</v>
      </c>
      <c r="G225" s="18">
        <v>825</v>
      </c>
      <c r="H225" s="30" t="s">
        <v>2291</v>
      </c>
      <c r="J225" s="34"/>
    </row>
    <row r="226" spans="1:10" x14ac:dyDescent="0.25">
      <c r="A226" s="15">
        <v>41093</v>
      </c>
      <c r="B226" s="16" t="s">
        <v>865</v>
      </c>
      <c r="C226" t="s">
        <v>8</v>
      </c>
      <c r="D226" t="s">
        <v>48</v>
      </c>
      <c r="E226" s="17">
        <v>7.5</v>
      </c>
      <c r="F226" s="17">
        <v>35.35</v>
      </c>
      <c r="G226" s="18">
        <v>265.125</v>
      </c>
      <c r="H226" s="30" t="s">
        <v>2291</v>
      </c>
      <c r="J226" s="34"/>
    </row>
    <row r="227" spans="1:10" x14ac:dyDescent="0.25">
      <c r="A227" s="15">
        <v>41094</v>
      </c>
      <c r="B227" s="16" t="s">
        <v>865</v>
      </c>
      <c r="C227" t="s">
        <v>8</v>
      </c>
      <c r="D227" t="s">
        <v>48</v>
      </c>
      <c r="E227" s="17">
        <v>2</v>
      </c>
      <c r="F227" s="17">
        <v>35.35</v>
      </c>
      <c r="G227" s="18">
        <v>70.7</v>
      </c>
      <c r="H227" s="30" t="s">
        <v>2291</v>
      </c>
      <c r="J227" s="34"/>
    </row>
    <row r="228" spans="1:10" x14ac:dyDescent="0.25">
      <c r="A228" s="15">
        <v>41094</v>
      </c>
      <c r="B228" s="16" t="s">
        <v>865</v>
      </c>
      <c r="C228" t="s">
        <v>8</v>
      </c>
      <c r="D228" t="s">
        <v>48</v>
      </c>
      <c r="E228" s="17">
        <v>2</v>
      </c>
      <c r="F228" s="17">
        <v>35.35</v>
      </c>
      <c r="G228" s="18">
        <v>70.7</v>
      </c>
      <c r="H228" s="30" t="s">
        <v>2291</v>
      </c>
      <c r="J228" s="34"/>
    </row>
    <row r="229" spans="1:10" x14ac:dyDescent="0.25">
      <c r="A229" s="15">
        <v>41094</v>
      </c>
      <c r="B229" s="16" t="s">
        <v>878</v>
      </c>
      <c r="C229" t="s">
        <v>879</v>
      </c>
      <c r="D229" t="s">
        <v>48</v>
      </c>
      <c r="E229" s="17">
        <v>2</v>
      </c>
      <c r="F229" s="17">
        <v>110</v>
      </c>
      <c r="G229" s="18">
        <v>220</v>
      </c>
      <c r="H229" s="30" t="s">
        <v>2291</v>
      </c>
      <c r="J229" s="34"/>
    </row>
    <row r="230" spans="1:10" ht="30" x14ac:dyDescent="0.25">
      <c r="A230" s="15">
        <v>41095</v>
      </c>
      <c r="B230" s="16" t="s">
        <v>895</v>
      </c>
      <c r="C230" t="s">
        <v>892</v>
      </c>
      <c r="D230" t="s">
        <v>783</v>
      </c>
      <c r="E230" s="17">
        <v>1</v>
      </c>
      <c r="F230" s="17">
        <v>366</v>
      </c>
      <c r="G230" s="18">
        <v>366</v>
      </c>
      <c r="H230" s="30" t="s">
        <v>2291</v>
      </c>
      <c r="J230" s="34"/>
    </row>
    <row r="231" spans="1:10" x14ac:dyDescent="0.25">
      <c r="A231" s="15">
        <v>41116</v>
      </c>
      <c r="B231" s="16" t="s">
        <v>896</v>
      </c>
      <c r="C231" t="s">
        <v>8</v>
      </c>
      <c r="D231" t="s">
        <v>48</v>
      </c>
      <c r="E231" s="17">
        <v>2.5</v>
      </c>
      <c r="F231" s="17">
        <v>34.81</v>
      </c>
      <c r="G231" s="18">
        <v>87.025000000000006</v>
      </c>
      <c r="H231" s="30" t="s">
        <v>2291</v>
      </c>
      <c r="J231" s="34"/>
    </row>
    <row r="232" spans="1:10" x14ac:dyDescent="0.25">
      <c r="A232" s="15">
        <v>41116</v>
      </c>
      <c r="B232" s="16" t="s">
        <v>865</v>
      </c>
      <c r="C232" t="s">
        <v>8</v>
      </c>
      <c r="D232" t="s">
        <v>48</v>
      </c>
      <c r="E232" s="17">
        <v>2.5</v>
      </c>
      <c r="F232" s="17">
        <v>35.35</v>
      </c>
      <c r="G232" s="18">
        <v>88.375</v>
      </c>
      <c r="H232" s="30" t="s">
        <v>2291</v>
      </c>
      <c r="J232" s="34"/>
    </row>
    <row r="233" spans="1:10" x14ac:dyDescent="0.25">
      <c r="A233" s="15">
        <v>41117</v>
      </c>
      <c r="B233" s="16" t="s">
        <v>865</v>
      </c>
      <c r="C233" t="s">
        <v>8</v>
      </c>
      <c r="D233" t="s">
        <v>48</v>
      </c>
      <c r="E233" s="17">
        <v>6</v>
      </c>
      <c r="F233" s="17">
        <v>35.35</v>
      </c>
      <c r="G233" s="18">
        <v>212.1</v>
      </c>
      <c r="H233" s="30" t="s">
        <v>2291</v>
      </c>
      <c r="J233" s="34"/>
    </row>
    <row r="234" spans="1:10" x14ac:dyDescent="0.25">
      <c r="A234" s="15">
        <v>41117</v>
      </c>
      <c r="B234" s="16" t="s">
        <v>896</v>
      </c>
      <c r="C234" t="s">
        <v>8</v>
      </c>
      <c r="D234" t="s">
        <v>48</v>
      </c>
      <c r="E234" s="17">
        <v>5</v>
      </c>
      <c r="F234" s="17">
        <v>34.81</v>
      </c>
      <c r="G234" s="18">
        <v>174.05</v>
      </c>
      <c r="H234" s="30" t="s">
        <v>2291</v>
      </c>
      <c r="J234" s="34"/>
    </row>
    <row r="235" spans="1:10" x14ac:dyDescent="0.25">
      <c r="A235" s="15">
        <v>41118</v>
      </c>
      <c r="B235" s="16" t="s">
        <v>897</v>
      </c>
      <c r="C235" t="s">
        <v>8</v>
      </c>
      <c r="D235" t="s">
        <v>48</v>
      </c>
      <c r="E235" s="17">
        <v>3</v>
      </c>
      <c r="F235" s="17">
        <v>45</v>
      </c>
      <c r="G235" s="18">
        <v>135</v>
      </c>
      <c r="H235" s="30" t="s">
        <v>2291</v>
      </c>
      <c r="J235" s="34"/>
    </row>
    <row r="236" spans="1:10" x14ac:dyDescent="0.25">
      <c r="A236" s="15">
        <v>41118</v>
      </c>
      <c r="B236" s="16" t="s">
        <v>865</v>
      </c>
      <c r="C236" t="s">
        <v>8</v>
      </c>
      <c r="D236" t="s">
        <v>48</v>
      </c>
      <c r="E236" s="17">
        <v>3</v>
      </c>
      <c r="F236" s="17">
        <v>35.35</v>
      </c>
      <c r="G236" s="18">
        <v>106.05</v>
      </c>
      <c r="H236" s="30" t="s">
        <v>2291</v>
      </c>
      <c r="J236" s="34"/>
    </row>
    <row r="237" spans="1:10" x14ac:dyDescent="0.25">
      <c r="A237" s="15">
        <v>41118</v>
      </c>
      <c r="B237" s="16" t="s">
        <v>898</v>
      </c>
      <c r="C237" t="s">
        <v>8</v>
      </c>
      <c r="D237" t="s">
        <v>48</v>
      </c>
      <c r="E237" s="17">
        <v>7</v>
      </c>
      <c r="F237" s="17">
        <v>45.7</v>
      </c>
      <c r="G237" s="18">
        <v>319.89999999999998</v>
      </c>
      <c r="H237" s="30" t="s">
        <v>2291</v>
      </c>
      <c r="J237" s="34"/>
    </row>
    <row r="238" spans="1:10" x14ac:dyDescent="0.25">
      <c r="A238" s="15">
        <v>41120</v>
      </c>
      <c r="B238" s="16" t="s">
        <v>897</v>
      </c>
      <c r="C238" t="s">
        <v>8</v>
      </c>
      <c r="D238" t="s">
        <v>48</v>
      </c>
      <c r="E238" s="17">
        <v>3</v>
      </c>
      <c r="F238" s="17">
        <v>45</v>
      </c>
      <c r="G238" s="18">
        <v>135</v>
      </c>
      <c r="H238" s="30" t="s">
        <v>2291</v>
      </c>
      <c r="J238" s="34"/>
    </row>
    <row r="239" spans="1:10" x14ac:dyDescent="0.25">
      <c r="A239" s="15">
        <v>41120</v>
      </c>
      <c r="B239" s="16" t="s">
        <v>865</v>
      </c>
      <c r="C239" t="s">
        <v>8</v>
      </c>
      <c r="D239" t="s">
        <v>48</v>
      </c>
      <c r="E239" s="17">
        <v>3</v>
      </c>
      <c r="F239" s="17">
        <v>35.35</v>
      </c>
      <c r="G239" s="18">
        <v>106.05</v>
      </c>
      <c r="H239" s="30" t="s">
        <v>2291</v>
      </c>
      <c r="J239" s="34"/>
    </row>
    <row r="240" spans="1:10" x14ac:dyDescent="0.25">
      <c r="A240" s="15">
        <v>41120</v>
      </c>
      <c r="B240" s="16" t="s">
        <v>896</v>
      </c>
      <c r="C240" t="s">
        <v>8</v>
      </c>
      <c r="D240" t="s">
        <v>48</v>
      </c>
      <c r="E240" s="17">
        <v>7</v>
      </c>
      <c r="F240" s="17">
        <v>34.81</v>
      </c>
      <c r="G240" s="18">
        <v>243.67</v>
      </c>
      <c r="H240" s="30" t="s">
        <v>2291</v>
      </c>
      <c r="J240" s="34"/>
    </row>
    <row r="241" spans="1:10" x14ac:dyDescent="0.25">
      <c r="A241" s="15">
        <v>41121</v>
      </c>
      <c r="B241" s="16" t="s">
        <v>865</v>
      </c>
      <c r="C241" t="s">
        <v>8</v>
      </c>
      <c r="D241" t="s">
        <v>48</v>
      </c>
      <c r="E241" s="17">
        <v>8.5</v>
      </c>
      <c r="F241" s="17">
        <v>35.35</v>
      </c>
      <c r="G241" s="18">
        <v>300.47500000000002</v>
      </c>
      <c r="H241" s="30" t="s">
        <v>2291</v>
      </c>
      <c r="J241" s="34"/>
    </row>
    <row r="242" spans="1:10" x14ac:dyDescent="0.25">
      <c r="A242" s="15">
        <v>41123</v>
      </c>
      <c r="B242" s="16" t="s">
        <v>865</v>
      </c>
      <c r="C242" t="s">
        <v>8</v>
      </c>
      <c r="D242" t="s">
        <v>48</v>
      </c>
      <c r="E242" s="17">
        <v>5</v>
      </c>
      <c r="F242" s="17">
        <v>35.35</v>
      </c>
      <c r="G242" s="18">
        <v>176.75</v>
      </c>
      <c r="H242" s="30" t="s">
        <v>2291</v>
      </c>
      <c r="J242" s="34"/>
    </row>
    <row r="243" spans="1:10" x14ac:dyDescent="0.25">
      <c r="A243" s="15">
        <v>41123</v>
      </c>
      <c r="B243" s="16" t="s">
        <v>865</v>
      </c>
      <c r="C243" t="s">
        <v>8</v>
      </c>
      <c r="D243" t="s">
        <v>48</v>
      </c>
      <c r="E243" s="17">
        <v>5</v>
      </c>
      <c r="F243" s="17">
        <v>35.35</v>
      </c>
      <c r="G243" s="18">
        <v>176.75</v>
      </c>
      <c r="H243" s="30" t="s">
        <v>2291</v>
      </c>
      <c r="J243" s="34"/>
    </row>
    <row r="244" spans="1:10" x14ac:dyDescent="0.25">
      <c r="A244" s="15">
        <v>41123</v>
      </c>
      <c r="B244" s="16" t="s">
        <v>865</v>
      </c>
      <c r="C244" t="s">
        <v>8</v>
      </c>
      <c r="D244" t="s">
        <v>48</v>
      </c>
      <c r="E244" s="17">
        <v>1</v>
      </c>
      <c r="F244" s="17">
        <v>35.35</v>
      </c>
      <c r="G244" s="18">
        <v>35.35</v>
      </c>
      <c r="H244" s="30" t="s">
        <v>2291</v>
      </c>
      <c r="J244" s="34"/>
    </row>
    <row r="245" spans="1:10" x14ac:dyDescent="0.25">
      <c r="A245" s="15">
        <v>41123</v>
      </c>
      <c r="B245" s="16" t="s">
        <v>865</v>
      </c>
      <c r="C245" t="s">
        <v>8</v>
      </c>
      <c r="D245" t="s">
        <v>48</v>
      </c>
      <c r="E245" s="17">
        <v>3</v>
      </c>
      <c r="F245" s="17">
        <v>35.35</v>
      </c>
      <c r="G245" s="18">
        <v>106.05</v>
      </c>
      <c r="H245" s="30" t="s">
        <v>2291</v>
      </c>
      <c r="J245" s="34"/>
    </row>
    <row r="246" spans="1:10" x14ac:dyDescent="0.25">
      <c r="A246" s="15">
        <v>41123</v>
      </c>
      <c r="B246" s="16" t="s">
        <v>865</v>
      </c>
      <c r="C246" t="s">
        <v>8</v>
      </c>
      <c r="D246" t="s">
        <v>48</v>
      </c>
      <c r="E246" s="17">
        <v>2</v>
      </c>
      <c r="F246" s="17">
        <v>48</v>
      </c>
      <c r="G246" s="18">
        <v>96</v>
      </c>
      <c r="H246" s="30" t="s">
        <v>2291</v>
      </c>
      <c r="J246" s="34"/>
    </row>
    <row r="247" spans="1:10" x14ac:dyDescent="0.25">
      <c r="A247" s="15">
        <v>41124</v>
      </c>
      <c r="B247" s="16" t="s">
        <v>865</v>
      </c>
      <c r="C247" t="s">
        <v>8</v>
      </c>
      <c r="D247" t="s">
        <v>48</v>
      </c>
      <c r="E247" s="17">
        <v>4</v>
      </c>
      <c r="F247" s="17">
        <v>35.35</v>
      </c>
      <c r="G247" s="18">
        <v>141.4</v>
      </c>
      <c r="H247" s="30" t="s">
        <v>2291</v>
      </c>
      <c r="J247" s="34"/>
    </row>
    <row r="248" spans="1:10" x14ac:dyDescent="0.25">
      <c r="A248" s="15">
        <v>41124</v>
      </c>
      <c r="B248" s="16" t="s">
        <v>865</v>
      </c>
      <c r="C248" t="s">
        <v>8</v>
      </c>
      <c r="D248" t="s">
        <v>48</v>
      </c>
      <c r="E248" s="17">
        <v>4</v>
      </c>
      <c r="F248" s="17">
        <v>35.35</v>
      </c>
      <c r="G248" s="18">
        <v>141.4</v>
      </c>
      <c r="H248" s="30" t="s">
        <v>2291</v>
      </c>
      <c r="J248" s="34"/>
    </row>
    <row r="249" spans="1:10" ht="30" x14ac:dyDescent="0.25">
      <c r="A249" s="15">
        <v>41127</v>
      </c>
      <c r="B249" s="16" t="s">
        <v>899</v>
      </c>
      <c r="C249" t="s">
        <v>892</v>
      </c>
      <c r="D249" t="s">
        <v>783</v>
      </c>
      <c r="E249" s="17">
        <v>1</v>
      </c>
      <c r="F249" s="17">
        <v>366</v>
      </c>
      <c r="G249" s="18">
        <v>366</v>
      </c>
      <c r="H249" s="30" t="s">
        <v>2291</v>
      </c>
      <c r="J249" s="34"/>
    </row>
    <row r="250" spans="1:10" x14ac:dyDescent="0.25">
      <c r="A250" s="15">
        <v>41136</v>
      </c>
      <c r="B250" s="16" t="s">
        <v>865</v>
      </c>
      <c r="C250" t="s">
        <v>8</v>
      </c>
      <c r="D250" t="s">
        <v>48</v>
      </c>
      <c r="E250" s="17">
        <v>4</v>
      </c>
      <c r="F250" s="17">
        <v>35.35</v>
      </c>
      <c r="G250" s="18">
        <v>141.4</v>
      </c>
      <c r="H250" s="30" t="s">
        <v>2291</v>
      </c>
      <c r="J250" s="34"/>
    </row>
    <row r="251" spans="1:10" x14ac:dyDescent="0.25">
      <c r="A251" s="19" t="s">
        <v>781</v>
      </c>
      <c r="B251" s="20" t="s">
        <v>900</v>
      </c>
      <c r="C251" s="21" t="s">
        <v>781</v>
      </c>
      <c r="D251" s="21" t="s">
        <v>781</v>
      </c>
      <c r="E251" s="22"/>
      <c r="F251" s="22"/>
      <c r="G251" s="23">
        <v>12448.88</v>
      </c>
      <c r="H251" s="31" t="s">
        <v>2285</v>
      </c>
      <c r="J251" s="34"/>
    </row>
    <row r="252" spans="1:10" x14ac:dyDescent="0.25">
      <c r="A252" s="15" t="s">
        <v>781</v>
      </c>
      <c r="B252" s="16" t="s">
        <v>781</v>
      </c>
      <c r="C252" t="s">
        <v>781</v>
      </c>
      <c r="D252" t="s">
        <v>781</v>
      </c>
      <c r="E252" s="17"/>
      <c r="F252" s="17"/>
      <c r="G252" s="18"/>
      <c r="H252" s="30" t="s">
        <v>2285</v>
      </c>
      <c r="J252" s="34"/>
    </row>
    <row r="253" spans="1:10" x14ac:dyDescent="0.25">
      <c r="A253" s="12" t="s">
        <v>781</v>
      </c>
      <c r="B253" s="11" t="s">
        <v>1859</v>
      </c>
      <c r="C253" s="10" t="s">
        <v>781</v>
      </c>
      <c r="D253" s="10" t="s">
        <v>781</v>
      </c>
      <c r="E253" s="13"/>
      <c r="F253" s="13"/>
      <c r="G253" s="14"/>
      <c r="H253" s="29" t="s">
        <v>2285</v>
      </c>
      <c r="J253" s="34"/>
    </row>
    <row r="254" spans="1:10" x14ac:dyDescent="0.25">
      <c r="A254" s="15">
        <v>41032</v>
      </c>
      <c r="B254" s="16" t="s">
        <v>877</v>
      </c>
      <c r="C254" t="s">
        <v>868</v>
      </c>
      <c r="D254" t="s">
        <v>48</v>
      </c>
      <c r="E254" s="17">
        <v>2.15</v>
      </c>
      <c r="F254" s="17">
        <v>90</v>
      </c>
      <c r="G254" s="18">
        <v>193.5</v>
      </c>
      <c r="H254" s="30" t="s">
        <v>2292</v>
      </c>
      <c r="J254" s="34"/>
    </row>
    <row r="255" spans="1:10" x14ac:dyDescent="0.25">
      <c r="A255" s="19" t="s">
        <v>781</v>
      </c>
      <c r="B255" s="20" t="s">
        <v>901</v>
      </c>
      <c r="C255" s="21" t="s">
        <v>781</v>
      </c>
      <c r="D255" s="21" t="s">
        <v>781</v>
      </c>
      <c r="E255" s="22"/>
      <c r="F255" s="22"/>
      <c r="G255" s="23">
        <v>193.5</v>
      </c>
      <c r="H255" s="31" t="s">
        <v>2285</v>
      </c>
      <c r="J255" s="34"/>
    </row>
    <row r="256" spans="1:10" x14ac:dyDescent="0.25">
      <c r="A256" s="15" t="s">
        <v>781</v>
      </c>
      <c r="B256" s="16" t="s">
        <v>781</v>
      </c>
      <c r="C256" t="s">
        <v>781</v>
      </c>
      <c r="D256" t="s">
        <v>781</v>
      </c>
      <c r="E256" s="17"/>
      <c r="F256" s="17"/>
      <c r="G256" s="18"/>
      <c r="H256" s="30" t="s">
        <v>2285</v>
      </c>
      <c r="J256" s="34"/>
    </row>
    <row r="257" spans="1:10" x14ac:dyDescent="0.25">
      <c r="A257" s="12" t="s">
        <v>781</v>
      </c>
      <c r="B257" s="11" t="s">
        <v>1860</v>
      </c>
      <c r="C257" s="10" t="s">
        <v>781</v>
      </c>
      <c r="D257" s="10" t="s">
        <v>781</v>
      </c>
      <c r="E257" s="13"/>
      <c r="F257" s="13"/>
      <c r="G257" s="14"/>
      <c r="H257" s="29" t="s">
        <v>2285</v>
      </c>
      <c r="J257" s="34"/>
    </row>
    <row r="258" spans="1:10" x14ac:dyDescent="0.25">
      <c r="A258" s="15">
        <v>40829</v>
      </c>
      <c r="B258" s="16" t="s">
        <v>902</v>
      </c>
      <c r="C258" t="s">
        <v>864</v>
      </c>
      <c r="D258" t="s">
        <v>48</v>
      </c>
      <c r="E258" s="17">
        <v>9.25</v>
      </c>
      <c r="F258" s="17">
        <v>110</v>
      </c>
      <c r="G258" s="18">
        <v>1017.5</v>
      </c>
      <c r="H258" s="30" t="s">
        <v>2293</v>
      </c>
      <c r="J258" s="34"/>
    </row>
    <row r="259" spans="1:10" x14ac:dyDescent="0.25">
      <c r="A259" s="15">
        <v>40829</v>
      </c>
      <c r="B259" s="16" t="s">
        <v>865</v>
      </c>
      <c r="C259" t="s">
        <v>8</v>
      </c>
      <c r="D259" t="s">
        <v>48</v>
      </c>
      <c r="E259" s="17">
        <v>7</v>
      </c>
      <c r="F259" s="17">
        <v>35.35</v>
      </c>
      <c r="G259" s="18">
        <v>247.45</v>
      </c>
      <c r="H259" s="30" t="s">
        <v>2293</v>
      </c>
      <c r="J259" s="34"/>
    </row>
    <row r="260" spans="1:10" x14ac:dyDescent="0.25">
      <c r="A260" s="15">
        <v>40829</v>
      </c>
      <c r="B260" s="16" t="s">
        <v>865</v>
      </c>
      <c r="C260" t="s">
        <v>8</v>
      </c>
      <c r="D260" t="s">
        <v>48</v>
      </c>
      <c r="E260" s="17">
        <v>7</v>
      </c>
      <c r="F260" s="17">
        <v>35.35</v>
      </c>
      <c r="G260" s="18">
        <v>247.45</v>
      </c>
      <c r="H260" s="30" t="s">
        <v>2293</v>
      </c>
      <c r="J260" s="34"/>
    </row>
    <row r="261" spans="1:10" x14ac:dyDescent="0.25">
      <c r="A261" s="15">
        <v>40829</v>
      </c>
      <c r="B261" s="16" t="s">
        <v>903</v>
      </c>
      <c r="C261" t="s">
        <v>864</v>
      </c>
      <c r="D261" t="s">
        <v>48</v>
      </c>
      <c r="E261" s="17">
        <v>8</v>
      </c>
      <c r="F261" s="17">
        <v>95</v>
      </c>
      <c r="G261" s="18">
        <v>760</v>
      </c>
      <c r="H261" s="30" t="s">
        <v>2293</v>
      </c>
      <c r="J261" s="34"/>
    </row>
    <row r="262" spans="1:10" x14ac:dyDescent="0.25">
      <c r="A262" s="15">
        <v>40830</v>
      </c>
      <c r="B262" s="16" t="s">
        <v>865</v>
      </c>
      <c r="C262" t="s">
        <v>8</v>
      </c>
      <c r="D262" t="s">
        <v>48</v>
      </c>
      <c r="E262" s="17">
        <v>7</v>
      </c>
      <c r="F262" s="17">
        <v>35.35</v>
      </c>
      <c r="G262" s="18">
        <v>247.45</v>
      </c>
      <c r="H262" s="30" t="s">
        <v>2293</v>
      </c>
      <c r="J262" s="34"/>
    </row>
    <row r="263" spans="1:10" x14ac:dyDescent="0.25">
      <c r="A263" s="15">
        <v>40830</v>
      </c>
      <c r="B263" s="16" t="s">
        <v>865</v>
      </c>
      <c r="C263" t="s">
        <v>8</v>
      </c>
      <c r="D263" t="s">
        <v>48</v>
      </c>
      <c r="E263" s="17">
        <v>7</v>
      </c>
      <c r="F263" s="17">
        <v>35.35</v>
      </c>
      <c r="G263" s="18">
        <v>247.45</v>
      </c>
      <c r="H263" s="30" t="s">
        <v>2293</v>
      </c>
      <c r="J263" s="34"/>
    </row>
    <row r="264" spans="1:10" x14ac:dyDescent="0.25">
      <c r="A264" s="15">
        <v>40834</v>
      </c>
      <c r="B264" s="16" t="s">
        <v>865</v>
      </c>
      <c r="C264" t="s">
        <v>8</v>
      </c>
      <c r="D264" t="s">
        <v>48</v>
      </c>
      <c r="E264" s="17">
        <v>2</v>
      </c>
      <c r="F264" s="17">
        <v>35.35</v>
      </c>
      <c r="G264" s="18">
        <v>70.7</v>
      </c>
      <c r="H264" s="30" t="s">
        <v>2293</v>
      </c>
      <c r="J264" s="34"/>
    </row>
    <row r="265" spans="1:10" x14ac:dyDescent="0.25">
      <c r="A265" s="15">
        <v>40834</v>
      </c>
      <c r="B265" s="16" t="s">
        <v>904</v>
      </c>
      <c r="C265" t="s">
        <v>905</v>
      </c>
      <c r="D265" t="s">
        <v>48</v>
      </c>
      <c r="E265" s="17">
        <v>5.5</v>
      </c>
      <c r="F265" s="17">
        <v>95</v>
      </c>
      <c r="G265" s="18">
        <v>522.5</v>
      </c>
      <c r="H265" s="30" t="s">
        <v>2293</v>
      </c>
      <c r="J265" s="34"/>
    </row>
    <row r="266" spans="1:10" x14ac:dyDescent="0.25">
      <c r="A266" s="15">
        <v>40834</v>
      </c>
      <c r="B266" s="16" t="s">
        <v>865</v>
      </c>
      <c r="C266" t="s">
        <v>8</v>
      </c>
      <c r="D266" t="s">
        <v>48</v>
      </c>
      <c r="E266" s="17">
        <v>2</v>
      </c>
      <c r="F266" s="17">
        <v>35.35</v>
      </c>
      <c r="G266" s="18">
        <v>70.7</v>
      </c>
      <c r="H266" s="30" t="s">
        <v>2293</v>
      </c>
      <c r="J266" s="34"/>
    </row>
    <row r="267" spans="1:10" x14ac:dyDescent="0.25">
      <c r="A267" s="15">
        <v>40834</v>
      </c>
      <c r="B267" s="16" t="s">
        <v>880</v>
      </c>
      <c r="C267" t="s">
        <v>881</v>
      </c>
      <c r="D267" t="s">
        <v>48</v>
      </c>
      <c r="E267" s="17">
        <v>6</v>
      </c>
      <c r="F267" s="17">
        <v>90</v>
      </c>
      <c r="G267" s="18">
        <v>540</v>
      </c>
      <c r="H267" s="30" t="s">
        <v>2293</v>
      </c>
      <c r="J267" s="34"/>
    </row>
    <row r="268" spans="1:10" x14ac:dyDescent="0.25">
      <c r="A268" s="15">
        <v>40834</v>
      </c>
      <c r="B268" s="16" t="s">
        <v>906</v>
      </c>
      <c r="C268" t="s">
        <v>864</v>
      </c>
      <c r="D268" t="s">
        <v>48</v>
      </c>
      <c r="E268" s="17">
        <v>3.5</v>
      </c>
      <c r="F268" s="17">
        <v>110</v>
      </c>
      <c r="G268" s="18">
        <v>385</v>
      </c>
      <c r="H268" s="30" t="s">
        <v>2293</v>
      </c>
      <c r="J268" s="34"/>
    </row>
    <row r="269" spans="1:10" x14ac:dyDescent="0.25">
      <c r="A269" s="15">
        <v>40834</v>
      </c>
      <c r="B269" s="16" t="s">
        <v>865</v>
      </c>
      <c r="C269" t="s">
        <v>8</v>
      </c>
      <c r="D269" t="s">
        <v>48</v>
      </c>
      <c r="E269" s="17">
        <v>6</v>
      </c>
      <c r="F269" s="17">
        <v>35.35</v>
      </c>
      <c r="G269" s="18">
        <v>212.1</v>
      </c>
      <c r="H269" s="30" t="s">
        <v>2293</v>
      </c>
      <c r="J269" s="34"/>
    </row>
    <row r="270" spans="1:10" x14ac:dyDescent="0.25">
      <c r="A270" s="15">
        <v>40834</v>
      </c>
      <c r="B270" s="16" t="s">
        <v>863</v>
      </c>
      <c r="C270" t="s">
        <v>864</v>
      </c>
      <c r="D270" t="s">
        <v>48</v>
      </c>
      <c r="E270" s="17">
        <v>5.5</v>
      </c>
      <c r="F270" s="17">
        <v>135</v>
      </c>
      <c r="G270" s="18">
        <v>742.5</v>
      </c>
      <c r="H270" s="30" t="s">
        <v>2293</v>
      </c>
      <c r="J270" s="34"/>
    </row>
    <row r="271" spans="1:10" x14ac:dyDescent="0.25">
      <c r="A271" s="15">
        <v>40834</v>
      </c>
      <c r="B271" s="16" t="s">
        <v>865</v>
      </c>
      <c r="C271" t="s">
        <v>8</v>
      </c>
      <c r="D271" t="s">
        <v>48</v>
      </c>
      <c r="E271" s="17">
        <v>6</v>
      </c>
      <c r="F271" s="17">
        <v>35.35</v>
      </c>
      <c r="G271" s="18">
        <v>212.1</v>
      </c>
      <c r="H271" s="30" t="s">
        <v>2293</v>
      </c>
      <c r="J271" s="34"/>
    </row>
    <row r="272" spans="1:10" x14ac:dyDescent="0.25">
      <c r="A272" s="15">
        <v>40835</v>
      </c>
      <c r="B272" s="16" t="s">
        <v>880</v>
      </c>
      <c r="C272" t="s">
        <v>881</v>
      </c>
      <c r="D272" t="s">
        <v>48</v>
      </c>
      <c r="E272" s="17">
        <v>4</v>
      </c>
      <c r="F272" s="17">
        <v>90</v>
      </c>
      <c r="G272" s="18">
        <v>360</v>
      </c>
      <c r="H272" s="30" t="s">
        <v>2293</v>
      </c>
      <c r="J272" s="34"/>
    </row>
    <row r="273" spans="1:10" x14ac:dyDescent="0.25">
      <c r="A273" s="15">
        <v>40835</v>
      </c>
      <c r="B273" s="16" t="s">
        <v>907</v>
      </c>
      <c r="C273" t="s">
        <v>864</v>
      </c>
      <c r="D273" t="s">
        <v>48</v>
      </c>
      <c r="E273" s="17">
        <v>3</v>
      </c>
      <c r="F273" s="17">
        <v>110</v>
      </c>
      <c r="G273" s="18">
        <v>330</v>
      </c>
      <c r="H273" s="30" t="s">
        <v>2293</v>
      </c>
      <c r="J273" s="34"/>
    </row>
    <row r="274" spans="1:10" x14ac:dyDescent="0.25">
      <c r="A274" s="15">
        <v>40835</v>
      </c>
      <c r="B274" s="16" t="s">
        <v>865</v>
      </c>
      <c r="C274" t="s">
        <v>8</v>
      </c>
      <c r="D274" t="s">
        <v>48</v>
      </c>
      <c r="E274" s="17">
        <v>3</v>
      </c>
      <c r="F274" s="17">
        <v>35.35</v>
      </c>
      <c r="G274" s="18">
        <v>106.05</v>
      </c>
      <c r="H274" s="30" t="s">
        <v>2293</v>
      </c>
      <c r="J274" s="34"/>
    </row>
    <row r="275" spans="1:10" x14ac:dyDescent="0.25">
      <c r="A275" s="15">
        <v>40835</v>
      </c>
      <c r="B275" s="16" t="s">
        <v>865</v>
      </c>
      <c r="C275" t="s">
        <v>8</v>
      </c>
      <c r="D275" t="s">
        <v>48</v>
      </c>
      <c r="E275" s="17">
        <v>4</v>
      </c>
      <c r="F275" s="17">
        <v>35.35</v>
      </c>
      <c r="G275" s="18">
        <v>141.4</v>
      </c>
      <c r="H275" s="30" t="s">
        <v>2293</v>
      </c>
      <c r="J275" s="34"/>
    </row>
    <row r="276" spans="1:10" x14ac:dyDescent="0.25">
      <c r="A276" s="15">
        <v>40835</v>
      </c>
      <c r="B276" s="16" t="s">
        <v>865</v>
      </c>
      <c r="C276" t="s">
        <v>8</v>
      </c>
      <c r="D276" t="s">
        <v>48</v>
      </c>
      <c r="E276" s="17">
        <v>4</v>
      </c>
      <c r="F276" s="17">
        <v>35.35</v>
      </c>
      <c r="G276" s="18">
        <v>141.4</v>
      </c>
      <c r="H276" s="30" t="s">
        <v>2293</v>
      </c>
      <c r="J276" s="34"/>
    </row>
    <row r="277" spans="1:10" x14ac:dyDescent="0.25">
      <c r="A277" s="15">
        <v>40835</v>
      </c>
      <c r="B277" s="16" t="s">
        <v>865</v>
      </c>
      <c r="C277" t="s">
        <v>8</v>
      </c>
      <c r="D277" t="s">
        <v>48</v>
      </c>
      <c r="E277" s="17">
        <v>3</v>
      </c>
      <c r="F277" s="17">
        <v>35.35</v>
      </c>
      <c r="G277" s="18">
        <v>106.05</v>
      </c>
      <c r="H277" s="30" t="s">
        <v>2293</v>
      </c>
      <c r="J277" s="34"/>
    </row>
    <row r="278" spans="1:10" x14ac:dyDescent="0.25">
      <c r="A278" s="15">
        <v>40835</v>
      </c>
      <c r="B278" s="16" t="s">
        <v>863</v>
      </c>
      <c r="C278" t="s">
        <v>864</v>
      </c>
      <c r="D278" t="s">
        <v>48</v>
      </c>
      <c r="E278" s="17">
        <v>1.5</v>
      </c>
      <c r="F278" s="17">
        <v>135</v>
      </c>
      <c r="G278" s="18">
        <v>202.5</v>
      </c>
      <c r="H278" s="30" t="s">
        <v>2293</v>
      </c>
      <c r="J278" s="34"/>
    </row>
    <row r="279" spans="1:10" x14ac:dyDescent="0.25">
      <c r="A279" s="15">
        <v>40835</v>
      </c>
      <c r="B279" s="16" t="s">
        <v>865</v>
      </c>
      <c r="C279" t="s">
        <v>8</v>
      </c>
      <c r="D279" t="s">
        <v>48</v>
      </c>
      <c r="E279" s="17">
        <v>4</v>
      </c>
      <c r="F279" s="17">
        <v>35.35</v>
      </c>
      <c r="G279" s="18">
        <v>141.4</v>
      </c>
      <c r="H279" s="30" t="s">
        <v>2293</v>
      </c>
      <c r="J279" s="34"/>
    </row>
    <row r="280" spans="1:10" x14ac:dyDescent="0.25">
      <c r="A280" s="15">
        <v>40835</v>
      </c>
      <c r="B280" s="16" t="s">
        <v>865</v>
      </c>
      <c r="C280" t="s">
        <v>8</v>
      </c>
      <c r="D280" t="s">
        <v>48</v>
      </c>
      <c r="E280" s="17">
        <v>3</v>
      </c>
      <c r="F280" s="17">
        <v>35.35</v>
      </c>
      <c r="G280" s="18">
        <v>106.05</v>
      </c>
      <c r="H280" s="30" t="s">
        <v>2293</v>
      </c>
      <c r="J280" s="34"/>
    </row>
    <row r="281" spans="1:10" x14ac:dyDescent="0.25">
      <c r="A281" s="15">
        <v>40836</v>
      </c>
      <c r="B281" s="16" t="s">
        <v>908</v>
      </c>
      <c r="C281" t="s">
        <v>873</v>
      </c>
      <c r="D281" t="s">
        <v>48</v>
      </c>
      <c r="E281" s="17">
        <v>6.5</v>
      </c>
      <c r="F281" s="17">
        <v>95</v>
      </c>
      <c r="G281" s="18">
        <v>617.5</v>
      </c>
      <c r="H281" s="30" t="s">
        <v>2293</v>
      </c>
      <c r="J281" s="34"/>
    </row>
    <row r="282" spans="1:10" x14ac:dyDescent="0.25">
      <c r="A282" s="15">
        <v>40837</v>
      </c>
      <c r="B282" s="16" t="s">
        <v>865</v>
      </c>
      <c r="C282" t="s">
        <v>8</v>
      </c>
      <c r="D282" t="s">
        <v>48</v>
      </c>
      <c r="E282" s="17">
        <v>3</v>
      </c>
      <c r="F282" s="17">
        <v>35.35</v>
      </c>
      <c r="G282" s="18">
        <v>106.05</v>
      </c>
      <c r="H282" s="30" t="s">
        <v>2293</v>
      </c>
      <c r="J282" s="34"/>
    </row>
    <row r="283" spans="1:10" x14ac:dyDescent="0.25">
      <c r="A283" s="15">
        <v>40837</v>
      </c>
      <c r="B283" s="16" t="s">
        <v>865</v>
      </c>
      <c r="C283" t="s">
        <v>8</v>
      </c>
      <c r="D283" t="s">
        <v>48</v>
      </c>
      <c r="E283" s="17">
        <v>1.5</v>
      </c>
      <c r="F283" s="17">
        <v>35.35</v>
      </c>
      <c r="G283" s="18">
        <v>53.024999999999999</v>
      </c>
      <c r="H283" s="30" t="s">
        <v>2293</v>
      </c>
      <c r="J283" s="34"/>
    </row>
    <row r="284" spans="1:10" x14ac:dyDescent="0.25">
      <c r="A284" s="15">
        <v>40838</v>
      </c>
      <c r="B284" s="16" t="s">
        <v>865</v>
      </c>
      <c r="C284" t="s">
        <v>8</v>
      </c>
      <c r="D284" t="s">
        <v>48</v>
      </c>
      <c r="E284" s="17">
        <v>2</v>
      </c>
      <c r="F284" s="17">
        <v>35.35</v>
      </c>
      <c r="G284" s="18">
        <v>70.7</v>
      </c>
      <c r="H284" s="30" t="s">
        <v>2293</v>
      </c>
      <c r="J284" s="34"/>
    </row>
    <row r="285" spans="1:10" x14ac:dyDescent="0.25">
      <c r="A285" s="15">
        <v>40840</v>
      </c>
      <c r="B285" s="16" t="s">
        <v>883</v>
      </c>
      <c r="C285" t="s">
        <v>884</v>
      </c>
      <c r="D285" t="s">
        <v>48</v>
      </c>
      <c r="E285" s="17">
        <v>5.5</v>
      </c>
      <c r="F285" s="17">
        <v>66.069999999999993</v>
      </c>
      <c r="G285" s="18">
        <v>363.38499999999999</v>
      </c>
      <c r="H285" s="30" t="s">
        <v>2293</v>
      </c>
      <c r="J285" s="34"/>
    </row>
    <row r="286" spans="1:10" x14ac:dyDescent="0.25">
      <c r="A286" s="15">
        <v>40840</v>
      </c>
      <c r="B286" s="16" t="s">
        <v>909</v>
      </c>
      <c r="C286" t="s">
        <v>864</v>
      </c>
      <c r="D286" t="s">
        <v>48</v>
      </c>
      <c r="E286" s="17">
        <v>2.5</v>
      </c>
      <c r="F286" s="17">
        <v>110</v>
      </c>
      <c r="G286" s="18">
        <v>275</v>
      </c>
      <c r="H286" s="30" t="s">
        <v>2293</v>
      </c>
      <c r="J286" s="34"/>
    </row>
    <row r="287" spans="1:10" x14ac:dyDescent="0.25">
      <c r="A287" s="15">
        <v>40840</v>
      </c>
      <c r="B287" s="16" t="s">
        <v>865</v>
      </c>
      <c r="C287" t="s">
        <v>8</v>
      </c>
      <c r="D287" t="s">
        <v>48</v>
      </c>
      <c r="E287" s="17">
        <v>3</v>
      </c>
      <c r="F287" s="17">
        <v>35.35</v>
      </c>
      <c r="G287" s="18">
        <v>106.05</v>
      </c>
      <c r="H287" s="30" t="s">
        <v>2293</v>
      </c>
      <c r="J287" s="34"/>
    </row>
    <row r="288" spans="1:10" x14ac:dyDescent="0.25">
      <c r="A288" s="15">
        <v>40840</v>
      </c>
      <c r="B288" s="16" t="s">
        <v>865</v>
      </c>
      <c r="C288" t="s">
        <v>8</v>
      </c>
      <c r="D288" t="s">
        <v>48</v>
      </c>
      <c r="E288" s="17">
        <v>10</v>
      </c>
      <c r="F288" s="17">
        <v>35.35</v>
      </c>
      <c r="G288" s="18">
        <v>353.5</v>
      </c>
      <c r="H288" s="30" t="s">
        <v>2293</v>
      </c>
      <c r="J288" s="34"/>
    </row>
    <row r="289" spans="1:10" x14ac:dyDescent="0.25">
      <c r="A289" s="15">
        <v>40840</v>
      </c>
      <c r="B289" s="16" t="s">
        <v>865</v>
      </c>
      <c r="C289" t="s">
        <v>8</v>
      </c>
      <c r="D289" t="s">
        <v>48</v>
      </c>
      <c r="E289" s="17">
        <v>10</v>
      </c>
      <c r="F289" s="17">
        <v>35.35</v>
      </c>
      <c r="G289" s="18">
        <v>353.5</v>
      </c>
      <c r="H289" s="30" t="s">
        <v>2293</v>
      </c>
      <c r="J289" s="34"/>
    </row>
    <row r="290" spans="1:10" x14ac:dyDescent="0.25">
      <c r="A290" s="15">
        <v>40840</v>
      </c>
      <c r="B290" s="16" t="s">
        <v>904</v>
      </c>
      <c r="C290" t="s">
        <v>905</v>
      </c>
      <c r="D290" t="s">
        <v>48</v>
      </c>
      <c r="E290" s="17">
        <v>1.5</v>
      </c>
      <c r="F290" s="17">
        <v>95</v>
      </c>
      <c r="G290" s="18">
        <v>142.5</v>
      </c>
      <c r="H290" s="30" t="s">
        <v>2293</v>
      </c>
      <c r="J290" s="34"/>
    </row>
    <row r="291" spans="1:10" x14ac:dyDescent="0.25">
      <c r="A291" s="15">
        <v>40840</v>
      </c>
      <c r="B291" s="16" t="s">
        <v>880</v>
      </c>
      <c r="C291" t="s">
        <v>881</v>
      </c>
      <c r="D291" t="s">
        <v>48</v>
      </c>
      <c r="E291" s="17">
        <v>9.5</v>
      </c>
      <c r="F291" s="17">
        <v>90</v>
      </c>
      <c r="G291" s="18">
        <v>855</v>
      </c>
      <c r="H291" s="30" t="s">
        <v>2293</v>
      </c>
      <c r="J291" s="34"/>
    </row>
    <row r="292" spans="1:10" x14ac:dyDescent="0.25">
      <c r="A292" s="15">
        <v>40840</v>
      </c>
      <c r="B292" s="16" t="s">
        <v>880</v>
      </c>
      <c r="C292" t="s">
        <v>881</v>
      </c>
      <c r="D292" t="s">
        <v>48</v>
      </c>
      <c r="E292" s="17">
        <v>4</v>
      </c>
      <c r="F292" s="17">
        <v>90</v>
      </c>
      <c r="G292" s="18">
        <v>360</v>
      </c>
      <c r="H292" s="30" t="s">
        <v>2293</v>
      </c>
      <c r="J292" s="34"/>
    </row>
    <row r="293" spans="1:10" x14ac:dyDescent="0.25">
      <c r="A293" s="15">
        <v>40841</v>
      </c>
      <c r="B293" s="16" t="s">
        <v>863</v>
      </c>
      <c r="C293" t="s">
        <v>864</v>
      </c>
      <c r="D293" t="s">
        <v>48</v>
      </c>
      <c r="E293" s="17">
        <v>3.5</v>
      </c>
      <c r="F293" s="17">
        <v>110</v>
      </c>
      <c r="G293" s="18">
        <v>385</v>
      </c>
      <c r="H293" s="30" t="s">
        <v>2293</v>
      </c>
      <c r="J293" s="34"/>
    </row>
    <row r="294" spans="1:10" x14ac:dyDescent="0.25">
      <c r="A294" s="15">
        <v>40841</v>
      </c>
      <c r="B294" s="16" t="s">
        <v>865</v>
      </c>
      <c r="C294" t="s">
        <v>8</v>
      </c>
      <c r="D294" t="s">
        <v>48</v>
      </c>
      <c r="E294" s="17">
        <v>3</v>
      </c>
      <c r="F294" s="17">
        <v>35.35</v>
      </c>
      <c r="G294" s="18">
        <v>106.05</v>
      </c>
      <c r="H294" s="30" t="s">
        <v>2293</v>
      </c>
      <c r="J294" s="34"/>
    </row>
    <row r="295" spans="1:10" x14ac:dyDescent="0.25">
      <c r="A295" s="15">
        <v>40841</v>
      </c>
      <c r="B295" s="16" t="s">
        <v>865</v>
      </c>
      <c r="C295" t="s">
        <v>8</v>
      </c>
      <c r="D295" t="s">
        <v>48</v>
      </c>
      <c r="E295" s="17">
        <v>3</v>
      </c>
      <c r="F295" s="17">
        <v>35.35</v>
      </c>
      <c r="G295" s="18">
        <v>106.05</v>
      </c>
      <c r="H295" s="30" t="s">
        <v>2293</v>
      </c>
      <c r="J295" s="34"/>
    </row>
    <row r="296" spans="1:10" x14ac:dyDescent="0.25">
      <c r="A296" s="15">
        <v>40841</v>
      </c>
      <c r="B296" s="16" t="s">
        <v>883</v>
      </c>
      <c r="C296" t="s">
        <v>884</v>
      </c>
      <c r="D296" t="s">
        <v>48</v>
      </c>
      <c r="E296" s="17">
        <v>3</v>
      </c>
      <c r="F296" s="17">
        <v>66.069999999999993</v>
      </c>
      <c r="G296" s="18">
        <v>198.21</v>
      </c>
      <c r="H296" s="30" t="s">
        <v>2293</v>
      </c>
      <c r="J296" s="34"/>
    </row>
    <row r="297" spans="1:10" x14ac:dyDescent="0.25">
      <c r="A297" s="15">
        <v>40841</v>
      </c>
      <c r="B297" s="16" t="s">
        <v>880</v>
      </c>
      <c r="C297" t="s">
        <v>881</v>
      </c>
      <c r="D297" t="s">
        <v>48</v>
      </c>
      <c r="E297" s="17">
        <v>4</v>
      </c>
      <c r="F297" s="17">
        <v>90</v>
      </c>
      <c r="G297" s="18">
        <v>360</v>
      </c>
      <c r="H297" s="30" t="s">
        <v>2293</v>
      </c>
      <c r="J297" s="34"/>
    </row>
    <row r="298" spans="1:10" x14ac:dyDescent="0.25">
      <c r="A298" s="15">
        <v>40841</v>
      </c>
      <c r="B298" s="16" t="s">
        <v>865</v>
      </c>
      <c r="C298" t="s">
        <v>8</v>
      </c>
      <c r="D298" t="s">
        <v>48</v>
      </c>
      <c r="E298" s="17">
        <v>7</v>
      </c>
      <c r="F298" s="17">
        <v>35.35</v>
      </c>
      <c r="G298" s="18">
        <v>247.45</v>
      </c>
      <c r="H298" s="30" t="s">
        <v>2293</v>
      </c>
      <c r="J298" s="34"/>
    </row>
    <row r="299" spans="1:10" x14ac:dyDescent="0.25">
      <c r="A299" s="15">
        <v>40841</v>
      </c>
      <c r="B299" s="16" t="s">
        <v>865</v>
      </c>
      <c r="C299" t="s">
        <v>8</v>
      </c>
      <c r="D299" t="s">
        <v>48</v>
      </c>
      <c r="E299" s="17">
        <v>5</v>
      </c>
      <c r="F299" s="17">
        <v>35.35</v>
      </c>
      <c r="G299" s="18">
        <v>176.75</v>
      </c>
      <c r="H299" s="30" t="s">
        <v>2293</v>
      </c>
      <c r="J299" s="34"/>
    </row>
    <row r="300" spans="1:10" x14ac:dyDescent="0.25">
      <c r="A300" s="15">
        <v>40841</v>
      </c>
      <c r="B300" s="16" t="s">
        <v>880</v>
      </c>
      <c r="C300" t="s">
        <v>881</v>
      </c>
      <c r="D300" t="s">
        <v>48</v>
      </c>
      <c r="E300" s="17">
        <v>4</v>
      </c>
      <c r="F300" s="17">
        <v>90</v>
      </c>
      <c r="G300" s="18">
        <v>360</v>
      </c>
      <c r="H300" s="30" t="s">
        <v>2293</v>
      </c>
      <c r="J300" s="34"/>
    </row>
    <row r="301" spans="1:10" x14ac:dyDescent="0.25">
      <c r="A301" s="15">
        <v>40841</v>
      </c>
      <c r="B301" s="16" t="s">
        <v>906</v>
      </c>
      <c r="C301" t="s">
        <v>864</v>
      </c>
      <c r="D301" t="s">
        <v>48</v>
      </c>
      <c r="E301" s="17">
        <v>4</v>
      </c>
      <c r="F301" s="17">
        <v>110</v>
      </c>
      <c r="G301" s="18">
        <v>440</v>
      </c>
      <c r="H301" s="30" t="s">
        <v>2293</v>
      </c>
      <c r="J301" s="34"/>
    </row>
    <row r="302" spans="1:10" x14ac:dyDescent="0.25">
      <c r="A302" s="15">
        <v>40841</v>
      </c>
      <c r="B302" s="16" t="s">
        <v>880</v>
      </c>
      <c r="C302" t="s">
        <v>881</v>
      </c>
      <c r="D302" t="s">
        <v>48</v>
      </c>
      <c r="E302" s="17">
        <v>3.5</v>
      </c>
      <c r="F302" s="17">
        <v>90</v>
      </c>
      <c r="G302" s="18">
        <v>315</v>
      </c>
      <c r="H302" s="30" t="s">
        <v>2293</v>
      </c>
      <c r="J302" s="34"/>
    </row>
    <row r="303" spans="1:10" x14ac:dyDescent="0.25">
      <c r="A303" s="15">
        <v>40842</v>
      </c>
      <c r="B303" s="16" t="s">
        <v>865</v>
      </c>
      <c r="C303" t="s">
        <v>8</v>
      </c>
      <c r="D303" t="s">
        <v>48</v>
      </c>
      <c r="E303" s="17">
        <v>5</v>
      </c>
      <c r="F303" s="17">
        <v>35.35</v>
      </c>
      <c r="G303" s="18">
        <v>176.75</v>
      </c>
      <c r="H303" s="30" t="s">
        <v>2293</v>
      </c>
      <c r="J303" s="34"/>
    </row>
    <row r="304" spans="1:10" x14ac:dyDescent="0.25">
      <c r="A304" s="15">
        <v>40842</v>
      </c>
      <c r="B304" s="16" t="s">
        <v>883</v>
      </c>
      <c r="C304" t="s">
        <v>884</v>
      </c>
      <c r="D304" t="s">
        <v>48</v>
      </c>
      <c r="E304" s="17">
        <v>3</v>
      </c>
      <c r="F304" s="17">
        <v>66.069999999999993</v>
      </c>
      <c r="G304" s="18">
        <v>198.21</v>
      </c>
      <c r="H304" s="30" t="s">
        <v>2293</v>
      </c>
      <c r="J304" s="34"/>
    </row>
    <row r="305" spans="1:10" x14ac:dyDescent="0.25">
      <c r="A305" s="15">
        <v>40842</v>
      </c>
      <c r="B305" s="16" t="s">
        <v>910</v>
      </c>
      <c r="C305" t="s">
        <v>864</v>
      </c>
      <c r="D305" t="s">
        <v>48</v>
      </c>
      <c r="E305" s="17">
        <v>2.5</v>
      </c>
      <c r="F305" s="17">
        <v>110</v>
      </c>
      <c r="G305" s="18">
        <v>275</v>
      </c>
      <c r="H305" s="30" t="s">
        <v>2293</v>
      </c>
      <c r="J305" s="34"/>
    </row>
    <row r="306" spans="1:10" x14ac:dyDescent="0.25">
      <c r="A306" s="15">
        <v>40843</v>
      </c>
      <c r="B306" s="16" t="s">
        <v>904</v>
      </c>
      <c r="C306" t="s">
        <v>905</v>
      </c>
      <c r="D306" t="s">
        <v>48</v>
      </c>
      <c r="E306" s="17">
        <v>4</v>
      </c>
      <c r="F306" s="17">
        <v>95</v>
      </c>
      <c r="G306" s="18">
        <v>380</v>
      </c>
      <c r="H306" s="30" t="s">
        <v>2293</v>
      </c>
      <c r="J306" s="34"/>
    </row>
    <row r="307" spans="1:10" x14ac:dyDescent="0.25">
      <c r="A307" s="15">
        <v>40843</v>
      </c>
      <c r="B307" s="16" t="s">
        <v>910</v>
      </c>
      <c r="C307" t="s">
        <v>864</v>
      </c>
      <c r="D307" t="s">
        <v>48</v>
      </c>
      <c r="E307" s="17">
        <v>7.5</v>
      </c>
      <c r="F307" s="17">
        <v>110</v>
      </c>
      <c r="G307" s="18">
        <v>825</v>
      </c>
      <c r="H307" s="30" t="s">
        <v>2293</v>
      </c>
      <c r="J307" s="34"/>
    </row>
    <row r="308" spans="1:10" x14ac:dyDescent="0.25">
      <c r="A308" s="15">
        <v>40843</v>
      </c>
      <c r="B308" s="16" t="s">
        <v>865</v>
      </c>
      <c r="C308" t="s">
        <v>8</v>
      </c>
      <c r="D308" t="s">
        <v>48</v>
      </c>
      <c r="E308" s="17">
        <v>10</v>
      </c>
      <c r="F308" s="17">
        <v>35.35</v>
      </c>
      <c r="G308" s="18">
        <v>353.5</v>
      </c>
      <c r="H308" s="30" t="s">
        <v>2293</v>
      </c>
      <c r="J308" s="34"/>
    </row>
    <row r="309" spans="1:10" x14ac:dyDescent="0.25">
      <c r="A309" s="15">
        <v>40844</v>
      </c>
      <c r="B309" s="16" t="s">
        <v>863</v>
      </c>
      <c r="C309" t="s">
        <v>864</v>
      </c>
      <c r="D309" t="s">
        <v>48</v>
      </c>
      <c r="E309" s="17">
        <v>6.5</v>
      </c>
      <c r="F309" s="17">
        <v>110</v>
      </c>
      <c r="G309" s="18">
        <v>715</v>
      </c>
      <c r="H309" s="30" t="s">
        <v>2293</v>
      </c>
      <c r="J309" s="34"/>
    </row>
    <row r="310" spans="1:10" x14ac:dyDescent="0.25">
      <c r="A310" s="15">
        <v>40845</v>
      </c>
      <c r="B310" s="16" t="s">
        <v>863</v>
      </c>
      <c r="C310" t="s">
        <v>864</v>
      </c>
      <c r="D310" t="s">
        <v>48</v>
      </c>
      <c r="E310" s="17">
        <v>9</v>
      </c>
      <c r="F310" s="17">
        <v>122.726</v>
      </c>
      <c r="G310" s="18">
        <v>1104.5340000000001</v>
      </c>
      <c r="H310" s="30" t="s">
        <v>2293</v>
      </c>
      <c r="J310" s="34"/>
    </row>
    <row r="311" spans="1:10" x14ac:dyDescent="0.25">
      <c r="A311" s="15">
        <v>40847</v>
      </c>
      <c r="B311" s="16" t="s">
        <v>880</v>
      </c>
      <c r="C311" t="s">
        <v>881</v>
      </c>
      <c r="D311" t="s">
        <v>48</v>
      </c>
      <c r="E311" s="17">
        <v>9</v>
      </c>
      <c r="F311" s="17">
        <v>90</v>
      </c>
      <c r="G311" s="18">
        <v>810</v>
      </c>
      <c r="H311" s="30" t="s">
        <v>2293</v>
      </c>
      <c r="J311" s="34"/>
    </row>
    <row r="312" spans="1:10" x14ac:dyDescent="0.25">
      <c r="A312" s="15">
        <v>40849</v>
      </c>
      <c r="B312" s="16" t="s">
        <v>911</v>
      </c>
      <c r="C312" t="s">
        <v>905</v>
      </c>
      <c r="D312" t="s">
        <v>48</v>
      </c>
      <c r="E312" s="17">
        <v>9</v>
      </c>
      <c r="F312" s="17">
        <v>95</v>
      </c>
      <c r="G312" s="18">
        <v>855</v>
      </c>
      <c r="H312" s="30" t="s">
        <v>2293</v>
      </c>
      <c r="J312" s="34"/>
    </row>
    <row r="313" spans="1:10" x14ac:dyDescent="0.25">
      <c r="A313" s="15">
        <v>40849</v>
      </c>
      <c r="B313" s="16" t="s">
        <v>912</v>
      </c>
      <c r="C313" t="s">
        <v>913</v>
      </c>
      <c r="D313" t="s">
        <v>48</v>
      </c>
      <c r="E313" s="17">
        <v>5</v>
      </c>
      <c r="F313" s="17">
        <v>95</v>
      </c>
      <c r="G313" s="18">
        <v>475</v>
      </c>
      <c r="H313" s="30" t="s">
        <v>2293</v>
      </c>
      <c r="J313" s="34"/>
    </row>
    <row r="314" spans="1:10" x14ac:dyDescent="0.25">
      <c r="A314" s="15">
        <v>40849</v>
      </c>
      <c r="B314" s="16" t="s">
        <v>876</v>
      </c>
      <c r="C314" t="s">
        <v>8</v>
      </c>
      <c r="D314" t="s">
        <v>48</v>
      </c>
      <c r="E314" s="17">
        <v>10</v>
      </c>
      <c r="F314" s="17">
        <v>95</v>
      </c>
      <c r="G314" s="18">
        <v>950</v>
      </c>
      <c r="H314" s="30" t="s">
        <v>2293</v>
      </c>
      <c r="J314" s="34"/>
    </row>
    <row r="315" spans="1:10" x14ac:dyDescent="0.25">
      <c r="A315" s="15">
        <v>40850</v>
      </c>
      <c r="B315" s="16" t="s">
        <v>876</v>
      </c>
      <c r="C315" t="s">
        <v>8</v>
      </c>
      <c r="D315" t="s">
        <v>48</v>
      </c>
      <c r="E315" s="17">
        <v>10.5</v>
      </c>
      <c r="F315" s="17">
        <v>95</v>
      </c>
      <c r="G315" s="18">
        <v>997.5</v>
      </c>
      <c r="H315" s="30" t="s">
        <v>2293</v>
      </c>
      <c r="J315" s="34"/>
    </row>
    <row r="316" spans="1:10" x14ac:dyDescent="0.25">
      <c r="A316" s="15">
        <v>40850</v>
      </c>
      <c r="B316" s="16" t="s">
        <v>914</v>
      </c>
      <c r="C316" t="s">
        <v>8</v>
      </c>
      <c r="D316" t="s">
        <v>48</v>
      </c>
      <c r="E316" s="17">
        <v>9</v>
      </c>
      <c r="F316" s="17">
        <v>65</v>
      </c>
      <c r="G316" s="18">
        <v>585</v>
      </c>
      <c r="H316" s="30" t="s">
        <v>2293</v>
      </c>
      <c r="J316" s="34"/>
    </row>
    <row r="317" spans="1:10" x14ac:dyDescent="0.25">
      <c r="A317" s="15">
        <v>40851</v>
      </c>
      <c r="B317" s="16" t="s">
        <v>912</v>
      </c>
      <c r="C317" t="s">
        <v>913</v>
      </c>
      <c r="D317" t="s">
        <v>48</v>
      </c>
      <c r="E317" s="17">
        <v>8</v>
      </c>
      <c r="F317" s="17">
        <v>95</v>
      </c>
      <c r="G317" s="18">
        <v>760</v>
      </c>
      <c r="H317" s="30" t="s">
        <v>2293</v>
      </c>
      <c r="J317" s="34"/>
    </row>
    <row r="318" spans="1:10" x14ac:dyDescent="0.25">
      <c r="A318" s="15">
        <v>40851</v>
      </c>
      <c r="B318" s="16" t="s">
        <v>863</v>
      </c>
      <c r="C318" t="s">
        <v>864</v>
      </c>
      <c r="D318" t="s">
        <v>48</v>
      </c>
      <c r="E318" s="17">
        <v>9</v>
      </c>
      <c r="F318" s="17">
        <v>110</v>
      </c>
      <c r="G318" s="18">
        <v>990</v>
      </c>
      <c r="H318" s="30" t="s">
        <v>2293</v>
      </c>
      <c r="J318" s="34"/>
    </row>
    <row r="319" spans="1:10" x14ac:dyDescent="0.25">
      <c r="A319" s="15">
        <v>40851</v>
      </c>
      <c r="B319" s="16" t="s">
        <v>876</v>
      </c>
      <c r="C319" t="s">
        <v>8</v>
      </c>
      <c r="D319" t="s">
        <v>48</v>
      </c>
      <c r="E319" s="17">
        <v>3</v>
      </c>
      <c r="F319" s="17">
        <v>95</v>
      </c>
      <c r="G319" s="18">
        <v>285</v>
      </c>
      <c r="H319" s="30" t="s">
        <v>2293</v>
      </c>
      <c r="J319" s="34"/>
    </row>
    <row r="320" spans="1:10" x14ac:dyDescent="0.25">
      <c r="A320" s="15">
        <v>40852</v>
      </c>
      <c r="B320" s="16" t="s">
        <v>912</v>
      </c>
      <c r="C320" t="s">
        <v>913</v>
      </c>
      <c r="D320" t="s">
        <v>48</v>
      </c>
      <c r="E320" s="17">
        <v>4</v>
      </c>
      <c r="F320" s="17">
        <v>95</v>
      </c>
      <c r="G320" s="18">
        <v>380</v>
      </c>
      <c r="H320" s="30" t="s">
        <v>2293</v>
      </c>
      <c r="J320" s="34"/>
    </row>
    <row r="321" spans="1:10" x14ac:dyDescent="0.25">
      <c r="A321" s="15">
        <v>40853</v>
      </c>
      <c r="B321" s="16" t="s">
        <v>912</v>
      </c>
      <c r="C321" t="s">
        <v>913</v>
      </c>
      <c r="D321" t="s">
        <v>48</v>
      </c>
      <c r="E321" s="17">
        <v>4</v>
      </c>
      <c r="F321" s="17">
        <v>95</v>
      </c>
      <c r="G321" s="18">
        <v>380</v>
      </c>
      <c r="H321" s="30" t="s">
        <v>2293</v>
      </c>
      <c r="J321" s="34"/>
    </row>
    <row r="322" spans="1:10" x14ac:dyDescent="0.25">
      <c r="A322" s="15">
        <v>40855</v>
      </c>
      <c r="B322" s="16" t="s">
        <v>863</v>
      </c>
      <c r="C322" t="s">
        <v>864</v>
      </c>
      <c r="D322" t="s">
        <v>48</v>
      </c>
      <c r="E322" s="17">
        <v>4</v>
      </c>
      <c r="F322" s="17">
        <v>110</v>
      </c>
      <c r="G322" s="18">
        <v>440</v>
      </c>
      <c r="H322" s="30" t="s">
        <v>2293</v>
      </c>
      <c r="J322" s="34"/>
    </row>
    <row r="323" spans="1:10" x14ac:dyDescent="0.25">
      <c r="A323" s="15">
        <v>40856</v>
      </c>
      <c r="B323" s="16" t="s">
        <v>889</v>
      </c>
      <c r="C323" t="s">
        <v>864</v>
      </c>
      <c r="D323" t="s">
        <v>48</v>
      </c>
      <c r="E323" s="17">
        <v>4</v>
      </c>
      <c r="F323" s="17">
        <v>110</v>
      </c>
      <c r="G323" s="18">
        <v>440</v>
      </c>
      <c r="H323" s="30" t="s">
        <v>2293</v>
      </c>
      <c r="J323" s="34"/>
    </row>
    <row r="324" spans="1:10" x14ac:dyDescent="0.25">
      <c r="A324" s="15">
        <v>40857</v>
      </c>
      <c r="B324" s="16" t="s">
        <v>889</v>
      </c>
      <c r="C324" t="s">
        <v>864</v>
      </c>
      <c r="D324" t="s">
        <v>48</v>
      </c>
      <c r="E324" s="17">
        <v>5</v>
      </c>
      <c r="F324" s="17">
        <v>110</v>
      </c>
      <c r="G324" s="18">
        <v>550</v>
      </c>
      <c r="H324" s="30" t="s">
        <v>2293</v>
      </c>
      <c r="J324" s="34"/>
    </row>
    <row r="325" spans="1:10" x14ac:dyDescent="0.25">
      <c r="A325" s="15">
        <v>40857</v>
      </c>
      <c r="B325" s="16" t="s">
        <v>880</v>
      </c>
      <c r="C325" t="s">
        <v>881</v>
      </c>
      <c r="D325" t="s">
        <v>48</v>
      </c>
      <c r="E325" s="17">
        <v>4.5</v>
      </c>
      <c r="F325" s="17">
        <v>90</v>
      </c>
      <c r="G325" s="18">
        <v>405</v>
      </c>
      <c r="H325" s="30" t="s">
        <v>2293</v>
      </c>
      <c r="J325" s="34"/>
    </row>
    <row r="326" spans="1:10" x14ac:dyDescent="0.25">
      <c r="A326" s="15">
        <v>40861</v>
      </c>
      <c r="B326" s="16" t="s">
        <v>865</v>
      </c>
      <c r="C326" t="s">
        <v>8</v>
      </c>
      <c r="D326" t="s">
        <v>48</v>
      </c>
      <c r="E326" s="17">
        <v>2</v>
      </c>
      <c r="F326" s="17">
        <v>35.35</v>
      </c>
      <c r="G326" s="18">
        <v>70.7</v>
      </c>
      <c r="H326" s="30" t="s">
        <v>2293</v>
      </c>
      <c r="J326" s="34"/>
    </row>
    <row r="327" spans="1:10" x14ac:dyDescent="0.25">
      <c r="A327" s="15">
        <v>40861</v>
      </c>
      <c r="B327" s="16" t="s">
        <v>889</v>
      </c>
      <c r="C327" t="s">
        <v>864</v>
      </c>
      <c r="D327" t="s">
        <v>48</v>
      </c>
      <c r="E327" s="17">
        <v>5</v>
      </c>
      <c r="F327" s="17">
        <v>110</v>
      </c>
      <c r="G327" s="18">
        <v>550</v>
      </c>
      <c r="H327" s="30" t="s">
        <v>2293</v>
      </c>
      <c r="J327" s="34"/>
    </row>
    <row r="328" spans="1:10" x14ac:dyDescent="0.25">
      <c r="A328" s="15">
        <v>40861</v>
      </c>
      <c r="B328" s="16" t="s">
        <v>869</v>
      </c>
      <c r="C328" t="s">
        <v>8</v>
      </c>
      <c r="D328" t="s">
        <v>48</v>
      </c>
      <c r="E328" s="17">
        <v>2</v>
      </c>
      <c r="F328" s="17">
        <v>35.35</v>
      </c>
      <c r="G328" s="18">
        <v>70.7</v>
      </c>
      <c r="H328" s="30" t="s">
        <v>2293</v>
      </c>
      <c r="J328" s="34"/>
    </row>
    <row r="329" spans="1:10" x14ac:dyDescent="0.25">
      <c r="A329" s="15">
        <v>40861</v>
      </c>
      <c r="B329" s="16" t="s">
        <v>865</v>
      </c>
      <c r="C329" t="s">
        <v>8</v>
      </c>
      <c r="D329" t="s">
        <v>48</v>
      </c>
      <c r="E329" s="17">
        <v>2</v>
      </c>
      <c r="F329" s="17">
        <v>35.35</v>
      </c>
      <c r="G329" s="18">
        <v>70.7</v>
      </c>
      <c r="H329" s="30" t="s">
        <v>2293</v>
      </c>
      <c r="J329" s="34"/>
    </row>
    <row r="330" spans="1:10" x14ac:dyDescent="0.25">
      <c r="A330" s="15">
        <v>40861</v>
      </c>
      <c r="B330" s="16" t="s">
        <v>865</v>
      </c>
      <c r="C330" t="s">
        <v>8</v>
      </c>
      <c r="D330" t="s">
        <v>48</v>
      </c>
      <c r="E330" s="17">
        <v>5</v>
      </c>
      <c r="F330" s="17">
        <v>35.35</v>
      </c>
      <c r="G330" s="18">
        <v>176.75</v>
      </c>
      <c r="H330" s="30" t="s">
        <v>2293</v>
      </c>
      <c r="J330" s="34"/>
    </row>
    <row r="331" spans="1:10" x14ac:dyDescent="0.25">
      <c r="A331" s="15">
        <v>40864</v>
      </c>
      <c r="B331" s="16" t="s">
        <v>865</v>
      </c>
      <c r="C331" t="s">
        <v>8</v>
      </c>
      <c r="D331" t="s">
        <v>48</v>
      </c>
      <c r="E331" s="17">
        <v>6</v>
      </c>
      <c r="F331" s="17">
        <v>35.35</v>
      </c>
      <c r="G331" s="18">
        <v>212.1</v>
      </c>
      <c r="H331" s="30" t="s">
        <v>2293</v>
      </c>
      <c r="J331" s="34"/>
    </row>
    <row r="332" spans="1:10" x14ac:dyDescent="0.25">
      <c r="A332" s="15">
        <v>40864</v>
      </c>
      <c r="B332" s="16" t="s">
        <v>865</v>
      </c>
      <c r="C332" t="s">
        <v>8</v>
      </c>
      <c r="D332" t="s">
        <v>48</v>
      </c>
      <c r="E332" s="17">
        <v>10</v>
      </c>
      <c r="F332" s="17">
        <v>35.35</v>
      </c>
      <c r="G332" s="18">
        <v>353.5</v>
      </c>
      <c r="H332" s="30" t="s">
        <v>2293</v>
      </c>
      <c r="J332" s="34"/>
    </row>
    <row r="333" spans="1:10" x14ac:dyDescent="0.25">
      <c r="A333" s="15">
        <v>40864</v>
      </c>
      <c r="B333" s="16" t="s">
        <v>915</v>
      </c>
      <c r="C333" t="s">
        <v>8</v>
      </c>
      <c r="D333" t="s">
        <v>48</v>
      </c>
      <c r="E333" s="17">
        <v>10</v>
      </c>
      <c r="F333" s="17">
        <v>65</v>
      </c>
      <c r="G333" s="18">
        <v>650</v>
      </c>
      <c r="H333" s="30" t="s">
        <v>2293</v>
      </c>
      <c r="J333" s="34"/>
    </row>
    <row r="334" spans="1:10" x14ac:dyDescent="0.25">
      <c r="A334" s="15">
        <v>40864</v>
      </c>
      <c r="B334" s="16" t="s">
        <v>876</v>
      </c>
      <c r="C334" t="s">
        <v>8</v>
      </c>
      <c r="D334" t="s">
        <v>48</v>
      </c>
      <c r="E334" s="17">
        <v>6</v>
      </c>
      <c r="F334" s="17">
        <v>95</v>
      </c>
      <c r="G334" s="18">
        <v>570</v>
      </c>
      <c r="H334" s="30" t="s">
        <v>2293</v>
      </c>
      <c r="J334" s="34"/>
    </row>
    <row r="335" spans="1:10" x14ac:dyDescent="0.25">
      <c r="A335" s="15">
        <v>40864</v>
      </c>
      <c r="B335" s="16" t="s">
        <v>916</v>
      </c>
      <c r="C335" t="s">
        <v>864</v>
      </c>
      <c r="D335" t="s">
        <v>48</v>
      </c>
      <c r="E335" s="17">
        <v>9</v>
      </c>
      <c r="F335" s="17">
        <v>140</v>
      </c>
      <c r="G335" s="18">
        <v>1260</v>
      </c>
      <c r="H335" s="30" t="s">
        <v>2293</v>
      </c>
      <c r="J335" s="34"/>
    </row>
    <row r="336" spans="1:10" x14ac:dyDescent="0.25">
      <c r="A336" s="15">
        <v>40864</v>
      </c>
      <c r="B336" s="16" t="s">
        <v>917</v>
      </c>
      <c r="C336" t="s">
        <v>913</v>
      </c>
      <c r="D336" t="s">
        <v>48</v>
      </c>
      <c r="E336" s="17">
        <v>10.5</v>
      </c>
      <c r="F336" s="17">
        <v>95</v>
      </c>
      <c r="G336" s="18">
        <v>997.5</v>
      </c>
      <c r="H336" s="30" t="s">
        <v>2293</v>
      </c>
      <c r="J336" s="34"/>
    </row>
    <row r="337" spans="1:10" x14ac:dyDescent="0.25">
      <c r="A337" s="15">
        <v>40870</v>
      </c>
      <c r="B337" s="16" t="s">
        <v>865</v>
      </c>
      <c r="C337" t="s">
        <v>8</v>
      </c>
      <c r="D337" t="s">
        <v>48</v>
      </c>
      <c r="E337" s="17">
        <v>9.5</v>
      </c>
      <c r="F337" s="17">
        <v>35.35</v>
      </c>
      <c r="G337" s="18">
        <v>335.82499999999999</v>
      </c>
      <c r="H337" s="30" t="s">
        <v>2293</v>
      </c>
      <c r="J337" s="34"/>
    </row>
    <row r="338" spans="1:10" x14ac:dyDescent="0.25">
      <c r="A338" s="15">
        <v>40870</v>
      </c>
      <c r="B338" s="16" t="s">
        <v>918</v>
      </c>
      <c r="C338" t="s">
        <v>8</v>
      </c>
      <c r="D338" t="s">
        <v>48</v>
      </c>
      <c r="E338" s="17">
        <v>10</v>
      </c>
      <c r="F338" s="17">
        <v>65</v>
      </c>
      <c r="G338" s="18">
        <v>650</v>
      </c>
      <c r="H338" s="30" t="s">
        <v>2293</v>
      </c>
      <c r="J338" s="34"/>
    </row>
    <row r="339" spans="1:10" x14ac:dyDescent="0.25">
      <c r="A339" s="15">
        <v>40870</v>
      </c>
      <c r="B339" s="16" t="s">
        <v>889</v>
      </c>
      <c r="C339" t="s">
        <v>864</v>
      </c>
      <c r="D339" t="s">
        <v>48</v>
      </c>
      <c r="E339" s="17">
        <v>9.5</v>
      </c>
      <c r="F339" s="17">
        <v>110</v>
      </c>
      <c r="G339" s="18">
        <v>1045</v>
      </c>
      <c r="H339" s="30" t="s">
        <v>2293</v>
      </c>
      <c r="J339" s="34"/>
    </row>
    <row r="340" spans="1:10" x14ac:dyDescent="0.25">
      <c r="A340" s="15">
        <v>40871</v>
      </c>
      <c r="B340" s="16" t="s">
        <v>173</v>
      </c>
      <c r="C340" t="s">
        <v>8</v>
      </c>
      <c r="D340" t="s">
        <v>48</v>
      </c>
      <c r="E340" s="17">
        <v>10</v>
      </c>
      <c r="F340" s="17">
        <v>65</v>
      </c>
      <c r="G340" s="18">
        <v>650</v>
      </c>
      <c r="H340" s="30" t="s">
        <v>2293</v>
      </c>
      <c r="J340" s="34"/>
    </row>
    <row r="341" spans="1:10" x14ac:dyDescent="0.25">
      <c r="A341" s="15">
        <v>40871</v>
      </c>
      <c r="B341" s="16" t="s">
        <v>889</v>
      </c>
      <c r="C341" t="s">
        <v>864</v>
      </c>
      <c r="D341" t="s">
        <v>48</v>
      </c>
      <c r="E341" s="17">
        <v>9.25</v>
      </c>
      <c r="F341" s="17">
        <v>110</v>
      </c>
      <c r="G341" s="18">
        <v>1017.5</v>
      </c>
      <c r="H341" s="30" t="s">
        <v>2293</v>
      </c>
      <c r="J341" s="34"/>
    </row>
    <row r="342" spans="1:10" x14ac:dyDescent="0.25">
      <c r="A342" s="15">
        <v>40871</v>
      </c>
      <c r="B342" s="16" t="s">
        <v>45</v>
      </c>
      <c r="C342" t="s">
        <v>8</v>
      </c>
      <c r="D342" t="s">
        <v>48</v>
      </c>
      <c r="E342" s="17">
        <v>3</v>
      </c>
      <c r="F342" s="17">
        <v>95</v>
      </c>
      <c r="G342" s="18">
        <v>285</v>
      </c>
      <c r="H342" s="30" t="s">
        <v>2293</v>
      </c>
      <c r="J342" s="34"/>
    </row>
    <row r="343" spans="1:10" x14ac:dyDescent="0.25">
      <c r="A343" s="15">
        <v>40871</v>
      </c>
      <c r="B343" s="16" t="s">
        <v>865</v>
      </c>
      <c r="C343" t="s">
        <v>8</v>
      </c>
      <c r="D343" t="s">
        <v>48</v>
      </c>
      <c r="E343" s="17">
        <v>5</v>
      </c>
      <c r="F343" s="17">
        <v>35.35</v>
      </c>
      <c r="G343" s="18">
        <v>176.75</v>
      </c>
      <c r="H343" s="30" t="s">
        <v>2293</v>
      </c>
      <c r="J343" s="34"/>
    </row>
    <row r="344" spans="1:10" x14ac:dyDescent="0.25">
      <c r="A344" s="15">
        <v>40871</v>
      </c>
      <c r="B344" s="16" t="s">
        <v>865</v>
      </c>
      <c r="C344" t="s">
        <v>8</v>
      </c>
      <c r="D344" t="s">
        <v>48</v>
      </c>
      <c r="E344" s="17">
        <v>8</v>
      </c>
      <c r="F344" s="17">
        <v>35.35</v>
      </c>
      <c r="G344" s="18">
        <v>282.8</v>
      </c>
      <c r="H344" s="30" t="s">
        <v>2293</v>
      </c>
      <c r="J344" s="34"/>
    </row>
    <row r="345" spans="1:10" x14ac:dyDescent="0.25">
      <c r="A345" s="15">
        <v>40871</v>
      </c>
      <c r="B345" s="16" t="s">
        <v>865</v>
      </c>
      <c r="C345" t="s">
        <v>8</v>
      </c>
      <c r="D345" t="s">
        <v>48</v>
      </c>
      <c r="E345" s="17">
        <v>5</v>
      </c>
      <c r="F345" s="17">
        <v>35.35</v>
      </c>
      <c r="G345" s="18">
        <v>176.75</v>
      </c>
      <c r="H345" s="30" t="s">
        <v>2293</v>
      </c>
      <c r="J345" s="34"/>
    </row>
    <row r="346" spans="1:10" x14ac:dyDescent="0.25">
      <c r="A346" s="15">
        <v>40872</v>
      </c>
      <c r="B346" s="16" t="s">
        <v>917</v>
      </c>
      <c r="C346" t="s">
        <v>913</v>
      </c>
      <c r="D346" t="s">
        <v>48</v>
      </c>
      <c r="E346" s="17">
        <v>3</v>
      </c>
      <c r="F346" s="17">
        <v>95</v>
      </c>
      <c r="G346" s="18">
        <v>285</v>
      </c>
      <c r="H346" s="30" t="s">
        <v>2293</v>
      </c>
      <c r="J346" s="34"/>
    </row>
    <row r="347" spans="1:10" x14ac:dyDescent="0.25">
      <c r="A347" s="15">
        <v>40872</v>
      </c>
      <c r="B347" s="16" t="s">
        <v>889</v>
      </c>
      <c r="C347" t="s">
        <v>864</v>
      </c>
      <c r="D347" t="s">
        <v>48</v>
      </c>
      <c r="E347" s="17">
        <v>2.5</v>
      </c>
      <c r="F347" s="17">
        <v>110</v>
      </c>
      <c r="G347" s="18">
        <v>275</v>
      </c>
      <c r="H347" s="30" t="s">
        <v>2293</v>
      </c>
      <c r="J347" s="34"/>
    </row>
    <row r="348" spans="1:10" x14ac:dyDescent="0.25">
      <c r="A348" s="15">
        <v>40884</v>
      </c>
      <c r="B348" s="16" t="s">
        <v>919</v>
      </c>
      <c r="C348" t="s">
        <v>864</v>
      </c>
      <c r="D348" t="s">
        <v>48</v>
      </c>
      <c r="E348" s="17">
        <v>7.5</v>
      </c>
      <c r="F348" s="17">
        <v>110</v>
      </c>
      <c r="G348" s="18">
        <v>825</v>
      </c>
      <c r="H348" s="30" t="s">
        <v>2293</v>
      </c>
      <c r="J348" s="34"/>
    </row>
    <row r="349" spans="1:10" x14ac:dyDescent="0.25">
      <c r="A349" s="15">
        <v>40884</v>
      </c>
      <c r="B349" s="16" t="s">
        <v>880</v>
      </c>
      <c r="C349" t="s">
        <v>881</v>
      </c>
      <c r="D349" t="s">
        <v>48</v>
      </c>
      <c r="E349" s="17">
        <v>9</v>
      </c>
      <c r="F349" s="17">
        <v>100</v>
      </c>
      <c r="G349" s="18">
        <v>900</v>
      </c>
      <c r="H349" s="30" t="s">
        <v>2293</v>
      </c>
      <c r="J349" s="34"/>
    </row>
    <row r="350" spans="1:10" x14ac:dyDescent="0.25">
      <c r="A350" s="15">
        <v>40885</v>
      </c>
      <c r="B350" s="16" t="s">
        <v>880</v>
      </c>
      <c r="C350" t="s">
        <v>881</v>
      </c>
      <c r="D350" t="s">
        <v>48</v>
      </c>
      <c r="E350" s="17">
        <v>7.5</v>
      </c>
      <c r="F350" s="17">
        <v>100</v>
      </c>
      <c r="G350" s="18">
        <v>750</v>
      </c>
      <c r="H350" s="30" t="s">
        <v>2293</v>
      </c>
      <c r="J350" s="34"/>
    </row>
    <row r="351" spans="1:10" x14ac:dyDescent="0.25">
      <c r="A351" s="15">
        <v>40885</v>
      </c>
      <c r="B351" s="16" t="s">
        <v>865</v>
      </c>
      <c r="C351" t="s">
        <v>8</v>
      </c>
      <c r="D351" t="s">
        <v>48</v>
      </c>
      <c r="E351" s="17">
        <v>2</v>
      </c>
      <c r="F351" s="17">
        <v>35.35</v>
      </c>
      <c r="G351" s="18">
        <v>70.7</v>
      </c>
      <c r="H351" s="30" t="s">
        <v>2293</v>
      </c>
      <c r="J351" s="34"/>
    </row>
    <row r="352" spans="1:10" x14ac:dyDescent="0.25">
      <c r="A352" s="15">
        <v>40885</v>
      </c>
      <c r="B352" s="16" t="s">
        <v>919</v>
      </c>
      <c r="C352" t="s">
        <v>864</v>
      </c>
      <c r="D352" t="s">
        <v>48</v>
      </c>
      <c r="E352" s="17">
        <v>7.5</v>
      </c>
      <c r="F352" s="17">
        <v>110</v>
      </c>
      <c r="G352" s="18">
        <v>825</v>
      </c>
      <c r="H352" s="30" t="s">
        <v>2293</v>
      </c>
      <c r="J352" s="34"/>
    </row>
    <row r="353" spans="1:10" x14ac:dyDescent="0.25">
      <c r="A353" s="15">
        <v>40886</v>
      </c>
      <c r="B353" s="16" t="s">
        <v>865</v>
      </c>
      <c r="C353" t="s">
        <v>8</v>
      </c>
      <c r="D353" t="s">
        <v>48</v>
      </c>
      <c r="E353" s="17">
        <v>2</v>
      </c>
      <c r="F353" s="17">
        <v>35.35</v>
      </c>
      <c r="G353" s="18">
        <v>70.7</v>
      </c>
      <c r="H353" s="30" t="s">
        <v>2293</v>
      </c>
      <c r="J353" s="34"/>
    </row>
    <row r="354" spans="1:10" x14ac:dyDescent="0.25">
      <c r="A354" s="15">
        <v>40918</v>
      </c>
      <c r="B354" s="16" t="s">
        <v>920</v>
      </c>
      <c r="C354" t="s">
        <v>871</v>
      </c>
      <c r="D354" t="s">
        <v>48</v>
      </c>
      <c r="E354" s="17">
        <v>8.5</v>
      </c>
      <c r="F354" s="17">
        <v>130</v>
      </c>
      <c r="G354" s="18">
        <v>1105</v>
      </c>
      <c r="H354" s="30" t="s">
        <v>2293</v>
      </c>
      <c r="J354" s="34"/>
    </row>
    <row r="355" spans="1:10" x14ac:dyDescent="0.25">
      <c r="A355" s="15">
        <v>40918</v>
      </c>
      <c r="B355" s="16" t="s">
        <v>880</v>
      </c>
      <c r="C355" t="s">
        <v>881</v>
      </c>
      <c r="D355" t="s">
        <v>48</v>
      </c>
      <c r="E355" s="17">
        <v>9</v>
      </c>
      <c r="F355" s="17">
        <v>95</v>
      </c>
      <c r="G355" s="18">
        <v>855</v>
      </c>
      <c r="H355" s="30" t="s">
        <v>2293</v>
      </c>
      <c r="J355" s="34"/>
    </row>
    <row r="356" spans="1:10" x14ac:dyDescent="0.25">
      <c r="A356" s="15">
        <v>40918</v>
      </c>
      <c r="B356" s="16" t="s">
        <v>921</v>
      </c>
      <c r="C356" t="s">
        <v>8</v>
      </c>
      <c r="D356" t="s">
        <v>48</v>
      </c>
      <c r="E356" s="17">
        <v>9.5</v>
      </c>
      <c r="F356" s="17">
        <v>44.2</v>
      </c>
      <c r="G356" s="18">
        <v>419.9</v>
      </c>
      <c r="H356" s="30" t="s">
        <v>2293</v>
      </c>
      <c r="J356" s="34"/>
    </row>
    <row r="357" spans="1:10" x14ac:dyDescent="0.25">
      <c r="A357" s="15">
        <v>40918</v>
      </c>
      <c r="B357" s="16" t="s">
        <v>865</v>
      </c>
      <c r="C357" t="s">
        <v>8</v>
      </c>
      <c r="D357" t="s">
        <v>48</v>
      </c>
      <c r="E357" s="17">
        <v>9.5</v>
      </c>
      <c r="F357" s="17">
        <v>35.35</v>
      </c>
      <c r="G357" s="18">
        <v>335.82499999999999</v>
      </c>
      <c r="H357" s="30" t="s">
        <v>2293</v>
      </c>
      <c r="J357" s="34"/>
    </row>
    <row r="358" spans="1:10" x14ac:dyDescent="0.25">
      <c r="A358" s="15">
        <v>40919</v>
      </c>
      <c r="B358" s="16" t="s">
        <v>920</v>
      </c>
      <c r="C358" t="s">
        <v>871</v>
      </c>
      <c r="D358" t="s">
        <v>48</v>
      </c>
      <c r="E358" s="17">
        <v>8</v>
      </c>
      <c r="F358" s="17">
        <v>130</v>
      </c>
      <c r="G358" s="18">
        <v>1040</v>
      </c>
      <c r="H358" s="30" t="s">
        <v>2293</v>
      </c>
      <c r="J358" s="34"/>
    </row>
    <row r="359" spans="1:10" x14ac:dyDescent="0.25">
      <c r="A359" s="15">
        <v>40919</v>
      </c>
      <c r="B359" s="16" t="s">
        <v>922</v>
      </c>
      <c r="C359" t="s">
        <v>886</v>
      </c>
      <c r="D359" t="s">
        <v>48</v>
      </c>
      <c r="E359" s="17">
        <v>5.5</v>
      </c>
      <c r="F359" s="17">
        <v>95</v>
      </c>
      <c r="G359" s="18">
        <v>522.5</v>
      </c>
      <c r="H359" s="30" t="s">
        <v>2293</v>
      </c>
      <c r="J359" s="34"/>
    </row>
    <row r="360" spans="1:10" x14ac:dyDescent="0.25">
      <c r="A360" s="15">
        <v>40919</v>
      </c>
      <c r="B360" s="16" t="s">
        <v>880</v>
      </c>
      <c r="C360" t="s">
        <v>881</v>
      </c>
      <c r="D360" t="s">
        <v>48</v>
      </c>
      <c r="E360" s="17">
        <v>8.5</v>
      </c>
      <c r="F360" s="17">
        <v>95</v>
      </c>
      <c r="G360" s="18">
        <v>807.5</v>
      </c>
      <c r="H360" s="30" t="s">
        <v>2293</v>
      </c>
      <c r="J360" s="34"/>
    </row>
    <row r="361" spans="1:10" x14ac:dyDescent="0.25">
      <c r="A361" s="15">
        <v>40919</v>
      </c>
      <c r="B361" s="16" t="s">
        <v>922</v>
      </c>
      <c r="C361" t="s">
        <v>886</v>
      </c>
      <c r="D361" t="s">
        <v>48</v>
      </c>
      <c r="E361" s="17">
        <v>3</v>
      </c>
      <c r="F361" s="17">
        <v>125</v>
      </c>
      <c r="G361" s="18">
        <v>375</v>
      </c>
      <c r="H361" s="30" t="s">
        <v>2293</v>
      </c>
      <c r="J361" s="34"/>
    </row>
    <row r="362" spans="1:10" x14ac:dyDescent="0.25">
      <c r="A362" s="15">
        <v>40919</v>
      </c>
      <c r="B362" s="16" t="s">
        <v>921</v>
      </c>
      <c r="C362" t="s">
        <v>8</v>
      </c>
      <c r="D362" t="s">
        <v>48</v>
      </c>
      <c r="E362" s="17">
        <v>9.5</v>
      </c>
      <c r="F362" s="17">
        <v>44.2</v>
      </c>
      <c r="G362" s="18">
        <v>419.9</v>
      </c>
      <c r="H362" s="30" t="s">
        <v>2293</v>
      </c>
      <c r="J362" s="34"/>
    </row>
    <row r="363" spans="1:10" x14ac:dyDescent="0.25">
      <c r="A363" s="15">
        <v>40919</v>
      </c>
      <c r="B363" s="16" t="s">
        <v>865</v>
      </c>
      <c r="C363" t="s">
        <v>8</v>
      </c>
      <c r="D363" t="s">
        <v>48</v>
      </c>
      <c r="E363" s="17">
        <v>9.5</v>
      </c>
      <c r="F363" s="17">
        <v>35.35</v>
      </c>
      <c r="G363" s="18">
        <v>335.82499999999999</v>
      </c>
      <c r="H363" s="30" t="s">
        <v>2293</v>
      </c>
      <c r="J363" s="34"/>
    </row>
    <row r="364" spans="1:10" x14ac:dyDescent="0.25">
      <c r="A364" s="15">
        <v>40920</v>
      </c>
      <c r="B364" s="16" t="s">
        <v>920</v>
      </c>
      <c r="C364" t="s">
        <v>871</v>
      </c>
      <c r="D364" t="s">
        <v>48</v>
      </c>
      <c r="E364" s="17">
        <v>9</v>
      </c>
      <c r="F364" s="17">
        <v>130</v>
      </c>
      <c r="G364" s="18">
        <v>1170</v>
      </c>
      <c r="H364" s="30" t="s">
        <v>2293</v>
      </c>
      <c r="J364" s="34"/>
    </row>
    <row r="365" spans="1:10" x14ac:dyDescent="0.25">
      <c r="A365" s="15">
        <v>40920</v>
      </c>
      <c r="B365" s="16" t="s">
        <v>880</v>
      </c>
      <c r="C365" t="s">
        <v>881</v>
      </c>
      <c r="D365" t="s">
        <v>48</v>
      </c>
      <c r="E365" s="17">
        <v>8</v>
      </c>
      <c r="F365" s="17">
        <v>95</v>
      </c>
      <c r="G365" s="18">
        <v>760</v>
      </c>
      <c r="H365" s="30" t="s">
        <v>2293</v>
      </c>
      <c r="J365" s="34"/>
    </row>
    <row r="366" spans="1:10" x14ac:dyDescent="0.25">
      <c r="A366" s="15">
        <v>40920</v>
      </c>
      <c r="B366" s="16" t="s">
        <v>921</v>
      </c>
      <c r="C366" t="s">
        <v>8</v>
      </c>
      <c r="D366" t="s">
        <v>48</v>
      </c>
      <c r="E366" s="17">
        <v>9.5</v>
      </c>
      <c r="F366" s="17">
        <v>44.2</v>
      </c>
      <c r="G366" s="18">
        <v>419.9</v>
      </c>
      <c r="H366" s="30" t="s">
        <v>2293</v>
      </c>
      <c r="J366" s="34"/>
    </row>
    <row r="367" spans="1:10" x14ac:dyDescent="0.25">
      <c r="A367" s="15">
        <v>40920</v>
      </c>
      <c r="B367" s="16" t="s">
        <v>865</v>
      </c>
      <c r="C367" t="s">
        <v>8</v>
      </c>
      <c r="D367" t="s">
        <v>48</v>
      </c>
      <c r="E367" s="17">
        <v>9.5</v>
      </c>
      <c r="F367" s="17">
        <v>35.35</v>
      </c>
      <c r="G367" s="18">
        <v>335.82499999999999</v>
      </c>
      <c r="H367" s="30" t="s">
        <v>2293</v>
      </c>
      <c r="J367" s="34"/>
    </row>
    <row r="368" spans="1:10" x14ac:dyDescent="0.25">
      <c r="A368" s="15">
        <v>40921</v>
      </c>
      <c r="B368" s="16" t="s">
        <v>920</v>
      </c>
      <c r="C368" t="s">
        <v>871</v>
      </c>
      <c r="D368" t="s">
        <v>48</v>
      </c>
      <c r="E368" s="17">
        <v>6</v>
      </c>
      <c r="F368" s="17">
        <v>130</v>
      </c>
      <c r="G368" s="18">
        <v>780</v>
      </c>
      <c r="H368" s="30" t="s">
        <v>2293</v>
      </c>
      <c r="J368" s="34"/>
    </row>
    <row r="369" spans="1:10" x14ac:dyDescent="0.25">
      <c r="A369" s="15">
        <v>40921</v>
      </c>
      <c r="B369" s="16" t="s">
        <v>865</v>
      </c>
      <c r="C369" t="s">
        <v>8</v>
      </c>
      <c r="D369" t="s">
        <v>48</v>
      </c>
      <c r="E369" s="17">
        <v>6</v>
      </c>
      <c r="F369" s="17">
        <v>35.35</v>
      </c>
      <c r="G369" s="18">
        <v>212.1</v>
      </c>
      <c r="H369" s="30" t="s">
        <v>2293</v>
      </c>
      <c r="J369" s="34"/>
    </row>
    <row r="370" spans="1:10" x14ac:dyDescent="0.25">
      <c r="A370" s="15">
        <v>40921</v>
      </c>
      <c r="B370" s="16" t="s">
        <v>865</v>
      </c>
      <c r="C370" t="s">
        <v>8</v>
      </c>
      <c r="D370" t="s">
        <v>48</v>
      </c>
      <c r="E370" s="17">
        <v>2.5</v>
      </c>
      <c r="F370" s="17">
        <v>35.35</v>
      </c>
      <c r="G370" s="18">
        <v>88.375</v>
      </c>
      <c r="H370" s="30" t="s">
        <v>2293</v>
      </c>
      <c r="J370" s="34"/>
    </row>
    <row r="371" spans="1:10" x14ac:dyDescent="0.25">
      <c r="A371" s="15">
        <v>40921</v>
      </c>
      <c r="B371" s="16" t="s">
        <v>880</v>
      </c>
      <c r="C371" t="s">
        <v>881</v>
      </c>
      <c r="D371" t="s">
        <v>48</v>
      </c>
      <c r="E371" s="17">
        <v>5.5</v>
      </c>
      <c r="F371" s="17">
        <v>95</v>
      </c>
      <c r="G371" s="18">
        <v>522.5</v>
      </c>
      <c r="H371" s="30" t="s">
        <v>2293</v>
      </c>
      <c r="J371" s="34"/>
    </row>
    <row r="372" spans="1:10" x14ac:dyDescent="0.25">
      <c r="A372" s="15">
        <v>40924</v>
      </c>
      <c r="B372" s="16" t="s">
        <v>865</v>
      </c>
      <c r="C372" t="s">
        <v>8</v>
      </c>
      <c r="D372" t="s">
        <v>48</v>
      </c>
      <c r="E372" s="17">
        <v>5</v>
      </c>
      <c r="F372" s="17">
        <v>35.35</v>
      </c>
      <c r="G372" s="18">
        <v>176.75</v>
      </c>
      <c r="H372" s="30" t="s">
        <v>2293</v>
      </c>
      <c r="J372" s="34"/>
    </row>
    <row r="373" spans="1:10" x14ac:dyDescent="0.25">
      <c r="A373" s="15">
        <v>40924</v>
      </c>
      <c r="B373" s="16" t="s">
        <v>869</v>
      </c>
      <c r="C373" t="s">
        <v>8</v>
      </c>
      <c r="D373" t="s">
        <v>48</v>
      </c>
      <c r="E373" s="17">
        <v>5</v>
      </c>
      <c r="F373" s="17">
        <v>35.35</v>
      </c>
      <c r="G373" s="18">
        <v>176.75</v>
      </c>
      <c r="H373" s="30" t="s">
        <v>2293</v>
      </c>
      <c r="J373" s="34"/>
    </row>
    <row r="374" spans="1:10" x14ac:dyDescent="0.25">
      <c r="A374" s="15">
        <v>40924</v>
      </c>
      <c r="B374" s="16" t="s">
        <v>869</v>
      </c>
      <c r="C374" t="s">
        <v>8</v>
      </c>
      <c r="D374" t="s">
        <v>48</v>
      </c>
      <c r="E374" s="17">
        <v>3</v>
      </c>
      <c r="F374" s="17">
        <v>35.35</v>
      </c>
      <c r="G374" s="18">
        <v>106.05</v>
      </c>
      <c r="H374" s="30" t="s">
        <v>2293</v>
      </c>
      <c r="J374" s="34"/>
    </row>
    <row r="375" spans="1:10" x14ac:dyDescent="0.25">
      <c r="A375" s="15">
        <v>40924</v>
      </c>
      <c r="B375" s="16" t="s">
        <v>921</v>
      </c>
      <c r="C375" t="s">
        <v>8</v>
      </c>
      <c r="D375" t="s">
        <v>48</v>
      </c>
      <c r="E375" s="17">
        <v>3</v>
      </c>
      <c r="F375" s="17">
        <v>44.2</v>
      </c>
      <c r="G375" s="18">
        <v>132.6</v>
      </c>
      <c r="H375" s="30" t="s">
        <v>2293</v>
      </c>
      <c r="J375" s="34"/>
    </row>
    <row r="376" spans="1:10" x14ac:dyDescent="0.25">
      <c r="A376" s="15">
        <v>40926</v>
      </c>
      <c r="B376" s="16" t="s">
        <v>922</v>
      </c>
      <c r="C376" t="s">
        <v>886</v>
      </c>
      <c r="D376" t="s">
        <v>48</v>
      </c>
      <c r="E376" s="17">
        <v>4.5</v>
      </c>
      <c r="F376" s="17">
        <v>95</v>
      </c>
      <c r="G376" s="18">
        <v>427.5</v>
      </c>
      <c r="H376" s="30" t="s">
        <v>2293</v>
      </c>
      <c r="J376" s="34"/>
    </row>
    <row r="377" spans="1:10" x14ac:dyDescent="0.25">
      <c r="A377" s="15">
        <v>40926</v>
      </c>
      <c r="B377" s="16" t="s">
        <v>880</v>
      </c>
      <c r="C377" t="s">
        <v>881</v>
      </c>
      <c r="D377" t="s">
        <v>48</v>
      </c>
      <c r="E377" s="17">
        <v>8.5</v>
      </c>
      <c r="F377" s="17">
        <v>95</v>
      </c>
      <c r="G377" s="18">
        <v>807.5</v>
      </c>
      <c r="H377" s="30" t="s">
        <v>2293</v>
      </c>
      <c r="J377" s="34"/>
    </row>
    <row r="378" spans="1:10" x14ac:dyDescent="0.25">
      <c r="A378" s="15">
        <v>40926</v>
      </c>
      <c r="B378" s="16" t="s">
        <v>863</v>
      </c>
      <c r="C378" t="s">
        <v>864</v>
      </c>
      <c r="D378" t="s">
        <v>48</v>
      </c>
      <c r="E378" s="17">
        <v>4</v>
      </c>
      <c r="F378" s="17">
        <v>110</v>
      </c>
      <c r="G378" s="18">
        <v>440</v>
      </c>
      <c r="H378" s="30" t="s">
        <v>2293</v>
      </c>
      <c r="J378" s="34"/>
    </row>
    <row r="379" spans="1:10" x14ac:dyDescent="0.25">
      <c r="A379" s="15">
        <v>40926</v>
      </c>
      <c r="B379" s="16" t="s">
        <v>920</v>
      </c>
      <c r="C379" t="s">
        <v>871</v>
      </c>
      <c r="D379" t="s">
        <v>48</v>
      </c>
      <c r="E379" s="17">
        <v>9</v>
      </c>
      <c r="F379" s="17">
        <v>130</v>
      </c>
      <c r="G379" s="18">
        <v>1170</v>
      </c>
      <c r="H379" s="30" t="s">
        <v>2293</v>
      </c>
      <c r="J379" s="34"/>
    </row>
    <row r="380" spans="1:10" x14ac:dyDescent="0.25">
      <c r="A380" s="15">
        <v>40926</v>
      </c>
      <c r="B380" s="16" t="s">
        <v>865</v>
      </c>
      <c r="C380" t="s">
        <v>8</v>
      </c>
      <c r="D380" t="s">
        <v>48</v>
      </c>
      <c r="E380" s="17">
        <v>9.5</v>
      </c>
      <c r="F380" s="17">
        <v>35.35</v>
      </c>
      <c r="G380" s="18">
        <v>335.82499999999999</v>
      </c>
      <c r="H380" s="30" t="s">
        <v>2293</v>
      </c>
      <c r="J380" s="34"/>
    </row>
    <row r="381" spans="1:10" x14ac:dyDescent="0.25">
      <c r="A381" s="15">
        <v>40926</v>
      </c>
      <c r="B381" s="16" t="s">
        <v>865</v>
      </c>
      <c r="C381" t="s">
        <v>8</v>
      </c>
      <c r="D381" t="s">
        <v>48</v>
      </c>
      <c r="E381" s="17">
        <v>9.5</v>
      </c>
      <c r="F381" s="17">
        <v>35.35</v>
      </c>
      <c r="G381" s="18">
        <v>335.82499999999999</v>
      </c>
      <c r="H381" s="30" t="s">
        <v>2293</v>
      </c>
      <c r="J381" s="34"/>
    </row>
    <row r="382" spans="1:10" x14ac:dyDescent="0.25">
      <c r="A382" s="15">
        <v>40927</v>
      </c>
      <c r="B382" s="16" t="s">
        <v>922</v>
      </c>
      <c r="C382" t="s">
        <v>886</v>
      </c>
      <c r="D382" t="s">
        <v>48</v>
      </c>
      <c r="E382" s="17">
        <v>9.5</v>
      </c>
      <c r="F382" s="17">
        <v>95</v>
      </c>
      <c r="G382" s="18">
        <v>902.5</v>
      </c>
      <c r="H382" s="30" t="s">
        <v>2293</v>
      </c>
      <c r="J382" s="34"/>
    </row>
    <row r="383" spans="1:10" x14ac:dyDescent="0.25">
      <c r="A383" s="15">
        <v>40927</v>
      </c>
      <c r="B383" s="16" t="s">
        <v>920</v>
      </c>
      <c r="C383" t="s">
        <v>871</v>
      </c>
      <c r="D383" t="s">
        <v>48</v>
      </c>
      <c r="E383" s="17">
        <v>9</v>
      </c>
      <c r="F383" s="17">
        <v>130</v>
      </c>
      <c r="G383" s="18">
        <v>1170</v>
      </c>
      <c r="H383" s="30" t="s">
        <v>2293</v>
      </c>
      <c r="J383" s="34"/>
    </row>
    <row r="384" spans="1:10" x14ac:dyDescent="0.25">
      <c r="A384" s="15">
        <v>40927</v>
      </c>
      <c r="B384" s="16" t="s">
        <v>863</v>
      </c>
      <c r="C384" t="s">
        <v>864</v>
      </c>
      <c r="D384" t="s">
        <v>48</v>
      </c>
      <c r="E384" s="17">
        <v>2</v>
      </c>
      <c r="F384" s="17">
        <v>110</v>
      </c>
      <c r="G384" s="18">
        <v>220</v>
      </c>
      <c r="H384" s="30" t="s">
        <v>2293</v>
      </c>
      <c r="J384" s="34"/>
    </row>
    <row r="385" spans="1:10" x14ac:dyDescent="0.25">
      <c r="A385" s="15">
        <v>40927</v>
      </c>
      <c r="B385" s="16" t="s">
        <v>880</v>
      </c>
      <c r="C385" t="s">
        <v>881</v>
      </c>
      <c r="D385" t="s">
        <v>48</v>
      </c>
      <c r="E385" s="17">
        <v>9</v>
      </c>
      <c r="F385" s="17">
        <v>95</v>
      </c>
      <c r="G385" s="18">
        <v>855</v>
      </c>
      <c r="H385" s="30" t="s">
        <v>2293</v>
      </c>
      <c r="J385" s="34"/>
    </row>
    <row r="386" spans="1:10" x14ac:dyDescent="0.25">
      <c r="A386" s="15">
        <v>40927</v>
      </c>
      <c r="B386" s="16" t="s">
        <v>865</v>
      </c>
      <c r="C386" t="s">
        <v>8</v>
      </c>
      <c r="D386" t="s">
        <v>48</v>
      </c>
      <c r="E386" s="17">
        <v>9.5</v>
      </c>
      <c r="F386" s="17">
        <v>35.35</v>
      </c>
      <c r="G386" s="18">
        <v>335.82499999999999</v>
      </c>
      <c r="H386" s="30" t="s">
        <v>2293</v>
      </c>
      <c r="J386" s="34"/>
    </row>
    <row r="387" spans="1:10" x14ac:dyDescent="0.25">
      <c r="A387" s="15">
        <v>40927</v>
      </c>
      <c r="B387" s="16" t="s">
        <v>865</v>
      </c>
      <c r="C387" t="s">
        <v>8</v>
      </c>
      <c r="D387" t="s">
        <v>48</v>
      </c>
      <c r="E387" s="17">
        <v>6.5</v>
      </c>
      <c r="F387" s="17">
        <v>35.35</v>
      </c>
      <c r="G387" s="18">
        <v>229.77500000000001</v>
      </c>
      <c r="H387" s="30" t="s">
        <v>2293</v>
      </c>
      <c r="J387" s="34"/>
    </row>
    <row r="388" spans="1:10" x14ac:dyDescent="0.25">
      <c r="A388" s="15">
        <v>40927</v>
      </c>
      <c r="B388" s="16" t="s">
        <v>869</v>
      </c>
      <c r="C388" t="s">
        <v>8</v>
      </c>
      <c r="D388" t="s">
        <v>48</v>
      </c>
      <c r="E388" s="17">
        <v>2.5</v>
      </c>
      <c r="F388" s="17">
        <v>35.35</v>
      </c>
      <c r="G388" s="18">
        <v>88.375</v>
      </c>
      <c r="H388" s="30" t="s">
        <v>2293</v>
      </c>
      <c r="J388" s="34"/>
    </row>
    <row r="389" spans="1:10" x14ac:dyDescent="0.25">
      <c r="A389" s="15">
        <v>40928</v>
      </c>
      <c r="B389" s="16" t="s">
        <v>865</v>
      </c>
      <c r="C389" t="s">
        <v>8</v>
      </c>
      <c r="D389" t="s">
        <v>48</v>
      </c>
      <c r="E389" s="17">
        <v>9.5</v>
      </c>
      <c r="F389" s="17">
        <v>35.35</v>
      </c>
      <c r="G389" s="18">
        <v>335.82499999999999</v>
      </c>
      <c r="H389" s="30" t="s">
        <v>2293</v>
      </c>
      <c r="J389" s="34"/>
    </row>
    <row r="390" spans="1:10" x14ac:dyDescent="0.25">
      <c r="A390" s="15">
        <v>40928</v>
      </c>
      <c r="B390" s="16" t="s">
        <v>869</v>
      </c>
      <c r="C390" t="s">
        <v>8</v>
      </c>
      <c r="D390" t="s">
        <v>48</v>
      </c>
      <c r="E390" s="17">
        <v>2.5</v>
      </c>
      <c r="F390" s="17">
        <v>35.35</v>
      </c>
      <c r="G390" s="18">
        <v>88.375</v>
      </c>
      <c r="H390" s="30" t="s">
        <v>2293</v>
      </c>
      <c r="J390" s="34"/>
    </row>
    <row r="391" spans="1:10" x14ac:dyDescent="0.25">
      <c r="A391" s="15">
        <v>40928</v>
      </c>
      <c r="B391" s="16" t="s">
        <v>865</v>
      </c>
      <c r="C391" t="s">
        <v>8</v>
      </c>
      <c r="D391" t="s">
        <v>48</v>
      </c>
      <c r="E391" s="17">
        <v>9.5</v>
      </c>
      <c r="F391" s="17">
        <v>35.35</v>
      </c>
      <c r="G391" s="18">
        <v>335.82499999999999</v>
      </c>
      <c r="H391" s="30" t="s">
        <v>2293</v>
      </c>
      <c r="J391" s="34"/>
    </row>
    <row r="392" spans="1:10" x14ac:dyDescent="0.25">
      <c r="A392" s="15">
        <v>40928</v>
      </c>
      <c r="B392" s="16" t="s">
        <v>922</v>
      </c>
      <c r="C392" t="s">
        <v>886</v>
      </c>
      <c r="D392" t="s">
        <v>48</v>
      </c>
      <c r="E392" s="17">
        <v>9</v>
      </c>
      <c r="F392" s="17">
        <v>95</v>
      </c>
      <c r="G392" s="18">
        <v>855</v>
      </c>
      <c r="H392" s="30" t="s">
        <v>2293</v>
      </c>
      <c r="J392" s="34"/>
    </row>
    <row r="393" spans="1:10" x14ac:dyDescent="0.25">
      <c r="A393" s="15">
        <v>40928</v>
      </c>
      <c r="B393" s="16" t="s">
        <v>880</v>
      </c>
      <c r="C393" t="s">
        <v>881</v>
      </c>
      <c r="D393" t="s">
        <v>48</v>
      </c>
      <c r="E393" s="17">
        <v>9</v>
      </c>
      <c r="F393" s="17">
        <v>95</v>
      </c>
      <c r="G393" s="18">
        <v>855</v>
      </c>
      <c r="H393" s="30" t="s">
        <v>2293</v>
      </c>
      <c r="J393" s="34"/>
    </row>
    <row r="394" spans="1:10" x14ac:dyDescent="0.25">
      <c r="A394" s="15">
        <v>40928</v>
      </c>
      <c r="B394" s="16" t="s">
        <v>920</v>
      </c>
      <c r="C394" t="s">
        <v>871</v>
      </c>
      <c r="D394" t="s">
        <v>48</v>
      </c>
      <c r="E394" s="17">
        <v>9.5</v>
      </c>
      <c r="F394" s="17">
        <v>130</v>
      </c>
      <c r="G394" s="18">
        <v>1235</v>
      </c>
      <c r="H394" s="30" t="s">
        <v>2293</v>
      </c>
      <c r="J394" s="34"/>
    </row>
    <row r="395" spans="1:10" x14ac:dyDescent="0.25">
      <c r="A395" s="15">
        <v>40929</v>
      </c>
      <c r="B395" s="16" t="s">
        <v>865</v>
      </c>
      <c r="C395" t="s">
        <v>8</v>
      </c>
      <c r="D395" t="s">
        <v>48</v>
      </c>
      <c r="E395" s="17">
        <v>2</v>
      </c>
      <c r="F395" s="17">
        <v>35.35</v>
      </c>
      <c r="G395" s="18">
        <v>70.7</v>
      </c>
      <c r="H395" s="30" t="s">
        <v>2293</v>
      </c>
      <c r="J395" s="34"/>
    </row>
    <row r="396" spans="1:10" x14ac:dyDescent="0.25">
      <c r="A396" s="15">
        <v>40929</v>
      </c>
      <c r="B396" s="16" t="s">
        <v>920</v>
      </c>
      <c r="C396" t="s">
        <v>871</v>
      </c>
      <c r="D396" t="s">
        <v>48</v>
      </c>
      <c r="E396" s="17">
        <v>1</v>
      </c>
      <c r="F396" s="17">
        <v>130</v>
      </c>
      <c r="G396" s="18">
        <v>130</v>
      </c>
      <c r="H396" s="30" t="s">
        <v>2293</v>
      </c>
      <c r="J396" s="34"/>
    </row>
    <row r="397" spans="1:10" x14ac:dyDescent="0.25">
      <c r="A397" s="15">
        <v>40929</v>
      </c>
      <c r="B397" s="16" t="s">
        <v>865</v>
      </c>
      <c r="C397" t="s">
        <v>8</v>
      </c>
      <c r="D397" t="s">
        <v>48</v>
      </c>
      <c r="E397" s="17">
        <v>2</v>
      </c>
      <c r="F397" s="17">
        <v>35.35</v>
      </c>
      <c r="G397" s="18">
        <v>70.7</v>
      </c>
      <c r="H397" s="30" t="s">
        <v>2293</v>
      </c>
      <c r="J397" s="34"/>
    </row>
    <row r="398" spans="1:10" x14ac:dyDescent="0.25">
      <c r="A398" s="15">
        <v>40929</v>
      </c>
      <c r="B398" s="16" t="s">
        <v>880</v>
      </c>
      <c r="C398" t="s">
        <v>881</v>
      </c>
      <c r="D398" t="s">
        <v>48</v>
      </c>
      <c r="E398" s="17">
        <v>2</v>
      </c>
      <c r="F398" s="17">
        <v>95</v>
      </c>
      <c r="G398" s="18">
        <v>190</v>
      </c>
      <c r="H398" s="30" t="s">
        <v>2293</v>
      </c>
      <c r="J398" s="34"/>
    </row>
    <row r="399" spans="1:10" x14ac:dyDescent="0.25">
      <c r="A399" s="15">
        <v>40935</v>
      </c>
      <c r="B399" s="16" t="s">
        <v>880</v>
      </c>
      <c r="C399" t="s">
        <v>881</v>
      </c>
      <c r="D399" t="s">
        <v>48</v>
      </c>
      <c r="E399" s="17">
        <v>8.5</v>
      </c>
      <c r="F399" s="17">
        <v>90</v>
      </c>
      <c r="G399" s="18">
        <v>765</v>
      </c>
      <c r="H399" s="30" t="s">
        <v>2293</v>
      </c>
      <c r="J399" s="34"/>
    </row>
    <row r="400" spans="1:10" x14ac:dyDescent="0.25">
      <c r="A400" s="15">
        <v>40935</v>
      </c>
      <c r="B400" s="16" t="s">
        <v>923</v>
      </c>
      <c r="C400" t="s">
        <v>924</v>
      </c>
      <c r="D400" t="s">
        <v>48</v>
      </c>
      <c r="E400" s="17">
        <v>8.75</v>
      </c>
      <c r="F400" s="17">
        <v>85</v>
      </c>
      <c r="G400" s="18">
        <v>743.75</v>
      </c>
      <c r="H400" s="30" t="s">
        <v>2293</v>
      </c>
      <c r="J400" s="34"/>
    </row>
    <row r="401" spans="1:10" x14ac:dyDescent="0.25">
      <c r="A401" s="15">
        <v>40935</v>
      </c>
      <c r="B401" s="16" t="s">
        <v>920</v>
      </c>
      <c r="C401" t="s">
        <v>871</v>
      </c>
      <c r="D401" t="s">
        <v>48</v>
      </c>
      <c r="E401" s="17">
        <v>7.5</v>
      </c>
      <c r="F401" s="17">
        <v>130</v>
      </c>
      <c r="G401" s="18">
        <v>975</v>
      </c>
      <c r="H401" s="30" t="s">
        <v>2293</v>
      </c>
      <c r="J401" s="34"/>
    </row>
    <row r="402" spans="1:10" x14ac:dyDescent="0.25">
      <c r="A402" s="15">
        <v>40935</v>
      </c>
      <c r="B402" s="16" t="s">
        <v>865</v>
      </c>
      <c r="C402" t="s">
        <v>8</v>
      </c>
      <c r="D402" t="s">
        <v>48</v>
      </c>
      <c r="E402" s="17">
        <v>6.5</v>
      </c>
      <c r="F402" s="17">
        <v>35.35</v>
      </c>
      <c r="G402" s="18">
        <v>229.77500000000001</v>
      </c>
      <c r="H402" s="30" t="s">
        <v>2293</v>
      </c>
      <c r="J402" s="34"/>
    </row>
    <row r="403" spans="1:10" x14ac:dyDescent="0.25">
      <c r="A403" s="15">
        <v>40935</v>
      </c>
      <c r="B403" s="16" t="s">
        <v>867</v>
      </c>
      <c r="C403" t="s">
        <v>868</v>
      </c>
      <c r="D403" t="s">
        <v>48</v>
      </c>
      <c r="E403" s="17">
        <v>8</v>
      </c>
      <c r="F403" s="17">
        <v>90</v>
      </c>
      <c r="G403" s="18">
        <v>720</v>
      </c>
      <c r="H403" s="30" t="s">
        <v>2293</v>
      </c>
      <c r="J403" s="34"/>
    </row>
    <row r="404" spans="1:10" x14ac:dyDescent="0.25">
      <c r="A404" s="15">
        <v>40935</v>
      </c>
      <c r="B404" s="16" t="s">
        <v>865</v>
      </c>
      <c r="C404" t="s">
        <v>8</v>
      </c>
      <c r="D404" t="s">
        <v>48</v>
      </c>
      <c r="E404" s="17">
        <v>6.5</v>
      </c>
      <c r="F404" s="17">
        <v>35.35</v>
      </c>
      <c r="G404" s="18">
        <v>229.77500000000001</v>
      </c>
      <c r="H404" s="30" t="s">
        <v>2293</v>
      </c>
      <c r="J404" s="34"/>
    </row>
    <row r="405" spans="1:10" x14ac:dyDescent="0.25">
      <c r="A405" s="15">
        <v>40935</v>
      </c>
      <c r="B405" s="16" t="s">
        <v>865</v>
      </c>
      <c r="C405" t="s">
        <v>8</v>
      </c>
      <c r="D405" t="s">
        <v>48</v>
      </c>
      <c r="E405" s="17">
        <v>3</v>
      </c>
      <c r="F405" s="17">
        <v>35.35</v>
      </c>
      <c r="G405" s="18">
        <v>106.05</v>
      </c>
      <c r="H405" s="30" t="s">
        <v>2293</v>
      </c>
      <c r="J405" s="34"/>
    </row>
    <row r="406" spans="1:10" x14ac:dyDescent="0.25">
      <c r="A406" s="15">
        <v>40936</v>
      </c>
      <c r="B406" s="16" t="s">
        <v>920</v>
      </c>
      <c r="C406" t="s">
        <v>871</v>
      </c>
      <c r="D406" t="s">
        <v>48</v>
      </c>
      <c r="E406" s="17">
        <v>5</v>
      </c>
      <c r="F406" s="17">
        <v>130</v>
      </c>
      <c r="G406" s="18">
        <v>650</v>
      </c>
      <c r="H406" s="30" t="s">
        <v>2293</v>
      </c>
      <c r="J406" s="34"/>
    </row>
    <row r="407" spans="1:10" x14ac:dyDescent="0.25">
      <c r="A407" s="15">
        <v>40936</v>
      </c>
      <c r="B407" s="16" t="s">
        <v>865</v>
      </c>
      <c r="C407" t="s">
        <v>8</v>
      </c>
      <c r="D407" t="s">
        <v>48</v>
      </c>
      <c r="E407" s="17">
        <v>2</v>
      </c>
      <c r="F407" s="17">
        <v>35.35</v>
      </c>
      <c r="G407" s="18">
        <v>70.7</v>
      </c>
      <c r="H407" s="30" t="s">
        <v>2293</v>
      </c>
      <c r="J407" s="34"/>
    </row>
    <row r="408" spans="1:10" x14ac:dyDescent="0.25">
      <c r="A408" s="15">
        <v>40936</v>
      </c>
      <c r="B408" s="16" t="s">
        <v>880</v>
      </c>
      <c r="C408" t="s">
        <v>881</v>
      </c>
      <c r="D408" t="s">
        <v>48</v>
      </c>
      <c r="E408" s="17">
        <v>4</v>
      </c>
      <c r="F408" s="17">
        <v>90</v>
      </c>
      <c r="G408" s="18">
        <v>360</v>
      </c>
      <c r="H408" s="30" t="s">
        <v>2293</v>
      </c>
      <c r="J408" s="34"/>
    </row>
    <row r="409" spans="1:10" x14ac:dyDescent="0.25">
      <c r="A409" s="15">
        <v>40936</v>
      </c>
      <c r="B409" s="16" t="s">
        <v>925</v>
      </c>
      <c r="C409" t="s">
        <v>924</v>
      </c>
      <c r="D409" t="s">
        <v>48</v>
      </c>
      <c r="E409" s="17">
        <v>4</v>
      </c>
      <c r="F409" s="17">
        <v>85</v>
      </c>
      <c r="G409" s="18">
        <v>340</v>
      </c>
      <c r="H409" s="30" t="s">
        <v>2293</v>
      </c>
      <c r="J409" s="34"/>
    </row>
    <row r="410" spans="1:10" x14ac:dyDescent="0.25">
      <c r="A410" s="15">
        <v>40936</v>
      </c>
      <c r="B410" s="16" t="s">
        <v>865</v>
      </c>
      <c r="C410" t="s">
        <v>8</v>
      </c>
      <c r="D410" t="s">
        <v>48</v>
      </c>
      <c r="E410" s="17">
        <v>5.5</v>
      </c>
      <c r="F410" s="17">
        <v>35.35</v>
      </c>
      <c r="G410" s="18">
        <v>194.42500000000001</v>
      </c>
      <c r="H410" s="30" t="s">
        <v>2293</v>
      </c>
      <c r="J410" s="34"/>
    </row>
    <row r="411" spans="1:10" x14ac:dyDescent="0.25">
      <c r="A411" s="15">
        <v>40937</v>
      </c>
      <c r="B411" s="16" t="s">
        <v>877</v>
      </c>
      <c r="C411" t="s">
        <v>868</v>
      </c>
      <c r="D411" t="s">
        <v>48</v>
      </c>
      <c r="E411" s="17">
        <v>5</v>
      </c>
      <c r="F411" s="17">
        <v>90</v>
      </c>
      <c r="G411" s="18">
        <v>450</v>
      </c>
      <c r="H411" s="30" t="s">
        <v>2293</v>
      </c>
      <c r="J411" s="34"/>
    </row>
    <row r="412" spans="1:10" x14ac:dyDescent="0.25">
      <c r="A412" s="15">
        <v>40938</v>
      </c>
      <c r="B412" s="16" t="s">
        <v>865</v>
      </c>
      <c r="C412" t="s">
        <v>8</v>
      </c>
      <c r="D412" t="s">
        <v>48</v>
      </c>
      <c r="E412" s="17">
        <v>6</v>
      </c>
      <c r="F412" s="17">
        <v>35.35</v>
      </c>
      <c r="G412" s="18">
        <v>212.1</v>
      </c>
      <c r="H412" s="30" t="s">
        <v>2293</v>
      </c>
      <c r="J412" s="34"/>
    </row>
    <row r="413" spans="1:10" x14ac:dyDescent="0.25">
      <c r="A413" s="15">
        <v>40938</v>
      </c>
      <c r="B413" s="16" t="s">
        <v>920</v>
      </c>
      <c r="C413" t="s">
        <v>871</v>
      </c>
      <c r="D413" t="s">
        <v>48</v>
      </c>
      <c r="E413" s="17">
        <v>5</v>
      </c>
      <c r="F413" s="17">
        <v>130</v>
      </c>
      <c r="G413" s="18">
        <v>650</v>
      </c>
      <c r="H413" s="30" t="s">
        <v>2293</v>
      </c>
      <c r="J413" s="34"/>
    </row>
    <row r="414" spans="1:10" x14ac:dyDescent="0.25">
      <c r="A414" s="15">
        <v>40938</v>
      </c>
      <c r="B414" s="16" t="s">
        <v>926</v>
      </c>
      <c r="C414" t="s">
        <v>924</v>
      </c>
      <c r="D414" t="s">
        <v>48</v>
      </c>
      <c r="E414" s="17">
        <v>5.75</v>
      </c>
      <c r="F414" s="17">
        <v>85</v>
      </c>
      <c r="G414" s="18">
        <v>488.75</v>
      </c>
      <c r="H414" s="30" t="s">
        <v>2293</v>
      </c>
      <c r="J414" s="34"/>
    </row>
    <row r="415" spans="1:10" x14ac:dyDescent="0.25">
      <c r="A415" s="15">
        <v>40939</v>
      </c>
      <c r="B415" s="16" t="s">
        <v>865</v>
      </c>
      <c r="C415" t="s">
        <v>8</v>
      </c>
      <c r="D415" t="s">
        <v>48</v>
      </c>
      <c r="E415" s="17">
        <v>6</v>
      </c>
      <c r="F415" s="17">
        <v>35.35</v>
      </c>
      <c r="G415" s="18">
        <v>212.1</v>
      </c>
      <c r="H415" s="30" t="s">
        <v>2293</v>
      </c>
      <c r="J415" s="34"/>
    </row>
    <row r="416" spans="1:10" x14ac:dyDescent="0.25">
      <c r="A416" s="15">
        <v>40939</v>
      </c>
      <c r="B416" s="16" t="s">
        <v>920</v>
      </c>
      <c r="C416" t="s">
        <v>871</v>
      </c>
      <c r="D416" t="s">
        <v>48</v>
      </c>
      <c r="E416" s="17">
        <v>5</v>
      </c>
      <c r="F416" s="17">
        <v>130</v>
      </c>
      <c r="G416" s="18">
        <v>650</v>
      </c>
      <c r="H416" s="30" t="s">
        <v>2293</v>
      </c>
      <c r="J416" s="34"/>
    </row>
    <row r="417" spans="1:10" x14ac:dyDescent="0.25">
      <c r="A417" s="15">
        <v>40939</v>
      </c>
      <c r="B417" s="16" t="s">
        <v>927</v>
      </c>
      <c r="C417" t="s">
        <v>924</v>
      </c>
      <c r="D417" t="s">
        <v>48</v>
      </c>
      <c r="E417" s="17">
        <v>7.15</v>
      </c>
      <c r="F417" s="17">
        <v>85</v>
      </c>
      <c r="G417" s="18">
        <v>607.75</v>
      </c>
      <c r="H417" s="30" t="s">
        <v>2293</v>
      </c>
      <c r="J417" s="34"/>
    </row>
    <row r="418" spans="1:10" x14ac:dyDescent="0.25">
      <c r="A418" s="15">
        <v>40939</v>
      </c>
      <c r="B418" s="16" t="s">
        <v>865</v>
      </c>
      <c r="C418" t="s">
        <v>8</v>
      </c>
      <c r="D418" t="s">
        <v>48</v>
      </c>
      <c r="E418" s="17">
        <v>4</v>
      </c>
      <c r="F418" s="17">
        <v>35.35</v>
      </c>
      <c r="G418" s="18">
        <v>141.4</v>
      </c>
      <c r="H418" s="30" t="s">
        <v>2293</v>
      </c>
      <c r="J418" s="34"/>
    </row>
    <row r="419" spans="1:10" x14ac:dyDescent="0.25">
      <c r="A419" s="15">
        <v>40939</v>
      </c>
      <c r="B419" s="16" t="s">
        <v>865</v>
      </c>
      <c r="C419" t="s">
        <v>8</v>
      </c>
      <c r="D419" t="s">
        <v>48</v>
      </c>
      <c r="E419" s="17">
        <v>4</v>
      </c>
      <c r="F419" s="17">
        <v>35.35</v>
      </c>
      <c r="G419" s="18">
        <v>141.4</v>
      </c>
      <c r="H419" s="30" t="s">
        <v>2293</v>
      </c>
      <c r="J419" s="34"/>
    </row>
    <row r="420" spans="1:10" x14ac:dyDescent="0.25">
      <c r="A420" s="15">
        <v>40940</v>
      </c>
      <c r="B420" s="16" t="s">
        <v>920</v>
      </c>
      <c r="C420" t="s">
        <v>871</v>
      </c>
      <c r="D420" t="s">
        <v>48</v>
      </c>
      <c r="E420" s="17">
        <v>5</v>
      </c>
      <c r="F420" s="17">
        <v>130</v>
      </c>
      <c r="G420" s="18">
        <v>650</v>
      </c>
      <c r="H420" s="30" t="s">
        <v>2293</v>
      </c>
      <c r="J420" s="34"/>
    </row>
    <row r="421" spans="1:10" x14ac:dyDescent="0.25">
      <c r="A421" s="15">
        <v>40940</v>
      </c>
      <c r="B421" s="16" t="s">
        <v>865</v>
      </c>
      <c r="C421" t="s">
        <v>8</v>
      </c>
      <c r="D421" t="s">
        <v>48</v>
      </c>
      <c r="E421" s="17">
        <v>4</v>
      </c>
      <c r="F421" s="17">
        <v>35.35</v>
      </c>
      <c r="G421" s="18">
        <v>141.4</v>
      </c>
      <c r="H421" s="30" t="s">
        <v>2293</v>
      </c>
      <c r="J421" s="34"/>
    </row>
    <row r="422" spans="1:10" x14ac:dyDescent="0.25">
      <c r="A422" s="15">
        <v>40940</v>
      </c>
      <c r="B422" s="16" t="s">
        <v>865</v>
      </c>
      <c r="C422" t="s">
        <v>8</v>
      </c>
      <c r="D422" t="s">
        <v>48</v>
      </c>
      <c r="E422" s="17">
        <v>4</v>
      </c>
      <c r="F422" s="17">
        <v>35.35</v>
      </c>
      <c r="G422" s="18">
        <v>141.4</v>
      </c>
      <c r="H422" s="30" t="s">
        <v>2293</v>
      </c>
      <c r="J422" s="34"/>
    </row>
    <row r="423" spans="1:10" x14ac:dyDescent="0.25">
      <c r="A423" s="15">
        <v>40940</v>
      </c>
      <c r="B423" s="16" t="s">
        <v>928</v>
      </c>
      <c r="C423" t="s">
        <v>924</v>
      </c>
      <c r="D423" t="s">
        <v>48</v>
      </c>
      <c r="E423" s="17">
        <v>3.5</v>
      </c>
      <c r="F423" s="17">
        <v>85</v>
      </c>
      <c r="G423" s="18">
        <v>297.5</v>
      </c>
      <c r="H423" s="30" t="s">
        <v>2293</v>
      </c>
      <c r="J423" s="34"/>
    </row>
    <row r="424" spans="1:10" x14ac:dyDescent="0.25">
      <c r="A424" s="15">
        <v>40940</v>
      </c>
      <c r="B424" s="16" t="s">
        <v>865</v>
      </c>
      <c r="C424" t="s">
        <v>8</v>
      </c>
      <c r="D424" t="s">
        <v>48</v>
      </c>
      <c r="E424" s="17">
        <v>4</v>
      </c>
      <c r="F424" s="17">
        <v>35.35</v>
      </c>
      <c r="G424" s="18">
        <v>141.4</v>
      </c>
      <c r="H424" s="30" t="s">
        <v>2293</v>
      </c>
      <c r="J424" s="34"/>
    </row>
    <row r="425" spans="1:10" x14ac:dyDescent="0.25">
      <c r="A425" s="15">
        <v>40940</v>
      </c>
      <c r="B425" s="16" t="s">
        <v>865</v>
      </c>
      <c r="C425" t="s">
        <v>8</v>
      </c>
      <c r="D425" t="s">
        <v>48</v>
      </c>
      <c r="E425" s="17">
        <v>6</v>
      </c>
      <c r="F425" s="17">
        <v>35.35</v>
      </c>
      <c r="G425" s="18">
        <v>212.1</v>
      </c>
      <c r="H425" s="30" t="s">
        <v>2293</v>
      </c>
      <c r="J425" s="34"/>
    </row>
    <row r="426" spans="1:10" x14ac:dyDescent="0.25">
      <c r="A426" s="15">
        <v>40941</v>
      </c>
      <c r="B426" s="16" t="s">
        <v>877</v>
      </c>
      <c r="C426" t="s">
        <v>868</v>
      </c>
      <c r="D426" t="s">
        <v>48</v>
      </c>
      <c r="E426" s="17">
        <v>2</v>
      </c>
      <c r="F426" s="17">
        <v>90</v>
      </c>
      <c r="G426" s="18">
        <v>180</v>
      </c>
      <c r="H426" s="30" t="s">
        <v>2293</v>
      </c>
      <c r="J426" s="34"/>
    </row>
    <row r="427" spans="1:10" x14ac:dyDescent="0.25">
      <c r="A427" s="15">
        <v>40941</v>
      </c>
      <c r="B427" s="16" t="s">
        <v>865</v>
      </c>
      <c r="C427" t="s">
        <v>8</v>
      </c>
      <c r="D427" t="s">
        <v>48</v>
      </c>
      <c r="E427" s="17">
        <v>3</v>
      </c>
      <c r="F427" s="17">
        <v>35.35</v>
      </c>
      <c r="G427" s="18">
        <v>106.05</v>
      </c>
      <c r="H427" s="30" t="s">
        <v>2293</v>
      </c>
      <c r="J427" s="34"/>
    </row>
    <row r="428" spans="1:10" x14ac:dyDescent="0.25">
      <c r="A428" s="15">
        <v>40941</v>
      </c>
      <c r="B428" s="16" t="s">
        <v>865</v>
      </c>
      <c r="C428" t="s">
        <v>8</v>
      </c>
      <c r="D428" t="s">
        <v>48</v>
      </c>
      <c r="E428" s="17">
        <v>5</v>
      </c>
      <c r="F428" s="17">
        <v>35.35</v>
      </c>
      <c r="G428" s="18">
        <v>176.75</v>
      </c>
      <c r="H428" s="30" t="s">
        <v>2293</v>
      </c>
      <c r="J428" s="34"/>
    </row>
    <row r="429" spans="1:10" x14ac:dyDescent="0.25">
      <c r="A429" s="15">
        <v>40941</v>
      </c>
      <c r="B429" s="16" t="s">
        <v>865</v>
      </c>
      <c r="C429" t="s">
        <v>8</v>
      </c>
      <c r="D429" t="s">
        <v>48</v>
      </c>
      <c r="E429" s="17">
        <v>5</v>
      </c>
      <c r="F429" s="17">
        <v>35.35</v>
      </c>
      <c r="G429" s="18">
        <v>176.75</v>
      </c>
      <c r="H429" s="30" t="s">
        <v>2293</v>
      </c>
      <c r="J429" s="34"/>
    </row>
    <row r="430" spans="1:10" x14ac:dyDescent="0.25">
      <c r="A430" s="15">
        <v>40941</v>
      </c>
      <c r="B430" s="16" t="s">
        <v>865</v>
      </c>
      <c r="C430" t="s">
        <v>8</v>
      </c>
      <c r="D430" t="s">
        <v>48</v>
      </c>
      <c r="E430" s="17">
        <v>5</v>
      </c>
      <c r="F430" s="17">
        <v>35.35</v>
      </c>
      <c r="G430" s="18">
        <v>176.75</v>
      </c>
      <c r="H430" s="30" t="s">
        <v>2293</v>
      </c>
      <c r="J430" s="34"/>
    </row>
    <row r="431" spans="1:10" x14ac:dyDescent="0.25">
      <c r="A431" s="15">
        <v>40941</v>
      </c>
      <c r="B431" s="16" t="s">
        <v>929</v>
      </c>
      <c r="C431" t="s">
        <v>886</v>
      </c>
      <c r="D431" t="s">
        <v>48</v>
      </c>
      <c r="E431" s="17">
        <v>3</v>
      </c>
      <c r="F431" s="17">
        <v>45</v>
      </c>
      <c r="G431" s="18">
        <v>135</v>
      </c>
      <c r="H431" s="30" t="s">
        <v>2293</v>
      </c>
      <c r="J431" s="34"/>
    </row>
    <row r="432" spans="1:10" x14ac:dyDescent="0.25">
      <c r="A432" s="15">
        <v>40945</v>
      </c>
      <c r="B432" s="16" t="s">
        <v>869</v>
      </c>
      <c r="C432" t="s">
        <v>8</v>
      </c>
      <c r="D432" t="s">
        <v>48</v>
      </c>
      <c r="E432" s="17">
        <v>9.5</v>
      </c>
      <c r="F432" s="17">
        <v>35.35</v>
      </c>
      <c r="G432" s="18">
        <v>335.82499999999999</v>
      </c>
      <c r="H432" s="30" t="s">
        <v>2293</v>
      </c>
      <c r="J432" s="34"/>
    </row>
    <row r="433" spans="1:10" x14ac:dyDescent="0.25">
      <c r="A433" s="15">
        <v>40945</v>
      </c>
      <c r="B433" s="16" t="s">
        <v>920</v>
      </c>
      <c r="C433" t="s">
        <v>871</v>
      </c>
      <c r="D433" t="s">
        <v>48</v>
      </c>
      <c r="E433" s="17">
        <v>8.5</v>
      </c>
      <c r="F433" s="17">
        <v>130</v>
      </c>
      <c r="G433" s="18">
        <v>1105</v>
      </c>
      <c r="H433" s="30" t="s">
        <v>2293</v>
      </c>
      <c r="J433" s="34"/>
    </row>
    <row r="434" spans="1:10" x14ac:dyDescent="0.25">
      <c r="A434" s="15">
        <v>40945</v>
      </c>
      <c r="B434" s="16" t="s">
        <v>865</v>
      </c>
      <c r="C434" t="s">
        <v>8</v>
      </c>
      <c r="D434" t="s">
        <v>48</v>
      </c>
      <c r="E434" s="17">
        <v>3</v>
      </c>
      <c r="F434" s="17">
        <v>35.35</v>
      </c>
      <c r="G434" s="18">
        <v>106.05</v>
      </c>
      <c r="H434" s="30" t="s">
        <v>2293</v>
      </c>
      <c r="J434" s="34"/>
    </row>
    <row r="435" spans="1:10" x14ac:dyDescent="0.25">
      <c r="A435" s="15">
        <v>40945</v>
      </c>
      <c r="B435" s="16" t="s">
        <v>880</v>
      </c>
      <c r="C435" t="s">
        <v>881</v>
      </c>
      <c r="D435" t="s">
        <v>48</v>
      </c>
      <c r="E435" s="17">
        <v>9</v>
      </c>
      <c r="F435" s="17">
        <v>95</v>
      </c>
      <c r="G435" s="18">
        <v>855</v>
      </c>
      <c r="H435" s="30" t="s">
        <v>2293</v>
      </c>
      <c r="J435" s="34"/>
    </row>
    <row r="436" spans="1:10" x14ac:dyDescent="0.25">
      <c r="A436" s="15">
        <v>40945</v>
      </c>
      <c r="B436" s="16" t="s">
        <v>865</v>
      </c>
      <c r="C436" t="s">
        <v>8</v>
      </c>
      <c r="D436" t="s">
        <v>48</v>
      </c>
      <c r="E436" s="17">
        <v>6.5</v>
      </c>
      <c r="F436" s="17">
        <v>35.35</v>
      </c>
      <c r="G436" s="18">
        <v>229.77500000000001</v>
      </c>
      <c r="H436" s="30" t="s">
        <v>2293</v>
      </c>
      <c r="J436" s="34"/>
    </row>
    <row r="437" spans="1:10" x14ac:dyDescent="0.25">
      <c r="A437" s="15">
        <v>40945</v>
      </c>
      <c r="B437" s="16" t="s">
        <v>863</v>
      </c>
      <c r="C437" t="s">
        <v>864</v>
      </c>
      <c r="D437" t="s">
        <v>48</v>
      </c>
      <c r="E437" s="17">
        <v>8.75</v>
      </c>
      <c r="F437" s="17">
        <v>110</v>
      </c>
      <c r="G437" s="18">
        <v>962.5</v>
      </c>
      <c r="H437" s="30" t="s">
        <v>2293</v>
      </c>
      <c r="J437" s="34"/>
    </row>
    <row r="438" spans="1:10" x14ac:dyDescent="0.25">
      <c r="A438" s="15">
        <v>40945</v>
      </c>
      <c r="B438" s="16" t="s">
        <v>865</v>
      </c>
      <c r="C438" t="s">
        <v>8</v>
      </c>
      <c r="D438" t="s">
        <v>48</v>
      </c>
      <c r="E438" s="17">
        <v>6.5</v>
      </c>
      <c r="F438" s="17">
        <v>35.35</v>
      </c>
      <c r="G438" s="18">
        <v>229.77500000000001</v>
      </c>
      <c r="H438" s="30" t="s">
        <v>2293</v>
      </c>
      <c r="J438" s="34"/>
    </row>
    <row r="439" spans="1:10" x14ac:dyDescent="0.25">
      <c r="A439" s="15">
        <v>40946</v>
      </c>
      <c r="B439" s="16" t="s">
        <v>865</v>
      </c>
      <c r="C439" t="s">
        <v>8</v>
      </c>
      <c r="D439" t="s">
        <v>48</v>
      </c>
      <c r="E439" s="17">
        <v>6.5</v>
      </c>
      <c r="F439" s="17">
        <v>35.35</v>
      </c>
      <c r="G439" s="18">
        <v>229.77500000000001</v>
      </c>
      <c r="H439" s="30" t="s">
        <v>2293</v>
      </c>
      <c r="J439" s="34"/>
    </row>
    <row r="440" spans="1:10" x14ac:dyDescent="0.25">
      <c r="A440" s="15">
        <v>40946</v>
      </c>
      <c r="B440" s="16" t="s">
        <v>920</v>
      </c>
      <c r="C440" t="s">
        <v>871</v>
      </c>
      <c r="D440" t="s">
        <v>48</v>
      </c>
      <c r="E440" s="17">
        <v>9</v>
      </c>
      <c r="F440" s="17">
        <v>130</v>
      </c>
      <c r="G440" s="18">
        <v>1170</v>
      </c>
      <c r="H440" s="30" t="s">
        <v>2293</v>
      </c>
      <c r="J440" s="34"/>
    </row>
    <row r="441" spans="1:10" x14ac:dyDescent="0.25">
      <c r="A441" s="15">
        <v>40946</v>
      </c>
      <c r="B441" s="16" t="s">
        <v>865</v>
      </c>
      <c r="C441" t="s">
        <v>8</v>
      </c>
      <c r="D441" t="s">
        <v>48</v>
      </c>
      <c r="E441" s="17">
        <v>6.5</v>
      </c>
      <c r="F441" s="17">
        <v>35.35</v>
      </c>
      <c r="G441" s="18">
        <v>229.77500000000001</v>
      </c>
      <c r="H441" s="30" t="s">
        <v>2293</v>
      </c>
      <c r="J441" s="34"/>
    </row>
    <row r="442" spans="1:10" x14ac:dyDescent="0.25">
      <c r="A442" s="15">
        <v>40946</v>
      </c>
      <c r="B442" s="16" t="s">
        <v>880</v>
      </c>
      <c r="C442" t="s">
        <v>881</v>
      </c>
      <c r="D442" t="s">
        <v>48</v>
      </c>
      <c r="E442" s="17">
        <v>8.5</v>
      </c>
      <c r="F442" s="17">
        <v>95</v>
      </c>
      <c r="G442" s="18">
        <v>807.5</v>
      </c>
      <c r="H442" s="30" t="s">
        <v>2293</v>
      </c>
      <c r="J442" s="34"/>
    </row>
    <row r="443" spans="1:10" x14ac:dyDescent="0.25">
      <c r="A443" s="15">
        <v>40946</v>
      </c>
      <c r="B443" s="16" t="s">
        <v>863</v>
      </c>
      <c r="C443" t="s">
        <v>864</v>
      </c>
      <c r="D443" t="s">
        <v>48</v>
      </c>
      <c r="E443" s="17">
        <v>5</v>
      </c>
      <c r="F443" s="17">
        <v>110</v>
      </c>
      <c r="G443" s="18">
        <v>550</v>
      </c>
      <c r="H443" s="30" t="s">
        <v>2293</v>
      </c>
      <c r="J443" s="34"/>
    </row>
    <row r="444" spans="1:10" x14ac:dyDescent="0.25">
      <c r="A444" s="15">
        <v>40946</v>
      </c>
      <c r="B444" s="16" t="s">
        <v>904</v>
      </c>
      <c r="C444" t="s">
        <v>905</v>
      </c>
      <c r="D444" t="s">
        <v>48</v>
      </c>
      <c r="E444" s="17">
        <v>8.5</v>
      </c>
      <c r="F444" s="17">
        <v>95</v>
      </c>
      <c r="G444" s="18">
        <v>807.5</v>
      </c>
      <c r="H444" s="30" t="s">
        <v>2293</v>
      </c>
      <c r="J444" s="34"/>
    </row>
    <row r="445" spans="1:10" x14ac:dyDescent="0.25">
      <c r="A445" s="15">
        <v>40946</v>
      </c>
      <c r="B445" s="16" t="s">
        <v>869</v>
      </c>
      <c r="C445" t="s">
        <v>8</v>
      </c>
      <c r="D445" t="s">
        <v>48</v>
      </c>
      <c r="E445" s="17">
        <v>9.5</v>
      </c>
      <c r="F445" s="17">
        <v>35.35</v>
      </c>
      <c r="G445" s="18">
        <v>335.82499999999999</v>
      </c>
      <c r="H445" s="30" t="s">
        <v>2293</v>
      </c>
      <c r="J445" s="34"/>
    </row>
    <row r="446" spans="1:10" x14ac:dyDescent="0.25">
      <c r="A446" s="15">
        <v>40947</v>
      </c>
      <c r="B446" s="16" t="s">
        <v>869</v>
      </c>
      <c r="C446" t="s">
        <v>8</v>
      </c>
      <c r="D446" t="s">
        <v>48</v>
      </c>
      <c r="E446" s="17">
        <v>2</v>
      </c>
      <c r="F446" s="17">
        <v>35.35</v>
      </c>
      <c r="G446" s="18">
        <v>70.7</v>
      </c>
      <c r="H446" s="30" t="s">
        <v>2293</v>
      </c>
      <c r="J446" s="34"/>
    </row>
    <row r="447" spans="1:10" x14ac:dyDescent="0.25">
      <c r="A447" s="15">
        <v>40947</v>
      </c>
      <c r="B447" s="16" t="s">
        <v>919</v>
      </c>
      <c r="C447" t="s">
        <v>864</v>
      </c>
      <c r="D447" t="s">
        <v>48</v>
      </c>
      <c r="E447" s="17">
        <v>8.25</v>
      </c>
      <c r="F447" s="17">
        <v>110</v>
      </c>
      <c r="G447" s="18">
        <v>907.5</v>
      </c>
      <c r="H447" s="30" t="s">
        <v>2293</v>
      </c>
      <c r="J447" s="34"/>
    </row>
    <row r="448" spans="1:10" x14ac:dyDescent="0.25">
      <c r="A448" s="15">
        <v>40947</v>
      </c>
      <c r="B448" s="16" t="s">
        <v>880</v>
      </c>
      <c r="C448" t="s">
        <v>881</v>
      </c>
      <c r="D448" t="s">
        <v>48</v>
      </c>
      <c r="E448" s="17">
        <v>9</v>
      </c>
      <c r="F448" s="17">
        <v>95</v>
      </c>
      <c r="G448" s="18">
        <v>855</v>
      </c>
      <c r="H448" s="30" t="s">
        <v>2293</v>
      </c>
      <c r="J448" s="34"/>
    </row>
    <row r="449" spans="1:10" x14ac:dyDescent="0.25">
      <c r="A449" s="15">
        <v>40947</v>
      </c>
      <c r="B449" s="16" t="s">
        <v>904</v>
      </c>
      <c r="C449" t="s">
        <v>905</v>
      </c>
      <c r="D449" t="s">
        <v>48</v>
      </c>
      <c r="E449" s="17">
        <v>8.5</v>
      </c>
      <c r="F449" s="17">
        <v>95</v>
      </c>
      <c r="G449" s="18">
        <v>807.5</v>
      </c>
      <c r="H449" s="30" t="s">
        <v>2293</v>
      </c>
      <c r="J449" s="34"/>
    </row>
    <row r="450" spans="1:10" x14ac:dyDescent="0.25">
      <c r="A450" s="15">
        <v>40947</v>
      </c>
      <c r="B450" s="16" t="s">
        <v>920</v>
      </c>
      <c r="C450" t="s">
        <v>871</v>
      </c>
      <c r="D450" t="s">
        <v>48</v>
      </c>
      <c r="E450" s="17">
        <v>9</v>
      </c>
      <c r="F450" s="17">
        <v>130</v>
      </c>
      <c r="G450" s="18">
        <v>1170</v>
      </c>
      <c r="H450" s="30" t="s">
        <v>2293</v>
      </c>
      <c r="J450" s="34"/>
    </row>
    <row r="451" spans="1:10" x14ac:dyDescent="0.25">
      <c r="A451" s="15">
        <v>40947</v>
      </c>
      <c r="B451" s="16" t="s">
        <v>865</v>
      </c>
      <c r="C451" t="s">
        <v>8</v>
      </c>
      <c r="D451" t="s">
        <v>48</v>
      </c>
      <c r="E451" s="17">
        <v>1</v>
      </c>
      <c r="F451" s="17">
        <v>35.35</v>
      </c>
      <c r="G451" s="18">
        <v>35.35</v>
      </c>
      <c r="H451" s="30" t="s">
        <v>2293</v>
      </c>
      <c r="J451" s="34"/>
    </row>
    <row r="452" spans="1:10" x14ac:dyDescent="0.25">
      <c r="A452" s="15">
        <v>40947</v>
      </c>
      <c r="B452" s="16" t="s">
        <v>865</v>
      </c>
      <c r="C452" t="s">
        <v>8</v>
      </c>
      <c r="D452" t="s">
        <v>48</v>
      </c>
      <c r="E452" s="17">
        <v>1</v>
      </c>
      <c r="F452" s="17">
        <v>35.35</v>
      </c>
      <c r="G452" s="18">
        <v>35.35</v>
      </c>
      <c r="H452" s="30" t="s">
        <v>2293</v>
      </c>
      <c r="J452" s="34"/>
    </row>
    <row r="453" spans="1:10" x14ac:dyDescent="0.25">
      <c r="A453" s="15">
        <v>40947</v>
      </c>
      <c r="B453" s="16" t="s">
        <v>865</v>
      </c>
      <c r="C453" t="s">
        <v>8</v>
      </c>
      <c r="D453" t="s">
        <v>48</v>
      </c>
      <c r="E453" s="17">
        <v>9.5</v>
      </c>
      <c r="F453" s="17">
        <v>35.35</v>
      </c>
      <c r="G453" s="18">
        <v>335.82499999999999</v>
      </c>
      <c r="H453" s="30" t="s">
        <v>2293</v>
      </c>
      <c r="J453" s="34"/>
    </row>
    <row r="454" spans="1:10" x14ac:dyDescent="0.25">
      <c r="A454" s="15">
        <v>40948</v>
      </c>
      <c r="B454" s="16" t="s">
        <v>920</v>
      </c>
      <c r="C454" t="s">
        <v>871</v>
      </c>
      <c r="D454" t="s">
        <v>48</v>
      </c>
      <c r="E454" s="17">
        <v>7.5</v>
      </c>
      <c r="F454" s="17">
        <v>130</v>
      </c>
      <c r="G454" s="18">
        <v>975</v>
      </c>
      <c r="H454" s="30" t="s">
        <v>2293</v>
      </c>
      <c r="J454" s="34"/>
    </row>
    <row r="455" spans="1:10" x14ac:dyDescent="0.25">
      <c r="A455" s="15">
        <v>40948</v>
      </c>
      <c r="B455" s="16" t="s">
        <v>880</v>
      </c>
      <c r="C455" t="s">
        <v>881</v>
      </c>
      <c r="D455" t="s">
        <v>48</v>
      </c>
      <c r="E455" s="17">
        <v>8</v>
      </c>
      <c r="F455" s="17">
        <v>95</v>
      </c>
      <c r="G455" s="18">
        <v>760</v>
      </c>
      <c r="H455" s="30" t="s">
        <v>2293</v>
      </c>
      <c r="J455" s="34"/>
    </row>
    <row r="456" spans="1:10" x14ac:dyDescent="0.25">
      <c r="A456" s="15">
        <v>40948</v>
      </c>
      <c r="B456" s="16" t="s">
        <v>930</v>
      </c>
      <c r="C456" t="s">
        <v>864</v>
      </c>
      <c r="D456" t="s">
        <v>48</v>
      </c>
      <c r="E456" s="17">
        <v>8</v>
      </c>
      <c r="F456" s="17">
        <v>110</v>
      </c>
      <c r="G456" s="18">
        <v>880</v>
      </c>
      <c r="H456" s="30" t="s">
        <v>2293</v>
      </c>
      <c r="J456" s="34"/>
    </row>
    <row r="457" spans="1:10" x14ac:dyDescent="0.25">
      <c r="A457" s="15">
        <v>40948</v>
      </c>
      <c r="B457" s="16" t="s">
        <v>904</v>
      </c>
      <c r="C457" t="s">
        <v>905</v>
      </c>
      <c r="D457" t="s">
        <v>48</v>
      </c>
      <c r="E457" s="17">
        <v>7</v>
      </c>
      <c r="F457" s="17">
        <v>95</v>
      </c>
      <c r="G457" s="18">
        <v>665</v>
      </c>
      <c r="H457" s="30" t="s">
        <v>2293</v>
      </c>
      <c r="J457" s="34"/>
    </row>
    <row r="458" spans="1:10" x14ac:dyDescent="0.25">
      <c r="A458" s="15">
        <v>40948</v>
      </c>
      <c r="B458" s="16" t="s">
        <v>867</v>
      </c>
      <c r="C458" t="s">
        <v>868</v>
      </c>
      <c r="D458" t="s">
        <v>48</v>
      </c>
      <c r="E458" s="17">
        <v>5.5</v>
      </c>
      <c r="F458" s="17">
        <v>90</v>
      </c>
      <c r="G458" s="18">
        <v>495</v>
      </c>
      <c r="H458" s="30" t="s">
        <v>2293</v>
      </c>
      <c r="J458" s="34"/>
    </row>
    <row r="459" spans="1:10" x14ac:dyDescent="0.25">
      <c r="A459" s="15">
        <v>40949</v>
      </c>
      <c r="B459" s="16" t="s">
        <v>931</v>
      </c>
      <c r="C459" t="s">
        <v>886</v>
      </c>
      <c r="D459" t="s">
        <v>48</v>
      </c>
      <c r="E459" s="17">
        <v>7.5</v>
      </c>
      <c r="F459" s="17">
        <v>95</v>
      </c>
      <c r="G459" s="18">
        <v>712.5</v>
      </c>
      <c r="H459" s="30" t="s">
        <v>2293</v>
      </c>
      <c r="J459" s="34"/>
    </row>
    <row r="460" spans="1:10" x14ac:dyDescent="0.25">
      <c r="A460" s="15">
        <v>40949</v>
      </c>
      <c r="B460" s="16" t="s">
        <v>865</v>
      </c>
      <c r="C460" t="s">
        <v>8</v>
      </c>
      <c r="D460" t="s">
        <v>48</v>
      </c>
      <c r="E460" s="17">
        <v>5</v>
      </c>
      <c r="F460" s="17">
        <v>35.35</v>
      </c>
      <c r="G460" s="18">
        <v>176.75</v>
      </c>
      <c r="H460" s="30" t="s">
        <v>2293</v>
      </c>
      <c r="J460" s="34"/>
    </row>
    <row r="461" spans="1:10" x14ac:dyDescent="0.25">
      <c r="A461" s="15">
        <v>40949</v>
      </c>
      <c r="B461" s="16" t="s">
        <v>920</v>
      </c>
      <c r="C461" t="s">
        <v>871</v>
      </c>
      <c r="D461" t="s">
        <v>48</v>
      </c>
      <c r="E461" s="17">
        <v>5</v>
      </c>
      <c r="F461" s="17">
        <v>130</v>
      </c>
      <c r="G461" s="18">
        <v>650</v>
      </c>
      <c r="H461" s="30" t="s">
        <v>2293</v>
      </c>
      <c r="J461" s="34"/>
    </row>
    <row r="462" spans="1:10" x14ac:dyDescent="0.25">
      <c r="A462" s="15">
        <v>40952</v>
      </c>
      <c r="B462" s="16" t="s">
        <v>880</v>
      </c>
      <c r="C462" t="s">
        <v>881</v>
      </c>
      <c r="D462" t="s">
        <v>48</v>
      </c>
      <c r="E462" s="17">
        <v>8.5</v>
      </c>
      <c r="F462" s="17">
        <v>95</v>
      </c>
      <c r="G462" s="18">
        <v>807.5</v>
      </c>
      <c r="H462" s="30" t="s">
        <v>2293</v>
      </c>
      <c r="J462" s="34"/>
    </row>
    <row r="463" spans="1:10" x14ac:dyDescent="0.25">
      <c r="A463" s="15">
        <v>40952</v>
      </c>
      <c r="B463" s="16" t="s">
        <v>865</v>
      </c>
      <c r="C463" t="s">
        <v>8</v>
      </c>
      <c r="D463" t="s">
        <v>48</v>
      </c>
      <c r="E463" s="17">
        <v>9.5</v>
      </c>
      <c r="F463" s="17">
        <v>35.35</v>
      </c>
      <c r="G463" s="18">
        <v>335.82499999999999</v>
      </c>
      <c r="H463" s="30" t="s">
        <v>2293</v>
      </c>
      <c r="J463" s="34"/>
    </row>
    <row r="464" spans="1:10" x14ac:dyDescent="0.25">
      <c r="A464" s="15">
        <v>40952</v>
      </c>
      <c r="B464" s="16" t="s">
        <v>920</v>
      </c>
      <c r="C464" t="s">
        <v>871</v>
      </c>
      <c r="D464" t="s">
        <v>48</v>
      </c>
      <c r="E464" s="17">
        <v>8.5</v>
      </c>
      <c r="F464" s="17">
        <v>130</v>
      </c>
      <c r="G464" s="18">
        <v>1105</v>
      </c>
      <c r="H464" s="30" t="s">
        <v>2293</v>
      </c>
      <c r="J464" s="34"/>
    </row>
    <row r="465" spans="1:10" x14ac:dyDescent="0.25">
      <c r="A465" s="15">
        <v>40953</v>
      </c>
      <c r="B465" s="16" t="s">
        <v>880</v>
      </c>
      <c r="C465" t="s">
        <v>881</v>
      </c>
      <c r="D465" t="s">
        <v>48</v>
      </c>
      <c r="E465" s="17">
        <v>7.5</v>
      </c>
      <c r="F465" s="17">
        <v>95</v>
      </c>
      <c r="G465" s="18">
        <v>712.5</v>
      </c>
      <c r="H465" s="30" t="s">
        <v>2293</v>
      </c>
      <c r="J465" s="34"/>
    </row>
    <row r="466" spans="1:10" x14ac:dyDescent="0.25">
      <c r="A466" s="15">
        <v>40953</v>
      </c>
      <c r="B466" s="16" t="s">
        <v>920</v>
      </c>
      <c r="C466" t="s">
        <v>871</v>
      </c>
      <c r="D466" t="s">
        <v>48</v>
      </c>
      <c r="E466" s="17">
        <v>6</v>
      </c>
      <c r="F466" s="17">
        <v>130</v>
      </c>
      <c r="G466" s="18">
        <v>780</v>
      </c>
      <c r="H466" s="30" t="s">
        <v>2293</v>
      </c>
      <c r="J466" s="34"/>
    </row>
    <row r="467" spans="1:10" x14ac:dyDescent="0.25">
      <c r="A467" s="15">
        <v>40953</v>
      </c>
      <c r="B467" s="16" t="s">
        <v>865</v>
      </c>
      <c r="C467" t="s">
        <v>8</v>
      </c>
      <c r="D467" t="s">
        <v>48</v>
      </c>
      <c r="E467" s="17">
        <v>9.5</v>
      </c>
      <c r="F467" s="17">
        <v>35.35</v>
      </c>
      <c r="G467" s="18">
        <v>335.82499999999999</v>
      </c>
      <c r="H467" s="30" t="s">
        <v>2293</v>
      </c>
      <c r="J467" s="34"/>
    </row>
    <row r="468" spans="1:10" x14ac:dyDescent="0.25">
      <c r="A468" s="15">
        <v>40955</v>
      </c>
      <c r="B468" s="16" t="s">
        <v>880</v>
      </c>
      <c r="C468" t="s">
        <v>881</v>
      </c>
      <c r="D468" t="s">
        <v>48</v>
      </c>
      <c r="E468" s="17">
        <v>4</v>
      </c>
      <c r="F468" s="17">
        <v>95</v>
      </c>
      <c r="G468" s="18">
        <v>380</v>
      </c>
      <c r="H468" s="30" t="s">
        <v>2293</v>
      </c>
      <c r="J468" s="34"/>
    </row>
    <row r="469" spans="1:10" x14ac:dyDescent="0.25">
      <c r="A469" s="15">
        <v>40955</v>
      </c>
      <c r="B469" s="16" t="s">
        <v>865</v>
      </c>
      <c r="C469" t="s">
        <v>8</v>
      </c>
      <c r="D469" t="s">
        <v>48</v>
      </c>
      <c r="E469" s="17">
        <v>2</v>
      </c>
      <c r="F469" s="17">
        <v>35.35</v>
      </c>
      <c r="G469" s="18">
        <v>70.7</v>
      </c>
      <c r="H469" s="30" t="s">
        <v>2293</v>
      </c>
      <c r="J469" s="34"/>
    </row>
    <row r="470" spans="1:10" x14ac:dyDescent="0.25">
      <c r="A470" s="15">
        <v>40955</v>
      </c>
      <c r="B470" s="16" t="s">
        <v>867</v>
      </c>
      <c r="C470" t="s">
        <v>868</v>
      </c>
      <c r="D470" t="s">
        <v>48</v>
      </c>
      <c r="E470" s="17">
        <v>2</v>
      </c>
      <c r="F470" s="17">
        <v>90</v>
      </c>
      <c r="G470" s="18">
        <v>180</v>
      </c>
      <c r="H470" s="30" t="s">
        <v>2293</v>
      </c>
      <c r="J470" s="34"/>
    </row>
    <row r="471" spans="1:10" x14ac:dyDescent="0.25">
      <c r="A471" s="15">
        <v>40956</v>
      </c>
      <c r="B471" s="16" t="s">
        <v>867</v>
      </c>
      <c r="C471" t="s">
        <v>868</v>
      </c>
      <c r="D471" t="s">
        <v>48</v>
      </c>
      <c r="E471" s="17">
        <v>2</v>
      </c>
      <c r="F471" s="17">
        <v>90</v>
      </c>
      <c r="G471" s="18">
        <v>180</v>
      </c>
      <c r="H471" s="30" t="s">
        <v>2293</v>
      </c>
      <c r="J471" s="34"/>
    </row>
    <row r="472" spans="1:10" x14ac:dyDescent="0.25">
      <c r="A472" s="15">
        <v>40956</v>
      </c>
      <c r="B472" s="16" t="s">
        <v>880</v>
      </c>
      <c r="C472" t="s">
        <v>881</v>
      </c>
      <c r="D472" t="s">
        <v>48</v>
      </c>
      <c r="E472" s="17">
        <v>2.5</v>
      </c>
      <c r="F472" s="17">
        <v>95</v>
      </c>
      <c r="G472" s="18">
        <v>237.5</v>
      </c>
      <c r="H472" s="30" t="s">
        <v>2293</v>
      </c>
      <c r="J472" s="34"/>
    </row>
    <row r="473" spans="1:10" x14ac:dyDescent="0.25">
      <c r="A473" s="15">
        <v>40959</v>
      </c>
      <c r="B473" s="16" t="s">
        <v>867</v>
      </c>
      <c r="C473" t="s">
        <v>868</v>
      </c>
      <c r="D473" t="s">
        <v>48</v>
      </c>
      <c r="E473" s="17">
        <v>2</v>
      </c>
      <c r="F473" s="17">
        <v>90</v>
      </c>
      <c r="G473" s="18">
        <v>180</v>
      </c>
      <c r="H473" s="30" t="s">
        <v>2293</v>
      </c>
      <c r="J473" s="34"/>
    </row>
    <row r="474" spans="1:10" x14ac:dyDescent="0.25">
      <c r="A474" s="15">
        <v>40968</v>
      </c>
      <c r="B474" s="16" t="s">
        <v>867</v>
      </c>
      <c r="C474" t="s">
        <v>868</v>
      </c>
      <c r="D474" t="s">
        <v>48</v>
      </c>
      <c r="E474" s="17">
        <v>2</v>
      </c>
      <c r="F474" s="17">
        <v>90</v>
      </c>
      <c r="G474" s="18">
        <v>180</v>
      </c>
      <c r="H474" s="30" t="s">
        <v>2293</v>
      </c>
      <c r="J474" s="34"/>
    </row>
    <row r="475" spans="1:10" x14ac:dyDescent="0.25">
      <c r="A475" s="15">
        <v>40968</v>
      </c>
      <c r="B475" s="16" t="s">
        <v>865</v>
      </c>
      <c r="C475" t="s">
        <v>8</v>
      </c>
      <c r="D475" t="s">
        <v>48</v>
      </c>
      <c r="E475" s="17">
        <v>2</v>
      </c>
      <c r="F475" s="17">
        <v>35.35</v>
      </c>
      <c r="G475" s="18">
        <v>70.7</v>
      </c>
      <c r="H475" s="30" t="s">
        <v>2293</v>
      </c>
      <c r="J475" s="34"/>
    </row>
    <row r="476" spans="1:10" x14ac:dyDescent="0.25">
      <c r="A476" s="15">
        <v>40968</v>
      </c>
      <c r="B476" s="16" t="s">
        <v>865</v>
      </c>
      <c r="C476" t="s">
        <v>8</v>
      </c>
      <c r="D476" t="s">
        <v>48</v>
      </c>
      <c r="E476" s="17">
        <v>2</v>
      </c>
      <c r="F476" s="17">
        <v>35.35</v>
      </c>
      <c r="G476" s="18">
        <v>70.7</v>
      </c>
      <c r="H476" s="30" t="s">
        <v>2293</v>
      </c>
      <c r="J476" s="34"/>
    </row>
    <row r="477" spans="1:10" x14ac:dyDescent="0.25">
      <c r="A477" s="15">
        <v>40968</v>
      </c>
      <c r="B477" s="16" t="s">
        <v>920</v>
      </c>
      <c r="C477" t="s">
        <v>871</v>
      </c>
      <c r="D477" t="s">
        <v>48</v>
      </c>
      <c r="E477" s="17">
        <v>2</v>
      </c>
      <c r="F477" s="17">
        <v>130</v>
      </c>
      <c r="G477" s="18">
        <v>260</v>
      </c>
      <c r="H477" s="30" t="s">
        <v>2293</v>
      </c>
      <c r="J477" s="34"/>
    </row>
    <row r="478" spans="1:10" x14ac:dyDescent="0.25">
      <c r="A478" s="15">
        <v>40969</v>
      </c>
      <c r="B478" s="16" t="s">
        <v>880</v>
      </c>
      <c r="C478" t="s">
        <v>881</v>
      </c>
      <c r="D478" t="s">
        <v>48</v>
      </c>
      <c r="E478" s="17">
        <v>9</v>
      </c>
      <c r="F478" s="17">
        <v>95</v>
      </c>
      <c r="G478" s="18">
        <v>855</v>
      </c>
      <c r="H478" s="30" t="s">
        <v>2293</v>
      </c>
      <c r="J478" s="34"/>
    </row>
    <row r="479" spans="1:10" x14ac:dyDescent="0.25">
      <c r="A479" s="15">
        <v>40969</v>
      </c>
      <c r="B479" s="16" t="s">
        <v>920</v>
      </c>
      <c r="C479" t="s">
        <v>871</v>
      </c>
      <c r="D479" t="s">
        <v>48</v>
      </c>
      <c r="E479" s="17">
        <v>9</v>
      </c>
      <c r="F479" s="17">
        <v>130</v>
      </c>
      <c r="G479" s="18">
        <v>1170</v>
      </c>
      <c r="H479" s="30" t="s">
        <v>2293</v>
      </c>
      <c r="J479" s="34"/>
    </row>
    <row r="480" spans="1:10" x14ac:dyDescent="0.25">
      <c r="A480" s="15">
        <v>40969</v>
      </c>
      <c r="B480" s="16" t="s">
        <v>867</v>
      </c>
      <c r="C480" t="s">
        <v>868</v>
      </c>
      <c r="D480" t="s">
        <v>48</v>
      </c>
      <c r="E480" s="17">
        <v>9</v>
      </c>
      <c r="F480" s="17">
        <v>90</v>
      </c>
      <c r="G480" s="18">
        <v>810</v>
      </c>
      <c r="H480" s="30" t="s">
        <v>2293</v>
      </c>
      <c r="J480" s="34"/>
    </row>
    <row r="481" spans="1:10" x14ac:dyDescent="0.25">
      <c r="A481" s="15">
        <v>40969</v>
      </c>
      <c r="B481" s="16" t="s">
        <v>904</v>
      </c>
      <c r="C481" t="s">
        <v>905</v>
      </c>
      <c r="D481" t="s">
        <v>48</v>
      </c>
      <c r="E481" s="17">
        <v>8.5</v>
      </c>
      <c r="F481" s="17">
        <v>95</v>
      </c>
      <c r="G481" s="18">
        <v>807.5</v>
      </c>
      <c r="H481" s="30" t="s">
        <v>2293</v>
      </c>
      <c r="J481" s="34"/>
    </row>
    <row r="482" spans="1:10" x14ac:dyDescent="0.25">
      <c r="A482" s="15">
        <v>40969</v>
      </c>
      <c r="B482" s="16" t="s">
        <v>865</v>
      </c>
      <c r="C482" t="s">
        <v>8</v>
      </c>
      <c r="D482" t="s">
        <v>48</v>
      </c>
      <c r="E482" s="17">
        <v>10.5</v>
      </c>
      <c r="F482" s="17">
        <v>35.35</v>
      </c>
      <c r="G482" s="18">
        <v>371.17500000000001</v>
      </c>
      <c r="H482" s="30" t="s">
        <v>2293</v>
      </c>
      <c r="J482" s="34"/>
    </row>
    <row r="483" spans="1:10" x14ac:dyDescent="0.25">
      <c r="A483" s="15">
        <v>40969</v>
      </c>
      <c r="B483" s="16" t="s">
        <v>865</v>
      </c>
      <c r="C483" t="s">
        <v>8</v>
      </c>
      <c r="D483" t="s">
        <v>48</v>
      </c>
      <c r="E483" s="17">
        <v>10.5</v>
      </c>
      <c r="F483" s="17">
        <v>35.35</v>
      </c>
      <c r="G483" s="18">
        <v>371.17500000000001</v>
      </c>
      <c r="H483" s="30" t="s">
        <v>2293</v>
      </c>
      <c r="J483" s="34"/>
    </row>
    <row r="484" spans="1:10" x14ac:dyDescent="0.25">
      <c r="A484" s="15">
        <v>40969</v>
      </c>
      <c r="B484" s="16" t="s">
        <v>869</v>
      </c>
      <c r="C484" t="s">
        <v>8</v>
      </c>
      <c r="D484" t="s">
        <v>48</v>
      </c>
      <c r="E484" s="17">
        <v>8</v>
      </c>
      <c r="F484" s="17">
        <v>35.35</v>
      </c>
      <c r="G484" s="18">
        <v>282.8</v>
      </c>
      <c r="H484" s="30" t="s">
        <v>2293</v>
      </c>
      <c r="J484" s="34"/>
    </row>
    <row r="485" spans="1:10" x14ac:dyDescent="0.25">
      <c r="A485" s="15">
        <v>40969</v>
      </c>
      <c r="B485" s="16" t="s">
        <v>872</v>
      </c>
      <c r="C485" t="s">
        <v>864</v>
      </c>
      <c r="D485" t="s">
        <v>48</v>
      </c>
      <c r="E485" s="17">
        <v>9</v>
      </c>
      <c r="F485" s="17">
        <v>100</v>
      </c>
      <c r="G485" s="18">
        <v>900</v>
      </c>
      <c r="H485" s="30" t="s">
        <v>2293</v>
      </c>
      <c r="J485" s="34"/>
    </row>
    <row r="486" spans="1:10" x14ac:dyDescent="0.25">
      <c r="A486" s="15">
        <v>40970</v>
      </c>
      <c r="B486" s="16" t="s">
        <v>880</v>
      </c>
      <c r="C486" t="s">
        <v>881</v>
      </c>
      <c r="D486" t="s">
        <v>48</v>
      </c>
      <c r="E486" s="17">
        <v>4.5</v>
      </c>
      <c r="F486" s="17">
        <v>95</v>
      </c>
      <c r="G486" s="18">
        <v>427.5</v>
      </c>
      <c r="H486" s="30" t="s">
        <v>2293</v>
      </c>
      <c r="J486" s="34"/>
    </row>
    <row r="487" spans="1:10" x14ac:dyDescent="0.25">
      <c r="A487" s="15">
        <v>40970</v>
      </c>
      <c r="B487" s="16" t="s">
        <v>904</v>
      </c>
      <c r="C487" t="s">
        <v>905</v>
      </c>
      <c r="D487" t="s">
        <v>48</v>
      </c>
      <c r="E487" s="17">
        <v>7.75</v>
      </c>
      <c r="F487" s="17">
        <v>95</v>
      </c>
      <c r="G487" s="18">
        <v>736.25</v>
      </c>
      <c r="H487" s="30" t="s">
        <v>2293</v>
      </c>
      <c r="J487" s="34"/>
    </row>
    <row r="488" spans="1:10" x14ac:dyDescent="0.25">
      <c r="A488" s="15">
        <v>40970</v>
      </c>
      <c r="B488" s="16" t="s">
        <v>865</v>
      </c>
      <c r="C488" t="s">
        <v>8</v>
      </c>
      <c r="D488" t="s">
        <v>48</v>
      </c>
      <c r="E488" s="17">
        <v>8</v>
      </c>
      <c r="F488" s="17">
        <v>35.35</v>
      </c>
      <c r="G488" s="18">
        <v>282.8</v>
      </c>
      <c r="H488" s="30" t="s">
        <v>2293</v>
      </c>
      <c r="J488" s="34"/>
    </row>
    <row r="489" spans="1:10" x14ac:dyDescent="0.25">
      <c r="A489" s="15">
        <v>40970</v>
      </c>
      <c r="B489" s="16" t="s">
        <v>920</v>
      </c>
      <c r="C489" t="s">
        <v>871</v>
      </c>
      <c r="D489" t="s">
        <v>48</v>
      </c>
      <c r="E489" s="17">
        <v>8</v>
      </c>
      <c r="F489" s="17">
        <v>130</v>
      </c>
      <c r="G489" s="18">
        <v>1040</v>
      </c>
      <c r="H489" s="30" t="s">
        <v>2293</v>
      </c>
      <c r="J489" s="34"/>
    </row>
    <row r="490" spans="1:10" x14ac:dyDescent="0.25">
      <c r="A490" s="15">
        <v>40970</v>
      </c>
      <c r="B490" s="16" t="s">
        <v>865</v>
      </c>
      <c r="C490" t="s">
        <v>8</v>
      </c>
      <c r="D490" t="s">
        <v>48</v>
      </c>
      <c r="E490" s="17">
        <v>2</v>
      </c>
      <c r="F490" s="17">
        <v>35.35</v>
      </c>
      <c r="G490" s="18">
        <v>70.7</v>
      </c>
      <c r="H490" s="30" t="s">
        <v>2293</v>
      </c>
      <c r="J490" s="34"/>
    </row>
    <row r="491" spans="1:10" x14ac:dyDescent="0.25">
      <c r="A491" s="15">
        <v>40971</v>
      </c>
      <c r="B491" s="16" t="s">
        <v>880</v>
      </c>
      <c r="C491" t="s">
        <v>881</v>
      </c>
      <c r="D491" t="s">
        <v>48</v>
      </c>
      <c r="E491" s="17">
        <v>4</v>
      </c>
      <c r="F491" s="17">
        <v>95</v>
      </c>
      <c r="G491" s="18">
        <v>380</v>
      </c>
      <c r="H491" s="30" t="s">
        <v>2293</v>
      </c>
      <c r="J491" s="34"/>
    </row>
    <row r="492" spans="1:10" x14ac:dyDescent="0.25">
      <c r="A492" s="15">
        <v>40971</v>
      </c>
      <c r="B492" s="16" t="s">
        <v>904</v>
      </c>
      <c r="C492" t="s">
        <v>905</v>
      </c>
      <c r="D492" t="s">
        <v>48</v>
      </c>
      <c r="E492" s="17">
        <v>3.5</v>
      </c>
      <c r="F492" s="17">
        <v>95</v>
      </c>
      <c r="G492" s="18">
        <v>332.5</v>
      </c>
      <c r="H492" s="30" t="s">
        <v>2293</v>
      </c>
      <c r="J492" s="34"/>
    </row>
    <row r="493" spans="1:10" x14ac:dyDescent="0.25">
      <c r="A493" s="15">
        <v>40973</v>
      </c>
      <c r="B493" s="16" t="s">
        <v>880</v>
      </c>
      <c r="C493" t="s">
        <v>881</v>
      </c>
      <c r="D493" t="s">
        <v>48</v>
      </c>
      <c r="E493" s="17">
        <v>5</v>
      </c>
      <c r="F493" s="17">
        <v>95</v>
      </c>
      <c r="G493" s="18">
        <v>475</v>
      </c>
      <c r="H493" s="30" t="s">
        <v>2293</v>
      </c>
      <c r="J493" s="34"/>
    </row>
    <row r="494" spans="1:10" x14ac:dyDescent="0.25">
      <c r="A494" s="15">
        <v>40974</v>
      </c>
      <c r="B494" s="16" t="s">
        <v>867</v>
      </c>
      <c r="C494" t="s">
        <v>868</v>
      </c>
      <c r="D494" t="s">
        <v>48</v>
      </c>
      <c r="E494" s="17">
        <v>5</v>
      </c>
      <c r="F494" s="17">
        <v>90</v>
      </c>
      <c r="G494" s="18">
        <v>450</v>
      </c>
      <c r="H494" s="30" t="s">
        <v>2293</v>
      </c>
      <c r="J494" s="34"/>
    </row>
    <row r="495" spans="1:10" x14ac:dyDescent="0.25">
      <c r="A495" s="15">
        <v>40974</v>
      </c>
      <c r="B495" s="16" t="s">
        <v>880</v>
      </c>
      <c r="C495" t="s">
        <v>881</v>
      </c>
      <c r="D495" t="s">
        <v>48</v>
      </c>
      <c r="E495" s="17">
        <v>5.5</v>
      </c>
      <c r="F495" s="17">
        <v>95</v>
      </c>
      <c r="G495" s="18">
        <v>522.5</v>
      </c>
      <c r="H495" s="30" t="s">
        <v>2293</v>
      </c>
      <c r="J495" s="34"/>
    </row>
    <row r="496" spans="1:10" x14ac:dyDescent="0.25">
      <c r="A496" s="15">
        <v>40980</v>
      </c>
      <c r="B496" s="16" t="s">
        <v>877</v>
      </c>
      <c r="C496" t="s">
        <v>868</v>
      </c>
      <c r="D496" t="s">
        <v>48</v>
      </c>
      <c r="E496" s="17">
        <v>2.5</v>
      </c>
      <c r="F496" s="17">
        <v>90</v>
      </c>
      <c r="G496" s="18">
        <v>225</v>
      </c>
      <c r="H496" s="30" t="s">
        <v>2293</v>
      </c>
      <c r="J496" s="34"/>
    </row>
    <row r="497" spans="1:10" x14ac:dyDescent="0.25">
      <c r="A497" s="15">
        <v>40980</v>
      </c>
      <c r="B497" s="16" t="s">
        <v>880</v>
      </c>
      <c r="C497" t="s">
        <v>881</v>
      </c>
      <c r="D497" t="s">
        <v>48</v>
      </c>
      <c r="E497" s="17">
        <v>9</v>
      </c>
      <c r="F497" s="17">
        <v>95</v>
      </c>
      <c r="G497" s="18">
        <v>855</v>
      </c>
      <c r="H497" s="30" t="s">
        <v>2293</v>
      </c>
      <c r="J497" s="34"/>
    </row>
    <row r="498" spans="1:10" x14ac:dyDescent="0.25">
      <c r="A498" s="15">
        <v>40980</v>
      </c>
      <c r="B498" s="16" t="s">
        <v>932</v>
      </c>
      <c r="C498" t="s">
        <v>871</v>
      </c>
      <c r="D498" t="s">
        <v>48</v>
      </c>
      <c r="E498" s="17">
        <v>7.5</v>
      </c>
      <c r="F498" s="17">
        <v>130</v>
      </c>
      <c r="G498" s="18">
        <v>975</v>
      </c>
      <c r="H498" s="30" t="s">
        <v>2293</v>
      </c>
      <c r="J498" s="34"/>
    </row>
    <row r="499" spans="1:10" x14ac:dyDescent="0.25">
      <c r="A499" s="15">
        <v>40981</v>
      </c>
      <c r="B499" s="16" t="s">
        <v>865</v>
      </c>
      <c r="C499" t="s">
        <v>8</v>
      </c>
      <c r="D499" t="s">
        <v>48</v>
      </c>
      <c r="E499" s="17">
        <v>3</v>
      </c>
      <c r="F499" s="17">
        <v>35.35</v>
      </c>
      <c r="G499" s="18">
        <v>106.05</v>
      </c>
      <c r="H499" s="30" t="s">
        <v>2293</v>
      </c>
      <c r="J499" s="34"/>
    </row>
    <row r="500" spans="1:10" x14ac:dyDescent="0.25">
      <c r="A500" s="15">
        <v>40981</v>
      </c>
      <c r="B500" s="16" t="s">
        <v>865</v>
      </c>
      <c r="C500" t="s">
        <v>8</v>
      </c>
      <c r="D500" t="s">
        <v>48</v>
      </c>
      <c r="E500" s="17">
        <v>3</v>
      </c>
      <c r="F500" s="17">
        <v>35.35</v>
      </c>
      <c r="G500" s="18">
        <v>106.05</v>
      </c>
      <c r="H500" s="30" t="s">
        <v>2293</v>
      </c>
      <c r="J500" s="34"/>
    </row>
    <row r="501" spans="1:10" x14ac:dyDescent="0.25">
      <c r="A501" s="15">
        <v>40981</v>
      </c>
      <c r="B501" s="16" t="s">
        <v>865</v>
      </c>
      <c r="C501" t="s">
        <v>8</v>
      </c>
      <c r="D501" t="s">
        <v>48</v>
      </c>
      <c r="E501" s="17">
        <v>1.5</v>
      </c>
      <c r="F501" s="17">
        <v>35.35</v>
      </c>
      <c r="G501" s="18">
        <v>53.024999999999999</v>
      </c>
      <c r="H501" s="30" t="s">
        <v>2293</v>
      </c>
      <c r="J501" s="34"/>
    </row>
    <row r="502" spans="1:10" x14ac:dyDescent="0.25">
      <c r="A502" s="15">
        <v>40981</v>
      </c>
      <c r="B502" s="16" t="s">
        <v>877</v>
      </c>
      <c r="C502" t="s">
        <v>868</v>
      </c>
      <c r="D502" t="s">
        <v>48</v>
      </c>
      <c r="E502" s="17">
        <v>8</v>
      </c>
      <c r="F502" s="17">
        <v>90</v>
      </c>
      <c r="G502" s="18">
        <v>720</v>
      </c>
      <c r="H502" s="30" t="s">
        <v>2293</v>
      </c>
      <c r="J502" s="34"/>
    </row>
    <row r="503" spans="1:10" x14ac:dyDescent="0.25">
      <c r="A503" s="15">
        <v>40981</v>
      </c>
      <c r="B503" s="16" t="s">
        <v>880</v>
      </c>
      <c r="C503" t="s">
        <v>881</v>
      </c>
      <c r="D503" t="s">
        <v>48</v>
      </c>
      <c r="E503" s="17">
        <v>7</v>
      </c>
      <c r="F503" s="17">
        <v>95</v>
      </c>
      <c r="G503" s="18">
        <v>665</v>
      </c>
      <c r="H503" s="30" t="s">
        <v>2293</v>
      </c>
      <c r="J503" s="34"/>
    </row>
    <row r="504" spans="1:10" x14ac:dyDescent="0.25">
      <c r="A504" s="15">
        <v>40981</v>
      </c>
      <c r="B504" s="16" t="s">
        <v>865</v>
      </c>
      <c r="C504" t="s">
        <v>8</v>
      </c>
      <c r="D504" t="s">
        <v>48</v>
      </c>
      <c r="E504" s="17">
        <v>1.5</v>
      </c>
      <c r="F504" s="17">
        <v>35.35</v>
      </c>
      <c r="G504" s="18">
        <v>53.024999999999999</v>
      </c>
      <c r="H504" s="30" t="s">
        <v>2293</v>
      </c>
      <c r="J504" s="34"/>
    </row>
    <row r="505" spans="1:10" x14ac:dyDescent="0.25">
      <c r="A505" s="15">
        <v>40982</v>
      </c>
      <c r="B505" s="16" t="s">
        <v>880</v>
      </c>
      <c r="C505" t="s">
        <v>881</v>
      </c>
      <c r="D505" t="s">
        <v>48</v>
      </c>
      <c r="E505" s="17">
        <v>3</v>
      </c>
      <c r="F505" s="17">
        <v>95</v>
      </c>
      <c r="G505" s="18">
        <v>285</v>
      </c>
      <c r="H505" s="30" t="s">
        <v>2293</v>
      </c>
      <c r="J505" s="34"/>
    </row>
    <row r="506" spans="1:10" x14ac:dyDescent="0.25">
      <c r="A506" s="15">
        <v>40982</v>
      </c>
      <c r="B506" s="16" t="s">
        <v>877</v>
      </c>
      <c r="C506" t="s">
        <v>868</v>
      </c>
      <c r="D506" t="s">
        <v>48</v>
      </c>
      <c r="E506" s="17">
        <v>3.5</v>
      </c>
      <c r="F506" s="17">
        <v>90</v>
      </c>
      <c r="G506" s="18">
        <v>315</v>
      </c>
      <c r="H506" s="30" t="s">
        <v>2293</v>
      </c>
      <c r="J506" s="34"/>
    </row>
    <row r="507" spans="1:10" x14ac:dyDescent="0.25">
      <c r="A507" s="15">
        <v>40991</v>
      </c>
      <c r="B507" s="16" t="s">
        <v>865</v>
      </c>
      <c r="C507" t="s">
        <v>8</v>
      </c>
      <c r="D507" t="s">
        <v>48</v>
      </c>
      <c r="E507" s="17">
        <v>7.5</v>
      </c>
      <c r="F507" s="17">
        <v>35.35</v>
      </c>
      <c r="G507" s="18">
        <v>265.125</v>
      </c>
      <c r="H507" s="30" t="s">
        <v>2293</v>
      </c>
      <c r="J507" s="34"/>
    </row>
    <row r="508" spans="1:10" x14ac:dyDescent="0.25">
      <c r="A508" s="15">
        <v>40991</v>
      </c>
      <c r="B508" s="16" t="s">
        <v>877</v>
      </c>
      <c r="C508" t="s">
        <v>868</v>
      </c>
      <c r="D508" t="s">
        <v>48</v>
      </c>
      <c r="E508" s="17">
        <v>7</v>
      </c>
      <c r="F508" s="17">
        <v>90</v>
      </c>
      <c r="G508" s="18">
        <v>630</v>
      </c>
      <c r="H508" s="30" t="s">
        <v>2293</v>
      </c>
      <c r="J508" s="34"/>
    </row>
    <row r="509" spans="1:10" x14ac:dyDescent="0.25">
      <c r="A509" s="15">
        <v>40991</v>
      </c>
      <c r="B509" s="16" t="s">
        <v>865</v>
      </c>
      <c r="C509" t="s">
        <v>8</v>
      </c>
      <c r="D509" t="s">
        <v>48</v>
      </c>
      <c r="E509" s="17">
        <v>5</v>
      </c>
      <c r="F509" s="17">
        <v>35.35</v>
      </c>
      <c r="G509" s="18">
        <v>176.75</v>
      </c>
      <c r="H509" s="30" t="s">
        <v>2293</v>
      </c>
      <c r="J509" s="34"/>
    </row>
    <row r="510" spans="1:10" x14ac:dyDescent="0.25">
      <c r="A510" s="15">
        <v>40991</v>
      </c>
      <c r="B510" s="16" t="s">
        <v>865</v>
      </c>
      <c r="C510" t="s">
        <v>8</v>
      </c>
      <c r="D510" t="s">
        <v>48</v>
      </c>
      <c r="E510" s="17">
        <v>3</v>
      </c>
      <c r="F510" s="17">
        <v>35.35</v>
      </c>
      <c r="G510" s="18">
        <v>106.05</v>
      </c>
      <c r="H510" s="30" t="s">
        <v>2293</v>
      </c>
      <c r="J510" s="34"/>
    </row>
    <row r="511" spans="1:10" x14ac:dyDescent="0.25">
      <c r="A511" s="15">
        <v>40991</v>
      </c>
      <c r="B511" s="16" t="s">
        <v>880</v>
      </c>
      <c r="C511" t="s">
        <v>881</v>
      </c>
      <c r="D511" t="s">
        <v>48</v>
      </c>
      <c r="E511" s="17">
        <v>7</v>
      </c>
      <c r="F511" s="17">
        <v>95</v>
      </c>
      <c r="G511" s="18">
        <v>665</v>
      </c>
      <c r="H511" s="30" t="s">
        <v>2293</v>
      </c>
      <c r="J511" s="34"/>
    </row>
    <row r="512" spans="1:10" x14ac:dyDescent="0.25">
      <c r="A512" s="15">
        <v>41001</v>
      </c>
      <c r="B512" s="16" t="s">
        <v>904</v>
      </c>
      <c r="C512" t="s">
        <v>905</v>
      </c>
      <c r="D512" t="s">
        <v>48</v>
      </c>
      <c r="E512" s="17">
        <v>8</v>
      </c>
      <c r="F512" s="17">
        <v>95</v>
      </c>
      <c r="G512" s="18">
        <v>760</v>
      </c>
      <c r="H512" s="30" t="s">
        <v>2293</v>
      </c>
      <c r="J512" s="34"/>
    </row>
    <row r="513" spans="1:10" x14ac:dyDescent="0.25">
      <c r="A513" s="15">
        <v>41001</v>
      </c>
      <c r="B513" s="16" t="s">
        <v>880</v>
      </c>
      <c r="C513" t="s">
        <v>881</v>
      </c>
      <c r="D513" t="s">
        <v>48</v>
      </c>
      <c r="E513" s="17">
        <v>2</v>
      </c>
      <c r="F513" s="17">
        <v>95</v>
      </c>
      <c r="G513" s="18">
        <v>190</v>
      </c>
      <c r="H513" s="30" t="s">
        <v>2293</v>
      </c>
      <c r="J513" s="34"/>
    </row>
    <row r="514" spans="1:10" x14ac:dyDescent="0.25">
      <c r="A514" s="15">
        <v>41001</v>
      </c>
      <c r="B514" s="16" t="s">
        <v>933</v>
      </c>
      <c r="C514" t="s">
        <v>934</v>
      </c>
      <c r="D514" t="s">
        <v>48</v>
      </c>
      <c r="E514" s="17">
        <v>10.25</v>
      </c>
      <c r="F514" s="17">
        <v>92.73</v>
      </c>
      <c r="G514" s="18">
        <v>950.48249999999996</v>
      </c>
      <c r="H514" s="30" t="s">
        <v>2293</v>
      </c>
      <c r="J514" s="34"/>
    </row>
    <row r="515" spans="1:10" x14ac:dyDescent="0.25">
      <c r="A515" s="15">
        <v>41001</v>
      </c>
      <c r="B515" s="16" t="s">
        <v>933</v>
      </c>
      <c r="C515" t="s">
        <v>934</v>
      </c>
      <c r="D515" t="s">
        <v>48</v>
      </c>
      <c r="E515" s="17">
        <v>10.25</v>
      </c>
      <c r="F515" s="17">
        <v>92.73</v>
      </c>
      <c r="G515" s="18">
        <v>950.48249999999996</v>
      </c>
      <c r="H515" s="30" t="s">
        <v>2293</v>
      </c>
      <c r="J515" s="34"/>
    </row>
    <row r="516" spans="1:10" x14ac:dyDescent="0.25">
      <c r="A516" s="15">
        <v>41001</v>
      </c>
      <c r="B516" s="16" t="s">
        <v>920</v>
      </c>
      <c r="C516" t="s">
        <v>871</v>
      </c>
      <c r="D516" t="s">
        <v>48</v>
      </c>
      <c r="E516" s="17">
        <v>11</v>
      </c>
      <c r="F516" s="17">
        <v>130</v>
      </c>
      <c r="G516" s="18">
        <v>1430</v>
      </c>
      <c r="H516" s="30" t="s">
        <v>2293</v>
      </c>
      <c r="J516" s="34"/>
    </row>
    <row r="517" spans="1:10" x14ac:dyDescent="0.25">
      <c r="A517" s="15">
        <v>41001</v>
      </c>
      <c r="B517" s="16" t="s">
        <v>865</v>
      </c>
      <c r="C517" t="s">
        <v>8</v>
      </c>
      <c r="D517" t="s">
        <v>48</v>
      </c>
      <c r="E517" s="17">
        <v>2</v>
      </c>
      <c r="F517" s="17">
        <v>35.35</v>
      </c>
      <c r="G517" s="18">
        <v>70.7</v>
      </c>
      <c r="H517" s="30" t="s">
        <v>2293</v>
      </c>
      <c r="J517" s="34"/>
    </row>
    <row r="518" spans="1:10" x14ac:dyDescent="0.25">
      <c r="A518" s="15">
        <v>41001</v>
      </c>
      <c r="B518" s="16" t="s">
        <v>865</v>
      </c>
      <c r="C518" t="s">
        <v>8</v>
      </c>
      <c r="D518" t="s">
        <v>48</v>
      </c>
      <c r="E518" s="17">
        <v>2</v>
      </c>
      <c r="F518" s="17">
        <v>35.35</v>
      </c>
      <c r="G518" s="18">
        <v>70.7</v>
      </c>
      <c r="H518" s="30" t="s">
        <v>2293</v>
      </c>
      <c r="J518" s="34"/>
    </row>
    <row r="519" spans="1:10" x14ac:dyDescent="0.25">
      <c r="A519" s="15">
        <v>41001</v>
      </c>
      <c r="B519" s="16" t="s">
        <v>865</v>
      </c>
      <c r="C519" t="s">
        <v>8</v>
      </c>
      <c r="D519" t="s">
        <v>48</v>
      </c>
      <c r="E519" s="17">
        <v>10.5</v>
      </c>
      <c r="F519" s="17">
        <v>35.35</v>
      </c>
      <c r="G519" s="18">
        <v>371.17500000000001</v>
      </c>
      <c r="H519" s="30" t="s">
        <v>2293</v>
      </c>
      <c r="J519" s="34"/>
    </row>
    <row r="520" spans="1:10" x14ac:dyDescent="0.25">
      <c r="A520" s="15">
        <v>41001</v>
      </c>
      <c r="B520" s="16" t="s">
        <v>865</v>
      </c>
      <c r="C520" t="s">
        <v>8</v>
      </c>
      <c r="D520" t="s">
        <v>48</v>
      </c>
      <c r="E520" s="17">
        <v>2</v>
      </c>
      <c r="F520" s="17">
        <v>35.35</v>
      </c>
      <c r="G520" s="18">
        <v>70.7</v>
      </c>
      <c r="H520" s="30" t="s">
        <v>2293</v>
      </c>
      <c r="J520" s="34"/>
    </row>
    <row r="521" spans="1:10" x14ac:dyDescent="0.25">
      <c r="A521" s="15">
        <v>41001</v>
      </c>
      <c r="B521" s="16" t="s">
        <v>867</v>
      </c>
      <c r="C521" t="s">
        <v>868</v>
      </c>
      <c r="D521" t="s">
        <v>48</v>
      </c>
      <c r="E521" s="17">
        <v>5.5</v>
      </c>
      <c r="F521" s="17">
        <v>90</v>
      </c>
      <c r="G521" s="18">
        <v>495</v>
      </c>
      <c r="H521" s="30" t="s">
        <v>2293</v>
      </c>
      <c r="J521" s="34"/>
    </row>
    <row r="522" spans="1:10" x14ac:dyDescent="0.25">
      <c r="A522" s="15">
        <v>41002</v>
      </c>
      <c r="B522" s="16" t="s">
        <v>933</v>
      </c>
      <c r="C522" t="s">
        <v>934</v>
      </c>
      <c r="D522" t="s">
        <v>48</v>
      </c>
      <c r="E522" s="17">
        <v>6</v>
      </c>
      <c r="F522" s="17">
        <v>92.73</v>
      </c>
      <c r="G522" s="18">
        <v>556.38</v>
      </c>
      <c r="H522" s="30" t="s">
        <v>2293</v>
      </c>
      <c r="J522" s="34"/>
    </row>
    <row r="523" spans="1:10" x14ac:dyDescent="0.25">
      <c r="A523" s="15">
        <v>41002</v>
      </c>
      <c r="B523" s="16" t="s">
        <v>904</v>
      </c>
      <c r="C523" t="s">
        <v>905</v>
      </c>
      <c r="D523" t="s">
        <v>48</v>
      </c>
      <c r="E523" s="17">
        <v>7.5</v>
      </c>
      <c r="F523" s="17">
        <v>95</v>
      </c>
      <c r="G523" s="18">
        <v>712.5</v>
      </c>
      <c r="H523" s="30" t="s">
        <v>2293</v>
      </c>
      <c r="J523" s="34"/>
    </row>
    <row r="524" spans="1:10" x14ac:dyDescent="0.25">
      <c r="A524" s="15">
        <v>41002</v>
      </c>
      <c r="B524" s="16" t="s">
        <v>877</v>
      </c>
      <c r="C524" t="s">
        <v>868</v>
      </c>
      <c r="D524" t="s">
        <v>48</v>
      </c>
      <c r="E524" s="17">
        <v>6.5</v>
      </c>
      <c r="F524" s="17">
        <v>90</v>
      </c>
      <c r="G524" s="18">
        <v>585</v>
      </c>
      <c r="H524" s="30" t="s">
        <v>2293</v>
      </c>
      <c r="J524" s="34"/>
    </row>
    <row r="525" spans="1:10" x14ac:dyDescent="0.25">
      <c r="A525" s="15">
        <v>41002</v>
      </c>
      <c r="B525" s="16" t="s">
        <v>933</v>
      </c>
      <c r="C525" t="s">
        <v>934</v>
      </c>
      <c r="D525" t="s">
        <v>48</v>
      </c>
      <c r="E525" s="17">
        <v>6</v>
      </c>
      <c r="F525" s="17">
        <v>92.73</v>
      </c>
      <c r="G525" s="18">
        <v>556.38</v>
      </c>
      <c r="H525" s="30" t="s">
        <v>2293</v>
      </c>
      <c r="J525" s="34"/>
    </row>
    <row r="526" spans="1:10" x14ac:dyDescent="0.25">
      <c r="A526" s="15">
        <v>41002</v>
      </c>
      <c r="B526" s="16" t="s">
        <v>880</v>
      </c>
      <c r="C526" t="s">
        <v>881</v>
      </c>
      <c r="D526" t="s">
        <v>48</v>
      </c>
      <c r="E526" s="17">
        <v>9.5</v>
      </c>
      <c r="F526" s="17">
        <v>95</v>
      </c>
      <c r="G526" s="18">
        <v>902.5</v>
      </c>
      <c r="H526" s="30" t="s">
        <v>2293</v>
      </c>
      <c r="J526" s="34"/>
    </row>
    <row r="527" spans="1:10" x14ac:dyDescent="0.25">
      <c r="A527" s="15">
        <v>41002</v>
      </c>
      <c r="B527" s="16" t="s">
        <v>865</v>
      </c>
      <c r="C527" t="s">
        <v>8</v>
      </c>
      <c r="D527" t="s">
        <v>48</v>
      </c>
      <c r="E527" s="17">
        <v>10</v>
      </c>
      <c r="F527" s="17">
        <v>35.35</v>
      </c>
      <c r="G527" s="18">
        <v>353.5</v>
      </c>
      <c r="H527" s="30" t="s">
        <v>2293</v>
      </c>
      <c r="J527" s="34"/>
    </row>
    <row r="528" spans="1:10" x14ac:dyDescent="0.25">
      <c r="A528" s="15">
        <v>41002</v>
      </c>
      <c r="B528" s="16" t="s">
        <v>865</v>
      </c>
      <c r="C528" t="s">
        <v>8</v>
      </c>
      <c r="D528" t="s">
        <v>48</v>
      </c>
      <c r="E528" s="17">
        <v>10</v>
      </c>
      <c r="F528" s="17">
        <v>35.35</v>
      </c>
      <c r="G528" s="18">
        <v>353.5</v>
      </c>
      <c r="H528" s="30" t="s">
        <v>2293</v>
      </c>
      <c r="J528" s="34"/>
    </row>
    <row r="529" spans="1:10" x14ac:dyDescent="0.25">
      <c r="A529" s="15">
        <v>41002</v>
      </c>
      <c r="B529" s="16" t="s">
        <v>920</v>
      </c>
      <c r="C529" t="s">
        <v>871</v>
      </c>
      <c r="D529" t="s">
        <v>48</v>
      </c>
      <c r="E529" s="17">
        <v>9.5</v>
      </c>
      <c r="F529" s="17">
        <v>130</v>
      </c>
      <c r="G529" s="18">
        <v>1235</v>
      </c>
      <c r="H529" s="30" t="s">
        <v>2293</v>
      </c>
      <c r="J529" s="34"/>
    </row>
    <row r="530" spans="1:10" x14ac:dyDescent="0.25">
      <c r="A530" s="15">
        <v>41002</v>
      </c>
      <c r="B530" s="16" t="s">
        <v>865</v>
      </c>
      <c r="C530" t="s">
        <v>8</v>
      </c>
      <c r="D530" t="s">
        <v>48</v>
      </c>
      <c r="E530" s="17">
        <v>10</v>
      </c>
      <c r="F530" s="17">
        <v>35.35</v>
      </c>
      <c r="G530" s="18">
        <v>353.5</v>
      </c>
      <c r="H530" s="30" t="s">
        <v>2293</v>
      </c>
      <c r="J530" s="34"/>
    </row>
    <row r="531" spans="1:10" x14ac:dyDescent="0.25">
      <c r="A531" s="15">
        <v>41003</v>
      </c>
      <c r="B531" s="16" t="s">
        <v>920</v>
      </c>
      <c r="C531" t="s">
        <v>871</v>
      </c>
      <c r="D531" t="s">
        <v>48</v>
      </c>
      <c r="E531" s="17">
        <v>4.5</v>
      </c>
      <c r="F531" s="17">
        <v>130</v>
      </c>
      <c r="G531" s="18">
        <v>585</v>
      </c>
      <c r="H531" s="30" t="s">
        <v>2293</v>
      </c>
      <c r="J531" s="34"/>
    </row>
    <row r="532" spans="1:10" x14ac:dyDescent="0.25">
      <c r="A532" s="15">
        <v>41003</v>
      </c>
      <c r="B532" s="16" t="s">
        <v>865</v>
      </c>
      <c r="C532" t="s">
        <v>8</v>
      </c>
      <c r="D532" t="s">
        <v>48</v>
      </c>
      <c r="E532" s="17">
        <v>4.5</v>
      </c>
      <c r="F532" s="17">
        <v>35.35</v>
      </c>
      <c r="G532" s="18">
        <v>159.07499999999999</v>
      </c>
      <c r="H532" s="30" t="s">
        <v>2293</v>
      </c>
      <c r="J532" s="34"/>
    </row>
    <row r="533" spans="1:10" x14ac:dyDescent="0.25">
      <c r="A533" s="15">
        <v>41003</v>
      </c>
      <c r="B533" s="16" t="s">
        <v>865</v>
      </c>
      <c r="C533" t="s">
        <v>8</v>
      </c>
      <c r="D533" t="s">
        <v>48</v>
      </c>
      <c r="E533" s="17">
        <v>2.5</v>
      </c>
      <c r="F533" s="17">
        <v>35.35</v>
      </c>
      <c r="G533" s="18">
        <v>88.375</v>
      </c>
      <c r="H533" s="30" t="s">
        <v>2293</v>
      </c>
      <c r="J533" s="34"/>
    </row>
    <row r="534" spans="1:10" x14ac:dyDescent="0.25">
      <c r="A534" s="15">
        <v>41003</v>
      </c>
      <c r="B534" s="16" t="s">
        <v>935</v>
      </c>
      <c r="C534" t="s">
        <v>864</v>
      </c>
      <c r="D534" t="s">
        <v>48</v>
      </c>
      <c r="E534" s="17">
        <v>5</v>
      </c>
      <c r="F534" s="17">
        <v>100</v>
      </c>
      <c r="G534" s="18">
        <v>500</v>
      </c>
      <c r="H534" s="30" t="s">
        <v>2293</v>
      </c>
      <c r="J534" s="34"/>
    </row>
    <row r="535" spans="1:10" x14ac:dyDescent="0.25">
      <c r="A535" s="15">
        <v>41003</v>
      </c>
      <c r="B535" s="16" t="s">
        <v>880</v>
      </c>
      <c r="C535" t="s">
        <v>881</v>
      </c>
      <c r="D535" t="s">
        <v>48</v>
      </c>
      <c r="E535" s="17">
        <v>3</v>
      </c>
      <c r="F535" s="17">
        <v>95</v>
      </c>
      <c r="G535" s="18">
        <v>285</v>
      </c>
      <c r="H535" s="30" t="s">
        <v>2293</v>
      </c>
      <c r="J535" s="34"/>
    </row>
    <row r="536" spans="1:10" x14ac:dyDescent="0.25">
      <c r="A536" s="15">
        <v>41003</v>
      </c>
      <c r="B536" s="16" t="s">
        <v>904</v>
      </c>
      <c r="C536" t="s">
        <v>905</v>
      </c>
      <c r="D536" t="s">
        <v>48</v>
      </c>
      <c r="E536" s="17">
        <v>3.5</v>
      </c>
      <c r="F536" s="17">
        <v>95</v>
      </c>
      <c r="G536" s="18">
        <v>332.5</v>
      </c>
      <c r="H536" s="30" t="s">
        <v>2293</v>
      </c>
      <c r="J536" s="34"/>
    </row>
    <row r="537" spans="1:10" x14ac:dyDescent="0.25">
      <c r="A537" s="15">
        <v>41003</v>
      </c>
      <c r="B537" s="16" t="s">
        <v>877</v>
      </c>
      <c r="C537" t="s">
        <v>868</v>
      </c>
      <c r="D537" t="s">
        <v>48</v>
      </c>
      <c r="E537" s="17">
        <v>6.5</v>
      </c>
      <c r="F537" s="17">
        <v>90</v>
      </c>
      <c r="G537" s="18">
        <v>585</v>
      </c>
      <c r="H537" s="30" t="s">
        <v>2293</v>
      </c>
      <c r="J537" s="34"/>
    </row>
    <row r="538" spans="1:10" x14ac:dyDescent="0.25">
      <c r="A538" s="15">
        <v>41003</v>
      </c>
      <c r="B538" s="16" t="s">
        <v>865</v>
      </c>
      <c r="C538" t="s">
        <v>8</v>
      </c>
      <c r="D538" t="s">
        <v>48</v>
      </c>
      <c r="E538" s="17">
        <v>2.5</v>
      </c>
      <c r="F538" s="17">
        <v>35.35</v>
      </c>
      <c r="G538" s="18">
        <v>88.375</v>
      </c>
      <c r="H538" s="30" t="s">
        <v>2293</v>
      </c>
      <c r="J538" s="34"/>
    </row>
    <row r="539" spans="1:10" x14ac:dyDescent="0.25">
      <c r="A539" s="15">
        <v>41003</v>
      </c>
      <c r="B539" s="16" t="s">
        <v>936</v>
      </c>
      <c r="C539" t="s">
        <v>864</v>
      </c>
      <c r="D539" t="s">
        <v>48</v>
      </c>
      <c r="E539" s="17">
        <v>10</v>
      </c>
      <c r="F539" s="17">
        <v>100</v>
      </c>
      <c r="G539" s="18">
        <v>1000</v>
      </c>
      <c r="H539" s="30" t="s">
        <v>2293</v>
      </c>
      <c r="J539" s="34"/>
    </row>
    <row r="540" spans="1:10" x14ac:dyDescent="0.25">
      <c r="A540" s="15">
        <v>41003</v>
      </c>
      <c r="B540" s="16" t="s">
        <v>865</v>
      </c>
      <c r="C540" t="s">
        <v>8</v>
      </c>
      <c r="D540" t="s">
        <v>48</v>
      </c>
      <c r="E540" s="17">
        <v>4.5</v>
      </c>
      <c r="F540" s="17">
        <v>35.35</v>
      </c>
      <c r="G540" s="18">
        <v>159.07499999999999</v>
      </c>
      <c r="H540" s="30" t="s">
        <v>2293</v>
      </c>
      <c r="J540" s="34"/>
    </row>
    <row r="541" spans="1:10" x14ac:dyDescent="0.25">
      <c r="A541" s="15">
        <v>41009</v>
      </c>
      <c r="B541" s="16" t="s">
        <v>937</v>
      </c>
      <c r="C541" t="s">
        <v>934</v>
      </c>
      <c r="D541" t="s">
        <v>48</v>
      </c>
      <c r="E541" s="17">
        <v>7</v>
      </c>
      <c r="F541" s="17">
        <v>92.73</v>
      </c>
      <c r="G541" s="18">
        <v>649.11</v>
      </c>
      <c r="H541" s="30" t="s">
        <v>2293</v>
      </c>
      <c r="J541" s="34"/>
    </row>
    <row r="542" spans="1:10" x14ac:dyDescent="0.25">
      <c r="A542" s="15">
        <v>41009</v>
      </c>
      <c r="B542" s="16" t="s">
        <v>937</v>
      </c>
      <c r="C542" t="s">
        <v>934</v>
      </c>
      <c r="D542" t="s">
        <v>48</v>
      </c>
      <c r="E542" s="17">
        <v>7</v>
      </c>
      <c r="F542" s="17">
        <v>92.73</v>
      </c>
      <c r="G542" s="18">
        <v>649.11</v>
      </c>
      <c r="H542" s="30" t="s">
        <v>2293</v>
      </c>
      <c r="J542" s="34"/>
    </row>
    <row r="543" spans="1:10" x14ac:dyDescent="0.25">
      <c r="A543" s="15">
        <v>41009</v>
      </c>
      <c r="B543" s="16" t="s">
        <v>865</v>
      </c>
      <c r="C543" t="s">
        <v>8</v>
      </c>
      <c r="D543" t="s">
        <v>48</v>
      </c>
      <c r="E543" s="17">
        <v>6</v>
      </c>
      <c r="F543" s="17">
        <v>35.35</v>
      </c>
      <c r="G543" s="18">
        <v>212.1</v>
      </c>
      <c r="H543" s="30" t="s">
        <v>2293</v>
      </c>
      <c r="J543" s="34"/>
    </row>
    <row r="544" spans="1:10" x14ac:dyDescent="0.25">
      <c r="A544" s="15">
        <v>41009</v>
      </c>
      <c r="B544" s="16" t="s">
        <v>920</v>
      </c>
      <c r="C544" t="s">
        <v>871</v>
      </c>
      <c r="D544" t="s">
        <v>48</v>
      </c>
      <c r="E544" s="17">
        <v>6</v>
      </c>
      <c r="F544" s="17">
        <v>130</v>
      </c>
      <c r="G544" s="18">
        <v>780</v>
      </c>
      <c r="H544" s="30" t="s">
        <v>2293</v>
      </c>
      <c r="J544" s="34"/>
    </row>
    <row r="545" spans="1:10" x14ac:dyDescent="0.25">
      <c r="A545" s="15">
        <v>41009</v>
      </c>
      <c r="B545" s="16" t="s">
        <v>880</v>
      </c>
      <c r="C545" t="s">
        <v>881</v>
      </c>
      <c r="D545" t="s">
        <v>48</v>
      </c>
      <c r="E545" s="17">
        <v>4</v>
      </c>
      <c r="F545" s="17">
        <v>95</v>
      </c>
      <c r="G545" s="18">
        <v>380</v>
      </c>
      <c r="H545" s="30" t="s">
        <v>2293</v>
      </c>
      <c r="J545" s="34"/>
    </row>
    <row r="546" spans="1:10" x14ac:dyDescent="0.25">
      <c r="A546" s="15">
        <v>41010</v>
      </c>
      <c r="B546" s="16" t="s">
        <v>865</v>
      </c>
      <c r="C546" t="s">
        <v>8</v>
      </c>
      <c r="D546" t="s">
        <v>48</v>
      </c>
      <c r="E546" s="17">
        <v>4.5</v>
      </c>
      <c r="F546" s="17">
        <v>35.35</v>
      </c>
      <c r="G546" s="18">
        <v>159.07499999999999</v>
      </c>
      <c r="H546" s="30" t="s">
        <v>2293</v>
      </c>
      <c r="J546" s="34"/>
    </row>
    <row r="547" spans="1:10" x14ac:dyDescent="0.25">
      <c r="A547" s="15">
        <v>41010</v>
      </c>
      <c r="B547" s="16" t="s">
        <v>920</v>
      </c>
      <c r="C547" t="s">
        <v>871</v>
      </c>
      <c r="D547" t="s">
        <v>48</v>
      </c>
      <c r="E547" s="17">
        <v>9.5</v>
      </c>
      <c r="F547" s="17">
        <v>130</v>
      </c>
      <c r="G547" s="18">
        <v>1235</v>
      </c>
      <c r="H547" s="30" t="s">
        <v>2293</v>
      </c>
      <c r="J547" s="34"/>
    </row>
    <row r="548" spans="1:10" x14ac:dyDescent="0.25">
      <c r="A548" s="15">
        <v>41010</v>
      </c>
      <c r="B548" s="16" t="s">
        <v>880</v>
      </c>
      <c r="C548" t="s">
        <v>881</v>
      </c>
      <c r="D548" t="s">
        <v>48</v>
      </c>
      <c r="E548" s="17">
        <v>9</v>
      </c>
      <c r="F548" s="17">
        <v>95</v>
      </c>
      <c r="G548" s="18">
        <v>855</v>
      </c>
      <c r="H548" s="30" t="s">
        <v>2293</v>
      </c>
      <c r="J548" s="34"/>
    </row>
    <row r="549" spans="1:10" x14ac:dyDescent="0.25">
      <c r="A549" s="15">
        <v>41010</v>
      </c>
      <c r="B549" s="16" t="s">
        <v>865</v>
      </c>
      <c r="C549" t="s">
        <v>8</v>
      </c>
      <c r="D549" t="s">
        <v>48</v>
      </c>
      <c r="E549" s="17">
        <v>3</v>
      </c>
      <c r="F549" s="17">
        <v>35.35</v>
      </c>
      <c r="G549" s="18">
        <v>106.05</v>
      </c>
      <c r="H549" s="30" t="s">
        <v>2293</v>
      </c>
      <c r="J549" s="34"/>
    </row>
    <row r="550" spans="1:10" x14ac:dyDescent="0.25">
      <c r="A550" s="15">
        <v>41010</v>
      </c>
      <c r="B550" s="16" t="s">
        <v>938</v>
      </c>
      <c r="C550" t="s">
        <v>871</v>
      </c>
      <c r="D550" t="s">
        <v>48</v>
      </c>
      <c r="E550" s="17">
        <v>9.5</v>
      </c>
      <c r="F550" s="17">
        <v>130</v>
      </c>
      <c r="G550" s="18">
        <v>1235</v>
      </c>
      <c r="H550" s="30" t="s">
        <v>2293</v>
      </c>
      <c r="J550" s="34"/>
    </row>
    <row r="551" spans="1:10" x14ac:dyDescent="0.25">
      <c r="A551" s="15">
        <v>41010</v>
      </c>
      <c r="B551" s="16" t="s">
        <v>865</v>
      </c>
      <c r="C551" t="s">
        <v>8</v>
      </c>
      <c r="D551" t="s">
        <v>48</v>
      </c>
      <c r="E551" s="17">
        <v>2</v>
      </c>
      <c r="F551" s="17">
        <v>35.35</v>
      </c>
      <c r="G551" s="18">
        <v>70.7</v>
      </c>
      <c r="H551" s="30" t="s">
        <v>2293</v>
      </c>
      <c r="J551" s="34"/>
    </row>
    <row r="552" spans="1:10" x14ac:dyDescent="0.25">
      <c r="A552" s="15">
        <v>41010</v>
      </c>
      <c r="B552" s="16" t="s">
        <v>937</v>
      </c>
      <c r="C552" t="s">
        <v>934</v>
      </c>
      <c r="D552" t="s">
        <v>48</v>
      </c>
      <c r="E552" s="17">
        <v>9.5</v>
      </c>
      <c r="F552" s="17">
        <v>92.73</v>
      </c>
      <c r="G552" s="18">
        <v>880.93499999999995</v>
      </c>
      <c r="H552" s="30" t="s">
        <v>2293</v>
      </c>
      <c r="J552" s="34"/>
    </row>
    <row r="553" spans="1:10" x14ac:dyDescent="0.25">
      <c r="A553" s="15">
        <v>41010</v>
      </c>
      <c r="B553" s="16" t="s">
        <v>877</v>
      </c>
      <c r="C553" t="s">
        <v>868</v>
      </c>
      <c r="D553" t="s">
        <v>48</v>
      </c>
      <c r="E553" s="17">
        <v>5</v>
      </c>
      <c r="F553" s="17">
        <v>90</v>
      </c>
      <c r="G553" s="18">
        <v>450</v>
      </c>
      <c r="H553" s="30" t="s">
        <v>2293</v>
      </c>
      <c r="J553" s="34"/>
    </row>
    <row r="554" spans="1:10" x14ac:dyDescent="0.25">
      <c r="A554" s="15">
        <v>41010</v>
      </c>
      <c r="B554" s="16" t="s">
        <v>937</v>
      </c>
      <c r="C554" t="s">
        <v>934</v>
      </c>
      <c r="D554" t="s">
        <v>48</v>
      </c>
      <c r="E554" s="17">
        <v>9.5</v>
      </c>
      <c r="F554" s="17">
        <v>92.73</v>
      </c>
      <c r="G554" s="18">
        <v>880.93499999999995</v>
      </c>
      <c r="H554" s="30" t="s">
        <v>2293</v>
      </c>
      <c r="J554" s="34"/>
    </row>
    <row r="555" spans="1:10" x14ac:dyDescent="0.25">
      <c r="A555" s="15">
        <v>41010</v>
      </c>
      <c r="B555" s="16" t="s">
        <v>904</v>
      </c>
      <c r="C555" t="s">
        <v>905</v>
      </c>
      <c r="D555" t="s">
        <v>48</v>
      </c>
      <c r="E555" s="17">
        <v>9</v>
      </c>
      <c r="F555" s="17">
        <v>95</v>
      </c>
      <c r="G555" s="18">
        <v>855</v>
      </c>
      <c r="H555" s="30" t="s">
        <v>2293</v>
      </c>
      <c r="J555" s="34"/>
    </row>
    <row r="556" spans="1:10" x14ac:dyDescent="0.25">
      <c r="A556" s="15">
        <v>41011</v>
      </c>
      <c r="B556" s="16" t="s">
        <v>937</v>
      </c>
      <c r="C556" t="s">
        <v>934</v>
      </c>
      <c r="D556" t="s">
        <v>48</v>
      </c>
      <c r="E556" s="17">
        <v>8</v>
      </c>
      <c r="F556" s="17">
        <v>92.73</v>
      </c>
      <c r="G556" s="18">
        <v>741.84</v>
      </c>
      <c r="H556" s="30" t="s">
        <v>2293</v>
      </c>
      <c r="J556" s="34"/>
    </row>
    <row r="557" spans="1:10" x14ac:dyDescent="0.25">
      <c r="A557" s="15">
        <v>41011</v>
      </c>
      <c r="B557" s="16" t="s">
        <v>865</v>
      </c>
      <c r="C557" t="s">
        <v>8</v>
      </c>
      <c r="D557" t="s">
        <v>48</v>
      </c>
      <c r="E557" s="17">
        <v>3</v>
      </c>
      <c r="F557" s="17">
        <v>35.35</v>
      </c>
      <c r="G557" s="18">
        <v>106.05</v>
      </c>
      <c r="H557" s="30" t="s">
        <v>2293</v>
      </c>
      <c r="J557" s="34"/>
    </row>
    <row r="558" spans="1:10" x14ac:dyDescent="0.25">
      <c r="A558" s="15">
        <v>41011</v>
      </c>
      <c r="B558" s="16" t="s">
        <v>877</v>
      </c>
      <c r="C558" t="s">
        <v>868</v>
      </c>
      <c r="D558" t="s">
        <v>48</v>
      </c>
      <c r="E558" s="17">
        <v>5</v>
      </c>
      <c r="F558" s="17">
        <v>90</v>
      </c>
      <c r="G558" s="18">
        <v>450</v>
      </c>
      <c r="H558" s="30" t="s">
        <v>2293</v>
      </c>
      <c r="J558" s="34"/>
    </row>
    <row r="559" spans="1:10" x14ac:dyDescent="0.25">
      <c r="A559" s="15">
        <v>41011</v>
      </c>
      <c r="B559" s="16" t="s">
        <v>920</v>
      </c>
      <c r="C559" t="s">
        <v>871</v>
      </c>
      <c r="D559" t="s">
        <v>48</v>
      </c>
      <c r="E559" s="17">
        <v>10.5</v>
      </c>
      <c r="F559" s="17">
        <v>130</v>
      </c>
      <c r="G559" s="18">
        <v>1365</v>
      </c>
      <c r="H559" s="30" t="s">
        <v>2293</v>
      </c>
      <c r="J559" s="34"/>
    </row>
    <row r="560" spans="1:10" x14ac:dyDescent="0.25">
      <c r="A560" s="15">
        <v>41011</v>
      </c>
      <c r="B560" s="16" t="s">
        <v>865</v>
      </c>
      <c r="C560" t="s">
        <v>8</v>
      </c>
      <c r="D560" t="s">
        <v>48</v>
      </c>
      <c r="E560" s="17">
        <v>3</v>
      </c>
      <c r="F560" s="17">
        <v>35.35</v>
      </c>
      <c r="G560" s="18">
        <v>106.05</v>
      </c>
      <c r="H560" s="30" t="s">
        <v>2293</v>
      </c>
      <c r="J560" s="34"/>
    </row>
    <row r="561" spans="1:10" x14ac:dyDescent="0.25">
      <c r="A561" s="15">
        <v>41011</v>
      </c>
      <c r="B561" s="16" t="s">
        <v>904</v>
      </c>
      <c r="C561" t="s">
        <v>905</v>
      </c>
      <c r="D561" t="s">
        <v>48</v>
      </c>
      <c r="E561" s="17">
        <v>8</v>
      </c>
      <c r="F561" s="17">
        <v>95</v>
      </c>
      <c r="G561" s="18">
        <v>760</v>
      </c>
      <c r="H561" s="30" t="s">
        <v>2293</v>
      </c>
      <c r="J561" s="34"/>
    </row>
    <row r="562" spans="1:10" x14ac:dyDescent="0.25">
      <c r="A562" s="15">
        <v>41011</v>
      </c>
      <c r="B562" s="16" t="s">
        <v>880</v>
      </c>
      <c r="C562" t="s">
        <v>881</v>
      </c>
      <c r="D562" t="s">
        <v>48</v>
      </c>
      <c r="E562" s="17">
        <v>8</v>
      </c>
      <c r="F562" s="17">
        <v>95</v>
      </c>
      <c r="G562" s="18">
        <v>760</v>
      </c>
      <c r="H562" s="30" t="s">
        <v>2293</v>
      </c>
      <c r="J562" s="34"/>
    </row>
    <row r="563" spans="1:10" x14ac:dyDescent="0.25">
      <c r="A563" s="15">
        <v>41011</v>
      </c>
      <c r="B563" s="16" t="s">
        <v>939</v>
      </c>
      <c r="C563" t="s">
        <v>871</v>
      </c>
      <c r="D563" t="s">
        <v>48</v>
      </c>
      <c r="E563" s="17">
        <v>10</v>
      </c>
      <c r="F563" s="17">
        <v>130</v>
      </c>
      <c r="G563" s="18">
        <v>1300</v>
      </c>
      <c r="H563" s="30" t="s">
        <v>2293</v>
      </c>
      <c r="J563" s="34"/>
    </row>
    <row r="564" spans="1:10" x14ac:dyDescent="0.25">
      <c r="A564" s="15">
        <v>41011</v>
      </c>
      <c r="B564" s="16" t="s">
        <v>937</v>
      </c>
      <c r="C564" t="s">
        <v>934</v>
      </c>
      <c r="D564" t="s">
        <v>48</v>
      </c>
      <c r="E564" s="17">
        <v>8</v>
      </c>
      <c r="F564" s="17">
        <v>92.73</v>
      </c>
      <c r="G564" s="18">
        <v>741.84</v>
      </c>
      <c r="H564" s="30" t="s">
        <v>2293</v>
      </c>
      <c r="J564" s="34"/>
    </row>
    <row r="565" spans="1:10" x14ac:dyDescent="0.25">
      <c r="A565" s="15">
        <v>41012</v>
      </c>
      <c r="B565" s="16" t="s">
        <v>904</v>
      </c>
      <c r="C565" t="s">
        <v>905</v>
      </c>
      <c r="D565" t="s">
        <v>48</v>
      </c>
      <c r="E565" s="17">
        <v>8</v>
      </c>
      <c r="F565" s="17">
        <v>95</v>
      </c>
      <c r="G565" s="18">
        <v>760</v>
      </c>
      <c r="H565" s="30" t="s">
        <v>2293</v>
      </c>
      <c r="J565" s="34"/>
    </row>
    <row r="566" spans="1:10" x14ac:dyDescent="0.25">
      <c r="A566" s="15">
        <v>41012</v>
      </c>
      <c r="B566" s="16" t="s">
        <v>880</v>
      </c>
      <c r="C566" t="s">
        <v>881</v>
      </c>
      <c r="D566" t="s">
        <v>48</v>
      </c>
      <c r="E566" s="17">
        <v>8</v>
      </c>
      <c r="F566" s="17">
        <v>95</v>
      </c>
      <c r="G566" s="18">
        <v>760</v>
      </c>
      <c r="H566" s="30" t="s">
        <v>2293</v>
      </c>
      <c r="J566" s="34"/>
    </row>
    <row r="567" spans="1:10" x14ac:dyDescent="0.25">
      <c r="A567" s="15">
        <v>41012</v>
      </c>
      <c r="B567" s="16" t="s">
        <v>920</v>
      </c>
      <c r="C567" t="s">
        <v>871</v>
      </c>
      <c r="D567" t="s">
        <v>48</v>
      </c>
      <c r="E567" s="17">
        <v>8</v>
      </c>
      <c r="F567" s="17">
        <v>130</v>
      </c>
      <c r="G567" s="18">
        <v>1040</v>
      </c>
      <c r="H567" s="30" t="s">
        <v>2293</v>
      </c>
      <c r="J567" s="34"/>
    </row>
    <row r="568" spans="1:10" x14ac:dyDescent="0.25">
      <c r="A568" s="15">
        <v>41012</v>
      </c>
      <c r="B568" s="16" t="s">
        <v>877</v>
      </c>
      <c r="C568" t="s">
        <v>868</v>
      </c>
      <c r="D568" t="s">
        <v>48</v>
      </c>
      <c r="E568" s="17">
        <v>5</v>
      </c>
      <c r="F568" s="17">
        <v>90</v>
      </c>
      <c r="G568" s="18">
        <v>450</v>
      </c>
      <c r="H568" s="30" t="s">
        <v>2293</v>
      </c>
      <c r="J568" s="34"/>
    </row>
    <row r="569" spans="1:10" x14ac:dyDescent="0.25">
      <c r="A569" s="15">
        <v>41012</v>
      </c>
      <c r="B569" s="16" t="s">
        <v>937</v>
      </c>
      <c r="C569" t="s">
        <v>934</v>
      </c>
      <c r="D569" t="s">
        <v>48</v>
      </c>
      <c r="E569" s="17">
        <v>8.5</v>
      </c>
      <c r="F569" s="17">
        <v>92.73</v>
      </c>
      <c r="G569" s="18">
        <v>788.20500000000004</v>
      </c>
      <c r="H569" s="30" t="s">
        <v>2293</v>
      </c>
      <c r="J569" s="34"/>
    </row>
    <row r="570" spans="1:10" x14ac:dyDescent="0.25">
      <c r="A570" s="15">
        <v>41012</v>
      </c>
      <c r="B570" s="16" t="s">
        <v>865</v>
      </c>
      <c r="C570" t="s">
        <v>8</v>
      </c>
      <c r="D570" t="s">
        <v>48</v>
      </c>
      <c r="E570" s="17">
        <v>1.5</v>
      </c>
      <c r="F570" s="17">
        <v>35.35</v>
      </c>
      <c r="G570" s="18">
        <v>53.024999999999999</v>
      </c>
      <c r="H570" s="30" t="s">
        <v>2293</v>
      </c>
      <c r="J570" s="34"/>
    </row>
    <row r="571" spans="1:10" x14ac:dyDescent="0.25">
      <c r="A571" s="15">
        <v>41012</v>
      </c>
      <c r="B571" s="16" t="s">
        <v>937</v>
      </c>
      <c r="C571" t="s">
        <v>934</v>
      </c>
      <c r="D571" t="s">
        <v>48</v>
      </c>
      <c r="E571" s="17">
        <v>8.5</v>
      </c>
      <c r="F571" s="17">
        <v>92.73</v>
      </c>
      <c r="G571" s="18">
        <v>788.20500000000004</v>
      </c>
      <c r="H571" s="30" t="s">
        <v>2293</v>
      </c>
      <c r="J571" s="34"/>
    </row>
    <row r="572" spans="1:10" x14ac:dyDescent="0.25">
      <c r="A572" s="15">
        <v>41012</v>
      </c>
      <c r="B572" s="16" t="s">
        <v>940</v>
      </c>
      <c r="C572" t="s">
        <v>871</v>
      </c>
      <c r="D572" t="s">
        <v>48</v>
      </c>
      <c r="E572" s="17">
        <v>10</v>
      </c>
      <c r="F572" s="17">
        <v>130</v>
      </c>
      <c r="G572" s="18">
        <v>1300</v>
      </c>
      <c r="H572" s="30" t="s">
        <v>2293</v>
      </c>
      <c r="J572" s="34"/>
    </row>
    <row r="573" spans="1:10" x14ac:dyDescent="0.25">
      <c r="A573" s="15">
        <v>41012</v>
      </c>
      <c r="B573" s="16" t="s">
        <v>865</v>
      </c>
      <c r="C573" t="s">
        <v>8</v>
      </c>
      <c r="D573" t="s">
        <v>48</v>
      </c>
      <c r="E573" s="17">
        <v>3.5</v>
      </c>
      <c r="F573" s="17">
        <v>35.35</v>
      </c>
      <c r="G573" s="18">
        <v>123.72499999999999</v>
      </c>
      <c r="H573" s="30" t="s">
        <v>2293</v>
      </c>
      <c r="J573" s="34"/>
    </row>
    <row r="574" spans="1:10" x14ac:dyDescent="0.25">
      <c r="A574" s="15">
        <v>41012</v>
      </c>
      <c r="B574" s="16" t="s">
        <v>865</v>
      </c>
      <c r="C574" t="s">
        <v>8</v>
      </c>
      <c r="D574" t="s">
        <v>48</v>
      </c>
      <c r="E574" s="17">
        <v>2</v>
      </c>
      <c r="F574" s="17">
        <v>35.35</v>
      </c>
      <c r="G574" s="18">
        <v>70.7</v>
      </c>
      <c r="H574" s="30" t="s">
        <v>2293</v>
      </c>
      <c r="J574" s="34"/>
    </row>
    <row r="575" spans="1:10" x14ac:dyDescent="0.25">
      <c r="A575" s="15">
        <v>41013</v>
      </c>
      <c r="B575" s="16" t="s">
        <v>865</v>
      </c>
      <c r="C575" t="s">
        <v>8</v>
      </c>
      <c r="D575" t="s">
        <v>48</v>
      </c>
      <c r="E575" s="17">
        <v>4</v>
      </c>
      <c r="F575" s="17">
        <v>35.35</v>
      </c>
      <c r="G575" s="18">
        <v>141.4</v>
      </c>
      <c r="H575" s="30" t="s">
        <v>2293</v>
      </c>
      <c r="J575" s="34"/>
    </row>
    <row r="576" spans="1:10" x14ac:dyDescent="0.25">
      <c r="A576" s="15">
        <v>41013</v>
      </c>
      <c r="B576" s="16" t="s">
        <v>865</v>
      </c>
      <c r="C576" t="s">
        <v>8</v>
      </c>
      <c r="D576" t="s">
        <v>48</v>
      </c>
      <c r="E576" s="17">
        <v>4</v>
      </c>
      <c r="F576" s="17">
        <v>35.35</v>
      </c>
      <c r="G576" s="18">
        <v>141.4</v>
      </c>
      <c r="H576" s="30" t="s">
        <v>2293</v>
      </c>
      <c r="J576" s="34"/>
    </row>
    <row r="577" spans="1:10" x14ac:dyDescent="0.25">
      <c r="A577" s="15">
        <v>41013</v>
      </c>
      <c r="B577" s="16" t="s">
        <v>877</v>
      </c>
      <c r="C577" t="s">
        <v>868</v>
      </c>
      <c r="D577" t="s">
        <v>48</v>
      </c>
      <c r="E577" s="17">
        <v>4</v>
      </c>
      <c r="F577" s="17">
        <v>90</v>
      </c>
      <c r="G577" s="18">
        <v>360</v>
      </c>
      <c r="H577" s="30" t="s">
        <v>2293</v>
      </c>
      <c r="J577" s="34"/>
    </row>
    <row r="578" spans="1:10" x14ac:dyDescent="0.25">
      <c r="A578" s="15">
        <v>41013</v>
      </c>
      <c r="B578" s="16" t="s">
        <v>865</v>
      </c>
      <c r="C578" t="s">
        <v>8</v>
      </c>
      <c r="D578" t="s">
        <v>48</v>
      </c>
      <c r="E578" s="17">
        <v>4</v>
      </c>
      <c r="F578" s="17">
        <v>35.35</v>
      </c>
      <c r="G578" s="18">
        <v>141.4</v>
      </c>
      <c r="H578" s="30" t="s">
        <v>2293</v>
      </c>
      <c r="J578" s="34"/>
    </row>
    <row r="579" spans="1:10" x14ac:dyDescent="0.25">
      <c r="A579" s="15">
        <v>41015</v>
      </c>
      <c r="B579" s="16" t="s">
        <v>920</v>
      </c>
      <c r="C579" t="s">
        <v>871</v>
      </c>
      <c r="D579" t="s">
        <v>48</v>
      </c>
      <c r="E579" s="17">
        <v>6.5</v>
      </c>
      <c r="F579" s="17">
        <v>130</v>
      </c>
      <c r="G579" s="18">
        <v>845</v>
      </c>
      <c r="H579" s="30" t="s">
        <v>2293</v>
      </c>
      <c r="J579" s="34"/>
    </row>
    <row r="580" spans="1:10" x14ac:dyDescent="0.25">
      <c r="A580" s="15">
        <v>41015</v>
      </c>
      <c r="B580" s="16" t="s">
        <v>865</v>
      </c>
      <c r="C580" t="s">
        <v>8</v>
      </c>
      <c r="D580" t="s">
        <v>48</v>
      </c>
      <c r="E580" s="17">
        <v>3</v>
      </c>
      <c r="F580" s="17">
        <v>35.35</v>
      </c>
      <c r="G580" s="18">
        <v>106.05</v>
      </c>
      <c r="H580" s="30" t="s">
        <v>2293</v>
      </c>
      <c r="J580" s="34"/>
    </row>
    <row r="581" spans="1:10" x14ac:dyDescent="0.25">
      <c r="A581" s="15">
        <v>41015</v>
      </c>
      <c r="B581" s="16" t="s">
        <v>937</v>
      </c>
      <c r="C581" t="s">
        <v>934</v>
      </c>
      <c r="D581" t="s">
        <v>48</v>
      </c>
      <c r="E581" s="17">
        <v>8</v>
      </c>
      <c r="F581" s="17">
        <v>92.73</v>
      </c>
      <c r="G581" s="18">
        <v>741.84</v>
      </c>
      <c r="H581" s="30" t="s">
        <v>2293</v>
      </c>
      <c r="J581" s="34"/>
    </row>
    <row r="582" spans="1:10" x14ac:dyDescent="0.25">
      <c r="A582" s="15">
        <v>41015</v>
      </c>
      <c r="B582" s="16" t="s">
        <v>877</v>
      </c>
      <c r="C582" t="s">
        <v>868</v>
      </c>
      <c r="D582" t="s">
        <v>48</v>
      </c>
      <c r="E582" s="17">
        <v>5</v>
      </c>
      <c r="F582" s="17">
        <v>90</v>
      </c>
      <c r="G582" s="18">
        <v>450</v>
      </c>
      <c r="H582" s="30" t="s">
        <v>2293</v>
      </c>
      <c r="J582" s="34"/>
    </row>
    <row r="583" spans="1:10" x14ac:dyDescent="0.25">
      <c r="A583" s="15">
        <v>41015</v>
      </c>
      <c r="B583" s="16" t="s">
        <v>937</v>
      </c>
      <c r="C583" t="s">
        <v>934</v>
      </c>
      <c r="D583" t="s">
        <v>48</v>
      </c>
      <c r="E583" s="17">
        <v>8</v>
      </c>
      <c r="F583" s="17">
        <v>92.73</v>
      </c>
      <c r="G583" s="18">
        <v>741.84</v>
      </c>
      <c r="H583" s="30" t="s">
        <v>2293</v>
      </c>
      <c r="J583" s="34"/>
    </row>
    <row r="584" spans="1:10" x14ac:dyDescent="0.25">
      <c r="A584" s="15">
        <v>41015</v>
      </c>
      <c r="B584" s="16" t="s">
        <v>865</v>
      </c>
      <c r="C584" t="s">
        <v>8</v>
      </c>
      <c r="D584" t="s">
        <v>48</v>
      </c>
      <c r="E584" s="17">
        <v>3</v>
      </c>
      <c r="F584" s="17">
        <v>48</v>
      </c>
      <c r="G584" s="18">
        <v>144</v>
      </c>
      <c r="H584" s="30" t="s">
        <v>2293</v>
      </c>
      <c r="J584" s="34"/>
    </row>
    <row r="585" spans="1:10" x14ac:dyDescent="0.25">
      <c r="A585" s="15">
        <v>41015</v>
      </c>
      <c r="B585" s="16" t="s">
        <v>865</v>
      </c>
      <c r="C585" t="s">
        <v>8</v>
      </c>
      <c r="D585" t="s">
        <v>48</v>
      </c>
      <c r="E585" s="17">
        <v>2</v>
      </c>
      <c r="F585" s="17">
        <v>35.35</v>
      </c>
      <c r="G585" s="18">
        <v>70.7</v>
      </c>
      <c r="H585" s="30" t="s">
        <v>2293</v>
      </c>
      <c r="J585" s="34"/>
    </row>
    <row r="586" spans="1:10" x14ac:dyDescent="0.25">
      <c r="A586" s="15">
        <v>41015</v>
      </c>
      <c r="B586" s="16" t="s">
        <v>865</v>
      </c>
      <c r="C586" t="s">
        <v>8</v>
      </c>
      <c r="D586" t="s">
        <v>48</v>
      </c>
      <c r="E586" s="17">
        <v>3</v>
      </c>
      <c r="F586" s="17">
        <v>35.35</v>
      </c>
      <c r="G586" s="18">
        <v>106.05</v>
      </c>
      <c r="H586" s="30" t="s">
        <v>2293</v>
      </c>
      <c r="J586" s="34"/>
    </row>
    <row r="587" spans="1:10" x14ac:dyDescent="0.25">
      <c r="A587" s="15">
        <v>41016</v>
      </c>
      <c r="B587" s="16" t="s">
        <v>937</v>
      </c>
      <c r="C587" t="s">
        <v>934</v>
      </c>
      <c r="D587" t="s">
        <v>48</v>
      </c>
      <c r="E587" s="17">
        <v>7</v>
      </c>
      <c r="F587" s="17">
        <v>92.73</v>
      </c>
      <c r="G587" s="18">
        <v>649.11</v>
      </c>
      <c r="H587" s="30" t="s">
        <v>2293</v>
      </c>
      <c r="J587" s="34"/>
    </row>
    <row r="588" spans="1:10" x14ac:dyDescent="0.25">
      <c r="A588" s="15">
        <v>41016</v>
      </c>
      <c r="B588" s="16" t="s">
        <v>865</v>
      </c>
      <c r="C588" t="s">
        <v>8</v>
      </c>
      <c r="D588" t="s">
        <v>48</v>
      </c>
      <c r="E588" s="17">
        <v>3</v>
      </c>
      <c r="F588" s="17">
        <v>35.35</v>
      </c>
      <c r="G588" s="18">
        <v>106.05</v>
      </c>
      <c r="H588" s="30" t="s">
        <v>2293</v>
      </c>
      <c r="J588" s="34"/>
    </row>
    <row r="589" spans="1:10" x14ac:dyDescent="0.25">
      <c r="A589" s="15">
        <v>41016</v>
      </c>
      <c r="B589" s="16" t="s">
        <v>865</v>
      </c>
      <c r="C589" t="s">
        <v>8</v>
      </c>
      <c r="D589" t="s">
        <v>48</v>
      </c>
      <c r="E589" s="17">
        <v>3</v>
      </c>
      <c r="F589" s="17">
        <v>35.35</v>
      </c>
      <c r="G589" s="18">
        <v>106.05</v>
      </c>
      <c r="H589" s="30" t="s">
        <v>2293</v>
      </c>
      <c r="J589" s="34"/>
    </row>
    <row r="590" spans="1:10" x14ac:dyDescent="0.25">
      <c r="A590" s="15">
        <v>41016</v>
      </c>
      <c r="B590" s="16" t="s">
        <v>920</v>
      </c>
      <c r="C590" t="s">
        <v>871</v>
      </c>
      <c r="D590" t="s">
        <v>48</v>
      </c>
      <c r="E590" s="17">
        <v>4.5</v>
      </c>
      <c r="F590" s="17">
        <v>130</v>
      </c>
      <c r="G590" s="18">
        <v>585</v>
      </c>
      <c r="H590" s="30" t="s">
        <v>2293</v>
      </c>
      <c r="J590" s="34"/>
    </row>
    <row r="591" spans="1:10" x14ac:dyDescent="0.25">
      <c r="A591" s="15">
        <v>41016</v>
      </c>
      <c r="B591" s="16" t="s">
        <v>937</v>
      </c>
      <c r="C591" t="s">
        <v>934</v>
      </c>
      <c r="D591" t="s">
        <v>48</v>
      </c>
      <c r="E591" s="17">
        <v>7</v>
      </c>
      <c r="F591" s="17">
        <v>92.73</v>
      </c>
      <c r="G591" s="18">
        <v>649.11</v>
      </c>
      <c r="H591" s="30" t="s">
        <v>2293</v>
      </c>
      <c r="J591" s="34"/>
    </row>
    <row r="592" spans="1:10" x14ac:dyDescent="0.25">
      <c r="A592" s="15">
        <v>41018</v>
      </c>
      <c r="B592" s="16" t="s">
        <v>941</v>
      </c>
      <c r="C592" t="s">
        <v>871</v>
      </c>
      <c r="D592" t="s">
        <v>48</v>
      </c>
      <c r="E592" s="17">
        <v>4</v>
      </c>
      <c r="F592" s="17">
        <v>85</v>
      </c>
      <c r="G592" s="18">
        <v>340</v>
      </c>
      <c r="H592" s="30" t="s">
        <v>2293</v>
      </c>
      <c r="J592" s="34"/>
    </row>
    <row r="593" spans="1:10" x14ac:dyDescent="0.25">
      <c r="A593" s="15">
        <v>41018</v>
      </c>
      <c r="B593" s="16" t="s">
        <v>865</v>
      </c>
      <c r="C593" t="s">
        <v>8</v>
      </c>
      <c r="D593" t="s">
        <v>48</v>
      </c>
      <c r="E593" s="17">
        <v>4.5</v>
      </c>
      <c r="F593" s="17">
        <v>35.35</v>
      </c>
      <c r="G593" s="18">
        <v>159.07499999999999</v>
      </c>
      <c r="H593" s="30" t="s">
        <v>2293</v>
      </c>
      <c r="J593" s="34"/>
    </row>
    <row r="594" spans="1:10" x14ac:dyDescent="0.25">
      <c r="A594" s="15">
        <v>41019</v>
      </c>
      <c r="B594" s="16" t="s">
        <v>880</v>
      </c>
      <c r="C594" t="s">
        <v>881</v>
      </c>
      <c r="D594" t="s">
        <v>48</v>
      </c>
      <c r="E594" s="17">
        <v>7</v>
      </c>
      <c r="F594" s="17">
        <v>95</v>
      </c>
      <c r="G594" s="18">
        <v>665</v>
      </c>
      <c r="H594" s="30" t="s">
        <v>2293</v>
      </c>
      <c r="J594" s="34"/>
    </row>
    <row r="595" spans="1:10" x14ac:dyDescent="0.25">
      <c r="A595" s="15">
        <v>41019</v>
      </c>
      <c r="B595" s="16" t="s">
        <v>877</v>
      </c>
      <c r="C595" t="s">
        <v>868</v>
      </c>
      <c r="D595" t="s">
        <v>48</v>
      </c>
      <c r="E595" s="17">
        <v>6.5</v>
      </c>
      <c r="F595" s="17">
        <v>90</v>
      </c>
      <c r="G595" s="18">
        <v>585</v>
      </c>
      <c r="H595" s="30" t="s">
        <v>2293</v>
      </c>
      <c r="J595" s="34"/>
    </row>
    <row r="596" spans="1:10" x14ac:dyDescent="0.25">
      <c r="A596" s="15">
        <v>41019</v>
      </c>
      <c r="B596" s="16" t="s">
        <v>865</v>
      </c>
      <c r="C596" t="s">
        <v>8</v>
      </c>
      <c r="D596" t="s">
        <v>48</v>
      </c>
      <c r="E596" s="17">
        <v>2</v>
      </c>
      <c r="F596" s="17">
        <v>35.35</v>
      </c>
      <c r="G596" s="18">
        <v>70.7</v>
      </c>
      <c r="H596" s="30" t="s">
        <v>2293</v>
      </c>
      <c r="J596" s="34"/>
    </row>
    <row r="597" spans="1:10" x14ac:dyDescent="0.25">
      <c r="A597" s="15">
        <v>41019</v>
      </c>
      <c r="B597" s="16" t="s">
        <v>865</v>
      </c>
      <c r="C597" t="s">
        <v>8</v>
      </c>
      <c r="D597" t="s">
        <v>48</v>
      </c>
      <c r="E597" s="17">
        <v>2</v>
      </c>
      <c r="F597" s="17">
        <v>35.35</v>
      </c>
      <c r="G597" s="18">
        <v>70.7</v>
      </c>
      <c r="H597" s="30" t="s">
        <v>2293</v>
      </c>
      <c r="J597" s="34"/>
    </row>
    <row r="598" spans="1:10" x14ac:dyDescent="0.25">
      <c r="A598" s="15">
        <v>41022</v>
      </c>
      <c r="B598" s="16" t="s">
        <v>865</v>
      </c>
      <c r="C598" t="s">
        <v>8</v>
      </c>
      <c r="D598" t="s">
        <v>48</v>
      </c>
      <c r="E598" s="17">
        <v>5</v>
      </c>
      <c r="F598" s="17">
        <v>35.35</v>
      </c>
      <c r="G598" s="18">
        <v>176.75</v>
      </c>
      <c r="H598" s="30" t="s">
        <v>2293</v>
      </c>
      <c r="J598" s="34"/>
    </row>
    <row r="599" spans="1:10" x14ac:dyDescent="0.25">
      <c r="A599" s="15">
        <v>41022</v>
      </c>
      <c r="B599" s="16" t="s">
        <v>880</v>
      </c>
      <c r="C599" t="s">
        <v>881</v>
      </c>
      <c r="D599" t="s">
        <v>48</v>
      </c>
      <c r="E599" s="17">
        <v>9</v>
      </c>
      <c r="F599" s="17">
        <v>95</v>
      </c>
      <c r="G599" s="18">
        <v>855</v>
      </c>
      <c r="H599" s="30" t="s">
        <v>2293</v>
      </c>
      <c r="J599" s="34"/>
    </row>
    <row r="600" spans="1:10" x14ac:dyDescent="0.25">
      <c r="A600" s="15">
        <v>41022</v>
      </c>
      <c r="B600" s="16" t="s">
        <v>904</v>
      </c>
      <c r="C600" t="s">
        <v>905</v>
      </c>
      <c r="D600" t="s">
        <v>48</v>
      </c>
      <c r="E600" s="17">
        <v>4.5</v>
      </c>
      <c r="F600" s="17">
        <v>95</v>
      </c>
      <c r="G600" s="18">
        <v>427.5</v>
      </c>
      <c r="H600" s="30" t="s">
        <v>2293</v>
      </c>
      <c r="J600" s="34"/>
    </row>
    <row r="601" spans="1:10" x14ac:dyDescent="0.25">
      <c r="A601" s="15">
        <v>41022</v>
      </c>
      <c r="B601" s="16" t="s">
        <v>877</v>
      </c>
      <c r="C601" t="s">
        <v>868</v>
      </c>
      <c r="D601" t="s">
        <v>48</v>
      </c>
      <c r="E601" s="17">
        <v>3</v>
      </c>
      <c r="F601" s="17">
        <v>90</v>
      </c>
      <c r="G601" s="18">
        <v>270</v>
      </c>
      <c r="H601" s="30" t="s">
        <v>2293</v>
      </c>
      <c r="J601" s="34"/>
    </row>
    <row r="602" spans="1:10" x14ac:dyDescent="0.25">
      <c r="A602" s="15">
        <v>41022</v>
      </c>
      <c r="B602" s="16" t="s">
        <v>865</v>
      </c>
      <c r="C602" t="s">
        <v>8</v>
      </c>
      <c r="D602" t="s">
        <v>48</v>
      </c>
      <c r="E602" s="17">
        <v>5</v>
      </c>
      <c r="F602" s="17">
        <v>35.35</v>
      </c>
      <c r="G602" s="18">
        <v>176.75</v>
      </c>
      <c r="H602" s="30" t="s">
        <v>2293</v>
      </c>
      <c r="J602" s="34"/>
    </row>
    <row r="603" spans="1:10" x14ac:dyDescent="0.25">
      <c r="A603" s="15">
        <v>41022</v>
      </c>
      <c r="B603" s="16" t="s">
        <v>865</v>
      </c>
      <c r="C603" t="s">
        <v>8</v>
      </c>
      <c r="D603" t="s">
        <v>48</v>
      </c>
      <c r="E603" s="17">
        <v>2</v>
      </c>
      <c r="F603" s="17">
        <v>35.35</v>
      </c>
      <c r="G603" s="18">
        <v>70.7</v>
      </c>
      <c r="H603" s="30" t="s">
        <v>2293</v>
      </c>
      <c r="J603" s="34"/>
    </row>
    <row r="604" spans="1:10" x14ac:dyDescent="0.25">
      <c r="A604" s="15">
        <v>41022</v>
      </c>
      <c r="B604" s="16" t="s">
        <v>920</v>
      </c>
      <c r="C604" t="s">
        <v>871</v>
      </c>
      <c r="D604" t="s">
        <v>48</v>
      </c>
      <c r="E604" s="17">
        <v>5</v>
      </c>
      <c r="F604" s="17">
        <v>130</v>
      </c>
      <c r="G604" s="18">
        <v>650</v>
      </c>
      <c r="H604" s="30" t="s">
        <v>2293</v>
      </c>
      <c r="J604" s="34"/>
    </row>
    <row r="605" spans="1:10" x14ac:dyDescent="0.25">
      <c r="A605" s="15">
        <v>41022</v>
      </c>
      <c r="B605" s="16" t="s">
        <v>869</v>
      </c>
      <c r="C605" t="s">
        <v>8</v>
      </c>
      <c r="D605" t="s">
        <v>48</v>
      </c>
      <c r="E605" s="17">
        <v>5</v>
      </c>
      <c r="F605" s="17">
        <v>35.35</v>
      </c>
      <c r="G605" s="18">
        <v>176.75</v>
      </c>
      <c r="H605" s="30" t="s">
        <v>2293</v>
      </c>
      <c r="J605" s="34"/>
    </row>
    <row r="606" spans="1:10" x14ac:dyDescent="0.25">
      <c r="A606" s="15">
        <v>41029</v>
      </c>
      <c r="B606" s="16" t="s">
        <v>942</v>
      </c>
      <c r="C606" t="s">
        <v>871</v>
      </c>
      <c r="D606" t="s">
        <v>48</v>
      </c>
      <c r="E606" s="17">
        <v>5.5</v>
      </c>
      <c r="F606" s="17">
        <v>85</v>
      </c>
      <c r="G606" s="18">
        <v>467.5</v>
      </c>
      <c r="H606" s="30" t="s">
        <v>2293</v>
      </c>
      <c r="J606" s="34"/>
    </row>
    <row r="607" spans="1:10" x14ac:dyDescent="0.25">
      <c r="A607" s="15">
        <v>41029</v>
      </c>
      <c r="B607" s="16" t="s">
        <v>908</v>
      </c>
      <c r="C607" t="s">
        <v>873</v>
      </c>
      <c r="D607" t="s">
        <v>48</v>
      </c>
      <c r="E607" s="17">
        <v>9.5</v>
      </c>
      <c r="F607" s="17">
        <v>95</v>
      </c>
      <c r="G607" s="18">
        <v>902.5</v>
      </c>
      <c r="H607" s="30" t="s">
        <v>2293</v>
      </c>
      <c r="J607" s="34"/>
    </row>
    <row r="608" spans="1:10" x14ac:dyDescent="0.25">
      <c r="A608" s="15">
        <v>41029</v>
      </c>
      <c r="B608" s="16" t="s">
        <v>877</v>
      </c>
      <c r="C608" t="s">
        <v>868</v>
      </c>
      <c r="D608" t="s">
        <v>48</v>
      </c>
      <c r="E608" s="17">
        <v>4</v>
      </c>
      <c r="F608" s="17">
        <v>90</v>
      </c>
      <c r="G608" s="18">
        <v>360</v>
      </c>
      <c r="H608" s="30" t="s">
        <v>2293</v>
      </c>
      <c r="J608" s="34"/>
    </row>
    <row r="609" spans="1:10" x14ac:dyDescent="0.25">
      <c r="A609" s="15">
        <v>41029</v>
      </c>
      <c r="B609" s="16" t="s">
        <v>880</v>
      </c>
      <c r="C609" t="s">
        <v>881</v>
      </c>
      <c r="D609" t="s">
        <v>48</v>
      </c>
      <c r="E609" s="17">
        <v>4.5</v>
      </c>
      <c r="F609" s="17">
        <v>95</v>
      </c>
      <c r="G609" s="18">
        <v>427.5</v>
      </c>
      <c r="H609" s="30" t="s">
        <v>2293</v>
      </c>
      <c r="J609" s="34"/>
    </row>
    <row r="610" spans="1:10" x14ac:dyDescent="0.25">
      <c r="A610" s="15">
        <v>41029</v>
      </c>
      <c r="B610" s="16" t="s">
        <v>865</v>
      </c>
      <c r="C610" t="s">
        <v>8</v>
      </c>
      <c r="D610" t="s">
        <v>48</v>
      </c>
      <c r="E610" s="17">
        <v>6</v>
      </c>
      <c r="F610" s="17">
        <v>35.35</v>
      </c>
      <c r="G610" s="18">
        <v>212.1</v>
      </c>
      <c r="H610" s="30" t="s">
        <v>2293</v>
      </c>
      <c r="J610" s="34"/>
    </row>
    <row r="611" spans="1:10" x14ac:dyDescent="0.25">
      <c r="A611" s="15">
        <v>41030</v>
      </c>
      <c r="B611" s="16" t="s">
        <v>865</v>
      </c>
      <c r="C611" t="s">
        <v>8</v>
      </c>
      <c r="D611" t="s">
        <v>48</v>
      </c>
      <c r="E611" s="17">
        <v>2</v>
      </c>
      <c r="F611" s="17">
        <v>35.35</v>
      </c>
      <c r="G611" s="18">
        <v>70.7</v>
      </c>
      <c r="H611" s="30" t="s">
        <v>2293</v>
      </c>
      <c r="J611" s="34"/>
    </row>
    <row r="612" spans="1:10" x14ac:dyDescent="0.25">
      <c r="A612" s="15">
        <v>41030</v>
      </c>
      <c r="B612" s="16" t="s">
        <v>865</v>
      </c>
      <c r="C612" t="s">
        <v>8</v>
      </c>
      <c r="D612" t="s">
        <v>48</v>
      </c>
      <c r="E612" s="17">
        <v>2</v>
      </c>
      <c r="F612" s="17">
        <v>35.35</v>
      </c>
      <c r="G612" s="18">
        <v>70.7</v>
      </c>
      <c r="H612" s="30" t="s">
        <v>2293</v>
      </c>
      <c r="J612" s="34"/>
    </row>
    <row r="613" spans="1:10" x14ac:dyDescent="0.25">
      <c r="A613" s="15">
        <v>41030</v>
      </c>
      <c r="B613" s="16" t="s">
        <v>880</v>
      </c>
      <c r="C613" t="s">
        <v>881</v>
      </c>
      <c r="D613" t="s">
        <v>48</v>
      </c>
      <c r="E613" s="17">
        <v>5</v>
      </c>
      <c r="F613" s="17">
        <v>95</v>
      </c>
      <c r="G613" s="18">
        <v>475</v>
      </c>
      <c r="H613" s="30" t="s">
        <v>2293</v>
      </c>
      <c r="J613" s="34"/>
    </row>
    <row r="614" spans="1:10" x14ac:dyDescent="0.25">
      <c r="A614" s="15">
        <v>41030</v>
      </c>
      <c r="B614" s="16" t="s">
        <v>877</v>
      </c>
      <c r="C614" t="s">
        <v>868</v>
      </c>
      <c r="D614" t="s">
        <v>48</v>
      </c>
      <c r="E614" s="17">
        <v>3</v>
      </c>
      <c r="F614" s="17">
        <v>90</v>
      </c>
      <c r="G614" s="18">
        <v>270</v>
      </c>
      <c r="H614" s="30" t="s">
        <v>2293</v>
      </c>
      <c r="J614" s="34"/>
    </row>
    <row r="615" spans="1:10" x14ac:dyDescent="0.25">
      <c r="A615" s="15">
        <v>41030</v>
      </c>
      <c r="B615" s="16" t="s">
        <v>872</v>
      </c>
      <c r="C615" t="s">
        <v>873</v>
      </c>
      <c r="D615" t="s">
        <v>48</v>
      </c>
      <c r="E615" s="17">
        <v>2</v>
      </c>
      <c r="F615" s="17">
        <v>95</v>
      </c>
      <c r="G615" s="18">
        <v>190</v>
      </c>
      <c r="H615" s="30" t="s">
        <v>2293</v>
      </c>
      <c r="J615" s="34"/>
    </row>
    <row r="616" spans="1:10" x14ac:dyDescent="0.25">
      <c r="A616" s="15">
        <v>41030</v>
      </c>
      <c r="B616" s="16" t="s">
        <v>865</v>
      </c>
      <c r="C616" t="s">
        <v>8</v>
      </c>
      <c r="D616" t="s">
        <v>48</v>
      </c>
      <c r="E616" s="17">
        <v>5</v>
      </c>
      <c r="F616" s="17">
        <v>48</v>
      </c>
      <c r="G616" s="18">
        <v>240</v>
      </c>
      <c r="H616" s="30" t="s">
        <v>2293</v>
      </c>
      <c r="J616" s="34"/>
    </row>
    <row r="617" spans="1:10" x14ac:dyDescent="0.25">
      <c r="A617" s="15">
        <v>41038</v>
      </c>
      <c r="B617" s="16" t="s">
        <v>880</v>
      </c>
      <c r="C617" t="s">
        <v>881</v>
      </c>
      <c r="D617" t="s">
        <v>48</v>
      </c>
      <c r="E617" s="17">
        <v>4.5</v>
      </c>
      <c r="F617" s="17">
        <v>95</v>
      </c>
      <c r="G617" s="18">
        <v>427.5</v>
      </c>
      <c r="H617" s="30" t="s">
        <v>2293</v>
      </c>
      <c r="J617" s="34"/>
    </row>
    <row r="618" spans="1:10" x14ac:dyDescent="0.25">
      <c r="A618" s="15">
        <v>41038</v>
      </c>
      <c r="B618" s="16" t="s">
        <v>908</v>
      </c>
      <c r="C618" t="s">
        <v>873</v>
      </c>
      <c r="D618" t="s">
        <v>48</v>
      </c>
      <c r="E618" s="17">
        <v>4.5</v>
      </c>
      <c r="F618" s="17">
        <v>95</v>
      </c>
      <c r="G618" s="18">
        <v>427.5</v>
      </c>
      <c r="H618" s="30" t="s">
        <v>2293</v>
      </c>
      <c r="J618" s="34"/>
    </row>
    <row r="619" spans="1:10" x14ac:dyDescent="0.25">
      <c r="A619" s="15">
        <v>41043</v>
      </c>
      <c r="B619" s="16" t="s">
        <v>865</v>
      </c>
      <c r="C619" t="s">
        <v>8</v>
      </c>
      <c r="D619" t="s">
        <v>48</v>
      </c>
      <c r="E619" s="17">
        <v>3.5</v>
      </c>
      <c r="F619" s="17">
        <v>35.35</v>
      </c>
      <c r="G619" s="18">
        <v>123.72499999999999</v>
      </c>
      <c r="H619" s="30" t="s">
        <v>2293</v>
      </c>
      <c r="J619" s="34"/>
    </row>
    <row r="620" spans="1:10" x14ac:dyDescent="0.25">
      <c r="A620" s="15">
        <v>41043</v>
      </c>
      <c r="B620" s="16" t="s">
        <v>922</v>
      </c>
      <c r="C620" t="s">
        <v>886</v>
      </c>
      <c r="D620" t="s">
        <v>48</v>
      </c>
      <c r="E620" s="17">
        <v>8</v>
      </c>
      <c r="F620" s="17">
        <v>95</v>
      </c>
      <c r="G620" s="18">
        <v>760</v>
      </c>
      <c r="H620" s="30" t="s">
        <v>2293</v>
      </c>
      <c r="J620" s="34"/>
    </row>
    <row r="621" spans="1:10" x14ac:dyDescent="0.25">
      <c r="A621" s="15">
        <v>41046</v>
      </c>
      <c r="B621" s="16" t="s">
        <v>865</v>
      </c>
      <c r="C621" t="s">
        <v>8</v>
      </c>
      <c r="D621" t="s">
        <v>48</v>
      </c>
      <c r="E621" s="17">
        <v>4</v>
      </c>
      <c r="F621" s="17">
        <v>48</v>
      </c>
      <c r="G621" s="18">
        <v>192</v>
      </c>
      <c r="H621" s="30" t="s">
        <v>2293</v>
      </c>
      <c r="J621" s="34"/>
    </row>
    <row r="622" spans="1:10" x14ac:dyDescent="0.25">
      <c r="A622" s="15">
        <v>41046</v>
      </c>
      <c r="B622" s="16" t="s">
        <v>937</v>
      </c>
      <c r="C622" t="s">
        <v>934</v>
      </c>
      <c r="D622" t="s">
        <v>48</v>
      </c>
      <c r="E622" s="17">
        <v>11.25</v>
      </c>
      <c r="F622" s="17">
        <v>92.73</v>
      </c>
      <c r="G622" s="18">
        <v>1043.2125000000001</v>
      </c>
      <c r="H622" s="30" t="s">
        <v>2293</v>
      </c>
      <c r="J622" s="34"/>
    </row>
    <row r="623" spans="1:10" x14ac:dyDescent="0.25">
      <c r="A623" s="15">
        <v>41046</v>
      </c>
      <c r="B623" s="16" t="s">
        <v>937</v>
      </c>
      <c r="C623" t="s">
        <v>934</v>
      </c>
      <c r="D623" t="s">
        <v>48</v>
      </c>
      <c r="E623" s="17">
        <v>10</v>
      </c>
      <c r="F623" s="17">
        <v>92.73</v>
      </c>
      <c r="G623" s="18">
        <v>927.3</v>
      </c>
      <c r="H623" s="30" t="s">
        <v>2293</v>
      </c>
      <c r="J623" s="34"/>
    </row>
    <row r="624" spans="1:10" x14ac:dyDescent="0.25">
      <c r="A624" s="15">
        <v>41046</v>
      </c>
      <c r="B624" s="16" t="s">
        <v>865</v>
      </c>
      <c r="C624" t="s">
        <v>8</v>
      </c>
      <c r="D624" t="s">
        <v>48</v>
      </c>
      <c r="E624" s="17">
        <v>5.5</v>
      </c>
      <c r="F624" s="17">
        <v>35.35</v>
      </c>
      <c r="G624" s="18">
        <v>194.42500000000001</v>
      </c>
      <c r="H624" s="30" t="s">
        <v>2293</v>
      </c>
      <c r="J624" s="34"/>
    </row>
    <row r="625" spans="1:10" x14ac:dyDescent="0.25">
      <c r="A625" s="15">
        <v>41046</v>
      </c>
      <c r="B625" s="16" t="s">
        <v>920</v>
      </c>
      <c r="C625" t="s">
        <v>871</v>
      </c>
      <c r="D625" t="s">
        <v>48</v>
      </c>
      <c r="E625" s="17">
        <v>5</v>
      </c>
      <c r="F625" s="17">
        <v>130</v>
      </c>
      <c r="G625" s="18">
        <v>650</v>
      </c>
      <c r="H625" s="30" t="s">
        <v>2293</v>
      </c>
      <c r="J625" s="34"/>
    </row>
    <row r="626" spans="1:10" x14ac:dyDescent="0.25">
      <c r="A626" s="15">
        <v>41046</v>
      </c>
      <c r="B626" s="16" t="s">
        <v>865</v>
      </c>
      <c r="C626" t="s">
        <v>8</v>
      </c>
      <c r="D626" t="s">
        <v>48</v>
      </c>
      <c r="E626" s="17">
        <v>4</v>
      </c>
      <c r="F626" s="17">
        <v>35.35</v>
      </c>
      <c r="G626" s="18">
        <v>141.4</v>
      </c>
      <c r="H626" s="30" t="s">
        <v>2293</v>
      </c>
      <c r="J626" s="34"/>
    </row>
    <row r="627" spans="1:10" x14ac:dyDescent="0.25">
      <c r="A627" s="15">
        <v>41047</v>
      </c>
      <c r="B627" s="16" t="s">
        <v>937</v>
      </c>
      <c r="C627" t="s">
        <v>934</v>
      </c>
      <c r="D627" t="s">
        <v>48</v>
      </c>
      <c r="E627" s="17">
        <v>4</v>
      </c>
      <c r="F627" s="17">
        <v>92.73</v>
      </c>
      <c r="G627" s="18">
        <v>370.92</v>
      </c>
      <c r="H627" s="30" t="s">
        <v>2293</v>
      </c>
      <c r="J627" s="34"/>
    </row>
    <row r="628" spans="1:10" x14ac:dyDescent="0.25">
      <c r="A628" s="15">
        <v>41047</v>
      </c>
      <c r="B628" s="16" t="s">
        <v>865</v>
      </c>
      <c r="C628" t="s">
        <v>8</v>
      </c>
      <c r="D628" t="s">
        <v>48</v>
      </c>
      <c r="E628" s="17">
        <v>3</v>
      </c>
      <c r="F628" s="17">
        <v>35.35</v>
      </c>
      <c r="G628" s="18">
        <v>106.05</v>
      </c>
      <c r="H628" s="30" t="s">
        <v>2293</v>
      </c>
      <c r="J628" s="34"/>
    </row>
    <row r="629" spans="1:10" x14ac:dyDescent="0.25">
      <c r="A629" s="15">
        <v>41047</v>
      </c>
      <c r="B629" s="16" t="s">
        <v>865</v>
      </c>
      <c r="C629" t="s">
        <v>8</v>
      </c>
      <c r="D629" t="s">
        <v>48</v>
      </c>
      <c r="E629" s="17">
        <v>3</v>
      </c>
      <c r="F629" s="17">
        <v>35.35</v>
      </c>
      <c r="G629" s="18">
        <v>106.05</v>
      </c>
      <c r="H629" s="30" t="s">
        <v>2293</v>
      </c>
      <c r="J629" s="34"/>
    </row>
    <row r="630" spans="1:10" x14ac:dyDescent="0.25">
      <c r="A630" s="15">
        <v>41047</v>
      </c>
      <c r="B630" s="16" t="s">
        <v>865</v>
      </c>
      <c r="C630" t="s">
        <v>8</v>
      </c>
      <c r="D630" t="s">
        <v>48</v>
      </c>
      <c r="E630" s="17">
        <v>3</v>
      </c>
      <c r="F630" s="17">
        <v>35.35</v>
      </c>
      <c r="G630" s="18">
        <v>106.05</v>
      </c>
      <c r="H630" s="30" t="s">
        <v>2293</v>
      </c>
      <c r="J630" s="34"/>
    </row>
    <row r="631" spans="1:10" x14ac:dyDescent="0.25">
      <c r="A631" s="15">
        <v>41047</v>
      </c>
      <c r="B631" s="16" t="s">
        <v>865</v>
      </c>
      <c r="C631" t="s">
        <v>8</v>
      </c>
      <c r="D631" t="s">
        <v>48</v>
      </c>
      <c r="E631" s="17">
        <v>3</v>
      </c>
      <c r="F631" s="17">
        <v>35.35</v>
      </c>
      <c r="G631" s="18">
        <v>106.05</v>
      </c>
      <c r="H631" s="30" t="s">
        <v>2293</v>
      </c>
      <c r="J631" s="34"/>
    </row>
    <row r="632" spans="1:10" x14ac:dyDescent="0.25">
      <c r="A632" s="15">
        <v>41047</v>
      </c>
      <c r="B632" s="16" t="s">
        <v>920</v>
      </c>
      <c r="C632" t="s">
        <v>871</v>
      </c>
      <c r="D632" t="s">
        <v>48</v>
      </c>
      <c r="E632" s="17">
        <v>5</v>
      </c>
      <c r="F632" s="17">
        <v>130</v>
      </c>
      <c r="G632" s="18">
        <v>650</v>
      </c>
      <c r="H632" s="30" t="s">
        <v>2293</v>
      </c>
      <c r="J632" s="34"/>
    </row>
    <row r="633" spans="1:10" x14ac:dyDescent="0.25">
      <c r="A633" s="15">
        <v>41047</v>
      </c>
      <c r="B633" s="16" t="s">
        <v>877</v>
      </c>
      <c r="C633" t="s">
        <v>868</v>
      </c>
      <c r="D633" t="s">
        <v>48</v>
      </c>
      <c r="E633" s="17">
        <v>4</v>
      </c>
      <c r="F633" s="17">
        <v>90</v>
      </c>
      <c r="G633" s="18">
        <v>360</v>
      </c>
      <c r="H633" s="30" t="s">
        <v>2293</v>
      </c>
      <c r="J633" s="34"/>
    </row>
    <row r="634" spans="1:10" x14ac:dyDescent="0.25">
      <c r="A634" s="15">
        <v>41047</v>
      </c>
      <c r="B634" s="16" t="s">
        <v>865</v>
      </c>
      <c r="C634" t="s">
        <v>8</v>
      </c>
      <c r="D634" t="s">
        <v>48</v>
      </c>
      <c r="E634" s="17">
        <v>3</v>
      </c>
      <c r="F634" s="17">
        <v>48</v>
      </c>
      <c r="G634" s="18">
        <v>144</v>
      </c>
      <c r="H634" s="30" t="s">
        <v>2293</v>
      </c>
      <c r="J634" s="34"/>
    </row>
    <row r="635" spans="1:10" x14ac:dyDescent="0.25">
      <c r="A635" s="15">
        <v>41048</v>
      </c>
      <c r="B635" s="16" t="s">
        <v>865</v>
      </c>
      <c r="C635" t="s">
        <v>8</v>
      </c>
      <c r="D635" t="s">
        <v>48</v>
      </c>
      <c r="E635" s="17">
        <v>2</v>
      </c>
      <c r="F635" s="17">
        <v>35.35</v>
      </c>
      <c r="G635" s="18">
        <v>70.7</v>
      </c>
      <c r="H635" s="30" t="s">
        <v>2293</v>
      </c>
      <c r="J635" s="34"/>
    </row>
    <row r="636" spans="1:10" x14ac:dyDescent="0.25">
      <c r="A636" s="15">
        <v>41048</v>
      </c>
      <c r="B636" s="16" t="s">
        <v>877</v>
      </c>
      <c r="C636" t="s">
        <v>868</v>
      </c>
      <c r="D636" t="s">
        <v>48</v>
      </c>
      <c r="E636" s="17">
        <v>1</v>
      </c>
      <c r="F636" s="17">
        <v>90</v>
      </c>
      <c r="G636" s="18">
        <v>90</v>
      </c>
      <c r="H636" s="30" t="s">
        <v>2293</v>
      </c>
      <c r="J636" s="34"/>
    </row>
    <row r="637" spans="1:10" x14ac:dyDescent="0.25">
      <c r="A637" s="15">
        <v>41048</v>
      </c>
      <c r="B637" s="16" t="s">
        <v>920</v>
      </c>
      <c r="C637" t="s">
        <v>871</v>
      </c>
      <c r="D637" t="s">
        <v>48</v>
      </c>
      <c r="E637" s="17">
        <v>2.5</v>
      </c>
      <c r="F637" s="17">
        <v>130</v>
      </c>
      <c r="G637" s="18">
        <v>325</v>
      </c>
      <c r="H637" s="30" t="s">
        <v>2293</v>
      </c>
      <c r="J637" s="34"/>
    </row>
    <row r="638" spans="1:10" x14ac:dyDescent="0.25">
      <c r="A638" s="15">
        <v>41048</v>
      </c>
      <c r="B638" s="16" t="s">
        <v>904</v>
      </c>
      <c r="C638" t="s">
        <v>905</v>
      </c>
      <c r="D638" t="s">
        <v>48</v>
      </c>
      <c r="E638" s="17">
        <v>2</v>
      </c>
      <c r="F638" s="17">
        <v>95</v>
      </c>
      <c r="G638" s="18"/>
      <c r="H638" s="30" t="s">
        <v>2293</v>
      </c>
      <c r="J638" s="34"/>
    </row>
    <row r="639" spans="1:10" x14ac:dyDescent="0.25">
      <c r="A639" s="15">
        <v>41048</v>
      </c>
      <c r="B639" s="16" t="s">
        <v>865</v>
      </c>
      <c r="C639" t="s">
        <v>8</v>
      </c>
      <c r="D639" t="s">
        <v>48</v>
      </c>
      <c r="E639" s="17">
        <v>2</v>
      </c>
      <c r="F639" s="17">
        <v>35.35</v>
      </c>
      <c r="G639" s="18">
        <v>70.7</v>
      </c>
      <c r="H639" s="30" t="s">
        <v>2293</v>
      </c>
      <c r="J639" s="34"/>
    </row>
    <row r="640" spans="1:10" x14ac:dyDescent="0.25">
      <c r="A640" s="15">
        <v>41048</v>
      </c>
      <c r="B640" s="16" t="s">
        <v>865</v>
      </c>
      <c r="C640" t="s">
        <v>8</v>
      </c>
      <c r="D640" t="s">
        <v>48</v>
      </c>
      <c r="E640" s="17">
        <v>2</v>
      </c>
      <c r="F640" s="17">
        <v>35.35</v>
      </c>
      <c r="G640" s="18">
        <v>70.7</v>
      </c>
      <c r="H640" s="30" t="s">
        <v>2293</v>
      </c>
      <c r="J640" s="34"/>
    </row>
    <row r="641" spans="1:10" x14ac:dyDescent="0.25">
      <c r="A641" s="15">
        <v>41050</v>
      </c>
      <c r="B641" s="16" t="s">
        <v>865</v>
      </c>
      <c r="C641" t="s">
        <v>8</v>
      </c>
      <c r="D641" t="s">
        <v>48</v>
      </c>
      <c r="E641" s="17">
        <v>10</v>
      </c>
      <c r="F641" s="17">
        <v>35.35</v>
      </c>
      <c r="G641" s="18">
        <v>353.5</v>
      </c>
      <c r="H641" s="30" t="s">
        <v>2293</v>
      </c>
      <c r="J641" s="34"/>
    </row>
    <row r="642" spans="1:10" x14ac:dyDescent="0.25">
      <c r="A642" s="15">
        <v>41050</v>
      </c>
      <c r="B642" s="16" t="s">
        <v>920</v>
      </c>
      <c r="C642" t="s">
        <v>871</v>
      </c>
      <c r="D642" t="s">
        <v>48</v>
      </c>
      <c r="E642" s="17">
        <v>9.5</v>
      </c>
      <c r="F642" s="17">
        <v>130</v>
      </c>
      <c r="G642" s="18">
        <v>1235</v>
      </c>
      <c r="H642" s="30" t="s">
        <v>2293</v>
      </c>
      <c r="J642" s="34"/>
    </row>
    <row r="643" spans="1:10" x14ac:dyDescent="0.25">
      <c r="A643" s="15">
        <v>41050</v>
      </c>
      <c r="B643" s="16" t="s">
        <v>880</v>
      </c>
      <c r="C643" t="s">
        <v>881</v>
      </c>
      <c r="D643" t="s">
        <v>48</v>
      </c>
      <c r="E643" s="17">
        <v>9.5</v>
      </c>
      <c r="F643" s="17">
        <v>95</v>
      </c>
      <c r="G643" s="18">
        <v>902.5</v>
      </c>
      <c r="H643" s="30" t="s">
        <v>2293</v>
      </c>
      <c r="J643" s="34"/>
    </row>
    <row r="644" spans="1:10" x14ac:dyDescent="0.25">
      <c r="A644" s="15">
        <v>41050</v>
      </c>
      <c r="B644" s="16" t="s">
        <v>877</v>
      </c>
      <c r="C644" t="s">
        <v>868</v>
      </c>
      <c r="D644" t="s">
        <v>48</v>
      </c>
      <c r="E644" s="17">
        <v>9</v>
      </c>
      <c r="F644" s="17">
        <v>90</v>
      </c>
      <c r="G644" s="18">
        <v>810</v>
      </c>
      <c r="H644" s="30" t="s">
        <v>2293</v>
      </c>
      <c r="J644" s="34"/>
    </row>
    <row r="645" spans="1:10" x14ac:dyDescent="0.25">
      <c r="A645" s="15">
        <v>41050</v>
      </c>
      <c r="B645" s="16" t="s">
        <v>865</v>
      </c>
      <c r="C645" t="s">
        <v>8</v>
      </c>
      <c r="D645" t="s">
        <v>48</v>
      </c>
      <c r="E645" s="17">
        <v>10</v>
      </c>
      <c r="F645" s="17">
        <v>48</v>
      </c>
      <c r="G645" s="18">
        <v>480</v>
      </c>
      <c r="H645" s="30" t="s">
        <v>2293</v>
      </c>
      <c r="J645" s="34"/>
    </row>
    <row r="646" spans="1:10" x14ac:dyDescent="0.25">
      <c r="A646" s="15">
        <v>41050</v>
      </c>
      <c r="B646" s="16" t="s">
        <v>865</v>
      </c>
      <c r="C646" t="s">
        <v>8</v>
      </c>
      <c r="D646" t="s">
        <v>48</v>
      </c>
      <c r="E646" s="17">
        <v>6.5</v>
      </c>
      <c r="F646" s="17">
        <v>35.35</v>
      </c>
      <c r="G646" s="18">
        <v>229.77500000000001</v>
      </c>
      <c r="H646" s="30" t="s">
        <v>2293</v>
      </c>
      <c r="J646" s="34"/>
    </row>
    <row r="647" spans="1:10" x14ac:dyDescent="0.25">
      <c r="A647" s="15">
        <v>41051</v>
      </c>
      <c r="B647" s="16" t="s">
        <v>865</v>
      </c>
      <c r="C647" t="s">
        <v>8</v>
      </c>
      <c r="D647" t="s">
        <v>48</v>
      </c>
      <c r="E647" s="17">
        <v>2.5</v>
      </c>
      <c r="F647" s="17">
        <v>35.35</v>
      </c>
      <c r="G647" s="18">
        <v>88.375</v>
      </c>
      <c r="H647" s="30" t="s">
        <v>2293</v>
      </c>
      <c r="J647" s="34"/>
    </row>
    <row r="648" spans="1:10" x14ac:dyDescent="0.25">
      <c r="A648" s="15">
        <v>41051</v>
      </c>
      <c r="B648" s="16" t="s">
        <v>877</v>
      </c>
      <c r="C648" t="s">
        <v>868</v>
      </c>
      <c r="D648" t="s">
        <v>48</v>
      </c>
      <c r="E648" s="17">
        <v>3</v>
      </c>
      <c r="F648" s="17">
        <v>90</v>
      </c>
      <c r="G648" s="18">
        <v>270</v>
      </c>
      <c r="H648" s="30" t="s">
        <v>2293</v>
      </c>
      <c r="J648" s="34"/>
    </row>
    <row r="649" spans="1:10" x14ac:dyDescent="0.25">
      <c r="A649" s="15">
        <v>41051</v>
      </c>
      <c r="B649" s="16" t="s">
        <v>865</v>
      </c>
      <c r="C649" t="s">
        <v>8</v>
      </c>
      <c r="D649" t="s">
        <v>48</v>
      </c>
      <c r="E649" s="17">
        <v>9.5</v>
      </c>
      <c r="F649" s="17">
        <v>35.35</v>
      </c>
      <c r="G649" s="18">
        <v>335.82499999999999</v>
      </c>
      <c r="H649" s="30" t="s">
        <v>2293</v>
      </c>
      <c r="J649" s="34"/>
    </row>
    <row r="650" spans="1:10" x14ac:dyDescent="0.25">
      <c r="A650" s="15">
        <v>41051</v>
      </c>
      <c r="B650" s="16" t="s">
        <v>920</v>
      </c>
      <c r="C650" t="s">
        <v>871</v>
      </c>
      <c r="D650" t="s">
        <v>48</v>
      </c>
      <c r="E650" s="17">
        <v>9.5</v>
      </c>
      <c r="F650" s="17">
        <v>130</v>
      </c>
      <c r="G650" s="18">
        <v>1235</v>
      </c>
      <c r="H650" s="30" t="s">
        <v>2293</v>
      </c>
      <c r="J650" s="34"/>
    </row>
    <row r="651" spans="1:10" x14ac:dyDescent="0.25">
      <c r="A651" s="15">
        <v>41051</v>
      </c>
      <c r="B651" s="16" t="s">
        <v>880</v>
      </c>
      <c r="C651" t="s">
        <v>881</v>
      </c>
      <c r="D651" t="s">
        <v>48</v>
      </c>
      <c r="E651" s="17">
        <v>9.5</v>
      </c>
      <c r="F651" s="17">
        <v>95</v>
      </c>
      <c r="G651" s="18">
        <v>902.5</v>
      </c>
      <c r="H651" s="30" t="s">
        <v>2293</v>
      </c>
      <c r="J651" s="34"/>
    </row>
    <row r="652" spans="1:10" x14ac:dyDescent="0.25">
      <c r="A652" s="15">
        <v>41052</v>
      </c>
      <c r="B652" s="16" t="s">
        <v>877</v>
      </c>
      <c r="C652" t="s">
        <v>868</v>
      </c>
      <c r="D652" t="s">
        <v>48</v>
      </c>
      <c r="E652" s="17">
        <v>3</v>
      </c>
      <c r="F652" s="17">
        <v>90</v>
      </c>
      <c r="G652" s="18">
        <v>270</v>
      </c>
      <c r="H652" s="30" t="s">
        <v>2293</v>
      </c>
      <c r="J652" s="34"/>
    </row>
    <row r="653" spans="1:10" x14ac:dyDescent="0.25">
      <c r="A653" s="15">
        <v>41052</v>
      </c>
      <c r="B653" s="16" t="s">
        <v>865</v>
      </c>
      <c r="C653" t="s">
        <v>8</v>
      </c>
      <c r="D653" t="s">
        <v>48</v>
      </c>
      <c r="E653" s="17">
        <v>9.5</v>
      </c>
      <c r="F653" s="17">
        <v>35.35</v>
      </c>
      <c r="G653" s="18">
        <v>335.82499999999999</v>
      </c>
      <c r="H653" s="30" t="s">
        <v>2293</v>
      </c>
      <c r="J653" s="34"/>
    </row>
    <row r="654" spans="1:10" x14ac:dyDescent="0.25">
      <c r="A654" s="15">
        <v>41052</v>
      </c>
      <c r="B654" s="16" t="s">
        <v>865</v>
      </c>
      <c r="C654" t="s">
        <v>8</v>
      </c>
      <c r="D654" t="s">
        <v>48</v>
      </c>
      <c r="E654" s="17">
        <v>9.5</v>
      </c>
      <c r="F654" s="17">
        <v>35.35</v>
      </c>
      <c r="G654" s="18">
        <v>335.82499999999999</v>
      </c>
      <c r="H654" s="30" t="s">
        <v>2293</v>
      </c>
      <c r="J654" s="34"/>
    </row>
    <row r="655" spans="1:10" x14ac:dyDescent="0.25">
      <c r="A655" s="15">
        <v>41052</v>
      </c>
      <c r="B655" s="16" t="s">
        <v>880</v>
      </c>
      <c r="C655" t="s">
        <v>881</v>
      </c>
      <c r="D655" t="s">
        <v>48</v>
      </c>
      <c r="E655" s="17">
        <v>8.5</v>
      </c>
      <c r="F655" s="17">
        <v>95</v>
      </c>
      <c r="G655" s="18">
        <v>807.5</v>
      </c>
      <c r="H655" s="30" t="s">
        <v>2293</v>
      </c>
      <c r="J655" s="34"/>
    </row>
    <row r="656" spans="1:10" x14ac:dyDescent="0.25">
      <c r="A656" s="15">
        <v>41052</v>
      </c>
      <c r="B656" s="16" t="s">
        <v>920</v>
      </c>
      <c r="C656" t="s">
        <v>871</v>
      </c>
      <c r="D656" t="s">
        <v>48</v>
      </c>
      <c r="E656" s="17">
        <v>9.5</v>
      </c>
      <c r="F656" s="17">
        <v>130</v>
      </c>
      <c r="G656" s="18">
        <v>1235</v>
      </c>
      <c r="H656" s="30" t="s">
        <v>2293</v>
      </c>
      <c r="J656" s="34"/>
    </row>
    <row r="657" spans="1:10" x14ac:dyDescent="0.25">
      <c r="A657" s="15">
        <v>41053</v>
      </c>
      <c r="B657" s="16" t="s">
        <v>867</v>
      </c>
      <c r="C657" t="s">
        <v>868</v>
      </c>
      <c r="D657" t="s">
        <v>48</v>
      </c>
      <c r="E657" s="17">
        <v>3.5</v>
      </c>
      <c r="F657" s="17">
        <v>90</v>
      </c>
      <c r="G657" s="18">
        <v>315</v>
      </c>
      <c r="H657" s="30" t="s">
        <v>2293</v>
      </c>
      <c r="J657" s="34"/>
    </row>
    <row r="658" spans="1:10" x14ac:dyDescent="0.25">
      <c r="A658" s="15">
        <v>41057</v>
      </c>
      <c r="B658" s="16" t="s">
        <v>865</v>
      </c>
      <c r="C658" t="s">
        <v>8</v>
      </c>
      <c r="D658" t="s">
        <v>48</v>
      </c>
      <c r="E658" s="17">
        <v>9.5</v>
      </c>
      <c r="F658" s="17">
        <v>35.35</v>
      </c>
      <c r="G658" s="18">
        <v>335.82499999999999</v>
      </c>
      <c r="H658" s="30" t="s">
        <v>2293</v>
      </c>
      <c r="J658" s="34"/>
    </row>
    <row r="659" spans="1:10" x14ac:dyDescent="0.25">
      <c r="A659" s="15">
        <v>41057</v>
      </c>
      <c r="B659" s="16" t="s">
        <v>865</v>
      </c>
      <c r="C659" t="s">
        <v>8</v>
      </c>
      <c r="D659" t="s">
        <v>48</v>
      </c>
      <c r="E659" s="17">
        <v>9.5</v>
      </c>
      <c r="F659" s="17">
        <v>35.35</v>
      </c>
      <c r="G659" s="18">
        <v>335.82499999999999</v>
      </c>
      <c r="H659" s="30" t="s">
        <v>2293</v>
      </c>
      <c r="J659" s="34"/>
    </row>
    <row r="660" spans="1:10" x14ac:dyDescent="0.25">
      <c r="A660" s="15">
        <v>41057</v>
      </c>
      <c r="B660" s="16" t="s">
        <v>920</v>
      </c>
      <c r="C660" t="s">
        <v>871</v>
      </c>
      <c r="D660" t="s">
        <v>48</v>
      </c>
      <c r="E660" s="17">
        <v>9.5</v>
      </c>
      <c r="F660" s="17">
        <v>130</v>
      </c>
      <c r="G660" s="18">
        <v>1235</v>
      </c>
      <c r="H660" s="30" t="s">
        <v>2293</v>
      </c>
      <c r="J660" s="34"/>
    </row>
    <row r="661" spans="1:10" x14ac:dyDescent="0.25">
      <c r="A661" s="15">
        <v>41057</v>
      </c>
      <c r="B661" s="16" t="s">
        <v>880</v>
      </c>
      <c r="C661" t="s">
        <v>881</v>
      </c>
      <c r="D661" t="s">
        <v>48</v>
      </c>
      <c r="E661" s="17">
        <v>2</v>
      </c>
      <c r="F661" s="17">
        <v>95</v>
      </c>
      <c r="G661" s="18">
        <v>190</v>
      </c>
      <c r="H661" s="30" t="s">
        <v>2293</v>
      </c>
      <c r="J661" s="34"/>
    </row>
    <row r="662" spans="1:10" x14ac:dyDescent="0.25">
      <c r="A662" s="15">
        <v>41057</v>
      </c>
      <c r="B662" s="16" t="s">
        <v>874</v>
      </c>
      <c r="C662" t="s">
        <v>875</v>
      </c>
      <c r="D662" t="s">
        <v>48</v>
      </c>
      <c r="E662" s="17">
        <v>1</v>
      </c>
      <c r="F662" s="17">
        <v>25.78</v>
      </c>
      <c r="G662" s="18">
        <v>25.78</v>
      </c>
      <c r="H662" s="30" t="s">
        <v>2293</v>
      </c>
      <c r="J662" s="34"/>
    </row>
    <row r="663" spans="1:10" x14ac:dyDescent="0.25">
      <c r="A663" s="15">
        <v>41058</v>
      </c>
      <c r="B663" s="16" t="s">
        <v>865</v>
      </c>
      <c r="C663" t="s">
        <v>8</v>
      </c>
      <c r="D663" t="s">
        <v>48</v>
      </c>
      <c r="E663" s="17">
        <v>2.5</v>
      </c>
      <c r="F663" s="17">
        <v>35.35</v>
      </c>
      <c r="G663" s="18">
        <v>88.375</v>
      </c>
      <c r="H663" s="30" t="s">
        <v>2293</v>
      </c>
      <c r="J663" s="34"/>
    </row>
    <row r="664" spans="1:10" x14ac:dyDescent="0.25">
      <c r="A664" s="15">
        <v>41058</v>
      </c>
      <c r="B664" s="16" t="s">
        <v>865</v>
      </c>
      <c r="C664" t="s">
        <v>8</v>
      </c>
      <c r="D664" t="s">
        <v>48</v>
      </c>
      <c r="E664" s="17">
        <v>2.5</v>
      </c>
      <c r="F664" s="17">
        <v>48</v>
      </c>
      <c r="G664" s="18">
        <v>120</v>
      </c>
      <c r="H664" s="30" t="s">
        <v>2293</v>
      </c>
      <c r="J664" s="34"/>
    </row>
    <row r="665" spans="1:10" x14ac:dyDescent="0.25">
      <c r="A665" s="15">
        <v>41058</v>
      </c>
      <c r="B665" s="16" t="s">
        <v>880</v>
      </c>
      <c r="C665" t="s">
        <v>881</v>
      </c>
      <c r="D665" t="s">
        <v>48</v>
      </c>
      <c r="E665" s="17">
        <v>3</v>
      </c>
      <c r="F665" s="17">
        <v>95</v>
      </c>
      <c r="G665" s="18">
        <v>285</v>
      </c>
      <c r="H665" s="30" t="s">
        <v>2293</v>
      </c>
      <c r="J665" s="34"/>
    </row>
    <row r="666" spans="1:10" x14ac:dyDescent="0.25">
      <c r="A666" s="15">
        <v>41058</v>
      </c>
      <c r="B666" s="16" t="s">
        <v>920</v>
      </c>
      <c r="C666" t="s">
        <v>871</v>
      </c>
      <c r="D666" t="s">
        <v>48</v>
      </c>
      <c r="E666" s="17">
        <v>2.5</v>
      </c>
      <c r="F666" s="17">
        <v>130</v>
      </c>
      <c r="G666" s="18">
        <v>325</v>
      </c>
      <c r="H666" s="30" t="s">
        <v>2293</v>
      </c>
      <c r="J666" s="34"/>
    </row>
    <row r="667" spans="1:10" x14ac:dyDescent="0.25">
      <c r="A667" s="15">
        <v>41058</v>
      </c>
      <c r="B667" s="16" t="s">
        <v>865</v>
      </c>
      <c r="C667" t="s">
        <v>8</v>
      </c>
      <c r="D667" t="s">
        <v>48</v>
      </c>
      <c r="E667" s="17">
        <v>2.5</v>
      </c>
      <c r="F667" s="17">
        <v>35.35</v>
      </c>
      <c r="G667" s="18">
        <v>88.375</v>
      </c>
      <c r="H667" s="30" t="s">
        <v>2293</v>
      </c>
      <c r="J667" s="34"/>
    </row>
    <row r="668" spans="1:10" x14ac:dyDescent="0.25">
      <c r="A668" s="15">
        <v>41059</v>
      </c>
      <c r="B668" s="16" t="s">
        <v>865</v>
      </c>
      <c r="C668" t="s">
        <v>8</v>
      </c>
      <c r="D668" t="s">
        <v>48</v>
      </c>
      <c r="E668" s="17">
        <v>3</v>
      </c>
      <c r="F668" s="17">
        <v>48</v>
      </c>
      <c r="G668" s="18">
        <v>144</v>
      </c>
      <c r="H668" s="30" t="s">
        <v>2293</v>
      </c>
      <c r="J668" s="34"/>
    </row>
    <row r="669" spans="1:10" x14ac:dyDescent="0.25">
      <c r="A669" s="15">
        <v>41059</v>
      </c>
      <c r="B669" s="16" t="s">
        <v>865</v>
      </c>
      <c r="C669" t="s">
        <v>8</v>
      </c>
      <c r="D669" t="s">
        <v>48</v>
      </c>
      <c r="E669" s="17">
        <v>4</v>
      </c>
      <c r="F669" s="17">
        <v>35.35</v>
      </c>
      <c r="G669" s="18">
        <v>141.4</v>
      </c>
      <c r="H669" s="30" t="s">
        <v>2293</v>
      </c>
      <c r="J669" s="34"/>
    </row>
    <row r="670" spans="1:10" x14ac:dyDescent="0.25">
      <c r="A670" s="15">
        <v>41059</v>
      </c>
      <c r="B670" s="16" t="s">
        <v>865</v>
      </c>
      <c r="C670" t="s">
        <v>8</v>
      </c>
      <c r="D670" t="s">
        <v>48</v>
      </c>
      <c r="E670" s="17">
        <v>3</v>
      </c>
      <c r="F670" s="17">
        <v>35.35</v>
      </c>
      <c r="G670" s="18">
        <v>106.05</v>
      </c>
      <c r="H670" s="30" t="s">
        <v>2293</v>
      </c>
      <c r="J670" s="34"/>
    </row>
    <row r="671" spans="1:10" x14ac:dyDescent="0.25">
      <c r="A671" s="15">
        <v>41059</v>
      </c>
      <c r="B671" s="16" t="s">
        <v>920</v>
      </c>
      <c r="C671" t="s">
        <v>871</v>
      </c>
      <c r="D671" t="s">
        <v>48</v>
      </c>
      <c r="E671" s="17">
        <v>7</v>
      </c>
      <c r="F671" s="17">
        <v>130</v>
      </c>
      <c r="G671" s="18">
        <v>910</v>
      </c>
      <c r="H671" s="30" t="s">
        <v>2293</v>
      </c>
      <c r="J671" s="34"/>
    </row>
    <row r="672" spans="1:10" x14ac:dyDescent="0.25">
      <c r="A672" s="15">
        <v>41059</v>
      </c>
      <c r="B672" s="16" t="s">
        <v>880</v>
      </c>
      <c r="C672" t="s">
        <v>881</v>
      </c>
      <c r="D672" t="s">
        <v>48</v>
      </c>
      <c r="E672" s="17">
        <v>6</v>
      </c>
      <c r="F672" s="17">
        <v>95</v>
      </c>
      <c r="G672" s="18">
        <v>570</v>
      </c>
      <c r="H672" s="30" t="s">
        <v>2293</v>
      </c>
      <c r="J672" s="34"/>
    </row>
    <row r="673" spans="1:10" x14ac:dyDescent="0.25">
      <c r="A673" s="15">
        <v>41059</v>
      </c>
      <c r="B673" s="16" t="s">
        <v>865</v>
      </c>
      <c r="C673" t="s">
        <v>8</v>
      </c>
      <c r="D673" t="s">
        <v>48</v>
      </c>
      <c r="E673" s="17">
        <v>7</v>
      </c>
      <c r="F673" s="17">
        <v>35.35</v>
      </c>
      <c r="G673" s="18">
        <v>247.45</v>
      </c>
      <c r="H673" s="30" t="s">
        <v>2293</v>
      </c>
      <c r="J673" s="34"/>
    </row>
    <row r="674" spans="1:10" x14ac:dyDescent="0.25">
      <c r="A674" s="15">
        <v>41060</v>
      </c>
      <c r="B674" s="16" t="s">
        <v>865</v>
      </c>
      <c r="C674" t="s">
        <v>8</v>
      </c>
      <c r="D674" t="s">
        <v>48</v>
      </c>
      <c r="E674" s="17">
        <v>3</v>
      </c>
      <c r="F674" s="17">
        <v>35.35</v>
      </c>
      <c r="G674" s="18">
        <v>106.05</v>
      </c>
      <c r="H674" s="30" t="s">
        <v>2293</v>
      </c>
      <c r="J674" s="34"/>
    </row>
    <row r="675" spans="1:10" x14ac:dyDescent="0.25">
      <c r="A675" s="15">
        <v>41060</v>
      </c>
      <c r="B675" s="16" t="s">
        <v>865</v>
      </c>
      <c r="C675" t="s">
        <v>8</v>
      </c>
      <c r="D675" t="s">
        <v>48</v>
      </c>
      <c r="E675" s="17">
        <v>3</v>
      </c>
      <c r="F675" s="17">
        <v>35.35</v>
      </c>
      <c r="G675" s="18">
        <v>106.05</v>
      </c>
      <c r="H675" s="30" t="s">
        <v>2293</v>
      </c>
      <c r="J675" s="34"/>
    </row>
    <row r="676" spans="1:10" x14ac:dyDescent="0.25">
      <c r="A676" s="15">
        <v>41060</v>
      </c>
      <c r="B676" s="16" t="s">
        <v>865</v>
      </c>
      <c r="C676" t="s">
        <v>8</v>
      </c>
      <c r="D676" t="s">
        <v>48</v>
      </c>
      <c r="E676" s="17">
        <v>3</v>
      </c>
      <c r="F676" s="17">
        <v>35.35</v>
      </c>
      <c r="G676" s="18">
        <v>106.05</v>
      </c>
      <c r="H676" s="30" t="s">
        <v>2293</v>
      </c>
      <c r="J676" s="34"/>
    </row>
    <row r="677" spans="1:10" x14ac:dyDescent="0.25">
      <c r="A677" s="15">
        <v>41060</v>
      </c>
      <c r="B677" s="16" t="s">
        <v>865</v>
      </c>
      <c r="C677" t="s">
        <v>8</v>
      </c>
      <c r="D677" t="s">
        <v>48</v>
      </c>
      <c r="E677" s="17">
        <v>3</v>
      </c>
      <c r="F677" s="17">
        <v>48</v>
      </c>
      <c r="G677" s="18">
        <v>144</v>
      </c>
      <c r="H677" s="30" t="s">
        <v>2293</v>
      </c>
      <c r="J677" s="34"/>
    </row>
    <row r="678" spans="1:10" x14ac:dyDescent="0.25">
      <c r="A678" s="15">
        <v>41060</v>
      </c>
      <c r="B678" s="16" t="s">
        <v>865</v>
      </c>
      <c r="C678" t="s">
        <v>8</v>
      </c>
      <c r="D678" t="s">
        <v>48</v>
      </c>
      <c r="E678" s="17">
        <v>3</v>
      </c>
      <c r="F678" s="17">
        <v>35.35</v>
      </c>
      <c r="G678" s="18">
        <v>106.05</v>
      </c>
      <c r="H678" s="30" t="s">
        <v>2293</v>
      </c>
      <c r="J678" s="34"/>
    </row>
    <row r="679" spans="1:10" x14ac:dyDescent="0.25">
      <c r="A679" s="15">
        <v>41061</v>
      </c>
      <c r="B679" s="16" t="s">
        <v>865</v>
      </c>
      <c r="C679" t="s">
        <v>8</v>
      </c>
      <c r="D679" t="s">
        <v>48</v>
      </c>
      <c r="E679" s="17">
        <v>10</v>
      </c>
      <c r="F679" s="17">
        <v>35.35</v>
      </c>
      <c r="G679" s="18">
        <v>353.5</v>
      </c>
      <c r="H679" s="30" t="s">
        <v>2293</v>
      </c>
      <c r="J679" s="34"/>
    </row>
    <row r="680" spans="1:10" x14ac:dyDescent="0.25">
      <c r="A680" s="15">
        <v>41061</v>
      </c>
      <c r="B680" s="16" t="s">
        <v>920</v>
      </c>
      <c r="C680" t="s">
        <v>871</v>
      </c>
      <c r="D680" t="s">
        <v>48</v>
      </c>
      <c r="E680" s="17">
        <v>8.5</v>
      </c>
      <c r="F680" s="17">
        <v>130</v>
      </c>
      <c r="G680" s="18">
        <v>1105</v>
      </c>
      <c r="H680" s="30" t="s">
        <v>2293</v>
      </c>
      <c r="J680" s="34"/>
    </row>
    <row r="681" spans="1:10" x14ac:dyDescent="0.25">
      <c r="A681" s="15">
        <v>41061</v>
      </c>
      <c r="B681" s="16" t="s">
        <v>880</v>
      </c>
      <c r="C681" t="s">
        <v>881</v>
      </c>
      <c r="D681" t="s">
        <v>48</v>
      </c>
      <c r="E681" s="17">
        <v>8</v>
      </c>
      <c r="F681" s="17">
        <v>95</v>
      </c>
      <c r="G681" s="18">
        <v>760</v>
      </c>
      <c r="H681" s="30" t="s">
        <v>2293</v>
      </c>
      <c r="J681" s="34"/>
    </row>
    <row r="682" spans="1:10" x14ac:dyDescent="0.25">
      <c r="A682" s="15">
        <v>41061</v>
      </c>
      <c r="B682" s="16" t="s">
        <v>877</v>
      </c>
      <c r="C682" t="s">
        <v>868</v>
      </c>
      <c r="D682" t="s">
        <v>48</v>
      </c>
      <c r="E682" s="17">
        <v>3</v>
      </c>
      <c r="F682" s="17">
        <v>90</v>
      </c>
      <c r="G682" s="18">
        <v>270</v>
      </c>
      <c r="H682" s="30" t="s">
        <v>2293</v>
      </c>
      <c r="J682" s="34"/>
    </row>
    <row r="683" spans="1:10" x14ac:dyDescent="0.25">
      <c r="A683" s="15">
        <v>41064</v>
      </c>
      <c r="B683" s="16" t="s">
        <v>867</v>
      </c>
      <c r="C683" t="s">
        <v>868</v>
      </c>
      <c r="D683" t="s">
        <v>48</v>
      </c>
      <c r="E683" s="17">
        <v>3.75</v>
      </c>
      <c r="F683" s="17">
        <v>90</v>
      </c>
      <c r="G683" s="18">
        <v>337.5</v>
      </c>
      <c r="H683" s="30" t="s">
        <v>2293</v>
      </c>
      <c r="J683" s="34"/>
    </row>
    <row r="684" spans="1:10" x14ac:dyDescent="0.25">
      <c r="A684" s="15">
        <v>41064</v>
      </c>
      <c r="B684" s="16" t="s">
        <v>920</v>
      </c>
      <c r="C684" t="s">
        <v>871</v>
      </c>
      <c r="D684" t="s">
        <v>48</v>
      </c>
      <c r="E684" s="17">
        <v>8.5</v>
      </c>
      <c r="F684" s="17">
        <v>130</v>
      </c>
      <c r="G684" s="18">
        <v>1105</v>
      </c>
      <c r="H684" s="30" t="s">
        <v>2293</v>
      </c>
      <c r="J684" s="34"/>
    </row>
    <row r="685" spans="1:10" x14ac:dyDescent="0.25">
      <c r="A685" s="15">
        <v>41064</v>
      </c>
      <c r="B685" s="16" t="s">
        <v>865</v>
      </c>
      <c r="C685" t="s">
        <v>8</v>
      </c>
      <c r="D685" t="s">
        <v>48</v>
      </c>
      <c r="E685" s="17">
        <v>8</v>
      </c>
      <c r="F685" s="17">
        <v>35.35</v>
      </c>
      <c r="G685" s="18">
        <v>282.8</v>
      </c>
      <c r="H685" s="30" t="s">
        <v>2293</v>
      </c>
      <c r="J685" s="34"/>
    </row>
    <row r="686" spans="1:10" x14ac:dyDescent="0.25">
      <c r="A686" s="15">
        <v>41064</v>
      </c>
      <c r="B686" s="16" t="s">
        <v>880</v>
      </c>
      <c r="C686" t="s">
        <v>881</v>
      </c>
      <c r="D686" t="s">
        <v>48</v>
      </c>
      <c r="E686" s="17">
        <v>6</v>
      </c>
      <c r="F686" s="17">
        <v>95</v>
      </c>
      <c r="G686" s="18">
        <v>570</v>
      </c>
      <c r="H686" s="30" t="s">
        <v>2293</v>
      </c>
      <c r="J686" s="34"/>
    </row>
    <row r="687" spans="1:10" x14ac:dyDescent="0.25">
      <c r="A687" s="15">
        <v>41065</v>
      </c>
      <c r="B687" s="16" t="s">
        <v>920</v>
      </c>
      <c r="C687" t="s">
        <v>871</v>
      </c>
      <c r="D687" t="s">
        <v>48</v>
      </c>
      <c r="E687" s="17">
        <v>8.5</v>
      </c>
      <c r="F687" s="17">
        <v>130</v>
      </c>
      <c r="G687" s="18">
        <v>1105</v>
      </c>
      <c r="H687" s="30" t="s">
        <v>2293</v>
      </c>
      <c r="J687" s="34"/>
    </row>
    <row r="688" spans="1:10" x14ac:dyDescent="0.25">
      <c r="A688" s="15">
        <v>41065</v>
      </c>
      <c r="B688" s="16" t="s">
        <v>865</v>
      </c>
      <c r="C688" t="s">
        <v>8</v>
      </c>
      <c r="D688" t="s">
        <v>48</v>
      </c>
      <c r="E688" s="17">
        <v>6.5</v>
      </c>
      <c r="F688" s="17">
        <v>35.35</v>
      </c>
      <c r="G688" s="18">
        <v>229.77500000000001</v>
      </c>
      <c r="H688" s="30" t="s">
        <v>2293</v>
      </c>
      <c r="J688" s="34"/>
    </row>
    <row r="689" spans="1:10" x14ac:dyDescent="0.25">
      <c r="A689" s="15">
        <v>41065</v>
      </c>
      <c r="B689" s="16" t="s">
        <v>880</v>
      </c>
      <c r="C689" t="s">
        <v>881</v>
      </c>
      <c r="D689" t="s">
        <v>48</v>
      </c>
      <c r="E689" s="17">
        <v>2</v>
      </c>
      <c r="F689" s="17">
        <v>95</v>
      </c>
      <c r="G689" s="18">
        <v>190</v>
      </c>
      <c r="H689" s="30" t="s">
        <v>2293</v>
      </c>
      <c r="J689" s="34"/>
    </row>
    <row r="690" spans="1:10" x14ac:dyDescent="0.25">
      <c r="A690" s="15">
        <v>41065</v>
      </c>
      <c r="B690" s="16" t="s">
        <v>867</v>
      </c>
      <c r="C690" t="s">
        <v>868</v>
      </c>
      <c r="D690" t="s">
        <v>48</v>
      </c>
      <c r="E690" s="17">
        <v>3</v>
      </c>
      <c r="F690" s="17">
        <v>90</v>
      </c>
      <c r="G690" s="18">
        <v>270</v>
      </c>
      <c r="H690" s="30" t="s">
        <v>2293</v>
      </c>
      <c r="J690" s="34"/>
    </row>
    <row r="691" spans="1:10" x14ac:dyDescent="0.25">
      <c r="A691" s="15">
        <v>41066</v>
      </c>
      <c r="B691" s="16" t="s">
        <v>920</v>
      </c>
      <c r="C691" t="s">
        <v>871</v>
      </c>
      <c r="D691" t="s">
        <v>48</v>
      </c>
      <c r="E691" s="17">
        <v>9.5</v>
      </c>
      <c r="F691" s="17">
        <v>130</v>
      </c>
      <c r="G691" s="18">
        <v>1235</v>
      </c>
      <c r="H691" s="30" t="s">
        <v>2293</v>
      </c>
      <c r="J691" s="34"/>
    </row>
    <row r="692" spans="1:10" x14ac:dyDescent="0.25">
      <c r="A692" s="15">
        <v>41066</v>
      </c>
      <c r="B692" s="16" t="s">
        <v>880</v>
      </c>
      <c r="C692" t="s">
        <v>881</v>
      </c>
      <c r="D692" t="s">
        <v>48</v>
      </c>
      <c r="E692" s="17">
        <v>10</v>
      </c>
      <c r="F692" s="17">
        <v>95</v>
      </c>
      <c r="G692" s="18">
        <v>950</v>
      </c>
      <c r="H692" s="30" t="s">
        <v>2293</v>
      </c>
      <c r="J692" s="34"/>
    </row>
    <row r="693" spans="1:10" x14ac:dyDescent="0.25">
      <c r="A693" s="15">
        <v>41066</v>
      </c>
      <c r="B693" s="16" t="s">
        <v>877</v>
      </c>
      <c r="C693" t="s">
        <v>868</v>
      </c>
      <c r="D693" t="s">
        <v>48</v>
      </c>
      <c r="E693" s="17">
        <v>4</v>
      </c>
      <c r="F693" s="17">
        <v>90</v>
      </c>
      <c r="G693" s="18">
        <v>360</v>
      </c>
      <c r="H693" s="30" t="s">
        <v>2293</v>
      </c>
      <c r="J693" s="34"/>
    </row>
    <row r="694" spans="1:10" x14ac:dyDescent="0.25">
      <c r="A694" s="15">
        <v>41066</v>
      </c>
      <c r="B694" s="16" t="s">
        <v>865</v>
      </c>
      <c r="C694" t="s">
        <v>8</v>
      </c>
      <c r="D694" t="s">
        <v>48</v>
      </c>
      <c r="E694" s="17">
        <v>9.5</v>
      </c>
      <c r="F694" s="17">
        <v>35.35</v>
      </c>
      <c r="G694" s="18">
        <v>335.82499999999999</v>
      </c>
      <c r="H694" s="30" t="s">
        <v>2293</v>
      </c>
      <c r="J694" s="34"/>
    </row>
    <row r="695" spans="1:10" x14ac:dyDescent="0.25">
      <c r="A695" s="15">
        <v>41066</v>
      </c>
      <c r="B695" s="16" t="s">
        <v>865</v>
      </c>
      <c r="C695" t="s">
        <v>8</v>
      </c>
      <c r="D695" t="s">
        <v>48</v>
      </c>
      <c r="E695" s="17">
        <v>9.5</v>
      </c>
      <c r="F695" s="17">
        <v>35.35</v>
      </c>
      <c r="G695" s="18">
        <v>335.82499999999999</v>
      </c>
      <c r="H695" s="30" t="s">
        <v>2293</v>
      </c>
      <c r="J695" s="34"/>
    </row>
    <row r="696" spans="1:10" x14ac:dyDescent="0.25">
      <c r="A696" s="15">
        <v>41066</v>
      </c>
      <c r="B696" s="16" t="s">
        <v>865</v>
      </c>
      <c r="C696" t="s">
        <v>8</v>
      </c>
      <c r="D696" t="s">
        <v>48</v>
      </c>
      <c r="E696" s="17">
        <v>5.5</v>
      </c>
      <c r="F696" s="17">
        <v>35.35</v>
      </c>
      <c r="G696" s="18">
        <v>194.42500000000001</v>
      </c>
      <c r="H696" s="30" t="s">
        <v>2293</v>
      </c>
      <c r="J696" s="34"/>
    </row>
    <row r="697" spans="1:10" x14ac:dyDescent="0.25">
      <c r="A697" s="15">
        <v>41067</v>
      </c>
      <c r="B697" s="16" t="s">
        <v>865</v>
      </c>
      <c r="C697" t="s">
        <v>8</v>
      </c>
      <c r="D697" t="s">
        <v>48</v>
      </c>
      <c r="E697" s="17">
        <v>7</v>
      </c>
      <c r="F697" s="17">
        <v>35.35</v>
      </c>
      <c r="G697" s="18">
        <v>247.45</v>
      </c>
      <c r="H697" s="30" t="s">
        <v>2293</v>
      </c>
      <c r="J697" s="34"/>
    </row>
    <row r="698" spans="1:10" x14ac:dyDescent="0.25">
      <c r="A698" s="15">
        <v>41067</v>
      </c>
      <c r="B698" s="16" t="s">
        <v>867</v>
      </c>
      <c r="C698" t="s">
        <v>868</v>
      </c>
      <c r="D698" t="s">
        <v>48</v>
      </c>
      <c r="E698" s="17">
        <v>2.5</v>
      </c>
      <c r="F698" s="17">
        <v>90</v>
      </c>
      <c r="G698" s="18">
        <v>225</v>
      </c>
      <c r="H698" s="30" t="s">
        <v>2293</v>
      </c>
      <c r="J698" s="34"/>
    </row>
    <row r="699" spans="1:10" x14ac:dyDescent="0.25">
      <c r="A699" s="15">
        <v>41067</v>
      </c>
      <c r="B699" s="16" t="s">
        <v>865</v>
      </c>
      <c r="C699" t="s">
        <v>8</v>
      </c>
      <c r="D699" t="s">
        <v>48</v>
      </c>
      <c r="E699" s="17">
        <v>7</v>
      </c>
      <c r="F699" s="17">
        <v>35.35</v>
      </c>
      <c r="G699" s="18">
        <v>247.45</v>
      </c>
      <c r="H699" s="30" t="s">
        <v>2293</v>
      </c>
      <c r="J699" s="34"/>
    </row>
    <row r="700" spans="1:10" x14ac:dyDescent="0.25">
      <c r="A700" s="15">
        <v>41067</v>
      </c>
      <c r="B700" s="16" t="s">
        <v>880</v>
      </c>
      <c r="C700" t="s">
        <v>881</v>
      </c>
      <c r="D700" t="s">
        <v>48</v>
      </c>
      <c r="E700" s="17">
        <v>7</v>
      </c>
      <c r="F700" s="17">
        <v>95</v>
      </c>
      <c r="G700" s="18">
        <v>665</v>
      </c>
      <c r="H700" s="30" t="s">
        <v>2293</v>
      </c>
      <c r="J700" s="34"/>
    </row>
    <row r="701" spans="1:10" x14ac:dyDescent="0.25">
      <c r="A701" s="15">
        <v>41067</v>
      </c>
      <c r="B701" s="16" t="s">
        <v>920</v>
      </c>
      <c r="C701" t="s">
        <v>871</v>
      </c>
      <c r="D701" t="s">
        <v>48</v>
      </c>
      <c r="E701" s="17">
        <v>6.5</v>
      </c>
      <c r="F701" s="17">
        <v>130</v>
      </c>
      <c r="G701" s="18">
        <v>845</v>
      </c>
      <c r="H701" s="30" t="s">
        <v>2293</v>
      </c>
      <c r="J701" s="34"/>
    </row>
    <row r="702" spans="1:10" x14ac:dyDescent="0.25">
      <c r="A702" s="15">
        <v>41072</v>
      </c>
      <c r="B702" s="16" t="s">
        <v>880</v>
      </c>
      <c r="C702" t="s">
        <v>881</v>
      </c>
      <c r="D702" t="s">
        <v>48</v>
      </c>
      <c r="E702" s="17">
        <v>2</v>
      </c>
      <c r="F702" s="17">
        <v>95</v>
      </c>
      <c r="G702" s="18">
        <v>190</v>
      </c>
      <c r="H702" s="30" t="s">
        <v>2293</v>
      </c>
      <c r="J702" s="34"/>
    </row>
    <row r="703" spans="1:10" x14ac:dyDescent="0.25">
      <c r="A703" s="15">
        <v>41072</v>
      </c>
      <c r="B703" s="16" t="s">
        <v>877</v>
      </c>
      <c r="C703" t="s">
        <v>868</v>
      </c>
      <c r="D703" t="s">
        <v>48</v>
      </c>
      <c r="E703" s="17">
        <v>2</v>
      </c>
      <c r="F703" s="17">
        <v>90</v>
      </c>
      <c r="G703" s="18">
        <v>180</v>
      </c>
      <c r="H703" s="30" t="s">
        <v>2293</v>
      </c>
      <c r="J703" s="34"/>
    </row>
    <row r="704" spans="1:10" x14ac:dyDescent="0.25">
      <c r="A704" s="15">
        <v>41072</v>
      </c>
      <c r="B704" s="16" t="s">
        <v>920</v>
      </c>
      <c r="C704" t="s">
        <v>871</v>
      </c>
      <c r="D704" t="s">
        <v>48</v>
      </c>
      <c r="E704" s="17">
        <v>2</v>
      </c>
      <c r="F704" s="17">
        <v>130</v>
      </c>
      <c r="G704" s="18">
        <v>260</v>
      </c>
      <c r="H704" s="30" t="s">
        <v>2293</v>
      </c>
      <c r="J704" s="34"/>
    </row>
    <row r="705" spans="1:10" x14ac:dyDescent="0.25">
      <c r="A705" s="15">
        <v>41073</v>
      </c>
      <c r="B705" s="16" t="s">
        <v>918</v>
      </c>
      <c r="C705" t="s">
        <v>934</v>
      </c>
      <c r="D705" t="s">
        <v>48</v>
      </c>
      <c r="E705" s="17">
        <v>10.5</v>
      </c>
      <c r="F705" s="17">
        <v>82.727000000000004</v>
      </c>
      <c r="G705" s="18">
        <v>868.63350000000003</v>
      </c>
      <c r="H705" s="30" t="s">
        <v>2293</v>
      </c>
      <c r="J705" s="34"/>
    </row>
    <row r="706" spans="1:10" x14ac:dyDescent="0.25">
      <c r="A706" s="15">
        <v>41073</v>
      </c>
      <c r="B706" s="16" t="s">
        <v>865</v>
      </c>
      <c r="C706" t="s">
        <v>8</v>
      </c>
      <c r="D706" t="s">
        <v>48</v>
      </c>
      <c r="E706" s="17">
        <v>6.5</v>
      </c>
      <c r="F706" s="17">
        <v>35.35</v>
      </c>
      <c r="G706" s="18">
        <v>229.77500000000001</v>
      </c>
      <c r="H706" s="30" t="s">
        <v>2293</v>
      </c>
      <c r="J706" s="34"/>
    </row>
    <row r="707" spans="1:10" x14ac:dyDescent="0.25">
      <c r="A707" s="15">
        <v>41073</v>
      </c>
      <c r="B707" s="16" t="s">
        <v>865</v>
      </c>
      <c r="C707" t="s">
        <v>8</v>
      </c>
      <c r="D707" t="s">
        <v>48</v>
      </c>
      <c r="E707" s="17">
        <v>6.5</v>
      </c>
      <c r="F707" s="17">
        <v>35.35</v>
      </c>
      <c r="G707" s="18">
        <v>229.77500000000001</v>
      </c>
      <c r="H707" s="30" t="s">
        <v>2293</v>
      </c>
      <c r="J707" s="34"/>
    </row>
    <row r="708" spans="1:10" x14ac:dyDescent="0.25">
      <c r="A708" s="15">
        <v>41073</v>
      </c>
      <c r="B708" s="16" t="s">
        <v>865</v>
      </c>
      <c r="C708" t="s">
        <v>8</v>
      </c>
      <c r="D708" t="s">
        <v>48</v>
      </c>
      <c r="E708" s="17">
        <v>9.5</v>
      </c>
      <c r="F708" s="17">
        <v>48</v>
      </c>
      <c r="G708" s="18">
        <v>456</v>
      </c>
      <c r="H708" s="30" t="s">
        <v>2293</v>
      </c>
      <c r="J708" s="34"/>
    </row>
    <row r="709" spans="1:10" x14ac:dyDescent="0.25">
      <c r="A709" s="15">
        <v>41073</v>
      </c>
      <c r="B709" s="16" t="s">
        <v>865</v>
      </c>
      <c r="C709" t="s">
        <v>8</v>
      </c>
      <c r="D709" t="s">
        <v>48</v>
      </c>
      <c r="E709" s="17">
        <v>9.5</v>
      </c>
      <c r="F709" s="17">
        <v>35.35</v>
      </c>
      <c r="G709" s="18">
        <v>335.82499999999999</v>
      </c>
      <c r="H709" s="30" t="s">
        <v>2293</v>
      </c>
      <c r="J709" s="34"/>
    </row>
    <row r="710" spans="1:10" x14ac:dyDescent="0.25">
      <c r="A710" s="15">
        <v>41073</v>
      </c>
      <c r="B710" s="16" t="s">
        <v>880</v>
      </c>
      <c r="C710" t="s">
        <v>881</v>
      </c>
      <c r="D710" t="s">
        <v>48</v>
      </c>
      <c r="E710" s="17">
        <v>9.5</v>
      </c>
      <c r="F710" s="17">
        <v>95</v>
      </c>
      <c r="G710" s="18">
        <v>902.5</v>
      </c>
      <c r="H710" s="30" t="s">
        <v>2293</v>
      </c>
      <c r="J710" s="34"/>
    </row>
    <row r="711" spans="1:10" x14ac:dyDescent="0.25">
      <c r="A711" s="15">
        <v>41073</v>
      </c>
      <c r="B711" s="16" t="s">
        <v>877</v>
      </c>
      <c r="C711" t="s">
        <v>868</v>
      </c>
      <c r="D711" t="s">
        <v>48</v>
      </c>
      <c r="E711" s="17">
        <v>6</v>
      </c>
      <c r="F711" s="17">
        <v>90</v>
      </c>
      <c r="G711" s="18">
        <v>540</v>
      </c>
      <c r="H711" s="30" t="s">
        <v>2293</v>
      </c>
      <c r="J711" s="34"/>
    </row>
    <row r="712" spans="1:10" x14ac:dyDescent="0.25">
      <c r="A712" s="15">
        <v>41073</v>
      </c>
      <c r="B712" s="16" t="s">
        <v>920</v>
      </c>
      <c r="C712" t="s">
        <v>871</v>
      </c>
      <c r="D712" t="s">
        <v>48</v>
      </c>
      <c r="E712" s="17">
        <v>9.5</v>
      </c>
      <c r="F712" s="17">
        <v>130</v>
      </c>
      <c r="G712" s="18">
        <v>1235</v>
      </c>
      <c r="H712" s="30" t="s">
        <v>2293</v>
      </c>
      <c r="J712" s="34"/>
    </row>
    <row r="713" spans="1:10" x14ac:dyDescent="0.25">
      <c r="A713" s="15">
        <v>41073</v>
      </c>
      <c r="B713" s="16" t="s">
        <v>865</v>
      </c>
      <c r="C713" t="s">
        <v>8</v>
      </c>
      <c r="D713" t="s">
        <v>48</v>
      </c>
      <c r="E713" s="17">
        <v>6.5</v>
      </c>
      <c r="F713" s="17">
        <v>35.35</v>
      </c>
      <c r="G713" s="18">
        <v>229.77500000000001</v>
      </c>
      <c r="H713" s="30" t="s">
        <v>2293</v>
      </c>
      <c r="J713" s="34"/>
    </row>
    <row r="714" spans="1:10" x14ac:dyDescent="0.25">
      <c r="A714" s="15">
        <v>41074</v>
      </c>
      <c r="B714" s="16" t="s">
        <v>865</v>
      </c>
      <c r="C714" t="s">
        <v>8</v>
      </c>
      <c r="D714" t="s">
        <v>48</v>
      </c>
      <c r="E714" s="17">
        <v>4</v>
      </c>
      <c r="F714" s="17">
        <v>48</v>
      </c>
      <c r="G714" s="18">
        <v>192</v>
      </c>
      <c r="H714" s="30" t="s">
        <v>2293</v>
      </c>
      <c r="J714" s="34"/>
    </row>
    <row r="715" spans="1:10" x14ac:dyDescent="0.25">
      <c r="A715" s="15">
        <v>41074</v>
      </c>
      <c r="B715" s="16" t="s">
        <v>865</v>
      </c>
      <c r="C715" t="s">
        <v>8</v>
      </c>
      <c r="D715" t="s">
        <v>48</v>
      </c>
      <c r="E715" s="17">
        <v>4</v>
      </c>
      <c r="F715" s="17">
        <v>35.35</v>
      </c>
      <c r="G715" s="18">
        <v>141.4</v>
      </c>
      <c r="H715" s="30" t="s">
        <v>2293</v>
      </c>
      <c r="J715" s="34"/>
    </row>
    <row r="716" spans="1:10" x14ac:dyDescent="0.25">
      <c r="A716" s="15">
        <v>41074</v>
      </c>
      <c r="B716" s="16" t="s">
        <v>918</v>
      </c>
      <c r="C716" t="s">
        <v>934</v>
      </c>
      <c r="D716" t="s">
        <v>48</v>
      </c>
      <c r="E716" s="17">
        <v>1</v>
      </c>
      <c r="F716" s="17">
        <v>82.727000000000004</v>
      </c>
      <c r="G716" s="18">
        <v>82.727000000000004</v>
      </c>
      <c r="H716" s="30" t="s">
        <v>2293</v>
      </c>
      <c r="J716" s="34"/>
    </row>
    <row r="717" spans="1:10" x14ac:dyDescent="0.25">
      <c r="A717" s="15">
        <v>41074</v>
      </c>
      <c r="B717" s="16" t="s">
        <v>880</v>
      </c>
      <c r="C717" t="s">
        <v>881</v>
      </c>
      <c r="D717" t="s">
        <v>48</v>
      </c>
      <c r="E717" s="17">
        <v>3</v>
      </c>
      <c r="F717" s="17">
        <v>95</v>
      </c>
      <c r="G717" s="18">
        <v>285</v>
      </c>
      <c r="H717" s="30" t="s">
        <v>2293</v>
      </c>
      <c r="J717" s="34"/>
    </row>
    <row r="718" spans="1:10" x14ac:dyDescent="0.25">
      <c r="A718" s="15">
        <v>41074</v>
      </c>
      <c r="B718" s="16" t="s">
        <v>920</v>
      </c>
      <c r="C718" t="s">
        <v>871</v>
      </c>
      <c r="D718" t="s">
        <v>48</v>
      </c>
      <c r="E718" s="17">
        <v>3</v>
      </c>
      <c r="F718" s="17">
        <v>130</v>
      </c>
      <c r="G718" s="18">
        <v>390</v>
      </c>
      <c r="H718" s="30" t="s">
        <v>2293</v>
      </c>
      <c r="J718" s="34"/>
    </row>
    <row r="719" spans="1:10" x14ac:dyDescent="0.25">
      <c r="A719" s="15">
        <v>41075</v>
      </c>
      <c r="B719" s="16" t="s">
        <v>865</v>
      </c>
      <c r="C719" t="s">
        <v>8</v>
      </c>
      <c r="D719" t="s">
        <v>48</v>
      </c>
      <c r="E719" s="17">
        <v>4</v>
      </c>
      <c r="F719" s="17">
        <v>35.35</v>
      </c>
      <c r="G719" s="18">
        <v>141.4</v>
      </c>
      <c r="H719" s="30" t="s">
        <v>2293</v>
      </c>
      <c r="J719" s="34"/>
    </row>
    <row r="720" spans="1:10" x14ac:dyDescent="0.25">
      <c r="A720" s="15">
        <v>41075</v>
      </c>
      <c r="B720" s="16" t="s">
        <v>880</v>
      </c>
      <c r="C720" t="s">
        <v>881</v>
      </c>
      <c r="D720" t="s">
        <v>48</v>
      </c>
      <c r="E720" s="17">
        <v>5</v>
      </c>
      <c r="F720" s="17">
        <v>95</v>
      </c>
      <c r="G720" s="18">
        <v>475</v>
      </c>
      <c r="H720" s="30" t="s">
        <v>2293</v>
      </c>
      <c r="J720" s="34"/>
    </row>
    <row r="721" spans="1:10" x14ac:dyDescent="0.25">
      <c r="A721" s="15">
        <v>41075</v>
      </c>
      <c r="B721" s="16" t="s">
        <v>877</v>
      </c>
      <c r="C721" t="s">
        <v>868</v>
      </c>
      <c r="D721" t="s">
        <v>48</v>
      </c>
      <c r="E721" s="17">
        <v>5</v>
      </c>
      <c r="F721" s="17">
        <v>90</v>
      </c>
      <c r="G721" s="18">
        <v>450</v>
      </c>
      <c r="H721" s="30" t="s">
        <v>2293</v>
      </c>
      <c r="J721" s="34"/>
    </row>
    <row r="722" spans="1:10" x14ac:dyDescent="0.25">
      <c r="A722" s="15">
        <v>41075</v>
      </c>
      <c r="B722" s="16" t="s">
        <v>918</v>
      </c>
      <c r="C722" t="s">
        <v>934</v>
      </c>
      <c r="D722" t="s">
        <v>48</v>
      </c>
      <c r="E722" s="17">
        <v>5</v>
      </c>
      <c r="F722" s="17">
        <v>82.727000000000004</v>
      </c>
      <c r="G722" s="18">
        <v>413.63499999999999</v>
      </c>
      <c r="H722" s="30" t="s">
        <v>2293</v>
      </c>
      <c r="J722" s="34"/>
    </row>
    <row r="723" spans="1:10" x14ac:dyDescent="0.25">
      <c r="A723" s="15">
        <v>41075</v>
      </c>
      <c r="B723" s="16" t="s">
        <v>865</v>
      </c>
      <c r="C723" t="s">
        <v>8</v>
      </c>
      <c r="D723" t="s">
        <v>48</v>
      </c>
      <c r="E723" s="17">
        <v>2</v>
      </c>
      <c r="F723" s="17">
        <v>48</v>
      </c>
      <c r="G723" s="18">
        <v>96</v>
      </c>
      <c r="H723" s="30" t="s">
        <v>2293</v>
      </c>
      <c r="J723" s="34"/>
    </row>
    <row r="724" spans="1:10" x14ac:dyDescent="0.25">
      <c r="A724" s="15">
        <v>41075</v>
      </c>
      <c r="B724" s="16" t="s">
        <v>920</v>
      </c>
      <c r="C724" t="s">
        <v>871</v>
      </c>
      <c r="D724" t="s">
        <v>48</v>
      </c>
      <c r="E724" s="17">
        <v>7</v>
      </c>
      <c r="F724" s="17">
        <v>130</v>
      </c>
      <c r="G724" s="18">
        <v>910</v>
      </c>
      <c r="H724" s="30" t="s">
        <v>2293</v>
      </c>
      <c r="J724" s="34"/>
    </row>
    <row r="725" spans="1:10" x14ac:dyDescent="0.25">
      <c r="A725" s="15">
        <v>41075</v>
      </c>
      <c r="B725" s="16" t="s">
        <v>865</v>
      </c>
      <c r="C725" t="s">
        <v>8</v>
      </c>
      <c r="D725" t="s">
        <v>48</v>
      </c>
      <c r="E725" s="17">
        <v>4</v>
      </c>
      <c r="F725" s="17">
        <v>35.35</v>
      </c>
      <c r="G725" s="18">
        <v>141.4</v>
      </c>
      <c r="H725" s="30" t="s">
        <v>2293</v>
      </c>
      <c r="J725" s="34"/>
    </row>
    <row r="726" spans="1:10" x14ac:dyDescent="0.25">
      <c r="A726" s="15">
        <v>41075</v>
      </c>
      <c r="B726" s="16" t="s">
        <v>865</v>
      </c>
      <c r="C726" t="s">
        <v>8</v>
      </c>
      <c r="D726" t="s">
        <v>48</v>
      </c>
      <c r="E726" s="17">
        <v>9</v>
      </c>
      <c r="F726" s="17">
        <v>35.35</v>
      </c>
      <c r="G726" s="18">
        <v>318.14999999999998</v>
      </c>
      <c r="H726" s="30" t="s">
        <v>2293</v>
      </c>
      <c r="J726" s="34"/>
    </row>
    <row r="727" spans="1:10" x14ac:dyDescent="0.25">
      <c r="A727" s="15">
        <v>41075</v>
      </c>
      <c r="B727" s="16" t="s">
        <v>865</v>
      </c>
      <c r="C727" t="s">
        <v>8</v>
      </c>
      <c r="D727" t="s">
        <v>48</v>
      </c>
      <c r="E727" s="17">
        <v>2</v>
      </c>
      <c r="F727" s="17">
        <v>35.35</v>
      </c>
      <c r="G727" s="18">
        <v>70.7</v>
      </c>
      <c r="H727" s="30" t="s">
        <v>2293</v>
      </c>
      <c r="J727" s="34"/>
    </row>
    <row r="728" spans="1:10" x14ac:dyDescent="0.25">
      <c r="A728" s="15">
        <v>41076</v>
      </c>
      <c r="B728" s="16" t="s">
        <v>865</v>
      </c>
      <c r="C728" t="s">
        <v>8</v>
      </c>
      <c r="D728" t="s">
        <v>48</v>
      </c>
      <c r="E728" s="17">
        <v>6.5</v>
      </c>
      <c r="F728" s="17">
        <v>35.35</v>
      </c>
      <c r="G728" s="18">
        <v>229.77500000000001</v>
      </c>
      <c r="H728" s="30" t="s">
        <v>2293</v>
      </c>
      <c r="J728" s="34"/>
    </row>
    <row r="729" spans="1:10" x14ac:dyDescent="0.25">
      <c r="A729" s="15">
        <v>41076</v>
      </c>
      <c r="B729" s="16" t="s">
        <v>865</v>
      </c>
      <c r="C729" t="s">
        <v>8</v>
      </c>
      <c r="D729" t="s">
        <v>48</v>
      </c>
      <c r="E729" s="17">
        <v>3.5</v>
      </c>
      <c r="F729" s="17">
        <v>35.35</v>
      </c>
      <c r="G729" s="18">
        <v>123.72499999999999</v>
      </c>
      <c r="H729" s="30" t="s">
        <v>2293</v>
      </c>
      <c r="J729" s="34"/>
    </row>
    <row r="730" spans="1:10" x14ac:dyDescent="0.25">
      <c r="A730" s="15">
        <v>41076</v>
      </c>
      <c r="B730" s="16" t="s">
        <v>865</v>
      </c>
      <c r="C730" t="s">
        <v>8</v>
      </c>
      <c r="D730" t="s">
        <v>48</v>
      </c>
      <c r="E730" s="17">
        <v>6.5</v>
      </c>
      <c r="F730" s="17">
        <v>35.35</v>
      </c>
      <c r="G730" s="18">
        <v>229.77500000000001</v>
      </c>
      <c r="H730" s="30" t="s">
        <v>2293</v>
      </c>
      <c r="J730" s="34"/>
    </row>
    <row r="731" spans="1:10" x14ac:dyDescent="0.25">
      <c r="A731" s="15">
        <v>41076</v>
      </c>
      <c r="B731" s="16" t="s">
        <v>865</v>
      </c>
      <c r="C731" t="s">
        <v>8</v>
      </c>
      <c r="D731" t="s">
        <v>48</v>
      </c>
      <c r="E731" s="17">
        <v>3.5</v>
      </c>
      <c r="F731" s="17">
        <v>35.35</v>
      </c>
      <c r="G731" s="18">
        <v>123.72499999999999</v>
      </c>
      <c r="H731" s="30" t="s">
        <v>2293</v>
      </c>
      <c r="J731" s="34"/>
    </row>
    <row r="732" spans="1:10" x14ac:dyDescent="0.25">
      <c r="A732" s="15">
        <v>41076</v>
      </c>
      <c r="B732" s="16" t="s">
        <v>880</v>
      </c>
      <c r="C732" t="s">
        <v>881</v>
      </c>
      <c r="D732" t="s">
        <v>48</v>
      </c>
      <c r="E732" s="17">
        <v>4</v>
      </c>
      <c r="F732" s="17">
        <v>95</v>
      </c>
      <c r="G732" s="18">
        <v>380</v>
      </c>
      <c r="H732" s="30" t="s">
        <v>2293</v>
      </c>
      <c r="J732" s="34"/>
    </row>
    <row r="733" spans="1:10" x14ac:dyDescent="0.25">
      <c r="A733" s="15">
        <v>41076</v>
      </c>
      <c r="B733" s="16" t="s">
        <v>920</v>
      </c>
      <c r="C733" t="s">
        <v>871</v>
      </c>
      <c r="D733" t="s">
        <v>48</v>
      </c>
      <c r="E733" s="17">
        <v>4</v>
      </c>
      <c r="F733" s="17">
        <v>130</v>
      </c>
      <c r="G733" s="18">
        <v>520</v>
      </c>
      <c r="H733" s="30" t="s">
        <v>2293</v>
      </c>
      <c r="J733" s="34"/>
    </row>
    <row r="734" spans="1:10" x14ac:dyDescent="0.25">
      <c r="A734" s="15">
        <v>41078</v>
      </c>
      <c r="B734" s="16" t="s">
        <v>865</v>
      </c>
      <c r="C734" t="s">
        <v>8</v>
      </c>
      <c r="D734" t="s">
        <v>48</v>
      </c>
      <c r="E734" s="17">
        <v>6.5</v>
      </c>
      <c r="F734" s="17">
        <v>35.35</v>
      </c>
      <c r="G734" s="18">
        <v>229.77500000000001</v>
      </c>
      <c r="H734" s="30" t="s">
        <v>2293</v>
      </c>
      <c r="J734" s="34"/>
    </row>
    <row r="735" spans="1:10" x14ac:dyDescent="0.25">
      <c r="A735" s="15">
        <v>41078</v>
      </c>
      <c r="B735" s="16" t="s">
        <v>918</v>
      </c>
      <c r="C735" t="s">
        <v>934</v>
      </c>
      <c r="D735" t="s">
        <v>48</v>
      </c>
      <c r="E735" s="17">
        <v>8.5</v>
      </c>
      <c r="F735" s="17">
        <v>82.727000000000004</v>
      </c>
      <c r="G735" s="18">
        <v>703.17949999999996</v>
      </c>
      <c r="H735" s="30" t="s">
        <v>2293</v>
      </c>
      <c r="J735" s="34"/>
    </row>
    <row r="736" spans="1:10" x14ac:dyDescent="0.25">
      <c r="A736" s="15">
        <v>41078</v>
      </c>
      <c r="B736" s="16" t="s">
        <v>865</v>
      </c>
      <c r="C736" t="s">
        <v>8</v>
      </c>
      <c r="D736" t="s">
        <v>48</v>
      </c>
      <c r="E736" s="17">
        <v>4</v>
      </c>
      <c r="F736" s="17">
        <v>35.35</v>
      </c>
      <c r="G736" s="18">
        <v>141.4</v>
      </c>
      <c r="H736" s="30" t="s">
        <v>2293</v>
      </c>
      <c r="J736" s="34"/>
    </row>
    <row r="737" spans="1:10" x14ac:dyDescent="0.25">
      <c r="A737" s="15">
        <v>41078</v>
      </c>
      <c r="B737" s="16" t="s">
        <v>865</v>
      </c>
      <c r="C737" t="s">
        <v>8</v>
      </c>
      <c r="D737" t="s">
        <v>48</v>
      </c>
      <c r="E737" s="17">
        <v>7.5</v>
      </c>
      <c r="F737" s="17">
        <v>35.35</v>
      </c>
      <c r="G737" s="18">
        <v>265.125</v>
      </c>
      <c r="H737" s="30" t="s">
        <v>2293</v>
      </c>
      <c r="J737" s="34"/>
    </row>
    <row r="738" spans="1:10" x14ac:dyDescent="0.25">
      <c r="A738" s="15">
        <v>41078</v>
      </c>
      <c r="B738" s="16" t="s">
        <v>865</v>
      </c>
      <c r="C738" t="s">
        <v>8</v>
      </c>
      <c r="D738" t="s">
        <v>48</v>
      </c>
      <c r="E738" s="17">
        <v>4</v>
      </c>
      <c r="F738" s="17">
        <v>48</v>
      </c>
      <c r="G738" s="18">
        <v>192</v>
      </c>
      <c r="H738" s="30" t="s">
        <v>2293</v>
      </c>
      <c r="J738" s="34"/>
    </row>
    <row r="739" spans="1:10" x14ac:dyDescent="0.25">
      <c r="A739" s="15">
        <v>41078</v>
      </c>
      <c r="B739" s="16" t="s">
        <v>920</v>
      </c>
      <c r="C739" t="s">
        <v>871</v>
      </c>
      <c r="D739" t="s">
        <v>48</v>
      </c>
      <c r="E739" s="17">
        <v>8</v>
      </c>
      <c r="F739" s="17">
        <v>130</v>
      </c>
      <c r="G739" s="18">
        <v>1040</v>
      </c>
      <c r="H739" s="30" t="s">
        <v>2293</v>
      </c>
      <c r="J739" s="34"/>
    </row>
    <row r="740" spans="1:10" x14ac:dyDescent="0.25">
      <c r="A740" s="15">
        <v>41078</v>
      </c>
      <c r="B740" s="16" t="s">
        <v>880</v>
      </c>
      <c r="C740" t="s">
        <v>881</v>
      </c>
      <c r="D740" t="s">
        <v>48</v>
      </c>
      <c r="E740" s="17">
        <v>8.5</v>
      </c>
      <c r="F740" s="17">
        <v>95</v>
      </c>
      <c r="G740" s="18">
        <v>807.5</v>
      </c>
      <c r="H740" s="30" t="s">
        <v>2293</v>
      </c>
      <c r="J740" s="34"/>
    </row>
    <row r="741" spans="1:10" x14ac:dyDescent="0.25">
      <c r="A741" s="15">
        <v>41078</v>
      </c>
      <c r="B741" s="16" t="s">
        <v>865</v>
      </c>
      <c r="C741" t="s">
        <v>8</v>
      </c>
      <c r="D741" t="s">
        <v>48</v>
      </c>
      <c r="E741" s="17">
        <v>4.5</v>
      </c>
      <c r="F741" s="17">
        <v>35.35</v>
      </c>
      <c r="G741" s="18">
        <v>159.07499999999999</v>
      </c>
      <c r="H741" s="30" t="s">
        <v>2293</v>
      </c>
      <c r="J741" s="34"/>
    </row>
    <row r="742" spans="1:10" x14ac:dyDescent="0.25">
      <c r="A742" s="15">
        <v>41078</v>
      </c>
      <c r="B742" s="16" t="s">
        <v>877</v>
      </c>
      <c r="C742" t="s">
        <v>868</v>
      </c>
      <c r="D742" t="s">
        <v>48</v>
      </c>
      <c r="E742" s="17">
        <v>6</v>
      </c>
      <c r="F742" s="17">
        <v>90</v>
      </c>
      <c r="G742" s="18">
        <v>540</v>
      </c>
      <c r="H742" s="30" t="s">
        <v>2293</v>
      </c>
      <c r="J742" s="34"/>
    </row>
    <row r="743" spans="1:10" x14ac:dyDescent="0.25">
      <c r="A743" s="15">
        <v>41079</v>
      </c>
      <c r="B743" s="16" t="s">
        <v>880</v>
      </c>
      <c r="C743" t="s">
        <v>881</v>
      </c>
      <c r="D743" t="s">
        <v>48</v>
      </c>
      <c r="E743" s="17">
        <v>3</v>
      </c>
      <c r="F743" s="17">
        <v>95</v>
      </c>
      <c r="G743" s="18">
        <v>285</v>
      </c>
      <c r="H743" s="30" t="s">
        <v>2293</v>
      </c>
      <c r="J743" s="34"/>
    </row>
    <row r="744" spans="1:10" x14ac:dyDescent="0.25">
      <c r="A744" s="15">
        <v>41079</v>
      </c>
      <c r="B744" s="16" t="s">
        <v>918</v>
      </c>
      <c r="C744" t="s">
        <v>934</v>
      </c>
      <c r="D744" t="s">
        <v>48</v>
      </c>
      <c r="E744" s="17">
        <v>2</v>
      </c>
      <c r="F744" s="17">
        <v>82.727000000000004</v>
      </c>
      <c r="G744" s="18">
        <v>165.45400000000001</v>
      </c>
      <c r="H744" s="30" t="s">
        <v>2293</v>
      </c>
      <c r="J744" s="34"/>
    </row>
    <row r="745" spans="1:10" x14ac:dyDescent="0.25">
      <c r="A745" s="15">
        <v>41079</v>
      </c>
      <c r="B745" s="16" t="s">
        <v>865</v>
      </c>
      <c r="C745" t="s">
        <v>8</v>
      </c>
      <c r="D745" t="s">
        <v>48</v>
      </c>
      <c r="E745" s="17">
        <v>2</v>
      </c>
      <c r="F745" s="17">
        <v>35.35</v>
      </c>
      <c r="G745" s="18">
        <v>70.7</v>
      </c>
      <c r="H745" s="30" t="s">
        <v>2293</v>
      </c>
      <c r="J745" s="34"/>
    </row>
    <row r="746" spans="1:10" x14ac:dyDescent="0.25">
      <c r="A746" s="15">
        <v>41079</v>
      </c>
      <c r="B746" s="16" t="s">
        <v>865</v>
      </c>
      <c r="C746" t="s">
        <v>8</v>
      </c>
      <c r="D746" t="s">
        <v>48</v>
      </c>
      <c r="E746" s="17">
        <v>2</v>
      </c>
      <c r="F746" s="17">
        <v>35.35</v>
      </c>
      <c r="G746" s="18">
        <v>70.7</v>
      </c>
      <c r="H746" s="30" t="s">
        <v>2293</v>
      </c>
      <c r="J746" s="34"/>
    </row>
    <row r="747" spans="1:10" x14ac:dyDescent="0.25">
      <c r="A747" s="15">
        <v>41080</v>
      </c>
      <c r="B747" s="16" t="s">
        <v>878</v>
      </c>
      <c r="C747" t="s">
        <v>879</v>
      </c>
      <c r="D747" t="s">
        <v>48</v>
      </c>
      <c r="E747" s="17">
        <v>9.5</v>
      </c>
      <c r="F747" s="17">
        <v>110</v>
      </c>
      <c r="G747" s="18">
        <v>1045</v>
      </c>
      <c r="H747" s="30" t="s">
        <v>2293</v>
      </c>
      <c r="J747" s="34"/>
    </row>
    <row r="748" spans="1:10" x14ac:dyDescent="0.25">
      <c r="A748" s="15">
        <v>41080</v>
      </c>
      <c r="B748" s="16" t="s">
        <v>920</v>
      </c>
      <c r="C748" t="s">
        <v>871</v>
      </c>
      <c r="D748" t="s">
        <v>48</v>
      </c>
      <c r="E748" s="17">
        <v>9.5</v>
      </c>
      <c r="F748" s="17">
        <v>130</v>
      </c>
      <c r="G748" s="18">
        <v>1235</v>
      </c>
      <c r="H748" s="30" t="s">
        <v>2293</v>
      </c>
      <c r="J748" s="34"/>
    </row>
    <row r="749" spans="1:10" x14ac:dyDescent="0.25">
      <c r="A749" s="15">
        <v>41080</v>
      </c>
      <c r="B749" s="16" t="s">
        <v>918</v>
      </c>
      <c r="C749" t="s">
        <v>934</v>
      </c>
      <c r="D749" t="s">
        <v>48</v>
      </c>
      <c r="E749" s="17">
        <v>3</v>
      </c>
      <c r="F749" s="17">
        <v>82.727000000000004</v>
      </c>
      <c r="G749" s="18">
        <v>248.18100000000001</v>
      </c>
      <c r="H749" s="30" t="s">
        <v>2293</v>
      </c>
      <c r="J749" s="34"/>
    </row>
    <row r="750" spans="1:10" x14ac:dyDescent="0.25">
      <c r="A750" s="15">
        <v>41080</v>
      </c>
      <c r="B750" s="16" t="s">
        <v>918</v>
      </c>
      <c r="C750" t="s">
        <v>934</v>
      </c>
      <c r="D750" t="s">
        <v>48</v>
      </c>
      <c r="E750" s="17">
        <v>4</v>
      </c>
      <c r="F750" s="17">
        <v>82.727000000000004</v>
      </c>
      <c r="G750" s="18">
        <v>330.90800000000002</v>
      </c>
      <c r="H750" s="30" t="s">
        <v>2293</v>
      </c>
      <c r="J750" s="34"/>
    </row>
    <row r="751" spans="1:10" x14ac:dyDescent="0.25">
      <c r="A751" s="15">
        <v>41080</v>
      </c>
      <c r="B751" s="16" t="s">
        <v>865</v>
      </c>
      <c r="C751" t="s">
        <v>8</v>
      </c>
      <c r="D751" t="s">
        <v>48</v>
      </c>
      <c r="E751" s="17">
        <v>9.5</v>
      </c>
      <c r="F751" s="17">
        <v>35.35</v>
      </c>
      <c r="G751" s="18">
        <v>335.82499999999999</v>
      </c>
      <c r="H751" s="30" t="s">
        <v>2293</v>
      </c>
      <c r="J751" s="34"/>
    </row>
    <row r="752" spans="1:10" x14ac:dyDescent="0.25">
      <c r="A752" s="15">
        <v>41080</v>
      </c>
      <c r="B752" s="16" t="s">
        <v>865</v>
      </c>
      <c r="C752" t="s">
        <v>8</v>
      </c>
      <c r="D752" t="s">
        <v>48</v>
      </c>
      <c r="E752" s="17">
        <v>3</v>
      </c>
      <c r="F752" s="17">
        <v>35.35</v>
      </c>
      <c r="G752" s="18">
        <v>106.05</v>
      </c>
      <c r="H752" s="30" t="s">
        <v>2293</v>
      </c>
      <c r="J752" s="34"/>
    </row>
    <row r="753" spans="1:10" x14ac:dyDescent="0.25">
      <c r="A753" s="15">
        <v>41080</v>
      </c>
      <c r="B753" s="16" t="s">
        <v>865</v>
      </c>
      <c r="C753" t="s">
        <v>8</v>
      </c>
      <c r="D753" t="s">
        <v>48</v>
      </c>
      <c r="E753" s="17">
        <v>3</v>
      </c>
      <c r="F753" s="17">
        <v>48</v>
      </c>
      <c r="G753" s="18">
        <v>144</v>
      </c>
      <c r="H753" s="30" t="s">
        <v>2293</v>
      </c>
      <c r="J753" s="34"/>
    </row>
    <row r="754" spans="1:10" x14ac:dyDescent="0.25">
      <c r="A754" s="15">
        <v>41080</v>
      </c>
      <c r="B754" s="16" t="s">
        <v>865</v>
      </c>
      <c r="C754" t="s">
        <v>8</v>
      </c>
      <c r="D754" t="s">
        <v>48</v>
      </c>
      <c r="E754" s="17">
        <v>9.5</v>
      </c>
      <c r="F754" s="17">
        <v>35.35</v>
      </c>
      <c r="G754" s="18">
        <v>335.82499999999999</v>
      </c>
      <c r="H754" s="30" t="s">
        <v>2293</v>
      </c>
      <c r="J754" s="34"/>
    </row>
    <row r="755" spans="1:10" x14ac:dyDescent="0.25">
      <c r="A755" s="15">
        <v>41080</v>
      </c>
      <c r="B755" s="16" t="s">
        <v>865</v>
      </c>
      <c r="C755" t="s">
        <v>8</v>
      </c>
      <c r="D755" t="s">
        <v>48</v>
      </c>
      <c r="E755" s="17">
        <v>9.5</v>
      </c>
      <c r="F755" s="17">
        <v>35.35</v>
      </c>
      <c r="G755" s="18">
        <v>335.82499999999999</v>
      </c>
      <c r="H755" s="30" t="s">
        <v>2293</v>
      </c>
      <c r="J755" s="34"/>
    </row>
    <row r="756" spans="1:10" x14ac:dyDescent="0.25">
      <c r="A756" s="15">
        <v>41081</v>
      </c>
      <c r="B756" s="16" t="s">
        <v>880</v>
      </c>
      <c r="C756" t="s">
        <v>881</v>
      </c>
      <c r="D756" t="s">
        <v>48</v>
      </c>
      <c r="E756" s="17">
        <v>8</v>
      </c>
      <c r="F756" s="17">
        <v>95</v>
      </c>
      <c r="G756" s="18">
        <v>760</v>
      </c>
      <c r="H756" s="30" t="s">
        <v>2293</v>
      </c>
      <c r="J756" s="34"/>
    </row>
    <row r="757" spans="1:10" x14ac:dyDescent="0.25">
      <c r="A757" s="15">
        <v>41081</v>
      </c>
      <c r="B757" s="16" t="s">
        <v>920</v>
      </c>
      <c r="C757" t="s">
        <v>871</v>
      </c>
      <c r="D757" t="s">
        <v>48</v>
      </c>
      <c r="E757" s="17">
        <v>7.5</v>
      </c>
      <c r="F757" s="17">
        <v>130</v>
      </c>
      <c r="G757" s="18">
        <v>975</v>
      </c>
      <c r="H757" s="30" t="s">
        <v>2293</v>
      </c>
      <c r="J757" s="34"/>
    </row>
    <row r="758" spans="1:10" x14ac:dyDescent="0.25">
      <c r="A758" s="15">
        <v>41081</v>
      </c>
      <c r="B758" s="16" t="s">
        <v>918</v>
      </c>
      <c r="C758" t="s">
        <v>934</v>
      </c>
      <c r="D758" t="s">
        <v>48</v>
      </c>
      <c r="E758" s="17">
        <v>7.5</v>
      </c>
      <c r="F758" s="17">
        <v>82.727000000000004</v>
      </c>
      <c r="G758" s="18">
        <v>620.45249999999999</v>
      </c>
      <c r="H758" s="30" t="s">
        <v>2293</v>
      </c>
      <c r="J758" s="34"/>
    </row>
    <row r="759" spans="1:10" x14ac:dyDescent="0.25">
      <c r="A759" s="15">
        <v>41081</v>
      </c>
      <c r="B759" s="16" t="s">
        <v>878</v>
      </c>
      <c r="C759" t="s">
        <v>879</v>
      </c>
      <c r="D759" t="s">
        <v>48</v>
      </c>
      <c r="E759" s="17">
        <v>4</v>
      </c>
      <c r="F759" s="17">
        <v>110</v>
      </c>
      <c r="G759" s="18">
        <v>440</v>
      </c>
      <c r="H759" s="30" t="s">
        <v>2293</v>
      </c>
      <c r="J759" s="34"/>
    </row>
    <row r="760" spans="1:10" x14ac:dyDescent="0.25">
      <c r="A760" s="15">
        <v>41081</v>
      </c>
      <c r="B760" s="16" t="s">
        <v>865</v>
      </c>
      <c r="C760" t="s">
        <v>8</v>
      </c>
      <c r="D760" t="s">
        <v>48</v>
      </c>
      <c r="E760" s="17">
        <v>4.5</v>
      </c>
      <c r="F760" s="17">
        <v>35.35</v>
      </c>
      <c r="G760" s="18">
        <v>159.07499999999999</v>
      </c>
      <c r="H760" s="30" t="s">
        <v>2293</v>
      </c>
      <c r="J760" s="34"/>
    </row>
    <row r="761" spans="1:10" x14ac:dyDescent="0.25">
      <c r="A761" s="15">
        <v>41081</v>
      </c>
      <c r="B761" s="16" t="s">
        <v>865</v>
      </c>
      <c r="C761" t="s">
        <v>8</v>
      </c>
      <c r="D761" t="s">
        <v>48</v>
      </c>
      <c r="E761" s="17">
        <v>4.5</v>
      </c>
      <c r="F761" s="17">
        <v>35.35</v>
      </c>
      <c r="G761" s="18">
        <v>159.07499999999999</v>
      </c>
      <c r="H761" s="30" t="s">
        <v>2293</v>
      </c>
      <c r="J761" s="34"/>
    </row>
    <row r="762" spans="1:10" x14ac:dyDescent="0.25">
      <c r="A762" s="15">
        <v>41081</v>
      </c>
      <c r="B762" s="16" t="s">
        <v>865</v>
      </c>
      <c r="C762" t="s">
        <v>8</v>
      </c>
      <c r="D762" t="s">
        <v>48</v>
      </c>
      <c r="E762" s="17">
        <v>1.5</v>
      </c>
      <c r="F762" s="17">
        <v>48</v>
      </c>
      <c r="G762" s="18">
        <v>72</v>
      </c>
      <c r="H762" s="30" t="s">
        <v>2293</v>
      </c>
      <c r="J762" s="34"/>
    </row>
    <row r="763" spans="1:10" x14ac:dyDescent="0.25">
      <c r="A763" s="15">
        <v>41081</v>
      </c>
      <c r="B763" s="16" t="s">
        <v>865</v>
      </c>
      <c r="C763" t="s">
        <v>8</v>
      </c>
      <c r="D763" t="s">
        <v>48</v>
      </c>
      <c r="E763" s="17">
        <v>5.5</v>
      </c>
      <c r="F763" s="17">
        <v>35.35</v>
      </c>
      <c r="G763" s="18">
        <v>194.42500000000001</v>
      </c>
      <c r="H763" s="30" t="s">
        <v>2293</v>
      </c>
      <c r="J763" s="34"/>
    </row>
    <row r="764" spans="1:10" x14ac:dyDescent="0.25">
      <c r="A764" s="15">
        <v>41081</v>
      </c>
      <c r="B764" s="16" t="s">
        <v>865</v>
      </c>
      <c r="C764" t="s">
        <v>8</v>
      </c>
      <c r="D764" t="s">
        <v>48</v>
      </c>
      <c r="E764" s="17">
        <v>8.5</v>
      </c>
      <c r="F764" s="17">
        <v>35.35</v>
      </c>
      <c r="G764" s="18">
        <v>300.47500000000002</v>
      </c>
      <c r="H764" s="30" t="s">
        <v>2293</v>
      </c>
      <c r="J764" s="34"/>
    </row>
    <row r="765" spans="1:10" x14ac:dyDescent="0.25">
      <c r="A765" s="15">
        <v>41085</v>
      </c>
      <c r="B765" s="16" t="s">
        <v>920</v>
      </c>
      <c r="C765" t="s">
        <v>871</v>
      </c>
      <c r="D765" t="s">
        <v>48</v>
      </c>
      <c r="E765" s="17">
        <v>7</v>
      </c>
      <c r="F765" s="17">
        <v>130</v>
      </c>
      <c r="G765" s="18">
        <v>910</v>
      </c>
      <c r="H765" s="30" t="s">
        <v>2293</v>
      </c>
      <c r="J765" s="34"/>
    </row>
    <row r="766" spans="1:10" x14ac:dyDescent="0.25">
      <c r="A766" s="15">
        <v>41085</v>
      </c>
      <c r="B766" s="16" t="s">
        <v>880</v>
      </c>
      <c r="C766" t="s">
        <v>881</v>
      </c>
      <c r="D766" t="s">
        <v>48</v>
      </c>
      <c r="E766" s="17">
        <v>7</v>
      </c>
      <c r="F766" s="17">
        <v>95</v>
      </c>
      <c r="G766" s="18">
        <v>665</v>
      </c>
      <c r="H766" s="30" t="s">
        <v>2293</v>
      </c>
      <c r="J766" s="34"/>
    </row>
    <row r="767" spans="1:10" x14ac:dyDescent="0.25">
      <c r="A767" s="15">
        <v>41085</v>
      </c>
      <c r="B767" s="16" t="s">
        <v>878</v>
      </c>
      <c r="C767" t="s">
        <v>879</v>
      </c>
      <c r="D767" t="s">
        <v>48</v>
      </c>
      <c r="E767" s="17">
        <v>1</v>
      </c>
      <c r="F767" s="17">
        <v>110</v>
      </c>
      <c r="G767" s="18">
        <v>110</v>
      </c>
      <c r="H767" s="30" t="s">
        <v>2293</v>
      </c>
      <c r="J767" s="34"/>
    </row>
    <row r="768" spans="1:10" x14ac:dyDescent="0.25">
      <c r="A768" s="15">
        <v>41085</v>
      </c>
      <c r="B768" s="16" t="s">
        <v>865</v>
      </c>
      <c r="C768" t="s">
        <v>8</v>
      </c>
      <c r="D768" t="s">
        <v>48</v>
      </c>
      <c r="E768" s="17">
        <v>8</v>
      </c>
      <c r="F768" s="17">
        <v>48</v>
      </c>
      <c r="G768" s="18">
        <v>384</v>
      </c>
      <c r="H768" s="30" t="s">
        <v>2293</v>
      </c>
      <c r="J768" s="34"/>
    </row>
    <row r="769" spans="1:10" x14ac:dyDescent="0.25">
      <c r="A769" s="15">
        <v>41085</v>
      </c>
      <c r="B769" s="16" t="s">
        <v>865</v>
      </c>
      <c r="C769" t="s">
        <v>8</v>
      </c>
      <c r="D769" t="s">
        <v>48</v>
      </c>
      <c r="E769" s="17">
        <v>8</v>
      </c>
      <c r="F769" s="17">
        <v>35.35</v>
      </c>
      <c r="G769" s="18">
        <v>282.8</v>
      </c>
      <c r="H769" s="30" t="s">
        <v>2293</v>
      </c>
      <c r="J769" s="34"/>
    </row>
    <row r="770" spans="1:10" x14ac:dyDescent="0.25">
      <c r="A770" s="15">
        <v>41085</v>
      </c>
      <c r="B770" s="16" t="s">
        <v>865</v>
      </c>
      <c r="C770" t="s">
        <v>8</v>
      </c>
      <c r="D770" t="s">
        <v>48</v>
      </c>
      <c r="E770" s="17">
        <v>8</v>
      </c>
      <c r="F770" s="17">
        <v>35.35</v>
      </c>
      <c r="G770" s="18">
        <v>282.8</v>
      </c>
      <c r="H770" s="30" t="s">
        <v>2293</v>
      </c>
      <c r="J770" s="34"/>
    </row>
    <row r="771" spans="1:10" x14ac:dyDescent="0.25">
      <c r="A771" s="15">
        <v>41088</v>
      </c>
      <c r="B771" s="16" t="s">
        <v>865</v>
      </c>
      <c r="C771" t="s">
        <v>8</v>
      </c>
      <c r="D771" t="s">
        <v>48</v>
      </c>
      <c r="E771" s="17">
        <v>4</v>
      </c>
      <c r="F771" s="17">
        <v>35.35</v>
      </c>
      <c r="G771" s="18">
        <v>141.4</v>
      </c>
      <c r="H771" s="30" t="s">
        <v>2293</v>
      </c>
      <c r="J771" s="34"/>
    </row>
    <row r="772" spans="1:10" x14ac:dyDescent="0.25">
      <c r="A772" s="15">
        <v>41088</v>
      </c>
      <c r="B772" s="16" t="s">
        <v>865</v>
      </c>
      <c r="C772" t="s">
        <v>8</v>
      </c>
      <c r="D772" t="s">
        <v>48</v>
      </c>
      <c r="E772" s="17">
        <v>6.5</v>
      </c>
      <c r="F772" s="17">
        <v>35.35</v>
      </c>
      <c r="G772" s="18">
        <v>229.77500000000001</v>
      </c>
      <c r="H772" s="30" t="s">
        <v>2293</v>
      </c>
      <c r="J772" s="34"/>
    </row>
    <row r="773" spans="1:10" x14ac:dyDescent="0.25">
      <c r="A773" s="15">
        <v>41088</v>
      </c>
      <c r="B773" s="16" t="s">
        <v>865</v>
      </c>
      <c r="C773" t="s">
        <v>8</v>
      </c>
      <c r="D773" t="s">
        <v>48</v>
      </c>
      <c r="E773" s="17">
        <v>4</v>
      </c>
      <c r="F773" s="17">
        <v>35.35</v>
      </c>
      <c r="G773" s="18">
        <v>141.4</v>
      </c>
      <c r="H773" s="30" t="s">
        <v>2293</v>
      </c>
      <c r="J773" s="34"/>
    </row>
    <row r="774" spans="1:10" x14ac:dyDescent="0.25">
      <c r="A774" s="15">
        <v>41088</v>
      </c>
      <c r="B774" s="16" t="s">
        <v>920</v>
      </c>
      <c r="C774" t="s">
        <v>871</v>
      </c>
      <c r="D774" t="s">
        <v>48</v>
      </c>
      <c r="E774" s="17">
        <v>6.5</v>
      </c>
      <c r="F774" s="17">
        <v>130</v>
      </c>
      <c r="G774" s="18">
        <v>845</v>
      </c>
      <c r="H774" s="30" t="s">
        <v>2293</v>
      </c>
      <c r="J774" s="34"/>
    </row>
    <row r="775" spans="1:10" x14ac:dyDescent="0.25">
      <c r="A775" s="15">
        <v>41089</v>
      </c>
      <c r="B775" s="16" t="s">
        <v>865</v>
      </c>
      <c r="C775" t="s">
        <v>8</v>
      </c>
      <c r="D775" t="s">
        <v>48</v>
      </c>
      <c r="E775" s="17">
        <v>4</v>
      </c>
      <c r="F775" s="17">
        <v>35.35</v>
      </c>
      <c r="G775" s="18">
        <v>141.4</v>
      </c>
      <c r="H775" s="30" t="s">
        <v>2293</v>
      </c>
      <c r="J775" s="34"/>
    </row>
    <row r="776" spans="1:10" x14ac:dyDescent="0.25">
      <c r="A776" s="15">
        <v>41089</v>
      </c>
      <c r="B776" s="16" t="s">
        <v>865</v>
      </c>
      <c r="C776" t="s">
        <v>8</v>
      </c>
      <c r="D776" t="s">
        <v>48</v>
      </c>
      <c r="E776" s="17">
        <v>4</v>
      </c>
      <c r="F776" s="17">
        <v>35.35</v>
      </c>
      <c r="G776" s="18">
        <v>141.4</v>
      </c>
      <c r="H776" s="30" t="s">
        <v>2293</v>
      </c>
      <c r="J776" s="34"/>
    </row>
    <row r="777" spans="1:10" x14ac:dyDescent="0.25">
      <c r="A777" s="15">
        <v>41089</v>
      </c>
      <c r="B777" s="16" t="s">
        <v>865</v>
      </c>
      <c r="C777" t="s">
        <v>8</v>
      </c>
      <c r="D777" t="s">
        <v>48</v>
      </c>
      <c r="E777" s="17">
        <v>4</v>
      </c>
      <c r="F777" s="17">
        <v>48</v>
      </c>
      <c r="G777" s="18">
        <v>192</v>
      </c>
      <c r="H777" s="30" t="s">
        <v>2293</v>
      </c>
      <c r="J777" s="34"/>
    </row>
    <row r="778" spans="1:10" x14ac:dyDescent="0.25">
      <c r="A778" s="15">
        <v>41089</v>
      </c>
      <c r="B778" s="16" t="s">
        <v>865</v>
      </c>
      <c r="C778" t="s">
        <v>8</v>
      </c>
      <c r="D778" t="s">
        <v>48</v>
      </c>
      <c r="E778" s="17">
        <v>4</v>
      </c>
      <c r="F778" s="17">
        <v>35.35</v>
      </c>
      <c r="G778" s="18">
        <v>141.4</v>
      </c>
      <c r="H778" s="30" t="s">
        <v>2293</v>
      </c>
      <c r="J778" s="34"/>
    </row>
    <row r="779" spans="1:10" x14ac:dyDescent="0.25">
      <c r="A779" s="15">
        <v>41089</v>
      </c>
      <c r="B779" s="16" t="s">
        <v>865</v>
      </c>
      <c r="C779" t="s">
        <v>8</v>
      </c>
      <c r="D779" t="s">
        <v>48</v>
      </c>
      <c r="E779" s="17">
        <v>4</v>
      </c>
      <c r="F779" s="17">
        <v>35.35</v>
      </c>
      <c r="G779" s="18">
        <v>141.4</v>
      </c>
      <c r="H779" s="30" t="s">
        <v>2293</v>
      </c>
      <c r="J779" s="34"/>
    </row>
    <row r="780" spans="1:10" x14ac:dyDescent="0.25">
      <c r="A780" s="15">
        <v>41089</v>
      </c>
      <c r="B780" s="16" t="s">
        <v>878</v>
      </c>
      <c r="C780" t="s">
        <v>879</v>
      </c>
      <c r="D780" t="s">
        <v>48</v>
      </c>
      <c r="E780" s="17">
        <v>4</v>
      </c>
      <c r="F780" s="17">
        <v>110</v>
      </c>
      <c r="G780" s="18">
        <v>440</v>
      </c>
      <c r="H780" s="30" t="s">
        <v>2293</v>
      </c>
      <c r="J780" s="34"/>
    </row>
    <row r="781" spans="1:10" x14ac:dyDescent="0.25">
      <c r="A781" s="15">
        <v>41092</v>
      </c>
      <c r="B781" s="16" t="s">
        <v>878</v>
      </c>
      <c r="C781" t="s">
        <v>879</v>
      </c>
      <c r="D781" t="s">
        <v>48</v>
      </c>
      <c r="E781" s="17">
        <v>4</v>
      </c>
      <c r="F781" s="17">
        <v>110</v>
      </c>
      <c r="G781" s="18">
        <v>440</v>
      </c>
      <c r="H781" s="30" t="s">
        <v>2293</v>
      </c>
      <c r="J781" s="34"/>
    </row>
    <row r="782" spans="1:10" x14ac:dyDescent="0.25">
      <c r="A782" s="15">
        <v>41094</v>
      </c>
      <c r="B782" s="16" t="s">
        <v>880</v>
      </c>
      <c r="C782" t="s">
        <v>881</v>
      </c>
      <c r="D782" t="s">
        <v>48</v>
      </c>
      <c r="E782" s="17">
        <v>4.5</v>
      </c>
      <c r="F782" s="17">
        <v>95</v>
      </c>
      <c r="G782" s="18">
        <v>427.5</v>
      </c>
      <c r="H782" s="30" t="s">
        <v>2293</v>
      </c>
      <c r="J782" s="34"/>
    </row>
    <row r="783" spans="1:10" x14ac:dyDescent="0.25">
      <c r="A783" s="15">
        <v>41094</v>
      </c>
      <c r="B783" s="16" t="s">
        <v>865</v>
      </c>
      <c r="C783" t="s">
        <v>8</v>
      </c>
      <c r="D783" t="s">
        <v>48</v>
      </c>
      <c r="E783" s="17">
        <v>6.5</v>
      </c>
      <c r="F783" s="17">
        <v>35.35</v>
      </c>
      <c r="G783" s="18">
        <v>229.77500000000001</v>
      </c>
      <c r="H783" s="30" t="s">
        <v>2293</v>
      </c>
      <c r="J783" s="34"/>
    </row>
    <row r="784" spans="1:10" x14ac:dyDescent="0.25">
      <c r="A784" s="15">
        <v>41094</v>
      </c>
      <c r="B784" s="16" t="s">
        <v>865</v>
      </c>
      <c r="C784" t="s">
        <v>8</v>
      </c>
      <c r="D784" t="s">
        <v>48</v>
      </c>
      <c r="E784" s="17">
        <v>6</v>
      </c>
      <c r="F784" s="17">
        <v>35.35</v>
      </c>
      <c r="G784" s="18">
        <v>212.1</v>
      </c>
      <c r="H784" s="30" t="s">
        <v>2293</v>
      </c>
      <c r="J784" s="34"/>
    </row>
    <row r="785" spans="1:10" x14ac:dyDescent="0.25">
      <c r="A785" s="15">
        <v>41094</v>
      </c>
      <c r="B785" s="16" t="s">
        <v>878</v>
      </c>
      <c r="C785" t="s">
        <v>879</v>
      </c>
      <c r="D785" t="s">
        <v>48</v>
      </c>
      <c r="E785" s="17">
        <v>6.75</v>
      </c>
      <c r="F785" s="17">
        <v>110</v>
      </c>
      <c r="G785" s="18">
        <v>742.5</v>
      </c>
      <c r="H785" s="30" t="s">
        <v>2293</v>
      </c>
      <c r="J785" s="34"/>
    </row>
    <row r="786" spans="1:10" x14ac:dyDescent="0.25">
      <c r="A786" s="15">
        <v>41116</v>
      </c>
      <c r="B786" s="16" t="s">
        <v>880</v>
      </c>
      <c r="C786" t="s">
        <v>881</v>
      </c>
      <c r="D786" t="s">
        <v>48</v>
      </c>
      <c r="E786" s="17">
        <v>2</v>
      </c>
      <c r="F786" s="17">
        <v>95</v>
      </c>
      <c r="G786" s="18">
        <v>190</v>
      </c>
      <c r="H786" s="30" t="s">
        <v>2293</v>
      </c>
      <c r="J786" s="34"/>
    </row>
    <row r="787" spans="1:10" x14ac:dyDescent="0.25">
      <c r="A787" s="15">
        <v>41118</v>
      </c>
      <c r="B787" s="16" t="s">
        <v>920</v>
      </c>
      <c r="C787" t="s">
        <v>871</v>
      </c>
      <c r="D787" t="s">
        <v>48</v>
      </c>
      <c r="E787" s="17">
        <v>6.5</v>
      </c>
      <c r="F787" s="17">
        <v>130</v>
      </c>
      <c r="G787" s="18">
        <v>845</v>
      </c>
      <c r="H787" s="30" t="s">
        <v>2293</v>
      </c>
      <c r="J787" s="34"/>
    </row>
    <row r="788" spans="1:10" x14ac:dyDescent="0.25">
      <c r="A788" s="15">
        <v>41118</v>
      </c>
      <c r="B788" s="16" t="s">
        <v>880</v>
      </c>
      <c r="C788" t="s">
        <v>881</v>
      </c>
      <c r="D788" t="s">
        <v>48</v>
      </c>
      <c r="E788" s="17">
        <v>6</v>
      </c>
      <c r="F788" s="17">
        <v>95</v>
      </c>
      <c r="G788" s="18">
        <v>570</v>
      </c>
      <c r="H788" s="30" t="s">
        <v>2293</v>
      </c>
      <c r="J788" s="34"/>
    </row>
    <row r="789" spans="1:10" x14ac:dyDescent="0.25">
      <c r="A789" s="15">
        <v>41120</v>
      </c>
      <c r="B789" s="16" t="s">
        <v>920</v>
      </c>
      <c r="C789" t="s">
        <v>871</v>
      </c>
      <c r="D789" t="s">
        <v>48</v>
      </c>
      <c r="E789" s="17">
        <v>3.5</v>
      </c>
      <c r="F789" s="17">
        <v>130</v>
      </c>
      <c r="G789" s="18">
        <v>455</v>
      </c>
      <c r="H789" s="30" t="s">
        <v>2293</v>
      </c>
      <c r="J789" s="34"/>
    </row>
    <row r="790" spans="1:10" x14ac:dyDescent="0.25">
      <c r="A790" s="15">
        <v>41120</v>
      </c>
      <c r="B790" s="16" t="s">
        <v>880</v>
      </c>
      <c r="C790" t="s">
        <v>881</v>
      </c>
      <c r="D790" t="s">
        <v>48</v>
      </c>
      <c r="E790" s="17">
        <v>3</v>
      </c>
      <c r="F790" s="17">
        <v>95</v>
      </c>
      <c r="G790" s="18">
        <v>285</v>
      </c>
      <c r="H790" s="30" t="s">
        <v>2293</v>
      </c>
      <c r="J790" s="34"/>
    </row>
    <row r="791" spans="1:10" x14ac:dyDescent="0.25">
      <c r="A791" s="15">
        <v>41120</v>
      </c>
      <c r="B791" s="16" t="s">
        <v>904</v>
      </c>
      <c r="C791" t="s">
        <v>905</v>
      </c>
      <c r="D791" t="s">
        <v>48</v>
      </c>
      <c r="E791" s="17">
        <v>3.25</v>
      </c>
      <c r="F791" s="17">
        <v>95</v>
      </c>
      <c r="G791" s="18">
        <v>308.75</v>
      </c>
      <c r="H791" s="30" t="s">
        <v>2293</v>
      </c>
      <c r="J791" s="34"/>
    </row>
    <row r="792" spans="1:10" x14ac:dyDescent="0.25">
      <c r="A792" s="15">
        <v>41121</v>
      </c>
      <c r="B792" s="16" t="s">
        <v>880</v>
      </c>
      <c r="C792" t="s">
        <v>881</v>
      </c>
      <c r="D792" t="s">
        <v>48</v>
      </c>
      <c r="E792" s="17">
        <v>7.5</v>
      </c>
      <c r="F792" s="17">
        <v>95</v>
      </c>
      <c r="G792" s="18">
        <v>712.5</v>
      </c>
      <c r="H792" s="30" t="s">
        <v>2293</v>
      </c>
      <c r="J792" s="34"/>
    </row>
    <row r="793" spans="1:10" x14ac:dyDescent="0.25">
      <c r="A793" s="15">
        <v>41121</v>
      </c>
      <c r="B793" s="16" t="s">
        <v>904</v>
      </c>
      <c r="C793" t="s">
        <v>905</v>
      </c>
      <c r="D793" t="s">
        <v>48</v>
      </c>
      <c r="E793" s="17">
        <v>7.5</v>
      </c>
      <c r="F793" s="17">
        <v>95</v>
      </c>
      <c r="G793" s="18">
        <v>712.5</v>
      </c>
      <c r="H793" s="30" t="s">
        <v>2293</v>
      </c>
      <c r="J793" s="34"/>
    </row>
    <row r="794" spans="1:10" x14ac:dyDescent="0.25">
      <c r="A794" s="15">
        <v>41121</v>
      </c>
      <c r="B794" s="16" t="s">
        <v>943</v>
      </c>
      <c r="C794" t="s">
        <v>944</v>
      </c>
      <c r="D794" t="s">
        <v>48</v>
      </c>
      <c r="E794" s="17">
        <v>3</v>
      </c>
      <c r="F794" s="17">
        <v>95</v>
      </c>
      <c r="G794" s="18">
        <v>285</v>
      </c>
      <c r="H794" s="30" t="s">
        <v>2293</v>
      </c>
      <c r="J794" s="34"/>
    </row>
    <row r="795" spans="1:10" x14ac:dyDescent="0.25">
      <c r="A795" s="15">
        <v>41121</v>
      </c>
      <c r="B795" s="16" t="s">
        <v>920</v>
      </c>
      <c r="C795" t="s">
        <v>871</v>
      </c>
      <c r="D795" t="s">
        <v>48</v>
      </c>
      <c r="E795" s="17">
        <v>5</v>
      </c>
      <c r="F795" s="17">
        <v>130</v>
      </c>
      <c r="G795" s="18">
        <v>650</v>
      </c>
      <c r="H795" s="30" t="s">
        <v>2293</v>
      </c>
      <c r="J795" s="34"/>
    </row>
    <row r="796" spans="1:10" x14ac:dyDescent="0.25">
      <c r="A796" s="15">
        <v>41121</v>
      </c>
      <c r="B796" s="16" t="s">
        <v>865</v>
      </c>
      <c r="C796" t="s">
        <v>8</v>
      </c>
      <c r="D796" t="s">
        <v>48</v>
      </c>
      <c r="E796" s="17">
        <v>8.5</v>
      </c>
      <c r="F796" s="17">
        <v>35.35</v>
      </c>
      <c r="G796" s="18">
        <v>300.47500000000002</v>
      </c>
      <c r="H796" s="30" t="s">
        <v>2293</v>
      </c>
      <c r="J796" s="34"/>
    </row>
    <row r="797" spans="1:10" x14ac:dyDescent="0.25">
      <c r="A797" s="15">
        <v>41121</v>
      </c>
      <c r="B797" s="16" t="s">
        <v>865</v>
      </c>
      <c r="C797" t="s">
        <v>8</v>
      </c>
      <c r="D797" t="s">
        <v>48</v>
      </c>
      <c r="E797" s="17">
        <v>8</v>
      </c>
      <c r="F797" s="17">
        <v>35.35</v>
      </c>
      <c r="G797" s="18">
        <v>282.8</v>
      </c>
      <c r="H797" s="30" t="s">
        <v>2293</v>
      </c>
      <c r="J797" s="34"/>
    </row>
    <row r="798" spans="1:10" x14ac:dyDescent="0.25">
      <c r="A798" s="15">
        <v>41121</v>
      </c>
      <c r="B798" s="16" t="s">
        <v>872</v>
      </c>
      <c r="C798" t="s">
        <v>905</v>
      </c>
      <c r="D798" t="s">
        <v>48</v>
      </c>
      <c r="E798" s="17">
        <v>11</v>
      </c>
      <c r="F798" s="17">
        <v>100</v>
      </c>
      <c r="G798" s="18">
        <v>1100</v>
      </c>
      <c r="H798" s="30" t="s">
        <v>2293</v>
      </c>
      <c r="J798" s="34"/>
    </row>
    <row r="799" spans="1:10" x14ac:dyDescent="0.25">
      <c r="A799" s="15">
        <v>41122</v>
      </c>
      <c r="B799" s="16" t="s">
        <v>904</v>
      </c>
      <c r="C799" t="s">
        <v>905</v>
      </c>
      <c r="D799" t="s">
        <v>48</v>
      </c>
      <c r="E799" s="17">
        <v>3.5</v>
      </c>
      <c r="F799" s="17">
        <v>95</v>
      </c>
      <c r="G799" s="18">
        <v>332.5</v>
      </c>
      <c r="H799" s="30" t="s">
        <v>2293</v>
      </c>
      <c r="J799" s="34"/>
    </row>
    <row r="800" spans="1:10" x14ac:dyDescent="0.25">
      <c r="A800" s="15">
        <v>41122</v>
      </c>
      <c r="B800" s="16" t="s">
        <v>904</v>
      </c>
      <c r="C800" t="s">
        <v>905</v>
      </c>
      <c r="D800" t="s">
        <v>48</v>
      </c>
      <c r="E800" s="17">
        <v>5</v>
      </c>
      <c r="F800" s="17">
        <v>95</v>
      </c>
      <c r="G800" s="18">
        <v>475</v>
      </c>
      <c r="H800" s="30" t="s">
        <v>2293</v>
      </c>
      <c r="J800" s="34"/>
    </row>
    <row r="801" spans="1:10" x14ac:dyDescent="0.25">
      <c r="A801" s="15">
        <v>41122</v>
      </c>
      <c r="B801" s="16" t="s">
        <v>945</v>
      </c>
      <c r="C801" t="s">
        <v>946</v>
      </c>
      <c r="D801" t="s">
        <v>48</v>
      </c>
      <c r="E801" s="17">
        <v>4</v>
      </c>
      <c r="F801" s="17">
        <v>90</v>
      </c>
      <c r="G801" s="18">
        <v>360</v>
      </c>
      <c r="H801" s="30" t="s">
        <v>2293</v>
      </c>
      <c r="J801" s="34"/>
    </row>
    <row r="802" spans="1:10" x14ac:dyDescent="0.25">
      <c r="A802" s="15">
        <v>41122</v>
      </c>
      <c r="B802" s="16" t="s">
        <v>878</v>
      </c>
      <c r="C802" t="s">
        <v>879</v>
      </c>
      <c r="D802" t="s">
        <v>48</v>
      </c>
      <c r="E802" s="17">
        <v>6.5</v>
      </c>
      <c r="F802" s="17">
        <v>110</v>
      </c>
      <c r="G802" s="18">
        <v>715</v>
      </c>
      <c r="H802" s="30" t="s">
        <v>2293</v>
      </c>
      <c r="J802" s="34"/>
    </row>
    <row r="803" spans="1:10" x14ac:dyDescent="0.25">
      <c r="A803" s="15">
        <v>41122</v>
      </c>
      <c r="B803" s="16" t="s">
        <v>880</v>
      </c>
      <c r="C803" t="s">
        <v>881</v>
      </c>
      <c r="D803" t="s">
        <v>48</v>
      </c>
      <c r="E803" s="17">
        <v>5</v>
      </c>
      <c r="F803" s="17">
        <v>95</v>
      </c>
      <c r="G803" s="18">
        <v>475</v>
      </c>
      <c r="H803" s="30" t="s">
        <v>2293</v>
      </c>
      <c r="J803" s="34"/>
    </row>
    <row r="804" spans="1:10" x14ac:dyDescent="0.25">
      <c r="A804" s="15">
        <v>41122</v>
      </c>
      <c r="B804" s="16" t="s">
        <v>865</v>
      </c>
      <c r="C804" t="s">
        <v>8</v>
      </c>
      <c r="D804" t="s">
        <v>48</v>
      </c>
      <c r="E804" s="17">
        <v>5</v>
      </c>
      <c r="F804" s="17">
        <v>35.35</v>
      </c>
      <c r="G804" s="18">
        <v>176.75</v>
      </c>
      <c r="H804" s="30" t="s">
        <v>2293</v>
      </c>
      <c r="J804" s="34"/>
    </row>
    <row r="805" spans="1:10" x14ac:dyDescent="0.25">
      <c r="A805" s="15">
        <v>41122</v>
      </c>
      <c r="B805" s="16" t="s">
        <v>865</v>
      </c>
      <c r="C805" t="s">
        <v>8</v>
      </c>
      <c r="D805" t="s">
        <v>48</v>
      </c>
      <c r="E805" s="17">
        <v>5</v>
      </c>
      <c r="F805" s="17">
        <v>35.35</v>
      </c>
      <c r="G805" s="18">
        <v>176.75</v>
      </c>
      <c r="H805" s="30" t="s">
        <v>2293</v>
      </c>
      <c r="J805" s="34"/>
    </row>
    <row r="806" spans="1:10" x14ac:dyDescent="0.25">
      <c r="A806" s="15">
        <v>41122</v>
      </c>
      <c r="B806" s="16" t="s">
        <v>943</v>
      </c>
      <c r="C806" t="s">
        <v>944</v>
      </c>
      <c r="D806" t="s">
        <v>48</v>
      </c>
      <c r="E806" s="17">
        <v>5</v>
      </c>
      <c r="F806" s="17">
        <v>95</v>
      </c>
      <c r="G806" s="18">
        <v>475</v>
      </c>
      <c r="H806" s="30" t="s">
        <v>2293</v>
      </c>
      <c r="J806" s="34"/>
    </row>
    <row r="807" spans="1:10" x14ac:dyDescent="0.25">
      <c r="A807" s="15">
        <v>41122</v>
      </c>
      <c r="B807" s="16" t="s">
        <v>920</v>
      </c>
      <c r="C807" t="s">
        <v>871</v>
      </c>
      <c r="D807" t="s">
        <v>48</v>
      </c>
      <c r="E807" s="17">
        <v>5</v>
      </c>
      <c r="F807" s="17">
        <v>130</v>
      </c>
      <c r="G807" s="18">
        <v>650</v>
      </c>
      <c r="H807" s="30" t="s">
        <v>2293</v>
      </c>
      <c r="J807" s="34"/>
    </row>
    <row r="808" spans="1:10" x14ac:dyDescent="0.25">
      <c r="A808" s="15">
        <v>41123</v>
      </c>
      <c r="B808" s="16" t="s">
        <v>865</v>
      </c>
      <c r="C808" t="s">
        <v>8</v>
      </c>
      <c r="D808" t="s">
        <v>48</v>
      </c>
      <c r="E808" s="17">
        <v>4.5</v>
      </c>
      <c r="F808" s="17">
        <v>35.35</v>
      </c>
      <c r="G808" s="18">
        <v>159.07499999999999</v>
      </c>
      <c r="H808" s="30" t="s">
        <v>2293</v>
      </c>
      <c r="J808" s="34"/>
    </row>
    <row r="809" spans="1:10" x14ac:dyDescent="0.25">
      <c r="A809" s="15">
        <v>41123</v>
      </c>
      <c r="B809" s="16" t="s">
        <v>865</v>
      </c>
      <c r="C809" t="s">
        <v>8</v>
      </c>
      <c r="D809" t="s">
        <v>48</v>
      </c>
      <c r="E809" s="17">
        <v>5</v>
      </c>
      <c r="F809" s="17">
        <v>35.35</v>
      </c>
      <c r="G809" s="18">
        <v>176.75</v>
      </c>
      <c r="H809" s="30" t="s">
        <v>2293</v>
      </c>
      <c r="J809" s="34"/>
    </row>
    <row r="810" spans="1:10" x14ac:dyDescent="0.25">
      <c r="A810" s="15">
        <v>41123</v>
      </c>
      <c r="B810" s="16" t="s">
        <v>920</v>
      </c>
      <c r="C810" t="s">
        <v>871</v>
      </c>
      <c r="D810" t="s">
        <v>48</v>
      </c>
      <c r="E810" s="17">
        <v>5</v>
      </c>
      <c r="F810" s="17">
        <v>130</v>
      </c>
      <c r="G810" s="18">
        <v>650</v>
      </c>
      <c r="H810" s="30" t="s">
        <v>2293</v>
      </c>
      <c r="J810" s="34"/>
    </row>
    <row r="811" spans="1:10" x14ac:dyDescent="0.25">
      <c r="A811" s="15">
        <v>41123</v>
      </c>
      <c r="B811" s="16" t="s">
        <v>878</v>
      </c>
      <c r="C811" t="s">
        <v>879</v>
      </c>
      <c r="D811" t="s">
        <v>48</v>
      </c>
      <c r="E811" s="17">
        <v>5.5</v>
      </c>
      <c r="F811" s="17">
        <v>110</v>
      </c>
      <c r="G811" s="18">
        <v>605</v>
      </c>
      <c r="H811" s="30" t="s">
        <v>2293</v>
      </c>
      <c r="J811" s="34"/>
    </row>
    <row r="812" spans="1:10" x14ac:dyDescent="0.25">
      <c r="A812" s="15">
        <v>41123</v>
      </c>
      <c r="B812" s="16" t="s">
        <v>880</v>
      </c>
      <c r="C812" t="s">
        <v>881</v>
      </c>
      <c r="D812" t="s">
        <v>48</v>
      </c>
      <c r="E812" s="17">
        <v>5</v>
      </c>
      <c r="F812" s="17">
        <v>95</v>
      </c>
      <c r="G812" s="18">
        <v>475</v>
      </c>
      <c r="H812" s="30" t="s">
        <v>2293</v>
      </c>
      <c r="J812" s="34"/>
    </row>
    <row r="813" spans="1:10" x14ac:dyDescent="0.25">
      <c r="A813" s="15">
        <v>41123</v>
      </c>
      <c r="B813" s="16" t="s">
        <v>943</v>
      </c>
      <c r="C813" t="s">
        <v>944</v>
      </c>
      <c r="D813" t="s">
        <v>48</v>
      </c>
      <c r="E813" s="17">
        <v>5</v>
      </c>
      <c r="F813" s="17">
        <v>95</v>
      </c>
      <c r="G813" s="18">
        <v>475</v>
      </c>
      <c r="H813" s="30" t="s">
        <v>2293</v>
      </c>
      <c r="J813" s="34"/>
    </row>
    <row r="814" spans="1:10" x14ac:dyDescent="0.25">
      <c r="A814" s="15">
        <v>41124</v>
      </c>
      <c r="B814" s="16" t="s">
        <v>865</v>
      </c>
      <c r="C814" t="s">
        <v>8</v>
      </c>
      <c r="D814" t="s">
        <v>48</v>
      </c>
      <c r="E814" s="17">
        <v>4.5</v>
      </c>
      <c r="F814" s="17">
        <v>35.35</v>
      </c>
      <c r="G814" s="18">
        <v>159.07499999999999</v>
      </c>
      <c r="H814" s="30" t="s">
        <v>2293</v>
      </c>
      <c r="J814" s="34"/>
    </row>
    <row r="815" spans="1:10" x14ac:dyDescent="0.25">
      <c r="A815" s="15">
        <v>41124</v>
      </c>
      <c r="B815" s="16" t="s">
        <v>880</v>
      </c>
      <c r="C815" t="s">
        <v>881</v>
      </c>
      <c r="D815" t="s">
        <v>48</v>
      </c>
      <c r="E815" s="17">
        <v>4.5</v>
      </c>
      <c r="F815" s="17">
        <v>95</v>
      </c>
      <c r="G815" s="18">
        <v>427.5</v>
      </c>
      <c r="H815" s="30" t="s">
        <v>2293</v>
      </c>
      <c r="J815" s="34"/>
    </row>
    <row r="816" spans="1:10" x14ac:dyDescent="0.25">
      <c r="A816" s="15">
        <v>41124</v>
      </c>
      <c r="B816" s="16" t="s">
        <v>947</v>
      </c>
      <c r="C816" t="s">
        <v>948</v>
      </c>
      <c r="D816" t="s">
        <v>48</v>
      </c>
      <c r="E816" s="17">
        <v>5</v>
      </c>
      <c r="F816" s="17">
        <v>110</v>
      </c>
      <c r="G816" s="18">
        <v>550</v>
      </c>
      <c r="H816" s="30" t="s">
        <v>2293</v>
      </c>
      <c r="J816" s="34"/>
    </row>
    <row r="817" spans="1:10" x14ac:dyDescent="0.25">
      <c r="A817" s="15">
        <v>41124</v>
      </c>
      <c r="B817" s="16" t="s">
        <v>880</v>
      </c>
      <c r="C817" t="s">
        <v>881</v>
      </c>
      <c r="D817" t="s">
        <v>48</v>
      </c>
      <c r="E817" s="17">
        <v>2.5</v>
      </c>
      <c r="F817" s="17">
        <v>95</v>
      </c>
      <c r="G817" s="18">
        <v>237.5</v>
      </c>
      <c r="H817" s="30" t="s">
        <v>2293</v>
      </c>
      <c r="J817" s="34"/>
    </row>
    <row r="818" spans="1:10" x14ac:dyDescent="0.25">
      <c r="A818" s="15">
        <v>41124</v>
      </c>
      <c r="B818" s="16" t="s">
        <v>920</v>
      </c>
      <c r="C818" t="s">
        <v>871</v>
      </c>
      <c r="D818" t="s">
        <v>48</v>
      </c>
      <c r="E818" s="17">
        <v>4.5</v>
      </c>
      <c r="F818" s="17">
        <v>130</v>
      </c>
      <c r="G818" s="18">
        <v>585</v>
      </c>
      <c r="H818" s="30" t="s">
        <v>2293</v>
      </c>
      <c r="J818" s="34"/>
    </row>
    <row r="819" spans="1:10" x14ac:dyDescent="0.25">
      <c r="A819" s="15">
        <v>41124</v>
      </c>
      <c r="B819" s="16" t="s">
        <v>880</v>
      </c>
      <c r="C819" t="s">
        <v>881</v>
      </c>
      <c r="D819" t="s">
        <v>48</v>
      </c>
      <c r="E819" s="17">
        <v>5</v>
      </c>
      <c r="F819" s="17">
        <v>95</v>
      </c>
      <c r="G819" s="18">
        <v>475</v>
      </c>
      <c r="H819" s="30" t="s">
        <v>2293</v>
      </c>
      <c r="J819" s="34"/>
    </row>
    <row r="820" spans="1:10" x14ac:dyDescent="0.25">
      <c r="A820" s="15">
        <v>41124</v>
      </c>
      <c r="B820" s="16" t="s">
        <v>865</v>
      </c>
      <c r="C820" t="s">
        <v>8</v>
      </c>
      <c r="D820" t="s">
        <v>48</v>
      </c>
      <c r="E820" s="17">
        <v>4.5</v>
      </c>
      <c r="F820" s="17">
        <v>35.35</v>
      </c>
      <c r="G820" s="18">
        <v>159.07499999999999</v>
      </c>
      <c r="H820" s="30" t="s">
        <v>2293</v>
      </c>
      <c r="J820" s="34"/>
    </row>
    <row r="821" spans="1:10" x14ac:dyDescent="0.25">
      <c r="A821" s="15">
        <v>41124</v>
      </c>
      <c r="B821" s="16" t="s">
        <v>865</v>
      </c>
      <c r="C821" t="s">
        <v>8</v>
      </c>
      <c r="D821" t="s">
        <v>48</v>
      </c>
      <c r="E821" s="17">
        <v>4</v>
      </c>
      <c r="F821" s="17">
        <v>35.35</v>
      </c>
      <c r="G821" s="18">
        <v>141.4</v>
      </c>
      <c r="H821" s="30" t="s">
        <v>2293</v>
      </c>
      <c r="J821" s="34"/>
    </row>
    <row r="822" spans="1:10" x14ac:dyDescent="0.25">
      <c r="A822" s="15">
        <v>41124</v>
      </c>
      <c r="B822" s="16" t="s">
        <v>865</v>
      </c>
      <c r="C822" t="s">
        <v>8</v>
      </c>
      <c r="D822" t="s">
        <v>48</v>
      </c>
      <c r="E822" s="17">
        <v>5</v>
      </c>
      <c r="F822" s="17">
        <v>35.35</v>
      </c>
      <c r="G822" s="18">
        <v>176.75</v>
      </c>
      <c r="H822" s="30" t="s">
        <v>2293</v>
      </c>
      <c r="J822" s="34"/>
    </row>
    <row r="823" spans="1:10" x14ac:dyDescent="0.25">
      <c r="A823" s="15">
        <v>41124</v>
      </c>
      <c r="B823" s="16" t="s">
        <v>865</v>
      </c>
      <c r="C823" t="s">
        <v>8</v>
      </c>
      <c r="D823" t="s">
        <v>48</v>
      </c>
      <c r="E823" s="17">
        <v>4</v>
      </c>
      <c r="F823" s="17">
        <v>48</v>
      </c>
      <c r="G823" s="18">
        <v>192</v>
      </c>
      <c r="H823" s="30" t="s">
        <v>2293</v>
      </c>
      <c r="J823" s="34"/>
    </row>
    <row r="824" spans="1:10" x14ac:dyDescent="0.25">
      <c r="A824" s="15">
        <v>41125</v>
      </c>
      <c r="B824" s="16" t="s">
        <v>920</v>
      </c>
      <c r="C824" t="s">
        <v>871</v>
      </c>
      <c r="D824" t="s">
        <v>48</v>
      </c>
      <c r="E824" s="17">
        <v>2</v>
      </c>
      <c r="F824" s="17">
        <v>130</v>
      </c>
      <c r="G824" s="18">
        <v>260</v>
      </c>
      <c r="H824" s="30" t="s">
        <v>2293</v>
      </c>
      <c r="J824" s="34"/>
    </row>
    <row r="825" spans="1:10" x14ac:dyDescent="0.25">
      <c r="A825" s="15">
        <v>41125</v>
      </c>
      <c r="B825" s="16" t="s">
        <v>880</v>
      </c>
      <c r="C825" t="s">
        <v>881</v>
      </c>
      <c r="D825" t="s">
        <v>48</v>
      </c>
      <c r="E825" s="17">
        <v>2</v>
      </c>
      <c r="F825" s="17">
        <v>95</v>
      </c>
      <c r="G825" s="18">
        <v>190</v>
      </c>
      <c r="H825" s="30" t="s">
        <v>2293</v>
      </c>
      <c r="J825" s="34"/>
    </row>
    <row r="826" spans="1:10" x14ac:dyDescent="0.25">
      <c r="A826" s="15">
        <v>41125</v>
      </c>
      <c r="B826" s="16" t="s">
        <v>880</v>
      </c>
      <c r="C826" t="s">
        <v>881</v>
      </c>
      <c r="D826" t="s">
        <v>48</v>
      </c>
      <c r="E826" s="17">
        <v>3</v>
      </c>
      <c r="F826" s="17">
        <v>95</v>
      </c>
      <c r="G826" s="18">
        <v>285</v>
      </c>
      <c r="H826" s="30" t="s">
        <v>2293</v>
      </c>
      <c r="J826" s="34"/>
    </row>
    <row r="827" spans="1:10" x14ac:dyDescent="0.25">
      <c r="A827" s="15">
        <v>41125</v>
      </c>
      <c r="B827" s="16" t="s">
        <v>947</v>
      </c>
      <c r="C827" t="s">
        <v>948</v>
      </c>
      <c r="D827" t="s">
        <v>48</v>
      </c>
      <c r="E827" s="17">
        <v>5</v>
      </c>
      <c r="F827" s="17">
        <v>110</v>
      </c>
      <c r="G827" s="18">
        <v>550</v>
      </c>
      <c r="H827" s="30" t="s">
        <v>2293</v>
      </c>
      <c r="J827" s="34"/>
    </row>
    <row r="828" spans="1:10" x14ac:dyDescent="0.25">
      <c r="A828" s="15">
        <v>41125</v>
      </c>
      <c r="B828" s="16" t="s">
        <v>880</v>
      </c>
      <c r="C828" t="s">
        <v>881</v>
      </c>
      <c r="D828" t="s">
        <v>48</v>
      </c>
      <c r="E828" s="17">
        <v>2</v>
      </c>
      <c r="F828" s="17">
        <v>95</v>
      </c>
      <c r="G828" s="18">
        <v>190</v>
      </c>
      <c r="H828" s="30" t="s">
        <v>2293</v>
      </c>
      <c r="J828" s="34"/>
    </row>
    <row r="829" spans="1:10" x14ac:dyDescent="0.25">
      <c r="A829" s="15">
        <v>41127</v>
      </c>
      <c r="B829" s="16" t="s">
        <v>880</v>
      </c>
      <c r="C829" t="s">
        <v>881</v>
      </c>
      <c r="D829" t="s">
        <v>48</v>
      </c>
      <c r="E829" s="17">
        <v>5</v>
      </c>
      <c r="F829" s="17">
        <v>95</v>
      </c>
      <c r="G829" s="18">
        <v>475</v>
      </c>
      <c r="H829" s="30" t="s">
        <v>2293</v>
      </c>
      <c r="J829" s="34"/>
    </row>
    <row r="830" spans="1:10" x14ac:dyDescent="0.25">
      <c r="A830" s="15">
        <v>41127</v>
      </c>
      <c r="B830" s="16" t="s">
        <v>920</v>
      </c>
      <c r="C830" t="s">
        <v>871</v>
      </c>
      <c r="D830" t="s">
        <v>48</v>
      </c>
      <c r="E830" s="17">
        <v>9.5</v>
      </c>
      <c r="F830" s="17">
        <v>130</v>
      </c>
      <c r="G830" s="18">
        <v>1235</v>
      </c>
      <c r="H830" s="30" t="s">
        <v>2293</v>
      </c>
      <c r="J830" s="34"/>
    </row>
    <row r="831" spans="1:10" x14ac:dyDescent="0.25">
      <c r="A831" s="15">
        <v>41127</v>
      </c>
      <c r="B831" s="16" t="s">
        <v>880</v>
      </c>
      <c r="C831" t="s">
        <v>881</v>
      </c>
      <c r="D831" t="s">
        <v>48</v>
      </c>
      <c r="E831" s="17">
        <v>5.5</v>
      </c>
      <c r="F831" s="17">
        <v>95</v>
      </c>
      <c r="G831" s="18">
        <v>522.5</v>
      </c>
      <c r="H831" s="30" t="s">
        <v>2293</v>
      </c>
      <c r="J831" s="34"/>
    </row>
    <row r="832" spans="1:10" x14ac:dyDescent="0.25">
      <c r="A832" s="15">
        <v>41128</v>
      </c>
      <c r="B832" s="16" t="s">
        <v>880</v>
      </c>
      <c r="C832" t="s">
        <v>881</v>
      </c>
      <c r="D832" t="s">
        <v>48</v>
      </c>
      <c r="E832" s="17">
        <v>5</v>
      </c>
      <c r="F832" s="17">
        <v>95</v>
      </c>
      <c r="G832" s="18">
        <v>475</v>
      </c>
      <c r="H832" s="30" t="s">
        <v>2293</v>
      </c>
      <c r="J832" s="34"/>
    </row>
    <row r="833" spans="1:10" x14ac:dyDescent="0.25">
      <c r="A833" s="15">
        <v>41128</v>
      </c>
      <c r="B833" s="16" t="s">
        <v>865</v>
      </c>
      <c r="C833" t="s">
        <v>8</v>
      </c>
      <c r="D833" t="s">
        <v>48</v>
      </c>
      <c r="E833" s="17">
        <v>5</v>
      </c>
      <c r="F833" s="17">
        <v>35.35</v>
      </c>
      <c r="G833" s="18">
        <v>176.75</v>
      </c>
      <c r="H833" s="30" t="s">
        <v>2293</v>
      </c>
      <c r="J833" s="34"/>
    </row>
    <row r="834" spans="1:10" x14ac:dyDescent="0.25">
      <c r="A834" s="15">
        <v>41129</v>
      </c>
      <c r="B834" s="16" t="s">
        <v>865</v>
      </c>
      <c r="C834" t="s">
        <v>8</v>
      </c>
      <c r="D834" t="s">
        <v>48</v>
      </c>
      <c r="E834" s="17">
        <v>5</v>
      </c>
      <c r="F834" s="17">
        <v>35.35</v>
      </c>
      <c r="G834" s="18">
        <v>176.75</v>
      </c>
      <c r="H834" s="30" t="s">
        <v>2293</v>
      </c>
      <c r="J834" s="34"/>
    </row>
    <row r="835" spans="1:10" x14ac:dyDescent="0.25">
      <c r="A835" s="15">
        <v>41129</v>
      </c>
      <c r="B835" s="16" t="s">
        <v>920</v>
      </c>
      <c r="C835" t="s">
        <v>871</v>
      </c>
      <c r="D835" t="s">
        <v>48</v>
      </c>
      <c r="E835" s="17">
        <v>4</v>
      </c>
      <c r="F835" s="17">
        <v>130</v>
      </c>
      <c r="G835" s="18">
        <v>520</v>
      </c>
      <c r="H835" s="30" t="s">
        <v>2293</v>
      </c>
      <c r="J835" s="34"/>
    </row>
    <row r="836" spans="1:10" x14ac:dyDescent="0.25">
      <c r="A836" s="15">
        <v>41130</v>
      </c>
      <c r="B836" s="16" t="s">
        <v>920</v>
      </c>
      <c r="C836" t="s">
        <v>871</v>
      </c>
      <c r="D836" t="s">
        <v>48</v>
      </c>
      <c r="E836" s="17">
        <v>4</v>
      </c>
      <c r="F836" s="17">
        <v>130</v>
      </c>
      <c r="G836" s="18">
        <v>520</v>
      </c>
      <c r="H836" s="30" t="s">
        <v>2293</v>
      </c>
      <c r="J836" s="34"/>
    </row>
    <row r="837" spans="1:10" x14ac:dyDescent="0.25">
      <c r="A837" s="15">
        <v>41130</v>
      </c>
      <c r="B837" s="16" t="s">
        <v>880</v>
      </c>
      <c r="C837" t="s">
        <v>881</v>
      </c>
      <c r="D837" t="s">
        <v>48</v>
      </c>
      <c r="E837" s="17">
        <v>3</v>
      </c>
      <c r="F837" s="17">
        <v>95</v>
      </c>
      <c r="G837" s="18">
        <v>285</v>
      </c>
      <c r="H837" s="30" t="s">
        <v>2293</v>
      </c>
      <c r="J837" s="34"/>
    </row>
    <row r="838" spans="1:10" x14ac:dyDescent="0.25">
      <c r="A838" s="15">
        <v>41130</v>
      </c>
      <c r="B838" s="16" t="s">
        <v>904</v>
      </c>
      <c r="C838" t="s">
        <v>905</v>
      </c>
      <c r="D838" t="s">
        <v>48</v>
      </c>
      <c r="E838" s="17">
        <v>4</v>
      </c>
      <c r="F838" s="17">
        <v>95</v>
      </c>
      <c r="G838" s="18">
        <v>380</v>
      </c>
      <c r="H838" s="30" t="s">
        <v>2293</v>
      </c>
      <c r="J838" s="34"/>
    </row>
    <row r="839" spans="1:10" x14ac:dyDescent="0.25">
      <c r="A839" s="15">
        <v>41130</v>
      </c>
      <c r="B839" s="16" t="s">
        <v>865</v>
      </c>
      <c r="C839" t="s">
        <v>8</v>
      </c>
      <c r="D839" t="s">
        <v>48</v>
      </c>
      <c r="E839" s="17">
        <v>4.5</v>
      </c>
      <c r="F839" s="17">
        <v>35.35</v>
      </c>
      <c r="G839" s="18">
        <v>159.07499999999999</v>
      </c>
      <c r="H839" s="30" t="s">
        <v>2293</v>
      </c>
      <c r="J839" s="34"/>
    </row>
    <row r="840" spans="1:10" x14ac:dyDescent="0.25">
      <c r="A840" s="15">
        <v>41131</v>
      </c>
      <c r="B840" s="16" t="s">
        <v>904</v>
      </c>
      <c r="C840" t="s">
        <v>905</v>
      </c>
      <c r="D840" t="s">
        <v>48</v>
      </c>
      <c r="E840" s="17">
        <v>4</v>
      </c>
      <c r="F840" s="17">
        <v>95</v>
      </c>
      <c r="G840" s="18">
        <v>380</v>
      </c>
      <c r="H840" s="30" t="s">
        <v>2293</v>
      </c>
      <c r="J840" s="34"/>
    </row>
    <row r="841" spans="1:10" x14ac:dyDescent="0.25">
      <c r="A841" s="15">
        <v>41131</v>
      </c>
      <c r="B841" s="16" t="s">
        <v>920</v>
      </c>
      <c r="C841" t="s">
        <v>871</v>
      </c>
      <c r="D841" t="s">
        <v>48</v>
      </c>
      <c r="E841" s="17">
        <v>4</v>
      </c>
      <c r="F841" s="17">
        <v>130</v>
      </c>
      <c r="G841" s="18">
        <v>520</v>
      </c>
      <c r="H841" s="30" t="s">
        <v>2293</v>
      </c>
      <c r="J841" s="34"/>
    </row>
    <row r="842" spans="1:10" x14ac:dyDescent="0.25">
      <c r="A842" s="15">
        <v>41131</v>
      </c>
      <c r="B842" s="16" t="s">
        <v>865</v>
      </c>
      <c r="C842" t="s">
        <v>8</v>
      </c>
      <c r="D842" t="s">
        <v>48</v>
      </c>
      <c r="E842" s="17">
        <v>4</v>
      </c>
      <c r="F842" s="17">
        <v>35.35</v>
      </c>
      <c r="G842" s="18">
        <v>141.4</v>
      </c>
      <c r="H842" s="30" t="s">
        <v>2293</v>
      </c>
      <c r="J842" s="34"/>
    </row>
    <row r="843" spans="1:10" x14ac:dyDescent="0.25">
      <c r="A843" s="15">
        <v>41131</v>
      </c>
      <c r="B843" s="16" t="s">
        <v>880</v>
      </c>
      <c r="C843" t="s">
        <v>881</v>
      </c>
      <c r="D843" t="s">
        <v>48</v>
      </c>
      <c r="E843" s="17">
        <v>4</v>
      </c>
      <c r="F843" s="17">
        <v>95</v>
      </c>
      <c r="G843" s="18">
        <v>380</v>
      </c>
      <c r="H843" s="30" t="s">
        <v>2293</v>
      </c>
      <c r="J843" s="34"/>
    </row>
    <row r="844" spans="1:10" x14ac:dyDescent="0.25">
      <c r="A844" s="15">
        <v>41134</v>
      </c>
      <c r="B844" s="16" t="s">
        <v>880</v>
      </c>
      <c r="C844" t="s">
        <v>881</v>
      </c>
      <c r="D844" t="s">
        <v>48</v>
      </c>
      <c r="E844" s="17">
        <v>4</v>
      </c>
      <c r="F844" s="17">
        <v>95</v>
      </c>
      <c r="G844" s="18">
        <v>380</v>
      </c>
      <c r="H844" s="30" t="s">
        <v>2293</v>
      </c>
      <c r="J844" s="34"/>
    </row>
    <row r="845" spans="1:10" x14ac:dyDescent="0.25">
      <c r="A845" s="15">
        <v>41134</v>
      </c>
      <c r="B845" s="16" t="s">
        <v>865</v>
      </c>
      <c r="C845" t="s">
        <v>8</v>
      </c>
      <c r="D845" t="s">
        <v>48</v>
      </c>
      <c r="E845" s="17">
        <v>4</v>
      </c>
      <c r="F845" s="17">
        <v>35.35</v>
      </c>
      <c r="G845" s="18">
        <v>141.4</v>
      </c>
      <c r="H845" s="30" t="s">
        <v>2293</v>
      </c>
      <c r="J845" s="34"/>
    </row>
    <row r="846" spans="1:10" x14ac:dyDescent="0.25">
      <c r="A846" s="15">
        <v>41134</v>
      </c>
      <c r="B846" s="16" t="s">
        <v>920</v>
      </c>
      <c r="C846" t="s">
        <v>871</v>
      </c>
      <c r="D846" t="s">
        <v>48</v>
      </c>
      <c r="E846" s="17">
        <v>4</v>
      </c>
      <c r="F846" s="17">
        <v>130</v>
      </c>
      <c r="G846" s="18">
        <v>520</v>
      </c>
      <c r="H846" s="30" t="s">
        <v>2293</v>
      </c>
      <c r="J846" s="34"/>
    </row>
    <row r="847" spans="1:10" x14ac:dyDescent="0.25">
      <c r="A847" s="15">
        <v>41134</v>
      </c>
      <c r="B847" s="16" t="s">
        <v>904</v>
      </c>
      <c r="C847" t="s">
        <v>905</v>
      </c>
      <c r="D847" t="s">
        <v>48</v>
      </c>
      <c r="E847" s="17">
        <v>4</v>
      </c>
      <c r="F847" s="17">
        <v>95</v>
      </c>
      <c r="G847" s="18">
        <v>380</v>
      </c>
      <c r="H847" s="30" t="s">
        <v>2293</v>
      </c>
      <c r="J847" s="34"/>
    </row>
    <row r="848" spans="1:10" x14ac:dyDescent="0.25">
      <c r="A848" s="15">
        <v>41134</v>
      </c>
      <c r="B848" s="16" t="s">
        <v>878</v>
      </c>
      <c r="C848" t="s">
        <v>879</v>
      </c>
      <c r="D848" t="s">
        <v>48</v>
      </c>
      <c r="E848" s="17">
        <v>2</v>
      </c>
      <c r="F848" s="17">
        <v>110</v>
      </c>
      <c r="G848" s="18">
        <v>220</v>
      </c>
      <c r="H848" s="30" t="s">
        <v>2293</v>
      </c>
      <c r="J848" s="34"/>
    </row>
    <row r="849" spans="1:10" x14ac:dyDescent="0.25">
      <c r="A849" s="15">
        <v>41135</v>
      </c>
      <c r="B849" s="16" t="s">
        <v>865</v>
      </c>
      <c r="C849" t="s">
        <v>8</v>
      </c>
      <c r="D849" t="s">
        <v>48</v>
      </c>
      <c r="E849" s="17">
        <v>4</v>
      </c>
      <c r="F849" s="17">
        <v>35.35</v>
      </c>
      <c r="G849" s="18">
        <v>141.4</v>
      </c>
      <c r="H849" s="30" t="s">
        <v>2293</v>
      </c>
      <c r="J849" s="34"/>
    </row>
    <row r="850" spans="1:10" x14ac:dyDescent="0.25">
      <c r="A850" s="15">
        <v>41135</v>
      </c>
      <c r="B850" s="16" t="s">
        <v>865</v>
      </c>
      <c r="C850" t="s">
        <v>8</v>
      </c>
      <c r="D850" t="s">
        <v>48</v>
      </c>
      <c r="E850" s="17">
        <v>3.5</v>
      </c>
      <c r="F850" s="17">
        <v>35.35</v>
      </c>
      <c r="G850" s="18">
        <v>123.72499999999999</v>
      </c>
      <c r="H850" s="30" t="s">
        <v>2293</v>
      </c>
      <c r="J850" s="34"/>
    </row>
    <row r="851" spans="1:10" x14ac:dyDescent="0.25">
      <c r="A851" s="15">
        <v>41135</v>
      </c>
      <c r="B851" s="16" t="s">
        <v>920</v>
      </c>
      <c r="C851" t="s">
        <v>871</v>
      </c>
      <c r="D851" t="s">
        <v>48</v>
      </c>
      <c r="E851" s="17">
        <v>4</v>
      </c>
      <c r="F851" s="17">
        <v>130</v>
      </c>
      <c r="G851" s="18">
        <v>520</v>
      </c>
      <c r="H851" s="30" t="s">
        <v>2293</v>
      </c>
      <c r="J851" s="34"/>
    </row>
    <row r="852" spans="1:10" x14ac:dyDescent="0.25">
      <c r="A852" s="15">
        <v>41135</v>
      </c>
      <c r="B852" s="16" t="s">
        <v>880</v>
      </c>
      <c r="C852" t="s">
        <v>881</v>
      </c>
      <c r="D852" t="s">
        <v>48</v>
      </c>
      <c r="E852" s="17">
        <v>4</v>
      </c>
      <c r="F852" s="17">
        <v>95</v>
      </c>
      <c r="G852" s="18">
        <v>380</v>
      </c>
      <c r="H852" s="30" t="s">
        <v>2293</v>
      </c>
      <c r="J852" s="34"/>
    </row>
    <row r="853" spans="1:10" x14ac:dyDescent="0.25">
      <c r="A853" s="15">
        <v>41135</v>
      </c>
      <c r="B853" s="16" t="s">
        <v>878</v>
      </c>
      <c r="C853" t="s">
        <v>879</v>
      </c>
      <c r="D853" t="s">
        <v>48</v>
      </c>
      <c r="E853" s="17">
        <v>6</v>
      </c>
      <c r="F853" s="17">
        <v>110</v>
      </c>
      <c r="G853" s="18">
        <v>660</v>
      </c>
      <c r="H853" s="30" t="s">
        <v>2293</v>
      </c>
      <c r="J853" s="34"/>
    </row>
    <row r="854" spans="1:10" x14ac:dyDescent="0.25">
      <c r="A854" s="15">
        <v>41135</v>
      </c>
      <c r="B854" s="16" t="s">
        <v>904</v>
      </c>
      <c r="C854" t="s">
        <v>905</v>
      </c>
      <c r="D854" t="s">
        <v>48</v>
      </c>
      <c r="E854" s="17">
        <v>4</v>
      </c>
      <c r="F854" s="17">
        <v>95</v>
      </c>
      <c r="G854" s="18">
        <v>380</v>
      </c>
      <c r="H854" s="30" t="s">
        <v>2293</v>
      </c>
      <c r="J854" s="34"/>
    </row>
    <row r="855" spans="1:10" x14ac:dyDescent="0.25">
      <c r="A855" s="15">
        <v>41136</v>
      </c>
      <c r="B855" s="16" t="s">
        <v>904</v>
      </c>
      <c r="C855" t="s">
        <v>905</v>
      </c>
      <c r="D855" t="s">
        <v>48</v>
      </c>
      <c r="E855" s="17">
        <v>3.5</v>
      </c>
      <c r="F855" s="17">
        <v>95</v>
      </c>
      <c r="G855" s="18">
        <v>332.5</v>
      </c>
      <c r="H855" s="30" t="s">
        <v>2293</v>
      </c>
      <c r="J855" s="34"/>
    </row>
    <row r="856" spans="1:10" x14ac:dyDescent="0.25">
      <c r="A856" s="15">
        <v>41136</v>
      </c>
      <c r="B856" s="16" t="s">
        <v>865</v>
      </c>
      <c r="C856" t="s">
        <v>8</v>
      </c>
      <c r="D856" t="s">
        <v>48</v>
      </c>
      <c r="E856" s="17">
        <v>2</v>
      </c>
      <c r="F856" s="17">
        <v>35.35</v>
      </c>
      <c r="G856" s="18">
        <v>70.7</v>
      </c>
      <c r="H856" s="30" t="s">
        <v>2293</v>
      </c>
      <c r="J856" s="34"/>
    </row>
    <row r="857" spans="1:10" x14ac:dyDescent="0.25">
      <c r="A857" s="15">
        <v>41136</v>
      </c>
      <c r="B857" s="16" t="s">
        <v>878</v>
      </c>
      <c r="C857" t="s">
        <v>879</v>
      </c>
      <c r="D857" t="s">
        <v>48</v>
      </c>
      <c r="E857" s="17">
        <v>2</v>
      </c>
      <c r="F857" s="17">
        <v>110</v>
      </c>
      <c r="G857" s="18">
        <v>220</v>
      </c>
      <c r="H857" s="30" t="s">
        <v>2293</v>
      </c>
      <c r="J857" s="34"/>
    </row>
    <row r="858" spans="1:10" x14ac:dyDescent="0.25">
      <c r="A858" s="15">
        <v>41136</v>
      </c>
      <c r="B858" s="16" t="s">
        <v>880</v>
      </c>
      <c r="C858" t="s">
        <v>881</v>
      </c>
      <c r="D858" t="s">
        <v>48</v>
      </c>
      <c r="E858" s="17">
        <v>4</v>
      </c>
      <c r="F858" s="17">
        <v>95</v>
      </c>
      <c r="G858" s="18">
        <v>380</v>
      </c>
      <c r="H858" s="30" t="s">
        <v>2293</v>
      </c>
      <c r="J858" s="34"/>
    </row>
    <row r="859" spans="1:10" x14ac:dyDescent="0.25">
      <c r="A859" s="15">
        <v>41136</v>
      </c>
      <c r="B859" s="16" t="s">
        <v>865</v>
      </c>
      <c r="C859" t="s">
        <v>8</v>
      </c>
      <c r="D859" t="s">
        <v>48</v>
      </c>
      <c r="E859" s="17">
        <v>2</v>
      </c>
      <c r="F859" s="17">
        <v>35.35</v>
      </c>
      <c r="G859" s="18">
        <v>70.7</v>
      </c>
      <c r="H859" s="30" t="s">
        <v>2293</v>
      </c>
      <c r="J859" s="34"/>
    </row>
    <row r="860" spans="1:10" x14ac:dyDescent="0.25">
      <c r="A860" s="15">
        <v>41136</v>
      </c>
      <c r="B860" s="16" t="s">
        <v>865</v>
      </c>
      <c r="C860" t="s">
        <v>8</v>
      </c>
      <c r="D860" t="s">
        <v>48</v>
      </c>
      <c r="E860" s="17">
        <v>4</v>
      </c>
      <c r="F860" s="17">
        <v>35.35</v>
      </c>
      <c r="G860" s="18">
        <v>141.4</v>
      </c>
      <c r="H860" s="30" t="s">
        <v>2293</v>
      </c>
      <c r="J860" s="34"/>
    </row>
    <row r="861" spans="1:10" x14ac:dyDescent="0.25">
      <c r="A861" s="15">
        <v>41136</v>
      </c>
      <c r="B861" s="16" t="s">
        <v>920</v>
      </c>
      <c r="C861" t="s">
        <v>871</v>
      </c>
      <c r="D861" t="s">
        <v>48</v>
      </c>
      <c r="E861" s="17">
        <v>4</v>
      </c>
      <c r="F861" s="17">
        <v>130</v>
      </c>
      <c r="G861" s="18">
        <v>520</v>
      </c>
      <c r="H861" s="30" t="s">
        <v>2293</v>
      </c>
      <c r="J861" s="34"/>
    </row>
    <row r="862" spans="1:10" x14ac:dyDescent="0.25">
      <c r="A862" s="15">
        <v>41137</v>
      </c>
      <c r="B862" s="16" t="s">
        <v>949</v>
      </c>
      <c r="C862" t="s">
        <v>950</v>
      </c>
      <c r="D862" t="s">
        <v>48</v>
      </c>
      <c r="E862" s="17">
        <v>5</v>
      </c>
      <c r="F862" s="17">
        <v>135</v>
      </c>
      <c r="G862" s="18">
        <v>675</v>
      </c>
      <c r="H862" s="30" t="s">
        <v>2293</v>
      </c>
      <c r="J862" s="34"/>
    </row>
    <row r="863" spans="1:10" x14ac:dyDescent="0.25">
      <c r="A863" s="15">
        <v>41138</v>
      </c>
      <c r="B863" s="16" t="s">
        <v>920</v>
      </c>
      <c r="C863" t="s">
        <v>871</v>
      </c>
      <c r="D863" t="s">
        <v>48</v>
      </c>
      <c r="E863" s="17">
        <v>7.5</v>
      </c>
      <c r="F863" s="17">
        <v>130</v>
      </c>
      <c r="G863" s="18">
        <v>975</v>
      </c>
      <c r="H863" s="30" t="s">
        <v>2293</v>
      </c>
      <c r="J863" s="34"/>
    </row>
    <row r="864" spans="1:10" x14ac:dyDescent="0.25">
      <c r="A864" s="15">
        <v>41138</v>
      </c>
      <c r="B864" s="16" t="s">
        <v>904</v>
      </c>
      <c r="C864" t="s">
        <v>905</v>
      </c>
      <c r="D864" t="s">
        <v>48</v>
      </c>
      <c r="E864" s="17">
        <v>7.5</v>
      </c>
      <c r="F864" s="17">
        <v>95</v>
      </c>
      <c r="G864" s="18">
        <v>712.5</v>
      </c>
      <c r="H864" s="30" t="s">
        <v>2293</v>
      </c>
      <c r="J864" s="34"/>
    </row>
    <row r="865" spans="1:10" x14ac:dyDescent="0.25">
      <c r="A865" s="15">
        <v>41143</v>
      </c>
      <c r="B865" s="16" t="s">
        <v>920</v>
      </c>
      <c r="C865" t="s">
        <v>871</v>
      </c>
      <c r="D865" t="s">
        <v>48</v>
      </c>
      <c r="E865" s="17">
        <v>3</v>
      </c>
      <c r="F865" s="17">
        <v>130</v>
      </c>
      <c r="G865" s="18">
        <v>390</v>
      </c>
      <c r="H865" s="30" t="s">
        <v>2293</v>
      </c>
      <c r="J865" s="34"/>
    </row>
    <row r="866" spans="1:10" x14ac:dyDescent="0.25">
      <c r="A866" s="15">
        <v>41143</v>
      </c>
      <c r="B866" s="16" t="s">
        <v>880</v>
      </c>
      <c r="C866" t="s">
        <v>881</v>
      </c>
      <c r="D866" t="s">
        <v>48</v>
      </c>
      <c r="E866" s="17">
        <v>3</v>
      </c>
      <c r="F866" s="17">
        <v>95</v>
      </c>
      <c r="G866" s="18">
        <v>285</v>
      </c>
      <c r="H866" s="30" t="s">
        <v>2293</v>
      </c>
      <c r="J866" s="34"/>
    </row>
    <row r="867" spans="1:10" x14ac:dyDescent="0.25">
      <c r="A867" s="15">
        <v>41143</v>
      </c>
      <c r="B867" s="16" t="s">
        <v>904</v>
      </c>
      <c r="C867" t="s">
        <v>905</v>
      </c>
      <c r="D867" t="s">
        <v>48</v>
      </c>
      <c r="E867" s="17">
        <v>3</v>
      </c>
      <c r="F867" s="17">
        <v>95</v>
      </c>
      <c r="G867" s="18">
        <v>285</v>
      </c>
      <c r="H867" s="30" t="s">
        <v>2293</v>
      </c>
      <c r="J867" s="34"/>
    </row>
    <row r="868" spans="1:10" x14ac:dyDescent="0.25">
      <c r="A868" s="15">
        <v>41143</v>
      </c>
      <c r="B868" s="16" t="s">
        <v>865</v>
      </c>
      <c r="C868" t="s">
        <v>8</v>
      </c>
      <c r="D868" t="s">
        <v>48</v>
      </c>
      <c r="E868" s="17">
        <v>2</v>
      </c>
      <c r="F868" s="17">
        <v>35.35</v>
      </c>
      <c r="G868" s="18">
        <v>70.7</v>
      </c>
      <c r="H868" s="30" t="s">
        <v>2293</v>
      </c>
      <c r="J868" s="34"/>
    </row>
    <row r="869" spans="1:10" x14ac:dyDescent="0.25">
      <c r="A869" s="15">
        <v>41143</v>
      </c>
      <c r="B869" s="16" t="s">
        <v>865</v>
      </c>
      <c r="C869" t="s">
        <v>8</v>
      </c>
      <c r="D869" t="s">
        <v>48</v>
      </c>
      <c r="E869" s="17">
        <v>2</v>
      </c>
      <c r="F869" s="17">
        <v>35.35</v>
      </c>
      <c r="G869" s="18">
        <v>70.7</v>
      </c>
      <c r="H869" s="30" t="s">
        <v>2293</v>
      </c>
      <c r="J869" s="34"/>
    </row>
    <row r="870" spans="1:10" x14ac:dyDescent="0.25">
      <c r="A870" s="15">
        <v>41143</v>
      </c>
      <c r="B870" s="16" t="s">
        <v>865</v>
      </c>
      <c r="C870" t="s">
        <v>8</v>
      </c>
      <c r="D870" t="s">
        <v>48</v>
      </c>
      <c r="E870" s="17">
        <v>2</v>
      </c>
      <c r="F870" s="17">
        <v>35.35</v>
      </c>
      <c r="G870" s="18">
        <v>70.7</v>
      </c>
      <c r="H870" s="30" t="s">
        <v>2293</v>
      </c>
      <c r="J870" s="34"/>
    </row>
    <row r="871" spans="1:10" x14ac:dyDescent="0.25">
      <c r="A871" s="15">
        <v>41143</v>
      </c>
      <c r="B871" s="16" t="s">
        <v>865</v>
      </c>
      <c r="C871" t="s">
        <v>8</v>
      </c>
      <c r="D871" t="s">
        <v>48</v>
      </c>
      <c r="E871" s="17">
        <v>2</v>
      </c>
      <c r="F871" s="17">
        <v>35.35</v>
      </c>
      <c r="G871" s="18">
        <v>70.7</v>
      </c>
      <c r="H871" s="30" t="s">
        <v>2293</v>
      </c>
      <c r="J871" s="34"/>
    </row>
    <row r="872" spans="1:10" x14ac:dyDescent="0.25">
      <c r="A872" s="15">
        <v>41143</v>
      </c>
      <c r="B872" s="16" t="s">
        <v>878</v>
      </c>
      <c r="C872" t="s">
        <v>879</v>
      </c>
      <c r="D872" t="s">
        <v>48</v>
      </c>
      <c r="E872" s="17">
        <v>5</v>
      </c>
      <c r="F872" s="17">
        <v>110</v>
      </c>
      <c r="G872" s="18">
        <v>550</v>
      </c>
      <c r="H872" s="30" t="s">
        <v>2293</v>
      </c>
      <c r="J872" s="34"/>
    </row>
    <row r="873" spans="1:10" x14ac:dyDescent="0.25">
      <c r="A873" s="15">
        <v>41144</v>
      </c>
      <c r="B873" s="16" t="s">
        <v>920</v>
      </c>
      <c r="C873" t="s">
        <v>871</v>
      </c>
      <c r="D873" t="s">
        <v>48</v>
      </c>
      <c r="E873" s="17">
        <v>5</v>
      </c>
      <c r="F873" s="17">
        <v>130</v>
      </c>
      <c r="G873" s="18">
        <v>650</v>
      </c>
      <c r="H873" s="30" t="s">
        <v>2293</v>
      </c>
      <c r="J873" s="34"/>
    </row>
    <row r="874" spans="1:10" x14ac:dyDescent="0.25">
      <c r="A874" s="15">
        <v>41144</v>
      </c>
      <c r="B874" s="16" t="s">
        <v>880</v>
      </c>
      <c r="C874" t="s">
        <v>881</v>
      </c>
      <c r="D874" t="s">
        <v>48</v>
      </c>
      <c r="E874" s="17">
        <v>3</v>
      </c>
      <c r="F874" s="17">
        <v>95</v>
      </c>
      <c r="G874" s="18">
        <v>285</v>
      </c>
      <c r="H874" s="30" t="s">
        <v>2293</v>
      </c>
      <c r="J874" s="34"/>
    </row>
    <row r="875" spans="1:10" x14ac:dyDescent="0.25">
      <c r="A875" s="15">
        <v>41144</v>
      </c>
      <c r="B875" s="16" t="s">
        <v>904</v>
      </c>
      <c r="C875" t="s">
        <v>905</v>
      </c>
      <c r="D875" t="s">
        <v>48</v>
      </c>
      <c r="E875" s="17">
        <v>3</v>
      </c>
      <c r="F875" s="17">
        <v>95</v>
      </c>
      <c r="G875" s="18">
        <v>285</v>
      </c>
      <c r="H875" s="30" t="s">
        <v>2293</v>
      </c>
      <c r="J875" s="34"/>
    </row>
    <row r="876" spans="1:10" x14ac:dyDescent="0.25">
      <c r="A876" s="15">
        <v>41144</v>
      </c>
      <c r="B876" s="16" t="s">
        <v>865</v>
      </c>
      <c r="C876" t="s">
        <v>8</v>
      </c>
      <c r="D876" t="s">
        <v>48</v>
      </c>
      <c r="E876" s="17">
        <v>4</v>
      </c>
      <c r="F876" s="17">
        <v>35.35</v>
      </c>
      <c r="G876" s="18">
        <v>141.4</v>
      </c>
      <c r="H876" s="30" t="s">
        <v>2293</v>
      </c>
      <c r="J876" s="34"/>
    </row>
    <row r="877" spans="1:10" x14ac:dyDescent="0.25">
      <c r="A877" s="15">
        <v>41144</v>
      </c>
      <c r="B877" s="16" t="s">
        <v>865</v>
      </c>
      <c r="C877" t="s">
        <v>8</v>
      </c>
      <c r="D877" t="s">
        <v>48</v>
      </c>
      <c r="E877" s="17">
        <v>4</v>
      </c>
      <c r="F877" s="17">
        <v>35.35</v>
      </c>
      <c r="G877" s="18">
        <v>141.4</v>
      </c>
      <c r="H877" s="30" t="s">
        <v>2293</v>
      </c>
      <c r="J877" s="34"/>
    </row>
    <row r="878" spans="1:10" x14ac:dyDescent="0.25">
      <c r="A878" s="15">
        <v>41144</v>
      </c>
      <c r="B878" s="16" t="s">
        <v>865</v>
      </c>
      <c r="C878" t="s">
        <v>8</v>
      </c>
      <c r="D878" t="s">
        <v>48</v>
      </c>
      <c r="E878" s="17">
        <v>4</v>
      </c>
      <c r="F878" s="17">
        <v>35.35</v>
      </c>
      <c r="G878" s="18">
        <v>141.4</v>
      </c>
      <c r="H878" s="30" t="s">
        <v>2293</v>
      </c>
      <c r="J878" s="34"/>
    </row>
    <row r="879" spans="1:10" x14ac:dyDescent="0.25">
      <c r="A879" s="15">
        <v>41144</v>
      </c>
      <c r="B879" s="16" t="s">
        <v>865</v>
      </c>
      <c r="C879" t="s">
        <v>8</v>
      </c>
      <c r="D879" t="s">
        <v>48</v>
      </c>
      <c r="E879" s="17">
        <v>2</v>
      </c>
      <c r="F879" s="17">
        <v>35.35</v>
      </c>
      <c r="G879" s="18">
        <v>70.7</v>
      </c>
      <c r="H879" s="30" t="s">
        <v>2293</v>
      </c>
      <c r="J879" s="34"/>
    </row>
    <row r="880" spans="1:10" x14ac:dyDescent="0.25">
      <c r="A880" s="15">
        <v>41146</v>
      </c>
      <c r="B880" s="16" t="s">
        <v>865</v>
      </c>
      <c r="C880" t="s">
        <v>8</v>
      </c>
      <c r="D880" t="s">
        <v>48</v>
      </c>
      <c r="E880" s="17">
        <v>5</v>
      </c>
      <c r="F880" s="17">
        <v>35.35</v>
      </c>
      <c r="G880" s="18">
        <v>176.75</v>
      </c>
      <c r="H880" s="30" t="s">
        <v>2293</v>
      </c>
      <c r="J880" s="34"/>
    </row>
    <row r="881" spans="1:10" x14ac:dyDescent="0.25">
      <c r="A881" s="15">
        <v>41146</v>
      </c>
      <c r="B881" s="16" t="s">
        <v>865</v>
      </c>
      <c r="C881" t="s">
        <v>8</v>
      </c>
      <c r="D881" t="s">
        <v>48</v>
      </c>
      <c r="E881" s="17">
        <v>5</v>
      </c>
      <c r="F881" s="17">
        <v>35.35</v>
      </c>
      <c r="G881" s="18">
        <v>176.75</v>
      </c>
      <c r="H881" s="30" t="s">
        <v>2293</v>
      </c>
      <c r="J881" s="34"/>
    </row>
    <row r="882" spans="1:10" x14ac:dyDescent="0.25">
      <c r="A882" s="15">
        <v>41146</v>
      </c>
      <c r="B882" s="16" t="s">
        <v>878</v>
      </c>
      <c r="C882" t="s">
        <v>879</v>
      </c>
      <c r="D882" t="s">
        <v>48</v>
      </c>
      <c r="E882" s="17">
        <v>4.75</v>
      </c>
      <c r="F882" s="17">
        <v>110</v>
      </c>
      <c r="G882" s="18">
        <v>522.5</v>
      </c>
      <c r="H882" s="30" t="s">
        <v>2293</v>
      </c>
      <c r="J882" s="34"/>
    </row>
    <row r="883" spans="1:10" x14ac:dyDescent="0.25">
      <c r="A883" s="15">
        <v>41148</v>
      </c>
      <c r="B883" s="16" t="s">
        <v>865</v>
      </c>
      <c r="C883" t="s">
        <v>8</v>
      </c>
      <c r="D883" t="s">
        <v>48</v>
      </c>
      <c r="E883" s="17">
        <v>2.5</v>
      </c>
      <c r="F883" s="17">
        <v>35.35</v>
      </c>
      <c r="G883" s="18">
        <v>88.375</v>
      </c>
      <c r="H883" s="30" t="s">
        <v>2293</v>
      </c>
      <c r="J883" s="34"/>
    </row>
    <row r="884" spans="1:10" x14ac:dyDescent="0.25">
      <c r="A884" s="15">
        <v>41148</v>
      </c>
      <c r="B884" s="16" t="s">
        <v>865</v>
      </c>
      <c r="C884" t="s">
        <v>8</v>
      </c>
      <c r="D884" t="s">
        <v>48</v>
      </c>
      <c r="E884" s="17">
        <v>6</v>
      </c>
      <c r="F884" s="17">
        <v>35.35</v>
      </c>
      <c r="G884" s="18">
        <v>212.1</v>
      </c>
      <c r="H884" s="30" t="s">
        <v>2293</v>
      </c>
      <c r="J884" s="34"/>
    </row>
    <row r="885" spans="1:10" x14ac:dyDescent="0.25">
      <c r="A885" s="15">
        <v>41148</v>
      </c>
      <c r="B885" s="16" t="s">
        <v>865</v>
      </c>
      <c r="C885" t="s">
        <v>8</v>
      </c>
      <c r="D885" t="s">
        <v>48</v>
      </c>
      <c r="E885" s="17">
        <v>2</v>
      </c>
      <c r="F885" s="17">
        <v>35.35</v>
      </c>
      <c r="G885" s="18">
        <v>70.7</v>
      </c>
      <c r="H885" s="30" t="s">
        <v>2293</v>
      </c>
      <c r="J885" s="34"/>
    </row>
    <row r="886" spans="1:10" x14ac:dyDescent="0.25">
      <c r="A886" s="15">
        <v>41148</v>
      </c>
      <c r="B886" s="16" t="s">
        <v>904</v>
      </c>
      <c r="C886" t="s">
        <v>905</v>
      </c>
      <c r="D886" t="s">
        <v>48</v>
      </c>
      <c r="E886" s="17">
        <v>4</v>
      </c>
      <c r="F886" s="17">
        <v>95</v>
      </c>
      <c r="G886" s="18">
        <v>380</v>
      </c>
      <c r="H886" s="30" t="s">
        <v>2293</v>
      </c>
      <c r="J886" s="34"/>
    </row>
    <row r="887" spans="1:10" x14ac:dyDescent="0.25">
      <c r="A887" s="15">
        <v>41148</v>
      </c>
      <c r="B887" s="16" t="s">
        <v>920</v>
      </c>
      <c r="C887" t="s">
        <v>871</v>
      </c>
      <c r="D887" t="s">
        <v>48</v>
      </c>
      <c r="E887" s="17">
        <v>4</v>
      </c>
      <c r="F887" s="17">
        <v>130</v>
      </c>
      <c r="G887" s="18">
        <v>520</v>
      </c>
      <c r="H887" s="30" t="s">
        <v>2293</v>
      </c>
      <c r="J887" s="34"/>
    </row>
    <row r="888" spans="1:10" x14ac:dyDescent="0.25">
      <c r="A888" s="15">
        <v>41148</v>
      </c>
      <c r="B888" s="16" t="s">
        <v>880</v>
      </c>
      <c r="C888" t="s">
        <v>881</v>
      </c>
      <c r="D888" t="s">
        <v>48</v>
      </c>
      <c r="E888" s="17">
        <v>4</v>
      </c>
      <c r="F888" s="17">
        <v>95</v>
      </c>
      <c r="G888" s="18">
        <v>380</v>
      </c>
      <c r="H888" s="30" t="s">
        <v>2293</v>
      </c>
      <c r="J888" s="34"/>
    </row>
    <row r="889" spans="1:10" x14ac:dyDescent="0.25">
      <c r="A889" s="15">
        <v>41148</v>
      </c>
      <c r="B889" s="16" t="s">
        <v>878</v>
      </c>
      <c r="C889" t="s">
        <v>879</v>
      </c>
      <c r="D889" t="s">
        <v>48</v>
      </c>
      <c r="E889" s="17">
        <v>2</v>
      </c>
      <c r="F889" s="17">
        <v>110</v>
      </c>
      <c r="G889" s="18">
        <v>220</v>
      </c>
      <c r="H889" s="30" t="s">
        <v>2293</v>
      </c>
      <c r="J889" s="34"/>
    </row>
    <row r="890" spans="1:10" x14ac:dyDescent="0.25">
      <c r="A890" s="15">
        <v>41149</v>
      </c>
      <c r="B890" s="16" t="s">
        <v>880</v>
      </c>
      <c r="C890" t="s">
        <v>881</v>
      </c>
      <c r="D890" t="s">
        <v>48</v>
      </c>
      <c r="E890" s="17">
        <v>3.5</v>
      </c>
      <c r="F890" s="17">
        <v>95</v>
      </c>
      <c r="G890" s="18">
        <v>332.5</v>
      </c>
      <c r="H890" s="30" t="s">
        <v>2293</v>
      </c>
      <c r="J890" s="34"/>
    </row>
    <row r="891" spans="1:10" x14ac:dyDescent="0.25">
      <c r="A891" s="15">
        <v>41149</v>
      </c>
      <c r="B891" s="16" t="s">
        <v>920</v>
      </c>
      <c r="C891" t="s">
        <v>871</v>
      </c>
      <c r="D891" t="s">
        <v>48</v>
      </c>
      <c r="E891" s="17">
        <v>4</v>
      </c>
      <c r="F891" s="17">
        <v>130</v>
      </c>
      <c r="G891" s="18">
        <v>520</v>
      </c>
      <c r="H891" s="30" t="s">
        <v>2293</v>
      </c>
      <c r="J891" s="34"/>
    </row>
    <row r="892" spans="1:10" x14ac:dyDescent="0.25">
      <c r="A892" s="15">
        <v>41149</v>
      </c>
      <c r="B892" s="16" t="s">
        <v>904</v>
      </c>
      <c r="C892" t="s">
        <v>905</v>
      </c>
      <c r="D892" t="s">
        <v>48</v>
      </c>
      <c r="E892" s="17">
        <v>3.5</v>
      </c>
      <c r="F892" s="17">
        <v>95</v>
      </c>
      <c r="G892" s="18">
        <v>332.5</v>
      </c>
      <c r="H892" s="30" t="s">
        <v>2293</v>
      </c>
      <c r="J892" s="34"/>
    </row>
    <row r="893" spans="1:10" x14ac:dyDescent="0.25">
      <c r="A893" s="15">
        <v>41149</v>
      </c>
      <c r="B893" s="16" t="s">
        <v>865</v>
      </c>
      <c r="C893" t="s">
        <v>8</v>
      </c>
      <c r="D893" t="s">
        <v>48</v>
      </c>
      <c r="E893" s="17">
        <v>6</v>
      </c>
      <c r="F893" s="17">
        <v>35.35</v>
      </c>
      <c r="G893" s="18">
        <v>212.1</v>
      </c>
      <c r="H893" s="30" t="s">
        <v>2293</v>
      </c>
      <c r="J893" s="34"/>
    </row>
    <row r="894" spans="1:10" x14ac:dyDescent="0.25">
      <c r="A894" s="15">
        <v>41149</v>
      </c>
      <c r="B894" s="16" t="s">
        <v>865</v>
      </c>
      <c r="C894" t="s">
        <v>8</v>
      </c>
      <c r="D894" t="s">
        <v>48</v>
      </c>
      <c r="E894" s="17">
        <v>6</v>
      </c>
      <c r="F894" s="17">
        <v>35.35</v>
      </c>
      <c r="G894" s="18">
        <v>212.1</v>
      </c>
      <c r="H894" s="30" t="s">
        <v>2293</v>
      </c>
      <c r="J894" s="34"/>
    </row>
    <row r="895" spans="1:10" x14ac:dyDescent="0.25">
      <c r="A895" s="15">
        <v>41149</v>
      </c>
      <c r="B895" s="16" t="s">
        <v>865</v>
      </c>
      <c r="C895" t="s">
        <v>8</v>
      </c>
      <c r="D895" t="s">
        <v>48</v>
      </c>
      <c r="E895" s="17">
        <v>4.5</v>
      </c>
      <c r="F895" s="17">
        <v>35.35</v>
      </c>
      <c r="G895" s="18">
        <v>159.07499999999999</v>
      </c>
      <c r="H895" s="30" t="s">
        <v>2293</v>
      </c>
      <c r="J895" s="34"/>
    </row>
    <row r="896" spans="1:10" x14ac:dyDescent="0.25">
      <c r="A896" s="15">
        <v>41150</v>
      </c>
      <c r="B896" s="16" t="s">
        <v>865</v>
      </c>
      <c r="C896" t="s">
        <v>8</v>
      </c>
      <c r="D896" t="s">
        <v>48</v>
      </c>
      <c r="E896" s="17">
        <v>1.5</v>
      </c>
      <c r="F896" s="17">
        <v>35.35</v>
      </c>
      <c r="G896" s="18">
        <v>53.024999999999999</v>
      </c>
      <c r="H896" s="30" t="s">
        <v>2293</v>
      </c>
      <c r="J896" s="34"/>
    </row>
    <row r="897" spans="1:10" x14ac:dyDescent="0.25">
      <c r="A897" s="15">
        <v>41150</v>
      </c>
      <c r="B897" s="16" t="s">
        <v>865</v>
      </c>
      <c r="C897" t="s">
        <v>8</v>
      </c>
      <c r="D897" t="s">
        <v>48</v>
      </c>
      <c r="E897" s="17">
        <v>4.5</v>
      </c>
      <c r="F897" s="17">
        <v>35.35</v>
      </c>
      <c r="G897" s="18">
        <v>159.07499999999999</v>
      </c>
      <c r="H897" s="30" t="s">
        <v>2293</v>
      </c>
      <c r="J897" s="34"/>
    </row>
    <row r="898" spans="1:10" x14ac:dyDescent="0.25">
      <c r="A898" s="15">
        <v>41150</v>
      </c>
      <c r="B898" s="16" t="s">
        <v>865</v>
      </c>
      <c r="C898" t="s">
        <v>8</v>
      </c>
      <c r="D898" t="s">
        <v>48</v>
      </c>
      <c r="E898" s="17">
        <v>2</v>
      </c>
      <c r="F898" s="17">
        <v>35.35</v>
      </c>
      <c r="G898" s="18">
        <v>70.7</v>
      </c>
      <c r="H898" s="30" t="s">
        <v>2293</v>
      </c>
      <c r="J898" s="34"/>
    </row>
    <row r="899" spans="1:10" x14ac:dyDescent="0.25">
      <c r="A899" s="15">
        <v>41150</v>
      </c>
      <c r="B899" s="16" t="s">
        <v>920</v>
      </c>
      <c r="C899" t="s">
        <v>871</v>
      </c>
      <c r="D899" t="s">
        <v>48</v>
      </c>
      <c r="E899" s="17">
        <v>3</v>
      </c>
      <c r="F899" s="17">
        <v>130</v>
      </c>
      <c r="G899" s="18">
        <v>390</v>
      </c>
      <c r="H899" s="30" t="s">
        <v>2293</v>
      </c>
      <c r="J899" s="34"/>
    </row>
    <row r="900" spans="1:10" x14ac:dyDescent="0.25">
      <c r="A900" s="15">
        <v>41150</v>
      </c>
      <c r="B900" s="16" t="s">
        <v>922</v>
      </c>
      <c r="C900" t="s">
        <v>886</v>
      </c>
      <c r="D900" t="s">
        <v>48</v>
      </c>
      <c r="E900" s="17">
        <v>3.5</v>
      </c>
      <c r="F900" s="17">
        <v>95</v>
      </c>
      <c r="G900" s="18">
        <v>332.5</v>
      </c>
      <c r="H900" s="30" t="s">
        <v>2293</v>
      </c>
      <c r="J900" s="34"/>
    </row>
    <row r="901" spans="1:10" x14ac:dyDescent="0.25">
      <c r="A901" s="15">
        <v>41150</v>
      </c>
      <c r="B901" s="16" t="s">
        <v>887</v>
      </c>
      <c r="C901" t="s">
        <v>873</v>
      </c>
      <c r="D901" t="s">
        <v>48</v>
      </c>
      <c r="E901" s="17">
        <v>4</v>
      </c>
      <c r="F901" s="17">
        <v>95</v>
      </c>
      <c r="G901" s="18">
        <v>380</v>
      </c>
      <c r="H901" s="30" t="s">
        <v>2293</v>
      </c>
      <c r="J901" s="34"/>
    </row>
    <row r="902" spans="1:10" x14ac:dyDescent="0.25">
      <c r="A902" s="15">
        <v>41150</v>
      </c>
      <c r="B902" s="16" t="s">
        <v>904</v>
      </c>
      <c r="C902" t="s">
        <v>905</v>
      </c>
      <c r="D902" t="s">
        <v>48</v>
      </c>
      <c r="E902" s="17">
        <v>3.5</v>
      </c>
      <c r="F902" s="17">
        <v>95</v>
      </c>
      <c r="G902" s="18">
        <v>332.5</v>
      </c>
      <c r="H902" s="30" t="s">
        <v>2293</v>
      </c>
      <c r="J902" s="34"/>
    </row>
    <row r="903" spans="1:10" x14ac:dyDescent="0.25">
      <c r="A903" s="15">
        <v>41150</v>
      </c>
      <c r="B903" s="16" t="s">
        <v>882</v>
      </c>
      <c r="C903" t="s">
        <v>8</v>
      </c>
      <c r="D903" t="s">
        <v>48</v>
      </c>
      <c r="E903" s="17">
        <v>2</v>
      </c>
      <c r="F903" s="17">
        <v>48</v>
      </c>
      <c r="G903" s="18">
        <v>96</v>
      </c>
      <c r="H903" s="30" t="s">
        <v>2293</v>
      </c>
      <c r="J903" s="34"/>
    </row>
    <row r="904" spans="1:10" x14ac:dyDescent="0.25">
      <c r="A904" s="15">
        <v>41150</v>
      </c>
      <c r="B904" s="16" t="s">
        <v>865</v>
      </c>
      <c r="C904" t="s">
        <v>8</v>
      </c>
      <c r="D904" t="s">
        <v>48</v>
      </c>
      <c r="E904" s="17">
        <v>2</v>
      </c>
      <c r="F904" s="17">
        <v>35.35</v>
      </c>
      <c r="G904" s="18">
        <v>70.7</v>
      </c>
      <c r="H904" s="30" t="s">
        <v>2293</v>
      </c>
      <c r="J904" s="34"/>
    </row>
    <row r="905" spans="1:10" x14ac:dyDescent="0.25">
      <c r="A905" s="15">
        <v>41152</v>
      </c>
      <c r="B905" s="16" t="s">
        <v>878</v>
      </c>
      <c r="C905" t="s">
        <v>879</v>
      </c>
      <c r="D905" t="s">
        <v>48</v>
      </c>
      <c r="E905" s="17">
        <v>1</v>
      </c>
      <c r="F905" s="17">
        <v>110</v>
      </c>
      <c r="G905" s="18">
        <v>110</v>
      </c>
      <c r="H905" s="30" t="s">
        <v>2293</v>
      </c>
      <c r="J905" s="34"/>
    </row>
    <row r="906" spans="1:10" x14ac:dyDescent="0.25">
      <c r="A906" s="15">
        <v>41152</v>
      </c>
      <c r="B906" s="16" t="s">
        <v>865</v>
      </c>
      <c r="C906" t="s">
        <v>8</v>
      </c>
      <c r="D906" t="s">
        <v>48</v>
      </c>
      <c r="E906" s="17">
        <v>5</v>
      </c>
      <c r="F906" s="17">
        <v>35.35</v>
      </c>
      <c r="G906" s="18">
        <v>176.75</v>
      </c>
      <c r="H906" s="30" t="s">
        <v>2293</v>
      </c>
      <c r="J906" s="34"/>
    </row>
    <row r="907" spans="1:10" x14ac:dyDescent="0.25">
      <c r="A907" s="15">
        <v>41152</v>
      </c>
      <c r="B907" s="16" t="s">
        <v>865</v>
      </c>
      <c r="C907" t="s">
        <v>8</v>
      </c>
      <c r="D907" t="s">
        <v>48</v>
      </c>
      <c r="E907" s="17">
        <v>4.5</v>
      </c>
      <c r="F907" s="17">
        <v>35.35</v>
      </c>
      <c r="G907" s="18">
        <v>159.07499999999999</v>
      </c>
      <c r="H907" s="30" t="s">
        <v>2293</v>
      </c>
      <c r="J907" s="34"/>
    </row>
    <row r="908" spans="1:10" x14ac:dyDescent="0.25">
      <c r="A908" s="15">
        <v>41155</v>
      </c>
      <c r="B908" s="16" t="s">
        <v>865</v>
      </c>
      <c r="C908" t="s">
        <v>8</v>
      </c>
      <c r="D908" t="s">
        <v>48</v>
      </c>
      <c r="E908" s="17">
        <v>5</v>
      </c>
      <c r="F908" s="17">
        <v>35.35</v>
      </c>
      <c r="G908" s="18">
        <v>176.75</v>
      </c>
      <c r="H908" s="30" t="s">
        <v>2293</v>
      </c>
      <c r="J908" s="34"/>
    </row>
    <row r="909" spans="1:10" x14ac:dyDescent="0.25">
      <c r="A909" s="15">
        <v>41155</v>
      </c>
      <c r="B909" s="16" t="s">
        <v>865</v>
      </c>
      <c r="C909" t="s">
        <v>8</v>
      </c>
      <c r="D909" t="s">
        <v>48</v>
      </c>
      <c r="E909" s="17">
        <v>5</v>
      </c>
      <c r="F909" s="17">
        <v>35.35</v>
      </c>
      <c r="G909" s="18">
        <v>176.75</v>
      </c>
      <c r="H909" s="30" t="s">
        <v>2293</v>
      </c>
      <c r="J909" s="34"/>
    </row>
    <row r="910" spans="1:10" x14ac:dyDescent="0.25">
      <c r="A910" s="15">
        <v>41155</v>
      </c>
      <c r="B910" s="16" t="s">
        <v>882</v>
      </c>
      <c r="C910" t="s">
        <v>8</v>
      </c>
      <c r="D910" t="s">
        <v>48</v>
      </c>
      <c r="E910" s="17">
        <v>5</v>
      </c>
      <c r="F910" s="17">
        <v>48</v>
      </c>
      <c r="G910" s="18">
        <v>240</v>
      </c>
      <c r="H910" s="30" t="s">
        <v>2293</v>
      </c>
      <c r="J910" s="34"/>
    </row>
    <row r="911" spans="1:10" x14ac:dyDescent="0.25">
      <c r="A911" s="15">
        <v>41155</v>
      </c>
      <c r="B911" s="16" t="s">
        <v>878</v>
      </c>
      <c r="C911" t="s">
        <v>879</v>
      </c>
      <c r="D911" t="s">
        <v>48</v>
      </c>
      <c r="E911" s="17">
        <v>4.5</v>
      </c>
      <c r="F911" s="17">
        <v>110</v>
      </c>
      <c r="G911" s="18">
        <v>495</v>
      </c>
      <c r="H911" s="30" t="s">
        <v>2293</v>
      </c>
      <c r="J911" s="34"/>
    </row>
    <row r="912" spans="1:10" x14ac:dyDescent="0.25">
      <c r="A912" s="15">
        <v>41156</v>
      </c>
      <c r="B912" s="16" t="s">
        <v>949</v>
      </c>
      <c r="C912" t="s">
        <v>950</v>
      </c>
      <c r="D912" t="s">
        <v>48</v>
      </c>
      <c r="E912" s="17">
        <v>2.5</v>
      </c>
      <c r="F912" s="17">
        <v>135</v>
      </c>
      <c r="G912" s="18">
        <v>337.5</v>
      </c>
      <c r="H912" s="30" t="s">
        <v>2293</v>
      </c>
      <c r="J912" s="34"/>
    </row>
    <row r="913" spans="1:10" x14ac:dyDescent="0.25">
      <c r="A913" s="15">
        <v>41156</v>
      </c>
      <c r="B913" s="16" t="s">
        <v>865</v>
      </c>
      <c r="C913" t="s">
        <v>8</v>
      </c>
      <c r="D913" t="s">
        <v>48</v>
      </c>
      <c r="E913" s="17">
        <v>7</v>
      </c>
      <c r="F913" s="17">
        <v>35.35</v>
      </c>
      <c r="G913" s="18">
        <v>247.45</v>
      </c>
      <c r="H913" s="30" t="s">
        <v>2293</v>
      </c>
      <c r="J913" s="34"/>
    </row>
    <row r="914" spans="1:10" x14ac:dyDescent="0.25">
      <c r="A914" s="15">
        <v>41156</v>
      </c>
      <c r="B914" s="16" t="s">
        <v>882</v>
      </c>
      <c r="C914" t="s">
        <v>8</v>
      </c>
      <c r="D914" t="s">
        <v>48</v>
      </c>
      <c r="E914" s="17">
        <v>7.5</v>
      </c>
      <c r="F914" s="17">
        <v>48</v>
      </c>
      <c r="G914" s="18">
        <v>360</v>
      </c>
      <c r="H914" s="30" t="s">
        <v>2293</v>
      </c>
      <c r="J914" s="34"/>
    </row>
    <row r="915" spans="1:10" x14ac:dyDescent="0.25">
      <c r="A915" s="15">
        <v>41156</v>
      </c>
      <c r="B915" s="16" t="s">
        <v>878</v>
      </c>
      <c r="C915" t="s">
        <v>879</v>
      </c>
      <c r="D915" t="s">
        <v>48</v>
      </c>
      <c r="E915" s="17">
        <v>7.5</v>
      </c>
      <c r="F915" s="17">
        <v>110</v>
      </c>
      <c r="G915" s="18">
        <v>825</v>
      </c>
      <c r="H915" s="30" t="s">
        <v>2293</v>
      </c>
      <c r="J915" s="34"/>
    </row>
    <row r="916" spans="1:10" x14ac:dyDescent="0.25">
      <c r="A916" s="15">
        <v>41156</v>
      </c>
      <c r="B916" s="16" t="s">
        <v>865</v>
      </c>
      <c r="C916" t="s">
        <v>8</v>
      </c>
      <c r="D916" t="s">
        <v>48</v>
      </c>
      <c r="E916" s="17">
        <v>9.5</v>
      </c>
      <c r="F916" s="17">
        <v>35.35</v>
      </c>
      <c r="G916" s="18">
        <v>335.82499999999999</v>
      </c>
      <c r="H916" s="30" t="s">
        <v>2293</v>
      </c>
      <c r="J916" s="34"/>
    </row>
    <row r="917" spans="1:10" x14ac:dyDescent="0.25">
      <c r="A917" s="15">
        <v>41156</v>
      </c>
      <c r="B917" s="16" t="s">
        <v>865</v>
      </c>
      <c r="C917" t="s">
        <v>8</v>
      </c>
      <c r="D917" t="s">
        <v>48</v>
      </c>
      <c r="E917" s="17">
        <v>9.5</v>
      </c>
      <c r="F917" s="17">
        <v>35.35</v>
      </c>
      <c r="G917" s="18">
        <v>335.82499999999999</v>
      </c>
      <c r="H917" s="30" t="s">
        <v>2293</v>
      </c>
      <c r="J917" s="34"/>
    </row>
    <row r="918" spans="1:10" x14ac:dyDescent="0.25">
      <c r="A918" s="15">
        <v>41158</v>
      </c>
      <c r="B918" s="16" t="s">
        <v>882</v>
      </c>
      <c r="C918" t="s">
        <v>8</v>
      </c>
      <c r="D918" t="s">
        <v>48</v>
      </c>
      <c r="E918" s="17">
        <v>8</v>
      </c>
      <c r="F918" s="17">
        <v>48</v>
      </c>
      <c r="G918" s="18">
        <v>384</v>
      </c>
      <c r="H918" s="30" t="s">
        <v>2293</v>
      </c>
      <c r="J918" s="34"/>
    </row>
    <row r="919" spans="1:10" x14ac:dyDescent="0.25">
      <c r="A919" s="15">
        <v>41158</v>
      </c>
      <c r="B919" s="16" t="s">
        <v>880</v>
      </c>
      <c r="C919" t="s">
        <v>881</v>
      </c>
      <c r="D919" t="s">
        <v>48</v>
      </c>
      <c r="E919" s="17">
        <v>7.5</v>
      </c>
      <c r="F919" s="17">
        <v>95</v>
      </c>
      <c r="G919" s="18">
        <v>712.5</v>
      </c>
      <c r="H919" s="30" t="s">
        <v>2293</v>
      </c>
      <c r="J919" s="34"/>
    </row>
    <row r="920" spans="1:10" x14ac:dyDescent="0.25">
      <c r="A920" s="15">
        <v>41158</v>
      </c>
      <c r="B920" s="16" t="s">
        <v>865</v>
      </c>
      <c r="C920" t="s">
        <v>8</v>
      </c>
      <c r="D920" t="s">
        <v>48</v>
      </c>
      <c r="E920" s="17">
        <v>6</v>
      </c>
      <c r="F920" s="17">
        <v>35.35</v>
      </c>
      <c r="G920" s="18">
        <v>212.1</v>
      </c>
      <c r="H920" s="30" t="s">
        <v>2293</v>
      </c>
      <c r="J920" s="34"/>
    </row>
    <row r="921" spans="1:10" x14ac:dyDescent="0.25">
      <c r="A921" s="15">
        <v>41158</v>
      </c>
      <c r="B921" s="16" t="s">
        <v>904</v>
      </c>
      <c r="C921" t="s">
        <v>905</v>
      </c>
      <c r="D921" t="s">
        <v>48</v>
      </c>
      <c r="E921" s="17">
        <v>3</v>
      </c>
      <c r="F921" s="17">
        <v>95</v>
      </c>
      <c r="G921" s="18">
        <v>285</v>
      </c>
      <c r="H921" s="30" t="s">
        <v>2293</v>
      </c>
      <c r="J921" s="34"/>
    </row>
    <row r="922" spans="1:10" x14ac:dyDescent="0.25">
      <c r="A922" s="15">
        <v>41158</v>
      </c>
      <c r="B922" s="16" t="s">
        <v>951</v>
      </c>
      <c r="C922" t="s">
        <v>886</v>
      </c>
      <c r="D922" t="s">
        <v>48</v>
      </c>
      <c r="E922" s="17">
        <v>3</v>
      </c>
      <c r="F922" s="17">
        <v>95</v>
      </c>
      <c r="G922" s="18">
        <v>285</v>
      </c>
      <c r="H922" s="30" t="s">
        <v>2293</v>
      </c>
      <c r="J922" s="34"/>
    </row>
    <row r="923" spans="1:10" x14ac:dyDescent="0.25">
      <c r="A923" s="15">
        <v>41158</v>
      </c>
      <c r="B923" s="16" t="s">
        <v>949</v>
      </c>
      <c r="C923" t="s">
        <v>950</v>
      </c>
      <c r="D923" t="s">
        <v>48</v>
      </c>
      <c r="E923" s="17">
        <v>1</v>
      </c>
      <c r="F923" s="17">
        <v>135</v>
      </c>
      <c r="G923" s="18">
        <v>135</v>
      </c>
      <c r="H923" s="30" t="s">
        <v>2293</v>
      </c>
      <c r="J923" s="34"/>
    </row>
    <row r="924" spans="1:10" x14ac:dyDescent="0.25">
      <c r="A924" s="15">
        <v>41158</v>
      </c>
      <c r="B924" s="16" t="s">
        <v>865</v>
      </c>
      <c r="C924" t="s">
        <v>8</v>
      </c>
      <c r="D924" t="s">
        <v>48</v>
      </c>
      <c r="E924" s="17">
        <v>4</v>
      </c>
      <c r="F924" s="17">
        <v>35.35</v>
      </c>
      <c r="G924" s="18">
        <v>141.4</v>
      </c>
      <c r="H924" s="30" t="s">
        <v>2293</v>
      </c>
      <c r="J924" s="34"/>
    </row>
    <row r="925" spans="1:10" x14ac:dyDescent="0.25">
      <c r="A925" s="15">
        <v>41158</v>
      </c>
      <c r="B925" s="16" t="s">
        <v>878</v>
      </c>
      <c r="C925" t="s">
        <v>879</v>
      </c>
      <c r="D925" t="s">
        <v>48</v>
      </c>
      <c r="E925" s="17">
        <v>9.5</v>
      </c>
      <c r="F925" s="17">
        <v>110</v>
      </c>
      <c r="G925" s="18">
        <v>1045</v>
      </c>
      <c r="H925" s="30" t="s">
        <v>2293</v>
      </c>
      <c r="J925" s="34"/>
    </row>
    <row r="926" spans="1:10" x14ac:dyDescent="0.25">
      <c r="A926" s="15">
        <v>41158</v>
      </c>
      <c r="B926" s="16" t="s">
        <v>920</v>
      </c>
      <c r="C926" t="s">
        <v>871</v>
      </c>
      <c r="D926" t="s">
        <v>48</v>
      </c>
      <c r="E926" s="17">
        <v>3</v>
      </c>
      <c r="F926" s="17">
        <v>130</v>
      </c>
      <c r="G926" s="18">
        <v>390</v>
      </c>
      <c r="H926" s="30" t="s">
        <v>2293</v>
      </c>
      <c r="J926" s="34"/>
    </row>
    <row r="927" spans="1:10" x14ac:dyDescent="0.25">
      <c r="A927" s="15">
        <v>41159</v>
      </c>
      <c r="B927" s="16" t="s">
        <v>865</v>
      </c>
      <c r="C927" t="s">
        <v>8</v>
      </c>
      <c r="D927" t="s">
        <v>48</v>
      </c>
      <c r="E927" s="17">
        <v>3</v>
      </c>
      <c r="F927" s="17">
        <v>35.35</v>
      </c>
      <c r="G927" s="18">
        <v>106.05</v>
      </c>
      <c r="H927" s="30" t="s">
        <v>2293</v>
      </c>
      <c r="J927" s="34"/>
    </row>
    <row r="928" spans="1:10" x14ac:dyDescent="0.25">
      <c r="A928" s="15">
        <v>41159</v>
      </c>
      <c r="B928" s="16" t="s">
        <v>878</v>
      </c>
      <c r="C928" t="s">
        <v>879</v>
      </c>
      <c r="D928" t="s">
        <v>48</v>
      </c>
      <c r="E928" s="17">
        <v>4.25</v>
      </c>
      <c r="F928" s="17">
        <v>110</v>
      </c>
      <c r="G928" s="18">
        <v>467.5</v>
      </c>
      <c r="H928" s="30" t="s">
        <v>2293</v>
      </c>
      <c r="J928" s="34"/>
    </row>
    <row r="929" spans="1:10" x14ac:dyDescent="0.25">
      <c r="A929" s="15">
        <v>41159</v>
      </c>
      <c r="B929" s="16" t="s">
        <v>885</v>
      </c>
      <c r="C929" t="s">
        <v>886</v>
      </c>
      <c r="D929" t="s">
        <v>48</v>
      </c>
      <c r="E929" s="17">
        <v>4.5</v>
      </c>
      <c r="F929" s="17">
        <v>95</v>
      </c>
      <c r="G929" s="18">
        <v>427.5</v>
      </c>
      <c r="H929" s="30" t="s">
        <v>2293</v>
      </c>
      <c r="J929" s="34"/>
    </row>
    <row r="930" spans="1:10" x14ac:dyDescent="0.25">
      <c r="A930" s="15">
        <v>41159</v>
      </c>
      <c r="B930" s="16" t="s">
        <v>865</v>
      </c>
      <c r="C930" t="s">
        <v>8</v>
      </c>
      <c r="D930" t="s">
        <v>48</v>
      </c>
      <c r="E930" s="17">
        <v>3</v>
      </c>
      <c r="F930" s="17">
        <v>35.35</v>
      </c>
      <c r="G930" s="18">
        <v>106.05</v>
      </c>
      <c r="H930" s="30" t="s">
        <v>2293</v>
      </c>
      <c r="J930" s="34"/>
    </row>
    <row r="931" spans="1:10" x14ac:dyDescent="0.25">
      <c r="A931" s="15">
        <v>41159</v>
      </c>
      <c r="B931" s="16" t="s">
        <v>882</v>
      </c>
      <c r="C931" t="s">
        <v>8</v>
      </c>
      <c r="D931" t="s">
        <v>48</v>
      </c>
      <c r="E931" s="17">
        <v>3</v>
      </c>
      <c r="F931" s="17">
        <v>48</v>
      </c>
      <c r="G931" s="18">
        <v>144</v>
      </c>
      <c r="H931" s="30" t="s">
        <v>2293</v>
      </c>
      <c r="J931" s="34"/>
    </row>
    <row r="932" spans="1:10" x14ac:dyDescent="0.25">
      <c r="A932" s="15">
        <v>41159</v>
      </c>
      <c r="B932" s="16" t="s">
        <v>865</v>
      </c>
      <c r="C932" t="s">
        <v>8</v>
      </c>
      <c r="D932" t="s">
        <v>48</v>
      </c>
      <c r="E932" s="17">
        <v>3</v>
      </c>
      <c r="F932" s="17">
        <v>35.35</v>
      </c>
      <c r="G932" s="18">
        <v>106.05</v>
      </c>
      <c r="H932" s="30" t="s">
        <v>2293</v>
      </c>
      <c r="J932" s="34"/>
    </row>
    <row r="933" spans="1:10" x14ac:dyDescent="0.25">
      <c r="A933" s="15">
        <v>41159</v>
      </c>
      <c r="B933" s="16" t="s">
        <v>865</v>
      </c>
      <c r="C933" t="s">
        <v>8</v>
      </c>
      <c r="D933" t="s">
        <v>48</v>
      </c>
      <c r="E933" s="17">
        <v>3</v>
      </c>
      <c r="F933" s="17">
        <v>35.35</v>
      </c>
      <c r="G933" s="18">
        <v>106.05</v>
      </c>
      <c r="H933" s="30" t="s">
        <v>2293</v>
      </c>
      <c r="J933" s="34"/>
    </row>
    <row r="934" spans="1:10" ht="30" x14ac:dyDescent="0.25">
      <c r="A934" s="15">
        <v>41162</v>
      </c>
      <c r="B934" s="16" t="s">
        <v>952</v>
      </c>
      <c r="C934" t="s">
        <v>953</v>
      </c>
      <c r="D934" t="s">
        <v>783</v>
      </c>
      <c r="E934" s="17">
        <v>1</v>
      </c>
      <c r="F934" s="17">
        <v>762</v>
      </c>
      <c r="G934" s="18">
        <v>762</v>
      </c>
      <c r="H934" s="30" t="s">
        <v>2293</v>
      </c>
      <c r="J934" s="34"/>
    </row>
    <row r="935" spans="1:10" x14ac:dyDescent="0.25">
      <c r="A935" s="15">
        <v>41162</v>
      </c>
      <c r="B935" s="16" t="s">
        <v>920</v>
      </c>
      <c r="C935" t="s">
        <v>871</v>
      </c>
      <c r="D935" t="s">
        <v>48</v>
      </c>
      <c r="E935" s="17">
        <v>4</v>
      </c>
      <c r="F935" s="17">
        <v>130</v>
      </c>
      <c r="G935" s="18">
        <v>520</v>
      </c>
      <c r="H935" s="30" t="s">
        <v>2293</v>
      </c>
      <c r="J935" s="34"/>
    </row>
    <row r="936" spans="1:10" x14ac:dyDescent="0.25">
      <c r="A936" s="15">
        <v>41162</v>
      </c>
      <c r="B936" s="16" t="s">
        <v>880</v>
      </c>
      <c r="C936" t="s">
        <v>881</v>
      </c>
      <c r="D936" t="s">
        <v>48</v>
      </c>
      <c r="E936" s="17">
        <v>4</v>
      </c>
      <c r="F936" s="17">
        <v>95</v>
      </c>
      <c r="G936" s="18">
        <v>380</v>
      </c>
      <c r="H936" s="30" t="s">
        <v>2293</v>
      </c>
      <c r="J936" s="34"/>
    </row>
    <row r="937" spans="1:10" x14ac:dyDescent="0.25">
      <c r="A937" s="15">
        <v>41162</v>
      </c>
      <c r="B937" s="16" t="s">
        <v>954</v>
      </c>
      <c r="C937" t="s">
        <v>8</v>
      </c>
      <c r="D937" t="s">
        <v>48</v>
      </c>
      <c r="E937" s="17">
        <v>2</v>
      </c>
      <c r="F937" s="17">
        <v>40.97</v>
      </c>
      <c r="G937" s="18">
        <v>81.94</v>
      </c>
      <c r="H937" s="30" t="s">
        <v>2293</v>
      </c>
      <c r="J937" s="34"/>
    </row>
    <row r="938" spans="1:10" x14ac:dyDescent="0.25">
      <c r="A938" s="15">
        <v>41162</v>
      </c>
      <c r="B938" s="16" t="s">
        <v>865</v>
      </c>
      <c r="C938" t="s">
        <v>8</v>
      </c>
      <c r="D938" t="s">
        <v>48</v>
      </c>
      <c r="E938" s="17">
        <v>5</v>
      </c>
      <c r="F938" s="17">
        <v>35.35</v>
      </c>
      <c r="G938" s="18">
        <v>176.75</v>
      </c>
      <c r="H938" s="30" t="s">
        <v>2293</v>
      </c>
      <c r="J938" s="34"/>
    </row>
    <row r="939" spans="1:10" x14ac:dyDescent="0.25">
      <c r="A939" s="15">
        <v>41162</v>
      </c>
      <c r="B939" s="16" t="s">
        <v>955</v>
      </c>
      <c r="C939" t="s">
        <v>886</v>
      </c>
      <c r="D939" t="s">
        <v>48</v>
      </c>
      <c r="E939" s="17">
        <v>2</v>
      </c>
      <c r="F939" s="17">
        <v>50</v>
      </c>
      <c r="G939" s="18">
        <v>100</v>
      </c>
      <c r="H939" s="30" t="s">
        <v>2293</v>
      </c>
      <c r="J939" s="34"/>
    </row>
    <row r="940" spans="1:10" x14ac:dyDescent="0.25">
      <c r="A940" s="15">
        <v>41162</v>
      </c>
      <c r="B940" s="16" t="s">
        <v>865</v>
      </c>
      <c r="C940" t="s">
        <v>8</v>
      </c>
      <c r="D940" t="s">
        <v>48</v>
      </c>
      <c r="E940" s="17">
        <v>3.5</v>
      </c>
      <c r="F940" s="17">
        <v>35.35</v>
      </c>
      <c r="G940" s="18">
        <v>123.72499999999999</v>
      </c>
      <c r="H940" s="30" t="s">
        <v>2293</v>
      </c>
      <c r="J940" s="34"/>
    </row>
    <row r="941" spans="1:10" x14ac:dyDescent="0.25">
      <c r="A941" s="15">
        <v>41162</v>
      </c>
      <c r="B941" s="16" t="s">
        <v>904</v>
      </c>
      <c r="C941" t="s">
        <v>905</v>
      </c>
      <c r="D941" t="s">
        <v>48</v>
      </c>
      <c r="E941" s="17">
        <v>3</v>
      </c>
      <c r="F941" s="17">
        <v>95</v>
      </c>
      <c r="G941" s="18">
        <v>285</v>
      </c>
      <c r="H941" s="30" t="s">
        <v>2293</v>
      </c>
      <c r="J941" s="34"/>
    </row>
    <row r="942" spans="1:10" x14ac:dyDescent="0.25">
      <c r="A942" s="15">
        <v>41162</v>
      </c>
      <c r="B942" s="16" t="s">
        <v>882</v>
      </c>
      <c r="C942" t="s">
        <v>8</v>
      </c>
      <c r="D942" t="s">
        <v>48</v>
      </c>
      <c r="E942" s="17">
        <v>5</v>
      </c>
      <c r="F942" s="17">
        <v>48</v>
      </c>
      <c r="G942" s="18">
        <v>240</v>
      </c>
      <c r="H942" s="30" t="s">
        <v>2293</v>
      </c>
      <c r="J942" s="34"/>
    </row>
    <row r="943" spans="1:10" x14ac:dyDescent="0.25">
      <c r="A943" s="15">
        <v>41162</v>
      </c>
      <c r="B943" s="16" t="s">
        <v>865</v>
      </c>
      <c r="C943" t="s">
        <v>8</v>
      </c>
      <c r="D943" t="s">
        <v>48</v>
      </c>
      <c r="E943" s="17">
        <v>4.5</v>
      </c>
      <c r="F943" s="17">
        <v>35.35</v>
      </c>
      <c r="G943" s="18">
        <v>159.07499999999999</v>
      </c>
      <c r="H943" s="30" t="s">
        <v>2293</v>
      </c>
      <c r="J943" s="34"/>
    </row>
    <row r="944" spans="1:10" x14ac:dyDescent="0.25">
      <c r="A944" s="15">
        <v>41162</v>
      </c>
      <c r="B944" s="16" t="s">
        <v>865</v>
      </c>
      <c r="C944" t="s">
        <v>8</v>
      </c>
      <c r="D944" t="s">
        <v>48</v>
      </c>
      <c r="E944" s="17">
        <v>4.5</v>
      </c>
      <c r="F944" s="17">
        <v>35.35</v>
      </c>
      <c r="G944" s="18">
        <v>159.07499999999999</v>
      </c>
      <c r="H944" s="30" t="s">
        <v>2293</v>
      </c>
      <c r="J944" s="34"/>
    </row>
    <row r="945" spans="1:10" x14ac:dyDescent="0.25">
      <c r="A945" s="15">
        <v>41162</v>
      </c>
      <c r="B945" s="16" t="s">
        <v>878</v>
      </c>
      <c r="C945" t="s">
        <v>879</v>
      </c>
      <c r="D945" t="s">
        <v>48</v>
      </c>
      <c r="E945" s="17">
        <v>4.5</v>
      </c>
      <c r="F945" s="17">
        <v>110</v>
      </c>
      <c r="G945" s="18">
        <v>495</v>
      </c>
      <c r="H945" s="30" t="s">
        <v>2293</v>
      </c>
      <c r="J945" s="34"/>
    </row>
    <row r="946" spans="1:10" x14ac:dyDescent="0.25">
      <c r="A946" s="15">
        <v>41163</v>
      </c>
      <c r="B946" s="16" t="s">
        <v>865</v>
      </c>
      <c r="C946" t="s">
        <v>8</v>
      </c>
      <c r="D946" t="s">
        <v>48</v>
      </c>
      <c r="E946" s="17">
        <v>4</v>
      </c>
      <c r="F946" s="17">
        <v>35.35</v>
      </c>
      <c r="G946" s="18">
        <v>141.4</v>
      </c>
      <c r="H946" s="30" t="s">
        <v>2293</v>
      </c>
      <c r="J946" s="34"/>
    </row>
    <row r="947" spans="1:10" x14ac:dyDescent="0.25">
      <c r="A947" s="15">
        <v>41163</v>
      </c>
      <c r="B947" s="16" t="s">
        <v>865</v>
      </c>
      <c r="C947" t="s">
        <v>8</v>
      </c>
      <c r="D947" t="s">
        <v>48</v>
      </c>
      <c r="E947" s="17">
        <v>4</v>
      </c>
      <c r="F947" s="17">
        <v>35.35</v>
      </c>
      <c r="G947" s="18">
        <v>141.4</v>
      </c>
      <c r="H947" s="30" t="s">
        <v>2293</v>
      </c>
      <c r="J947" s="34"/>
    </row>
    <row r="948" spans="1:10" x14ac:dyDescent="0.25">
      <c r="A948" s="15">
        <v>41163</v>
      </c>
      <c r="B948" s="16" t="s">
        <v>865</v>
      </c>
      <c r="C948" t="s">
        <v>8</v>
      </c>
      <c r="D948" t="s">
        <v>48</v>
      </c>
      <c r="E948" s="17">
        <v>5</v>
      </c>
      <c r="F948" s="17">
        <v>35.35</v>
      </c>
      <c r="G948" s="18">
        <v>176.75</v>
      </c>
      <c r="H948" s="30" t="s">
        <v>2293</v>
      </c>
      <c r="J948" s="34"/>
    </row>
    <row r="949" spans="1:10" x14ac:dyDescent="0.25">
      <c r="A949" s="15">
        <v>41163</v>
      </c>
      <c r="B949" s="16" t="s">
        <v>865</v>
      </c>
      <c r="C949" t="s">
        <v>8</v>
      </c>
      <c r="D949" t="s">
        <v>48</v>
      </c>
      <c r="E949" s="17">
        <v>5</v>
      </c>
      <c r="F949" s="17">
        <v>35.35</v>
      </c>
      <c r="G949" s="18">
        <v>176.75</v>
      </c>
      <c r="H949" s="30" t="s">
        <v>2293</v>
      </c>
      <c r="J949" s="34"/>
    </row>
    <row r="950" spans="1:10" x14ac:dyDescent="0.25">
      <c r="A950" s="15">
        <v>41163</v>
      </c>
      <c r="B950" s="16" t="s">
        <v>882</v>
      </c>
      <c r="C950" t="s">
        <v>8</v>
      </c>
      <c r="D950" t="s">
        <v>48</v>
      </c>
      <c r="E950" s="17">
        <v>4</v>
      </c>
      <c r="F950" s="17">
        <v>48</v>
      </c>
      <c r="G950" s="18">
        <v>192</v>
      </c>
      <c r="H950" s="30" t="s">
        <v>2293</v>
      </c>
      <c r="J950" s="34"/>
    </row>
    <row r="951" spans="1:10" x14ac:dyDescent="0.25">
      <c r="A951" s="15">
        <v>41163</v>
      </c>
      <c r="B951" s="16" t="s">
        <v>904</v>
      </c>
      <c r="C951" t="s">
        <v>905</v>
      </c>
      <c r="D951" t="s">
        <v>48</v>
      </c>
      <c r="E951" s="17">
        <v>4</v>
      </c>
      <c r="F951" s="17">
        <v>95</v>
      </c>
      <c r="G951" s="18">
        <v>380</v>
      </c>
      <c r="H951" s="30" t="s">
        <v>2293</v>
      </c>
      <c r="J951" s="34"/>
    </row>
    <row r="952" spans="1:10" x14ac:dyDescent="0.25">
      <c r="A952" s="15">
        <v>41163</v>
      </c>
      <c r="B952" s="16" t="s">
        <v>920</v>
      </c>
      <c r="C952" t="s">
        <v>871</v>
      </c>
      <c r="D952" t="s">
        <v>48</v>
      </c>
      <c r="E952" s="17">
        <v>4</v>
      </c>
      <c r="F952" s="17">
        <v>130</v>
      </c>
      <c r="G952" s="18">
        <v>520</v>
      </c>
      <c r="H952" s="30" t="s">
        <v>2293</v>
      </c>
      <c r="J952" s="34"/>
    </row>
    <row r="953" spans="1:10" x14ac:dyDescent="0.25">
      <c r="A953" s="15">
        <v>41163</v>
      </c>
      <c r="B953" s="16" t="s">
        <v>880</v>
      </c>
      <c r="C953" t="s">
        <v>881</v>
      </c>
      <c r="D953" t="s">
        <v>48</v>
      </c>
      <c r="E953" s="17">
        <v>4</v>
      </c>
      <c r="F953" s="17">
        <v>95</v>
      </c>
      <c r="G953" s="18">
        <v>380</v>
      </c>
      <c r="H953" s="30" t="s">
        <v>2293</v>
      </c>
      <c r="J953" s="34"/>
    </row>
    <row r="954" spans="1:10" x14ac:dyDescent="0.25">
      <c r="A954" s="15">
        <v>41163</v>
      </c>
      <c r="B954" s="16" t="s">
        <v>865</v>
      </c>
      <c r="C954" t="s">
        <v>8</v>
      </c>
      <c r="D954" t="s">
        <v>48</v>
      </c>
      <c r="E954" s="17">
        <v>4</v>
      </c>
      <c r="F954" s="17">
        <v>35.35</v>
      </c>
      <c r="G954" s="18">
        <v>141.4</v>
      </c>
      <c r="H954" s="30" t="s">
        <v>2293</v>
      </c>
      <c r="J954" s="34"/>
    </row>
    <row r="955" spans="1:10" x14ac:dyDescent="0.25">
      <c r="A955" s="15">
        <v>41163</v>
      </c>
      <c r="B955" s="16" t="s">
        <v>882</v>
      </c>
      <c r="C955" t="s">
        <v>8</v>
      </c>
      <c r="D955" t="s">
        <v>48</v>
      </c>
      <c r="E955" s="17">
        <v>4</v>
      </c>
      <c r="F955" s="17">
        <v>48</v>
      </c>
      <c r="G955" s="18">
        <v>192</v>
      </c>
      <c r="H955" s="30" t="s">
        <v>2293</v>
      </c>
      <c r="J955" s="34"/>
    </row>
    <row r="956" spans="1:10" x14ac:dyDescent="0.25">
      <c r="A956" s="15">
        <v>41163</v>
      </c>
      <c r="B956" s="16" t="s">
        <v>865</v>
      </c>
      <c r="C956" t="s">
        <v>8</v>
      </c>
      <c r="D956" t="s">
        <v>48</v>
      </c>
      <c r="E956" s="17">
        <v>5</v>
      </c>
      <c r="F956" s="17">
        <v>35.35</v>
      </c>
      <c r="G956" s="18">
        <v>176.75</v>
      </c>
      <c r="H956" s="30" t="s">
        <v>2293</v>
      </c>
      <c r="J956" s="34"/>
    </row>
    <row r="957" spans="1:10" x14ac:dyDescent="0.25">
      <c r="A957" s="15">
        <v>41163</v>
      </c>
      <c r="B957" s="16" t="s">
        <v>865</v>
      </c>
      <c r="C957" t="s">
        <v>8</v>
      </c>
      <c r="D957" t="s">
        <v>48</v>
      </c>
      <c r="E957" s="17">
        <v>5</v>
      </c>
      <c r="F957" s="17">
        <v>35.35</v>
      </c>
      <c r="G957" s="18">
        <v>176.75</v>
      </c>
      <c r="H957" s="30" t="s">
        <v>2293</v>
      </c>
      <c r="J957" s="34"/>
    </row>
    <row r="958" spans="1:10" x14ac:dyDescent="0.25">
      <c r="A958" s="15">
        <v>41163</v>
      </c>
      <c r="B958" s="16" t="s">
        <v>865</v>
      </c>
      <c r="C958" t="s">
        <v>8</v>
      </c>
      <c r="D958" t="s">
        <v>48</v>
      </c>
      <c r="E958" s="17">
        <v>4</v>
      </c>
      <c r="F958" s="17">
        <v>35.35</v>
      </c>
      <c r="G958" s="18">
        <v>141.4</v>
      </c>
      <c r="H958" s="30" t="s">
        <v>2293</v>
      </c>
      <c r="J958" s="34"/>
    </row>
    <row r="959" spans="1:10" x14ac:dyDescent="0.25">
      <c r="A959" s="15">
        <v>41163</v>
      </c>
      <c r="B959" s="16" t="s">
        <v>865</v>
      </c>
      <c r="C959" t="s">
        <v>8</v>
      </c>
      <c r="D959" t="s">
        <v>48</v>
      </c>
      <c r="E959" s="17">
        <v>5</v>
      </c>
      <c r="F959" s="17">
        <v>35.35</v>
      </c>
      <c r="G959" s="18">
        <v>176.75</v>
      </c>
      <c r="H959" s="30" t="s">
        <v>2293</v>
      </c>
      <c r="J959" s="34"/>
    </row>
    <row r="960" spans="1:10" x14ac:dyDescent="0.25">
      <c r="A960" s="15">
        <v>41163</v>
      </c>
      <c r="B960" s="16" t="s">
        <v>865</v>
      </c>
      <c r="C960" t="s">
        <v>8</v>
      </c>
      <c r="D960" t="s">
        <v>48</v>
      </c>
      <c r="E960" s="17">
        <v>5</v>
      </c>
      <c r="F960" s="17">
        <v>35.35</v>
      </c>
      <c r="G960" s="18">
        <v>176.75</v>
      </c>
      <c r="H960" s="30" t="s">
        <v>2293</v>
      </c>
      <c r="J960" s="34"/>
    </row>
    <row r="961" spans="1:10" x14ac:dyDescent="0.25">
      <c r="A961" s="15">
        <v>41164</v>
      </c>
      <c r="B961" s="16" t="s">
        <v>865</v>
      </c>
      <c r="C961" t="s">
        <v>8</v>
      </c>
      <c r="D961" t="s">
        <v>48</v>
      </c>
      <c r="E961" s="17">
        <v>5</v>
      </c>
      <c r="F961" s="17">
        <v>35.35</v>
      </c>
      <c r="G961" s="18">
        <v>176.75</v>
      </c>
      <c r="H961" s="30" t="s">
        <v>2293</v>
      </c>
      <c r="J961" s="34"/>
    </row>
    <row r="962" spans="1:10" x14ac:dyDescent="0.25">
      <c r="A962" s="15">
        <v>41164</v>
      </c>
      <c r="B962" s="16" t="s">
        <v>865</v>
      </c>
      <c r="C962" t="s">
        <v>8</v>
      </c>
      <c r="D962" t="s">
        <v>48</v>
      </c>
      <c r="E962" s="17">
        <v>4</v>
      </c>
      <c r="F962" s="17">
        <v>35.35</v>
      </c>
      <c r="G962" s="18">
        <v>141.4</v>
      </c>
      <c r="H962" s="30" t="s">
        <v>2293</v>
      </c>
      <c r="J962" s="34"/>
    </row>
    <row r="963" spans="1:10" x14ac:dyDescent="0.25">
      <c r="A963" s="15">
        <v>41164</v>
      </c>
      <c r="B963" s="16" t="s">
        <v>880</v>
      </c>
      <c r="C963" t="s">
        <v>881</v>
      </c>
      <c r="D963" t="s">
        <v>48</v>
      </c>
      <c r="E963" s="17">
        <v>2</v>
      </c>
      <c r="F963" s="17">
        <v>95</v>
      </c>
      <c r="G963" s="18">
        <v>190</v>
      </c>
      <c r="H963" s="30" t="s">
        <v>2293</v>
      </c>
      <c r="J963" s="34"/>
    </row>
    <row r="964" spans="1:10" x14ac:dyDescent="0.25">
      <c r="A964" s="15">
        <v>41164</v>
      </c>
      <c r="B964" s="16" t="s">
        <v>904</v>
      </c>
      <c r="C964" t="s">
        <v>905</v>
      </c>
      <c r="D964" t="s">
        <v>48</v>
      </c>
      <c r="E964" s="17">
        <v>4</v>
      </c>
      <c r="F964" s="17">
        <v>95</v>
      </c>
      <c r="G964" s="18">
        <v>380</v>
      </c>
      <c r="H964" s="30" t="s">
        <v>2293</v>
      </c>
      <c r="J964" s="34"/>
    </row>
    <row r="965" spans="1:10" x14ac:dyDescent="0.25">
      <c r="A965" s="15">
        <v>41164</v>
      </c>
      <c r="B965" s="16" t="s">
        <v>920</v>
      </c>
      <c r="C965" t="s">
        <v>871</v>
      </c>
      <c r="D965" t="s">
        <v>48</v>
      </c>
      <c r="E965" s="17">
        <v>4</v>
      </c>
      <c r="F965" s="17">
        <v>130</v>
      </c>
      <c r="G965" s="18">
        <v>520</v>
      </c>
      <c r="H965" s="30" t="s">
        <v>2293</v>
      </c>
      <c r="J965" s="34"/>
    </row>
    <row r="966" spans="1:10" x14ac:dyDescent="0.25">
      <c r="A966" s="15">
        <v>41165</v>
      </c>
      <c r="B966" s="16" t="s">
        <v>920</v>
      </c>
      <c r="C966" t="s">
        <v>871</v>
      </c>
      <c r="D966" t="s">
        <v>48</v>
      </c>
      <c r="E966" s="17">
        <v>4</v>
      </c>
      <c r="F966" s="17">
        <v>130</v>
      </c>
      <c r="G966" s="18">
        <v>520</v>
      </c>
      <c r="H966" s="30" t="s">
        <v>2293</v>
      </c>
      <c r="J966" s="34"/>
    </row>
    <row r="967" spans="1:10" x14ac:dyDescent="0.25">
      <c r="A967" s="15">
        <v>41165</v>
      </c>
      <c r="B967" s="16" t="s">
        <v>865</v>
      </c>
      <c r="C967" t="s">
        <v>8</v>
      </c>
      <c r="D967" t="s">
        <v>48</v>
      </c>
      <c r="E967" s="17">
        <v>4</v>
      </c>
      <c r="F967" s="17">
        <v>35.35</v>
      </c>
      <c r="G967" s="18">
        <v>141.4</v>
      </c>
      <c r="H967" s="30" t="s">
        <v>2293</v>
      </c>
      <c r="J967" s="34"/>
    </row>
    <row r="968" spans="1:10" x14ac:dyDescent="0.25">
      <c r="A968" s="15">
        <v>41165</v>
      </c>
      <c r="B968" s="16" t="s">
        <v>904</v>
      </c>
      <c r="C968" t="s">
        <v>905</v>
      </c>
      <c r="D968" t="s">
        <v>48</v>
      </c>
      <c r="E968" s="17">
        <v>2</v>
      </c>
      <c r="F968" s="17">
        <v>95</v>
      </c>
      <c r="G968" s="18">
        <v>190</v>
      </c>
      <c r="H968" s="30" t="s">
        <v>2293</v>
      </c>
      <c r="J968" s="34"/>
    </row>
    <row r="969" spans="1:10" x14ac:dyDescent="0.25">
      <c r="A969" s="15">
        <v>41165</v>
      </c>
      <c r="B969" s="16" t="s">
        <v>878</v>
      </c>
      <c r="C969" t="s">
        <v>879</v>
      </c>
      <c r="D969" t="s">
        <v>48</v>
      </c>
      <c r="E969" s="17">
        <v>5</v>
      </c>
      <c r="F969" s="17">
        <v>110</v>
      </c>
      <c r="G969" s="18">
        <v>550</v>
      </c>
      <c r="H969" s="30" t="s">
        <v>2293</v>
      </c>
      <c r="J969" s="34"/>
    </row>
    <row r="970" spans="1:10" x14ac:dyDescent="0.25">
      <c r="A970" s="15">
        <v>41165</v>
      </c>
      <c r="B970" s="16" t="s">
        <v>865</v>
      </c>
      <c r="C970" t="s">
        <v>8</v>
      </c>
      <c r="D970" t="s">
        <v>48</v>
      </c>
      <c r="E970" s="17">
        <v>5</v>
      </c>
      <c r="F970" s="17">
        <v>35.35</v>
      </c>
      <c r="G970" s="18">
        <v>176.75</v>
      </c>
      <c r="H970" s="30" t="s">
        <v>2293</v>
      </c>
      <c r="J970" s="34"/>
    </row>
    <row r="971" spans="1:10" x14ac:dyDescent="0.25">
      <c r="A971" s="15">
        <v>41169</v>
      </c>
      <c r="B971" s="16" t="s">
        <v>865</v>
      </c>
      <c r="C971" t="s">
        <v>8</v>
      </c>
      <c r="D971" t="s">
        <v>48</v>
      </c>
      <c r="E971" s="17">
        <v>4.5</v>
      </c>
      <c r="F971" s="17">
        <v>35.35</v>
      </c>
      <c r="G971" s="18">
        <v>159.07499999999999</v>
      </c>
      <c r="H971" s="30" t="s">
        <v>2293</v>
      </c>
      <c r="J971" s="34"/>
    </row>
    <row r="972" spans="1:10" x14ac:dyDescent="0.25">
      <c r="A972" s="15">
        <v>41169</v>
      </c>
      <c r="B972" s="16" t="s">
        <v>865</v>
      </c>
      <c r="C972" t="s">
        <v>8</v>
      </c>
      <c r="D972" t="s">
        <v>48</v>
      </c>
      <c r="E972" s="17">
        <v>4.5</v>
      </c>
      <c r="F972" s="17">
        <v>35.35</v>
      </c>
      <c r="G972" s="18">
        <v>159.07499999999999</v>
      </c>
      <c r="H972" s="30" t="s">
        <v>2293</v>
      </c>
      <c r="J972" s="34"/>
    </row>
    <row r="973" spans="1:10" x14ac:dyDescent="0.25">
      <c r="A973" s="15">
        <v>41169</v>
      </c>
      <c r="B973" s="16" t="s">
        <v>882</v>
      </c>
      <c r="C973" t="s">
        <v>8</v>
      </c>
      <c r="D973" t="s">
        <v>48</v>
      </c>
      <c r="E973" s="17">
        <v>5</v>
      </c>
      <c r="F973" s="17">
        <v>48</v>
      </c>
      <c r="G973" s="18">
        <v>240</v>
      </c>
      <c r="H973" s="30" t="s">
        <v>2293</v>
      </c>
      <c r="J973" s="34"/>
    </row>
    <row r="974" spans="1:10" x14ac:dyDescent="0.25">
      <c r="A974" s="15">
        <v>41169</v>
      </c>
      <c r="B974" s="16" t="s">
        <v>878</v>
      </c>
      <c r="C974" t="s">
        <v>879</v>
      </c>
      <c r="D974" t="s">
        <v>48</v>
      </c>
      <c r="E974" s="17">
        <v>4.5</v>
      </c>
      <c r="F974" s="17">
        <v>110</v>
      </c>
      <c r="G974" s="18">
        <v>495</v>
      </c>
      <c r="H974" s="30" t="s">
        <v>2293</v>
      </c>
      <c r="J974" s="34"/>
    </row>
    <row r="975" spans="1:10" x14ac:dyDescent="0.25">
      <c r="A975" s="15">
        <v>41169</v>
      </c>
      <c r="B975" s="16" t="s">
        <v>865</v>
      </c>
      <c r="C975" t="s">
        <v>8</v>
      </c>
      <c r="D975" t="s">
        <v>48</v>
      </c>
      <c r="E975" s="17">
        <v>4.5</v>
      </c>
      <c r="F975" s="17">
        <v>35.35</v>
      </c>
      <c r="G975" s="18">
        <v>159.07499999999999</v>
      </c>
      <c r="H975" s="30" t="s">
        <v>2293</v>
      </c>
      <c r="J975" s="34"/>
    </row>
    <row r="976" spans="1:10" x14ac:dyDescent="0.25">
      <c r="A976" s="15">
        <v>41170</v>
      </c>
      <c r="B976" s="16" t="s">
        <v>878</v>
      </c>
      <c r="C976" t="s">
        <v>879</v>
      </c>
      <c r="D976" t="s">
        <v>48</v>
      </c>
      <c r="E976" s="17">
        <v>3</v>
      </c>
      <c r="F976" s="17">
        <v>110</v>
      </c>
      <c r="G976" s="18">
        <v>330</v>
      </c>
      <c r="H976" s="30" t="s">
        <v>2293</v>
      </c>
      <c r="J976" s="34"/>
    </row>
    <row r="977" spans="1:10" x14ac:dyDescent="0.25">
      <c r="A977" s="15">
        <v>41171</v>
      </c>
      <c r="B977" s="16" t="s">
        <v>878</v>
      </c>
      <c r="C977" t="s">
        <v>879</v>
      </c>
      <c r="D977" t="s">
        <v>48</v>
      </c>
      <c r="E977" s="17">
        <v>9.5</v>
      </c>
      <c r="F977" s="17">
        <v>110</v>
      </c>
      <c r="G977" s="18">
        <v>1045</v>
      </c>
      <c r="H977" s="30" t="s">
        <v>2293</v>
      </c>
      <c r="J977" s="34"/>
    </row>
    <row r="978" spans="1:10" x14ac:dyDescent="0.25">
      <c r="A978" s="15">
        <v>41171</v>
      </c>
      <c r="B978" s="16" t="s">
        <v>880</v>
      </c>
      <c r="C978" t="s">
        <v>881</v>
      </c>
      <c r="D978" t="s">
        <v>48</v>
      </c>
      <c r="E978" s="17">
        <v>9</v>
      </c>
      <c r="F978" s="17">
        <v>95</v>
      </c>
      <c r="G978" s="18">
        <v>855</v>
      </c>
      <c r="H978" s="30" t="s">
        <v>2293</v>
      </c>
      <c r="J978" s="34"/>
    </row>
    <row r="979" spans="1:10" x14ac:dyDescent="0.25">
      <c r="A979" s="15">
        <v>41171</v>
      </c>
      <c r="B979" s="16" t="s">
        <v>865</v>
      </c>
      <c r="C979" t="s">
        <v>8</v>
      </c>
      <c r="D979" t="s">
        <v>48</v>
      </c>
      <c r="E979" s="17">
        <v>9.5</v>
      </c>
      <c r="F979" s="17">
        <v>35.35</v>
      </c>
      <c r="G979" s="18">
        <v>335.82499999999999</v>
      </c>
      <c r="H979" s="30" t="s">
        <v>2293</v>
      </c>
      <c r="J979" s="34"/>
    </row>
    <row r="980" spans="1:10" x14ac:dyDescent="0.25">
      <c r="A980" s="15">
        <v>41171</v>
      </c>
      <c r="B980" s="16" t="s">
        <v>865</v>
      </c>
      <c r="C980" t="s">
        <v>8</v>
      </c>
      <c r="D980" t="s">
        <v>48</v>
      </c>
      <c r="E980" s="17">
        <v>9.5</v>
      </c>
      <c r="F980" s="17">
        <v>35.35</v>
      </c>
      <c r="G980" s="18">
        <v>335.82499999999999</v>
      </c>
      <c r="H980" s="30" t="s">
        <v>2293</v>
      </c>
      <c r="J980" s="34"/>
    </row>
    <row r="981" spans="1:10" x14ac:dyDescent="0.25">
      <c r="A981" s="15">
        <v>41172</v>
      </c>
      <c r="B981" s="16" t="s">
        <v>880</v>
      </c>
      <c r="C981" t="s">
        <v>881</v>
      </c>
      <c r="D981" t="s">
        <v>48</v>
      </c>
      <c r="E981" s="17">
        <v>9.5</v>
      </c>
      <c r="F981" s="17">
        <v>95</v>
      </c>
      <c r="G981" s="18">
        <v>902.5</v>
      </c>
      <c r="H981" s="30" t="s">
        <v>2293</v>
      </c>
      <c r="J981" s="34"/>
    </row>
    <row r="982" spans="1:10" x14ac:dyDescent="0.25">
      <c r="A982" s="15">
        <v>41172</v>
      </c>
      <c r="B982" s="16" t="s">
        <v>880</v>
      </c>
      <c r="C982" t="s">
        <v>881</v>
      </c>
      <c r="D982" t="s">
        <v>48</v>
      </c>
      <c r="E982" s="17">
        <v>9.5</v>
      </c>
      <c r="F982" s="17">
        <v>95</v>
      </c>
      <c r="G982" s="18">
        <v>902.5</v>
      </c>
      <c r="H982" s="30" t="s">
        <v>2293</v>
      </c>
      <c r="J982" s="34"/>
    </row>
    <row r="983" spans="1:10" x14ac:dyDescent="0.25">
      <c r="A983" s="15">
        <v>41173</v>
      </c>
      <c r="B983" s="16" t="s">
        <v>880</v>
      </c>
      <c r="C983" t="s">
        <v>881</v>
      </c>
      <c r="D983" t="s">
        <v>48</v>
      </c>
      <c r="E983" s="17">
        <v>8.5</v>
      </c>
      <c r="F983" s="17">
        <v>95</v>
      </c>
      <c r="G983" s="18">
        <v>807.5</v>
      </c>
      <c r="H983" s="30" t="s">
        <v>2293</v>
      </c>
      <c r="J983" s="34"/>
    </row>
    <row r="984" spans="1:10" x14ac:dyDescent="0.25">
      <c r="A984" s="15">
        <v>41173</v>
      </c>
      <c r="B984" s="16" t="s">
        <v>880</v>
      </c>
      <c r="C984" t="s">
        <v>881</v>
      </c>
      <c r="D984" t="s">
        <v>48</v>
      </c>
      <c r="E984" s="17">
        <v>8.5</v>
      </c>
      <c r="F984" s="17">
        <v>95</v>
      </c>
      <c r="G984" s="18">
        <v>807.5</v>
      </c>
      <c r="H984" s="30" t="s">
        <v>2293</v>
      </c>
      <c r="J984" s="34"/>
    </row>
    <row r="985" spans="1:10" x14ac:dyDescent="0.25">
      <c r="A985" s="15">
        <v>41176</v>
      </c>
      <c r="B985" s="16" t="s">
        <v>882</v>
      </c>
      <c r="C985" t="s">
        <v>8</v>
      </c>
      <c r="D985" t="s">
        <v>48</v>
      </c>
      <c r="E985" s="17">
        <v>9</v>
      </c>
      <c r="F985" s="17">
        <v>48</v>
      </c>
      <c r="G985" s="18">
        <v>432</v>
      </c>
      <c r="H985" s="30" t="s">
        <v>2293</v>
      </c>
      <c r="J985" s="34"/>
    </row>
    <row r="986" spans="1:10" x14ac:dyDescent="0.25">
      <c r="A986" s="15">
        <v>41176</v>
      </c>
      <c r="B986" s="16" t="s">
        <v>878</v>
      </c>
      <c r="C986" t="s">
        <v>879</v>
      </c>
      <c r="D986" t="s">
        <v>48</v>
      </c>
      <c r="E986" s="17">
        <v>3</v>
      </c>
      <c r="F986" s="17">
        <v>110</v>
      </c>
      <c r="G986" s="18">
        <v>330</v>
      </c>
      <c r="H986" s="30" t="s">
        <v>2293</v>
      </c>
      <c r="J986" s="34"/>
    </row>
    <row r="987" spans="1:10" x14ac:dyDescent="0.25">
      <c r="A987" s="15">
        <v>41176</v>
      </c>
      <c r="B987" s="16" t="s">
        <v>865</v>
      </c>
      <c r="C987" t="s">
        <v>8</v>
      </c>
      <c r="D987" t="s">
        <v>48</v>
      </c>
      <c r="E987" s="17">
        <v>8.5</v>
      </c>
      <c r="F987" s="17">
        <v>35.35</v>
      </c>
      <c r="G987" s="18">
        <v>300.47500000000002</v>
      </c>
      <c r="H987" s="30" t="s">
        <v>2293</v>
      </c>
      <c r="J987" s="34"/>
    </row>
    <row r="988" spans="1:10" x14ac:dyDescent="0.25">
      <c r="A988" s="15">
        <v>41176</v>
      </c>
      <c r="B988" s="16" t="s">
        <v>865</v>
      </c>
      <c r="C988" t="s">
        <v>8</v>
      </c>
      <c r="D988" t="s">
        <v>48</v>
      </c>
      <c r="E988" s="17">
        <v>8.5</v>
      </c>
      <c r="F988" s="17">
        <v>35.35</v>
      </c>
      <c r="G988" s="18">
        <v>300.47500000000002</v>
      </c>
      <c r="H988" s="30" t="s">
        <v>2293</v>
      </c>
      <c r="J988" s="34"/>
    </row>
    <row r="989" spans="1:10" x14ac:dyDescent="0.25">
      <c r="A989" s="15">
        <v>41176</v>
      </c>
      <c r="B989" s="16" t="s">
        <v>880</v>
      </c>
      <c r="C989" t="s">
        <v>881</v>
      </c>
      <c r="D989" t="s">
        <v>48</v>
      </c>
      <c r="E989" s="17">
        <v>4</v>
      </c>
      <c r="F989" s="17">
        <v>95</v>
      </c>
      <c r="G989" s="18">
        <v>380</v>
      </c>
      <c r="H989" s="30" t="s">
        <v>2293</v>
      </c>
      <c r="J989" s="34"/>
    </row>
    <row r="990" spans="1:10" ht="30" x14ac:dyDescent="0.25">
      <c r="A990" s="15">
        <v>41182</v>
      </c>
      <c r="B990" s="16" t="s">
        <v>956</v>
      </c>
      <c r="C990" t="s">
        <v>957</v>
      </c>
      <c r="D990" t="s">
        <v>783</v>
      </c>
      <c r="E990" s="17">
        <v>1</v>
      </c>
      <c r="F990" s="17">
        <v>1893.6659999999999</v>
      </c>
      <c r="G990" s="18">
        <v>1893.6659999999999</v>
      </c>
      <c r="H990" s="30" t="s">
        <v>2293</v>
      </c>
      <c r="J990" s="34"/>
    </row>
    <row r="991" spans="1:10" ht="30" x14ac:dyDescent="0.25">
      <c r="A991" s="15">
        <v>41182</v>
      </c>
      <c r="B991" s="16" t="s">
        <v>958</v>
      </c>
      <c r="C991" t="s">
        <v>959</v>
      </c>
      <c r="D991" t="s">
        <v>783</v>
      </c>
      <c r="E991" s="17">
        <v>1</v>
      </c>
      <c r="F991" s="17">
        <v>1700</v>
      </c>
      <c r="G991" s="18">
        <v>1700</v>
      </c>
      <c r="H991" s="30" t="s">
        <v>2293</v>
      </c>
      <c r="J991" s="34"/>
    </row>
    <row r="992" spans="1:10" x14ac:dyDescent="0.25">
      <c r="A992" s="15">
        <v>41190</v>
      </c>
      <c r="B992" s="16" t="s">
        <v>880</v>
      </c>
      <c r="C992" t="s">
        <v>881</v>
      </c>
      <c r="D992" t="s">
        <v>48</v>
      </c>
      <c r="E992" s="17">
        <v>3.5</v>
      </c>
      <c r="F992" s="17">
        <v>95</v>
      </c>
      <c r="G992" s="18">
        <v>332.5</v>
      </c>
      <c r="H992" s="30" t="s">
        <v>2293</v>
      </c>
      <c r="J992" s="34"/>
    </row>
    <row r="993" spans="1:10" x14ac:dyDescent="0.25">
      <c r="A993" s="15">
        <v>41190</v>
      </c>
      <c r="B993" s="16" t="s">
        <v>878</v>
      </c>
      <c r="C993" t="s">
        <v>879</v>
      </c>
      <c r="D993" t="s">
        <v>48</v>
      </c>
      <c r="E993" s="17">
        <v>3.25</v>
      </c>
      <c r="F993" s="17">
        <v>110</v>
      </c>
      <c r="G993" s="18">
        <v>357.5</v>
      </c>
      <c r="H993" s="30" t="s">
        <v>2293</v>
      </c>
      <c r="J993" s="34"/>
    </row>
    <row r="994" spans="1:10" x14ac:dyDescent="0.25">
      <c r="A994" s="15">
        <v>41191</v>
      </c>
      <c r="B994" s="16" t="s">
        <v>878</v>
      </c>
      <c r="C994" t="s">
        <v>879</v>
      </c>
      <c r="D994" t="s">
        <v>48</v>
      </c>
      <c r="E994" s="17">
        <v>8.5</v>
      </c>
      <c r="F994" s="17">
        <v>110</v>
      </c>
      <c r="G994" s="18">
        <v>935</v>
      </c>
      <c r="H994" s="30" t="s">
        <v>2293</v>
      </c>
      <c r="J994" s="34"/>
    </row>
    <row r="995" spans="1:10" x14ac:dyDescent="0.25">
      <c r="A995" s="15">
        <v>41191</v>
      </c>
      <c r="B995" s="16" t="s">
        <v>882</v>
      </c>
      <c r="C995" t="s">
        <v>8</v>
      </c>
      <c r="D995" t="s">
        <v>48</v>
      </c>
      <c r="E995" s="17">
        <v>8</v>
      </c>
      <c r="F995" s="17">
        <v>48</v>
      </c>
      <c r="G995" s="18">
        <v>384</v>
      </c>
      <c r="H995" s="30" t="s">
        <v>2293</v>
      </c>
      <c r="J995" s="34"/>
    </row>
    <row r="996" spans="1:10" x14ac:dyDescent="0.25">
      <c r="A996" s="15">
        <v>41191</v>
      </c>
      <c r="B996" s="16" t="s">
        <v>880</v>
      </c>
      <c r="C996" t="s">
        <v>881</v>
      </c>
      <c r="D996" t="s">
        <v>48</v>
      </c>
      <c r="E996" s="17">
        <v>8.5</v>
      </c>
      <c r="F996" s="17">
        <v>95</v>
      </c>
      <c r="G996" s="18">
        <v>807.5</v>
      </c>
      <c r="H996" s="30" t="s">
        <v>2293</v>
      </c>
      <c r="J996" s="34"/>
    </row>
    <row r="997" spans="1:10" x14ac:dyDescent="0.25">
      <c r="A997" s="15">
        <v>41191</v>
      </c>
      <c r="B997" s="16" t="s">
        <v>865</v>
      </c>
      <c r="C997" t="s">
        <v>8</v>
      </c>
      <c r="D997" t="s">
        <v>48</v>
      </c>
      <c r="E997" s="17">
        <v>8</v>
      </c>
      <c r="F997" s="17">
        <v>35.35</v>
      </c>
      <c r="G997" s="18">
        <v>282.8</v>
      </c>
      <c r="H997" s="30" t="s">
        <v>2293</v>
      </c>
      <c r="J997" s="34"/>
    </row>
    <row r="998" spans="1:10" x14ac:dyDescent="0.25">
      <c r="A998" s="15">
        <v>41191</v>
      </c>
      <c r="B998" s="16" t="s">
        <v>865</v>
      </c>
      <c r="C998" t="s">
        <v>8</v>
      </c>
      <c r="D998" t="s">
        <v>48</v>
      </c>
      <c r="E998" s="17">
        <v>3</v>
      </c>
      <c r="F998" s="17">
        <v>35.35</v>
      </c>
      <c r="G998" s="18">
        <v>106.05</v>
      </c>
      <c r="H998" s="30" t="s">
        <v>2293</v>
      </c>
      <c r="J998" s="34"/>
    </row>
    <row r="999" spans="1:10" x14ac:dyDescent="0.25">
      <c r="A999" s="19" t="s">
        <v>781</v>
      </c>
      <c r="B999" s="20" t="s">
        <v>960</v>
      </c>
      <c r="C999" s="21" t="s">
        <v>781</v>
      </c>
      <c r="D999" s="21" t="s">
        <v>781</v>
      </c>
      <c r="E999" s="22"/>
      <c r="F999" s="22"/>
      <c r="G999" s="23">
        <v>308767.98300000001</v>
      </c>
      <c r="H999" s="31" t="s">
        <v>2285</v>
      </c>
      <c r="J999" s="34"/>
    </row>
    <row r="1000" spans="1:10" x14ac:dyDescent="0.25">
      <c r="A1000" s="15" t="s">
        <v>781</v>
      </c>
      <c r="B1000" s="16" t="s">
        <v>781</v>
      </c>
      <c r="C1000" t="s">
        <v>781</v>
      </c>
      <c r="D1000" t="s">
        <v>781</v>
      </c>
      <c r="E1000" s="17"/>
      <c r="F1000" s="17"/>
      <c r="G1000" s="18"/>
      <c r="H1000" s="30" t="s">
        <v>2285</v>
      </c>
      <c r="J1000" s="34"/>
    </row>
    <row r="1001" spans="1:10" x14ac:dyDescent="0.25">
      <c r="A1001" s="12" t="s">
        <v>781</v>
      </c>
      <c r="B1001" s="11" t="s">
        <v>1861</v>
      </c>
      <c r="C1001" s="10" t="s">
        <v>781</v>
      </c>
      <c r="D1001" s="10" t="s">
        <v>781</v>
      </c>
      <c r="E1001" s="13"/>
      <c r="F1001" s="13"/>
      <c r="G1001" s="14"/>
      <c r="H1001" s="29" t="s">
        <v>2285</v>
      </c>
      <c r="J1001" s="34"/>
    </row>
    <row r="1002" spans="1:10" x14ac:dyDescent="0.25">
      <c r="A1002" s="15">
        <v>41003</v>
      </c>
      <c r="B1002" s="16" t="s">
        <v>880</v>
      </c>
      <c r="C1002" t="s">
        <v>881</v>
      </c>
      <c r="D1002" t="s">
        <v>48</v>
      </c>
      <c r="E1002" s="17">
        <v>6</v>
      </c>
      <c r="F1002" s="17">
        <v>95</v>
      </c>
      <c r="G1002" s="18">
        <v>570</v>
      </c>
      <c r="H1002" s="30" t="s">
        <v>2294</v>
      </c>
      <c r="J1002" s="34"/>
    </row>
    <row r="1003" spans="1:10" x14ac:dyDescent="0.25">
      <c r="A1003" s="15">
        <v>41003</v>
      </c>
      <c r="B1003" s="16" t="s">
        <v>933</v>
      </c>
      <c r="C1003" t="s">
        <v>934</v>
      </c>
      <c r="D1003" t="s">
        <v>48</v>
      </c>
      <c r="E1003" s="17">
        <v>6</v>
      </c>
      <c r="F1003" s="17">
        <v>92.73</v>
      </c>
      <c r="G1003" s="18">
        <v>556.38</v>
      </c>
      <c r="H1003" s="30" t="s">
        <v>2294</v>
      </c>
      <c r="J1003" s="34"/>
    </row>
    <row r="1004" spans="1:10" x14ac:dyDescent="0.25">
      <c r="A1004" s="15">
        <v>41003</v>
      </c>
      <c r="B1004" s="16" t="s">
        <v>920</v>
      </c>
      <c r="C1004" t="s">
        <v>871</v>
      </c>
      <c r="D1004" t="s">
        <v>48</v>
      </c>
      <c r="E1004" s="17">
        <v>6</v>
      </c>
      <c r="F1004" s="17">
        <v>130</v>
      </c>
      <c r="G1004" s="18">
        <v>780</v>
      </c>
      <c r="H1004" s="30" t="s">
        <v>2294</v>
      </c>
      <c r="J1004" s="34"/>
    </row>
    <row r="1005" spans="1:10" x14ac:dyDescent="0.25">
      <c r="A1005" s="15">
        <v>41003</v>
      </c>
      <c r="B1005" s="16" t="s">
        <v>865</v>
      </c>
      <c r="C1005" t="s">
        <v>8</v>
      </c>
      <c r="D1005" t="s">
        <v>48</v>
      </c>
      <c r="E1005" s="17">
        <v>6</v>
      </c>
      <c r="F1005" s="17">
        <v>35.35</v>
      </c>
      <c r="G1005" s="18">
        <v>212.1</v>
      </c>
      <c r="H1005" s="30" t="s">
        <v>2294</v>
      </c>
      <c r="J1005" s="34"/>
    </row>
    <row r="1006" spans="1:10" x14ac:dyDescent="0.25">
      <c r="A1006" s="15">
        <v>41003</v>
      </c>
      <c r="B1006" s="16" t="s">
        <v>865</v>
      </c>
      <c r="C1006" t="s">
        <v>8</v>
      </c>
      <c r="D1006" t="s">
        <v>48</v>
      </c>
      <c r="E1006" s="17">
        <v>6</v>
      </c>
      <c r="F1006" s="17">
        <v>35.35</v>
      </c>
      <c r="G1006" s="18">
        <v>212.1</v>
      </c>
      <c r="H1006" s="30" t="s">
        <v>2294</v>
      </c>
      <c r="J1006" s="34"/>
    </row>
    <row r="1007" spans="1:10" x14ac:dyDescent="0.25">
      <c r="A1007" s="15">
        <v>41003</v>
      </c>
      <c r="B1007" s="16" t="s">
        <v>904</v>
      </c>
      <c r="C1007" t="s">
        <v>905</v>
      </c>
      <c r="D1007" t="s">
        <v>48</v>
      </c>
      <c r="E1007" s="17">
        <v>6</v>
      </c>
      <c r="F1007" s="17">
        <v>95</v>
      </c>
      <c r="G1007" s="18">
        <v>570</v>
      </c>
      <c r="H1007" s="30" t="s">
        <v>2294</v>
      </c>
      <c r="J1007" s="34"/>
    </row>
    <row r="1008" spans="1:10" x14ac:dyDescent="0.25">
      <c r="A1008" s="15">
        <v>41004</v>
      </c>
      <c r="B1008" s="16" t="s">
        <v>872</v>
      </c>
      <c r="C1008" t="s">
        <v>864</v>
      </c>
      <c r="D1008" t="s">
        <v>48</v>
      </c>
      <c r="E1008" s="17">
        <v>7.5</v>
      </c>
      <c r="F1008" s="17">
        <v>100</v>
      </c>
      <c r="G1008" s="18">
        <v>750</v>
      </c>
      <c r="H1008" s="30" t="s">
        <v>2294</v>
      </c>
      <c r="J1008" s="34"/>
    </row>
    <row r="1009" spans="1:10" x14ac:dyDescent="0.25">
      <c r="A1009" s="15">
        <v>41004</v>
      </c>
      <c r="B1009" s="16" t="s">
        <v>867</v>
      </c>
      <c r="C1009" t="s">
        <v>868</v>
      </c>
      <c r="D1009" t="s">
        <v>48</v>
      </c>
      <c r="E1009" s="17">
        <v>6.5</v>
      </c>
      <c r="F1009" s="17">
        <v>90</v>
      </c>
      <c r="G1009" s="18">
        <v>585</v>
      </c>
      <c r="H1009" s="30" t="s">
        <v>2294</v>
      </c>
      <c r="J1009" s="34"/>
    </row>
    <row r="1010" spans="1:10" x14ac:dyDescent="0.25">
      <c r="A1010" s="15">
        <v>41004</v>
      </c>
      <c r="B1010" s="16" t="s">
        <v>937</v>
      </c>
      <c r="C1010" t="s">
        <v>934</v>
      </c>
      <c r="D1010" t="s">
        <v>48</v>
      </c>
      <c r="E1010" s="17">
        <v>5</v>
      </c>
      <c r="F1010" s="17">
        <v>92.73</v>
      </c>
      <c r="G1010" s="18">
        <v>463.65</v>
      </c>
      <c r="H1010" s="30" t="s">
        <v>2294</v>
      </c>
      <c r="J1010" s="34"/>
    </row>
    <row r="1011" spans="1:10" x14ac:dyDescent="0.25">
      <c r="A1011" s="15">
        <v>41004</v>
      </c>
      <c r="B1011" s="16" t="s">
        <v>920</v>
      </c>
      <c r="C1011" t="s">
        <v>871</v>
      </c>
      <c r="D1011" t="s">
        <v>48</v>
      </c>
      <c r="E1011" s="17">
        <v>10</v>
      </c>
      <c r="F1011" s="17">
        <v>130</v>
      </c>
      <c r="G1011" s="18">
        <v>1300</v>
      </c>
      <c r="H1011" s="30" t="s">
        <v>2294</v>
      </c>
      <c r="J1011" s="34"/>
    </row>
    <row r="1012" spans="1:10" x14ac:dyDescent="0.25">
      <c r="A1012" s="15">
        <v>41004</v>
      </c>
      <c r="B1012" s="16" t="s">
        <v>893</v>
      </c>
      <c r="C1012" t="s">
        <v>905</v>
      </c>
      <c r="D1012" t="s">
        <v>48</v>
      </c>
      <c r="E1012" s="17">
        <v>8</v>
      </c>
      <c r="F1012" s="17">
        <v>140</v>
      </c>
      <c r="G1012" s="18">
        <v>1120</v>
      </c>
      <c r="H1012" s="30" t="s">
        <v>2294</v>
      </c>
      <c r="J1012" s="34"/>
    </row>
    <row r="1013" spans="1:10" x14ac:dyDescent="0.25">
      <c r="A1013" s="15">
        <v>41004</v>
      </c>
      <c r="B1013" s="16" t="s">
        <v>904</v>
      </c>
      <c r="C1013" t="s">
        <v>905</v>
      </c>
      <c r="D1013" t="s">
        <v>48</v>
      </c>
      <c r="E1013" s="17">
        <v>7</v>
      </c>
      <c r="F1013" s="17">
        <v>95</v>
      </c>
      <c r="G1013" s="18">
        <v>665</v>
      </c>
      <c r="H1013" s="30" t="s">
        <v>2294</v>
      </c>
      <c r="J1013" s="34"/>
    </row>
    <row r="1014" spans="1:10" x14ac:dyDescent="0.25">
      <c r="A1014" s="15">
        <v>41004</v>
      </c>
      <c r="B1014" s="16" t="s">
        <v>880</v>
      </c>
      <c r="C1014" t="s">
        <v>881</v>
      </c>
      <c r="D1014" t="s">
        <v>48</v>
      </c>
      <c r="E1014" s="17">
        <v>7.5</v>
      </c>
      <c r="F1014" s="17">
        <v>95</v>
      </c>
      <c r="G1014" s="18">
        <v>712.5</v>
      </c>
      <c r="H1014" s="30" t="s">
        <v>2294</v>
      </c>
      <c r="J1014" s="34"/>
    </row>
    <row r="1015" spans="1:10" x14ac:dyDescent="0.25">
      <c r="A1015" s="15">
        <v>41004</v>
      </c>
      <c r="B1015" s="16" t="s">
        <v>865</v>
      </c>
      <c r="C1015" t="s">
        <v>8</v>
      </c>
      <c r="D1015" t="s">
        <v>48</v>
      </c>
      <c r="E1015" s="17">
        <v>9.5</v>
      </c>
      <c r="F1015" s="17">
        <v>35.35</v>
      </c>
      <c r="G1015" s="18">
        <v>335.82499999999999</v>
      </c>
      <c r="H1015" s="30" t="s">
        <v>2294</v>
      </c>
      <c r="J1015" s="34"/>
    </row>
    <row r="1016" spans="1:10" x14ac:dyDescent="0.25">
      <c r="A1016" s="15">
        <v>41004</v>
      </c>
      <c r="B1016" s="16" t="s">
        <v>865</v>
      </c>
      <c r="C1016" t="s">
        <v>8</v>
      </c>
      <c r="D1016" t="s">
        <v>48</v>
      </c>
      <c r="E1016" s="17">
        <v>9.5</v>
      </c>
      <c r="F1016" s="17">
        <v>35.35</v>
      </c>
      <c r="G1016" s="18">
        <v>335.82499999999999</v>
      </c>
      <c r="H1016" s="30" t="s">
        <v>2294</v>
      </c>
      <c r="J1016" s="34"/>
    </row>
    <row r="1017" spans="1:10" x14ac:dyDescent="0.25">
      <c r="A1017" s="15">
        <v>41004</v>
      </c>
      <c r="B1017" s="16" t="s">
        <v>961</v>
      </c>
      <c r="C1017" t="s">
        <v>934</v>
      </c>
      <c r="D1017" t="s">
        <v>48</v>
      </c>
      <c r="E1017" s="17">
        <v>5</v>
      </c>
      <c r="F1017" s="17">
        <v>92.73</v>
      </c>
      <c r="G1017" s="18">
        <v>463.65</v>
      </c>
      <c r="H1017" s="30" t="s">
        <v>2294</v>
      </c>
      <c r="J1017" s="34"/>
    </row>
    <row r="1018" spans="1:10" x14ac:dyDescent="0.25">
      <c r="A1018" s="15">
        <v>41004</v>
      </c>
      <c r="B1018" s="16" t="s">
        <v>865</v>
      </c>
      <c r="C1018" t="s">
        <v>8</v>
      </c>
      <c r="D1018" t="s">
        <v>48</v>
      </c>
      <c r="E1018" s="17">
        <v>9.5</v>
      </c>
      <c r="F1018" s="17">
        <v>35.35</v>
      </c>
      <c r="G1018" s="18">
        <v>335.82499999999999</v>
      </c>
      <c r="H1018" s="30" t="s">
        <v>2294</v>
      </c>
      <c r="J1018" s="34"/>
    </row>
    <row r="1019" spans="1:10" x14ac:dyDescent="0.25">
      <c r="A1019" s="15">
        <v>41004</v>
      </c>
      <c r="B1019" s="16" t="s">
        <v>865</v>
      </c>
      <c r="C1019" t="s">
        <v>8</v>
      </c>
      <c r="D1019" t="s">
        <v>48</v>
      </c>
      <c r="E1019" s="17">
        <v>9.5</v>
      </c>
      <c r="F1019" s="17">
        <v>35.35</v>
      </c>
      <c r="G1019" s="18">
        <v>335.82499999999999</v>
      </c>
      <c r="H1019" s="30" t="s">
        <v>2294</v>
      </c>
      <c r="J1019" s="34"/>
    </row>
    <row r="1020" spans="1:10" x14ac:dyDescent="0.25">
      <c r="A1020" s="15">
        <v>41004</v>
      </c>
      <c r="B1020" s="16" t="s">
        <v>931</v>
      </c>
      <c r="C1020" t="s">
        <v>873</v>
      </c>
      <c r="D1020" t="s">
        <v>48</v>
      </c>
      <c r="E1020" s="17">
        <v>11.25</v>
      </c>
      <c r="F1020" s="17">
        <v>95</v>
      </c>
      <c r="G1020" s="18">
        <v>1068.75</v>
      </c>
      <c r="H1020" s="30" t="s">
        <v>2294</v>
      </c>
      <c r="J1020" s="34"/>
    </row>
    <row r="1021" spans="1:10" x14ac:dyDescent="0.25">
      <c r="A1021" s="15">
        <v>41004</v>
      </c>
      <c r="B1021" s="16" t="s">
        <v>962</v>
      </c>
      <c r="C1021" t="s">
        <v>871</v>
      </c>
      <c r="D1021" t="s">
        <v>48</v>
      </c>
      <c r="E1021" s="17">
        <v>10</v>
      </c>
      <c r="F1021" s="17">
        <v>130</v>
      </c>
      <c r="G1021" s="18">
        <v>1300</v>
      </c>
      <c r="H1021" s="30" t="s">
        <v>2294</v>
      </c>
      <c r="J1021" s="34"/>
    </row>
    <row r="1022" spans="1:10" x14ac:dyDescent="0.25">
      <c r="A1022" s="15">
        <v>41004</v>
      </c>
      <c r="B1022" s="16" t="s">
        <v>931</v>
      </c>
      <c r="C1022" t="s">
        <v>963</v>
      </c>
      <c r="D1022" t="s">
        <v>48</v>
      </c>
      <c r="E1022" s="17">
        <v>11</v>
      </c>
      <c r="F1022" s="17">
        <v>145</v>
      </c>
      <c r="G1022" s="18">
        <v>1595</v>
      </c>
      <c r="H1022" s="30" t="s">
        <v>2294</v>
      </c>
      <c r="J1022" s="34"/>
    </row>
    <row r="1023" spans="1:10" x14ac:dyDescent="0.25">
      <c r="A1023" s="15">
        <v>41009</v>
      </c>
      <c r="B1023" s="16" t="s">
        <v>880</v>
      </c>
      <c r="C1023" t="s">
        <v>881</v>
      </c>
      <c r="D1023" t="s">
        <v>48</v>
      </c>
      <c r="E1023" s="17">
        <v>3</v>
      </c>
      <c r="F1023" s="17">
        <v>95</v>
      </c>
      <c r="G1023" s="18">
        <v>285</v>
      </c>
      <c r="H1023" s="30" t="s">
        <v>2294</v>
      </c>
      <c r="J1023" s="34"/>
    </row>
    <row r="1024" spans="1:10" x14ac:dyDescent="0.25">
      <c r="A1024" s="15">
        <v>41009</v>
      </c>
      <c r="B1024" s="16" t="s">
        <v>904</v>
      </c>
      <c r="C1024" t="s">
        <v>905</v>
      </c>
      <c r="D1024" t="s">
        <v>48</v>
      </c>
      <c r="E1024" s="17">
        <v>7</v>
      </c>
      <c r="F1024" s="17">
        <v>95</v>
      </c>
      <c r="G1024" s="18">
        <v>665</v>
      </c>
      <c r="H1024" s="30" t="s">
        <v>2294</v>
      </c>
      <c r="J1024" s="34"/>
    </row>
    <row r="1025" spans="1:10" x14ac:dyDescent="0.25">
      <c r="A1025" s="15">
        <v>41009</v>
      </c>
      <c r="B1025" s="16" t="s">
        <v>937</v>
      </c>
      <c r="C1025" t="s">
        <v>934</v>
      </c>
      <c r="D1025" t="s">
        <v>48</v>
      </c>
      <c r="E1025" s="17">
        <v>4</v>
      </c>
      <c r="F1025" s="17">
        <v>92.73</v>
      </c>
      <c r="G1025" s="18">
        <v>370.92</v>
      </c>
      <c r="H1025" s="30" t="s">
        <v>2294</v>
      </c>
      <c r="J1025" s="34"/>
    </row>
    <row r="1026" spans="1:10" x14ac:dyDescent="0.25">
      <c r="A1026" s="15">
        <v>41009</v>
      </c>
      <c r="B1026" s="16" t="s">
        <v>865</v>
      </c>
      <c r="C1026" t="s">
        <v>8</v>
      </c>
      <c r="D1026" t="s">
        <v>48</v>
      </c>
      <c r="E1026" s="17">
        <v>2.5</v>
      </c>
      <c r="F1026" s="17">
        <v>35.35</v>
      </c>
      <c r="G1026" s="18">
        <v>88.375</v>
      </c>
      <c r="H1026" s="30" t="s">
        <v>2294</v>
      </c>
      <c r="J1026" s="34"/>
    </row>
    <row r="1027" spans="1:10" x14ac:dyDescent="0.25">
      <c r="A1027" s="15">
        <v>41009</v>
      </c>
      <c r="B1027" s="16" t="s">
        <v>865</v>
      </c>
      <c r="C1027" t="s">
        <v>8</v>
      </c>
      <c r="D1027" t="s">
        <v>48</v>
      </c>
      <c r="E1027" s="17">
        <v>7</v>
      </c>
      <c r="F1027" s="17">
        <v>35.35</v>
      </c>
      <c r="G1027" s="18">
        <v>247.45</v>
      </c>
      <c r="H1027" s="30" t="s">
        <v>2294</v>
      </c>
      <c r="J1027" s="34"/>
    </row>
    <row r="1028" spans="1:10" x14ac:dyDescent="0.25">
      <c r="A1028" s="15">
        <v>41009</v>
      </c>
      <c r="B1028" s="16" t="s">
        <v>920</v>
      </c>
      <c r="C1028" t="s">
        <v>871</v>
      </c>
      <c r="D1028" t="s">
        <v>48</v>
      </c>
      <c r="E1028" s="17">
        <v>4.5</v>
      </c>
      <c r="F1028" s="17">
        <v>130</v>
      </c>
      <c r="G1028" s="18">
        <v>585</v>
      </c>
      <c r="H1028" s="30" t="s">
        <v>2294</v>
      </c>
      <c r="J1028" s="34"/>
    </row>
    <row r="1029" spans="1:10" x14ac:dyDescent="0.25">
      <c r="A1029" s="15">
        <v>41009</v>
      </c>
      <c r="B1029" s="16" t="s">
        <v>893</v>
      </c>
      <c r="C1029" t="s">
        <v>905</v>
      </c>
      <c r="D1029" t="s">
        <v>48</v>
      </c>
      <c r="E1029" s="17">
        <v>3</v>
      </c>
      <c r="F1029" s="17">
        <v>140</v>
      </c>
      <c r="G1029" s="18">
        <v>420</v>
      </c>
      <c r="H1029" s="30" t="s">
        <v>2294</v>
      </c>
      <c r="J1029" s="34"/>
    </row>
    <row r="1030" spans="1:10" x14ac:dyDescent="0.25">
      <c r="A1030" s="15">
        <v>41009</v>
      </c>
      <c r="B1030" s="16" t="s">
        <v>931</v>
      </c>
      <c r="C1030" t="s">
        <v>873</v>
      </c>
      <c r="D1030" t="s">
        <v>48</v>
      </c>
      <c r="E1030" s="17">
        <v>11</v>
      </c>
      <c r="F1030" s="17">
        <v>130</v>
      </c>
      <c r="G1030" s="18">
        <v>1430</v>
      </c>
      <c r="H1030" s="30" t="s">
        <v>2294</v>
      </c>
      <c r="J1030" s="34"/>
    </row>
    <row r="1031" spans="1:10" x14ac:dyDescent="0.25">
      <c r="A1031" s="15">
        <v>41009</v>
      </c>
      <c r="B1031" s="16" t="s">
        <v>931</v>
      </c>
      <c r="C1031" t="s">
        <v>963</v>
      </c>
      <c r="D1031" t="s">
        <v>48</v>
      </c>
      <c r="E1031" s="17">
        <v>10.5</v>
      </c>
      <c r="F1031" s="17">
        <v>145</v>
      </c>
      <c r="G1031" s="18">
        <v>1522.5</v>
      </c>
      <c r="H1031" s="30" t="s">
        <v>2294</v>
      </c>
      <c r="J1031" s="34"/>
    </row>
    <row r="1032" spans="1:10" x14ac:dyDescent="0.25">
      <c r="A1032" s="15">
        <v>41009</v>
      </c>
      <c r="B1032" s="16" t="s">
        <v>931</v>
      </c>
      <c r="C1032" t="s">
        <v>964</v>
      </c>
      <c r="D1032" t="s">
        <v>783</v>
      </c>
      <c r="E1032" s="17">
        <v>8</v>
      </c>
      <c r="F1032" s="17">
        <v>150</v>
      </c>
      <c r="G1032" s="18">
        <v>1200</v>
      </c>
      <c r="H1032" s="30" t="s">
        <v>2294</v>
      </c>
      <c r="J1032" s="34"/>
    </row>
    <row r="1033" spans="1:10" x14ac:dyDescent="0.25">
      <c r="A1033" s="15">
        <v>41009</v>
      </c>
      <c r="B1033" s="16" t="s">
        <v>937</v>
      </c>
      <c r="C1033" t="s">
        <v>934</v>
      </c>
      <c r="D1033" t="s">
        <v>48</v>
      </c>
      <c r="E1033" s="17">
        <v>4</v>
      </c>
      <c r="F1033" s="17">
        <v>92.73</v>
      </c>
      <c r="G1033" s="18">
        <v>370.92</v>
      </c>
      <c r="H1033" s="30" t="s">
        <v>2294</v>
      </c>
      <c r="J1033" s="34"/>
    </row>
    <row r="1034" spans="1:10" x14ac:dyDescent="0.25">
      <c r="A1034" s="15">
        <v>41009</v>
      </c>
      <c r="B1034" s="16" t="s">
        <v>877</v>
      </c>
      <c r="C1034" t="s">
        <v>868</v>
      </c>
      <c r="D1034" t="s">
        <v>48</v>
      </c>
      <c r="E1034" s="17">
        <v>7</v>
      </c>
      <c r="F1034" s="17">
        <v>90</v>
      </c>
      <c r="G1034" s="18">
        <v>630</v>
      </c>
      <c r="H1034" s="30" t="s">
        <v>2294</v>
      </c>
      <c r="J1034" s="34"/>
    </row>
    <row r="1035" spans="1:10" x14ac:dyDescent="0.25">
      <c r="A1035" s="15">
        <v>41009</v>
      </c>
      <c r="B1035" s="16" t="s">
        <v>872</v>
      </c>
      <c r="C1035" t="s">
        <v>864</v>
      </c>
      <c r="D1035" t="s">
        <v>48</v>
      </c>
      <c r="E1035" s="17">
        <v>5.5</v>
      </c>
      <c r="F1035" s="17">
        <v>100</v>
      </c>
      <c r="G1035" s="18">
        <v>550</v>
      </c>
      <c r="H1035" s="30" t="s">
        <v>2294</v>
      </c>
      <c r="J1035" s="34"/>
    </row>
    <row r="1036" spans="1:10" x14ac:dyDescent="0.25">
      <c r="A1036" s="15">
        <v>41009</v>
      </c>
      <c r="B1036" s="16" t="s">
        <v>865</v>
      </c>
      <c r="C1036" t="s">
        <v>8</v>
      </c>
      <c r="D1036" t="s">
        <v>48</v>
      </c>
      <c r="E1036" s="17">
        <v>8</v>
      </c>
      <c r="F1036" s="17">
        <v>35.35</v>
      </c>
      <c r="G1036" s="18">
        <v>282.8</v>
      </c>
      <c r="H1036" s="30" t="s">
        <v>2294</v>
      </c>
      <c r="J1036" s="34"/>
    </row>
    <row r="1037" spans="1:10" x14ac:dyDescent="0.25">
      <c r="A1037" s="15">
        <v>41009</v>
      </c>
      <c r="B1037" s="16" t="s">
        <v>965</v>
      </c>
      <c r="C1037" t="s">
        <v>871</v>
      </c>
      <c r="D1037" t="s">
        <v>48</v>
      </c>
      <c r="E1037" s="17">
        <v>10.5</v>
      </c>
      <c r="F1037" s="17">
        <v>130</v>
      </c>
      <c r="G1037" s="18">
        <v>1365</v>
      </c>
      <c r="H1037" s="30" t="s">
        <v>2294</v>
      </c>
      <c r="J1037" s="34"/>
    </row>
    <row r="1038" spans="1:10" x14ac:dyDescent="0.25">
      <c r="A1038" s="15">
        <v>41009</v>
      </c>
      <c r="B1038" s="16" t="s">
        <v>865</v>
      </c>
      <c r="C1038" t="s">
        <v>8</v>
      </c>
      <c r="D1038" t="s">
        <v>48</v>
      </c>
      <c r="E1038" s="17">
        <v>7</v>
      </c>
      <c r="F1038" s="17">
        <v>35.35</v>
      </c>
      <c r="G1038" s="18">
        <v>247.45</v>
      </c>
      <c r="H1038" s="30" t="s">
        <v>2294</v>
      </c>
      <c r="J1038" s="34"/>
    </row>
    <row r="1039" spans="1:10" x14ac:dyDescent="0.25">
      <c r="A1039" s="15">
        <v>41010</v>
      </c>
      <c r="B1039" s="16" t="s">
        <v>865</v>
      </c>
      <c r="C1039" t="s">
        <v>8</v>
      </c>
      <c r="D1039" t="s">
        <v>48</v>
      </c>
      <c r="E1039" s="17">
        <v>6</v>
      </c>
      <c r="F1039" s="17">
        <v>35.35</v>
      </c>
      <c r="G1039" s="18">
        <v>212.1</v>
      </c>
      <c r="H1039" s="30" t="s">
        <v>2294</v>
      </c>
      <c r="J1039" s="34"/>
    </row>
    <row r="1040" spans="1:10" x14ac:dyDescent="0.25">
      <c r="A1040" s="15">
        <v>41010</v>
      </c>
      <c r="B1040" s="16" t="s">
        <v>931</v>
      </c>
      <c r="C1040" t="s">
        <v>873</v>
      </c>
      <c r="D1040" t="s">
        <v>48</v>
      </c>
      <c r="E1040" s="17">
        <v>3</v>
      </c>
      <c r="F1040" s="17">
        <v>130</v>
      </c>
      <c r="G1040" s="18">
        <v>390</v>
      </c>
      <c r="H1040" s="30" t="s">
        <v>2294</v>
      </c>
      <c r="J1040" s="34"/>
    </row>
    <row r="1041" spans="1:10" x14ac:dyDescent="0.25">
      <c r="A1041" s="15">
        <v>41010</v>
      </c>
      <c r="B1041" s="16" t="s">
        <v>931</v>
      </c>
      <c r="C1041" t="s">
        <v>964</v>
      </c>
      <c r="D1041" t="s">
        <v>783</v>
      </c>
      <c r="E1041" s="17">
        <v>3</v>
      </c>
      <c r="F1041" s="17">
        <v>150</v>
      </c>
      <c r="G1041" s="18">
        <v>450</v>
      </c>
      <c r="H1041" s="30" t="s">
        <v>2294</v>
      </c>
      <c r="J1041" s="34"/>
    </row>
    <row r="1042" spans="1:10" x14ac:dyDescent="0.25">
      <c r="A1042" s="15">
        <v>41010</v>
      </c>
      <c r="B1042" s="16" t="s">
        <v>931</v>
      </c>
      <c r="C1042" t="s">
        <v>963</v>
      </c>
      <c r="D1042" t="s">
        <v>48</v>
      </c>
      <c r="E1042" s="17">
        <v>3.5</v>
      </c>
      <c r="F1042" s="17">
        <v>145</v>
      </c>
      <c r="G1042" s="18">
        <v>507.5</v>
      </c>
      <c r="H1042" s="30" t="s">
        <v>2294</v>
      </c>
      <c r="J1042" s="34"/>
    </row>
    <row r="1043" spans="1:10" x14ac:dyDescent="0.25">
      <c r="A1043" s="15">
        <v>41010</v>
      </c>
      <c r="B1043" s="16" t="s">
        <v>877</v>
      </c>
      <c r="C1043" t="s">
        <v>868</v>
      </c>
      <c r="D1043" t="s">
        <v>48</v>
      </c>
      <c r="E1043" s="17">
        <v>2</v>
      </c>
      <c r="F1043" s="17">
        <v>90</v>
      </c>
      <c r="G1043" s="18">
        <v>180</v>
      </c>
      <c r="H1043" s="30" t="s">
        <v>2294</v>
      </c>
      <c r="J1043" s="34"/>
    </row>
    <row r="1044" spans="1:10" x14ac:dyDescent="0.25">
      <c r="A1044" s="15">
        <v>41010</v>
      </c>
      <c r="B1044" s="16" t="s">
        <v>893</v>
      </c>
      <c r="C1044" t="s">
        <v>905</v>
      </c>
      <c r="D1044" t="s">
        <v>48</v>
      </c>
      <c r="E1044" s="17">
        <v>3</v>
      </c>
      <c r="F1044" s="17">
        <v>140</v>
      </c>
      <c r="G1044" s="18">
        <v>420</v>
      </c>
      <c r="H1044" s="30" t="s">
        <v>2294</v>
      </c>
      <c r="J1044" s="34"/>
    </row>
    <row r="1045" spans="1:10" x14ac:dyDescent="0.25">
      <c r="A1045" s="15">
        <v>41010</v>
      </c>
      <c r="B1045" s="16" t="s">
        <v>872</v>
      </c>
      <c r="C1045" t="s">
        <v>864</v>
      </c>
      <c r="D1045" t="s">
        <v>48</v>
      </c>
      <c r="E1045" s="17">
        <v>5</v>
      </c>
      <c r="F1045" s="17">
        <v>100</v>
      </c>
      <c r="G1045" s="18">
        <v>500</v>
      </c>
      <c r="H1045" s="30" t="s">
        <v>2294</v>
      </c>
      <c r="J1045" s="34"/>
    </row>
    <row r="1046" spans="1:10" x14ac:dyDescent="0.25">
      <c r="A1046" s="15">
        <v>41010</v>
      </c>
      <c r="B1046" s="16" t="s">
        <v>865</v>
      </c>
      <c r="C1046" t="s">
        <v>8</v>
      </c>
      <c r="D1046" t="s">
        <v>48</v>
      </c>
      <c r="E1046" s="17">
        <v>4</v>
      </c>
      <c r="F1046" s="17">
        <v>35.35</v>
      </c>
      <c r="G1046" s="18">
        <v>141.4</v>
      </c>
      <c r="H1046" s="30" t="s">
        <v>2294</v>
      </c>
      <c r="J1046" s="34"/>
    </row>
    <row r="1047" spans="1:10" x14ac:dyDescent="0.25">
      <c r="A1047" s="15">
        <v>41010</v>
      </c>
      <c r="B1047" s="16" t="s">
        <v>865</v>
      </c>
      <c r="C1047" t="s">
        <v>8</v>
      </c>
      <c r="D1047" t="s">
        <v>48</v>
      </c>
      <c r="E1047" s="17">
        <v>4</v>
      </c>
      <c r="F1047" s="17">
        <v>35.35</v>
      </c>
      <c r="G1047" s="18">
        <v>141.4</v>
      </c>
      <c r="H1047" s="30" t="s">
        <v>2294</v>
      </c>
      <c r="J1047" s="34"/>
    </row>
    <row r="1048" spans="1:10" x14ac:dyDescent="0.25">
      <c r="A1048" s="15">
        <v>41010</v>
      </c>
      <c r="B1048" s="16" t="s">
        <v>865</v>
      </c>
      <c r="C1048" t="s">
        <v>8</v>
      </c>
      <c r="D1048" t="s">
        <v>48</v>
      </c>
      <c r="E1048" s="17">
        <v>4</v>
      </c>
      <c r="F1048" s="17">
        <v>35.35</v>
      </c>
      <c r="G1048" s="18">
        <v>141.4</v>
      </c>
      <c r="H1048" s="30" t="s">
        <v>2294</v>
      </c>
      <c r="J1048" s="34"/>
    </row>
    <row r="1049" spans="1:10" x14ac:dyDescent="0.25">
      <c r="A1049" s="15">
        <v>41011</v>
      </c>
      <c r="B1049" s="16" t="s">
        <v>872</v>
      </c>
      <c r="C1049" t="s">
        <v>864</v>
      </c>
      <c r="D1049" t="s">
        <v>48</v>
      </c>
      <c r="E1049" s="17">
        <v>5</v>
      </c>
      <c r="F1049" s="17">
        <v>100</v>
      </c>
      <c r="G1049" s="18">
        <v>500</v>
      </c>
      <c r="H1049" s="30" t="s">
        <v>2294</v>
      </c>
      <c r="J1049" s="34"/>
    </row>
    <row r="1050" spans="1:10" x14ac:dyDescent="0.25">
      <c r="A1050" s="15">
        <v>41011</v>
      </c>
      <c r="B1050" s="16" t="s">
        <v>865</v>
      </c>
      <c r="C1050" t="s">
        <v>8</v>
      </c>
      <c r="D1050" t="s">
        <v>48</v>
      </c>
      <c r="E1050" s="17">
        <v>6</v>
      </c>
      <c r="F1050" s="17">
        <v>35.35</v>
      </c>
      <c r="G1050" s="18">
        <v>212.1</v>
      </c>
      <c r="H1050" s="30" t="s">
        <v>2294</v>
      </c>
      <c r="J1050" s="34"/>
    </row>
    <row r="1051" spans="1:10" x14ac:dyDescent="0.25">
      <c r="A1051" s="15">
        <v>41011</v>
      </c>
      <c r="B1051" s="16" t="s">
        <v>966</v>
      </c>
      <c r="C1051" t="s">
        <v>864</v>
      </c>
      <c r="D1051" t="s">
        <v>48</v>
      </c>
      <c r="E1051" s="17">
        <v>8.5</v>
      </c>
      <c r="F1051" s="17">
        <v>100</v>
      </c>
      <c r="G1051" s="18">
        <v>850</v>
      </c>
      <c r="H1051" s="30" t="s">
        <v>2294</v>
      </c>
      <c r="J1051" s="34"/>
    </row>
    <row r="1052" spans="1:10" x14ac:dyDescent="0.25">
      <c r="A1052" s="15">
        <v>41011</v>
      </c>
      <c r="B1052" s="16" t="s">
        <v>931</v>
      </c>
      <c r="C1052" t="s">
        <v>963</v>
      </c>
      <c r="D1052" t="s">
        <v>48</v>
      </c>
      <c r="E1052" s="17">
        <v>6</v>
      </c>
      <c r="F1052" s="17">
        <v>145</v>
      </c>
      <c r="G1052" s="18">
        <v>870</v>
      </c>
      <c r="H1052" s="30" t="s">
        <v>2294</v>
      </c>
      <c r="J1052" s="34"/>
    </row>
    <row r="1053" spans="1:10" x14ac:dyDescent="0.25">
      <c r="A1053" s="15">
        <v>41011</v>
      </c>
      <c r="B1053" s="16" t="s">
        <v>865</v>
      </c>
      <c r="C1053" t="s">
        <v>8</v>
      </c>
      <c r="D1053" t="s">
        <v>48</v>
      </c>
      <c r="E1053" s="17">
        <v>6</v>
      </c>
      <c r="F1053" s="17">
        <v>35.35</v>
      </c>
      <c r="G1053" s="18">
        <v>212.1</v>
      </c>
      <c r="H1053" s="30" t="s">
        <v>2294</v>
      </c>
      <c r="J1053" s="34"/>
    </row>
    <row r="1054" spans="1:10" x14ac:dyDescent="0.25">
      <c r="A1054" s="15">
        <v>41011</v>
      </c>
      <c r="B1054" s="16" t="s">
        <v>931</v>
      </c>
      <c r="C1054" t="s">
        <v>964</v>
      </c>
      <c r="D1054" t="s">
        <v>783</v>
      </c>
      <c r="E1054" s="17">
        <v>7</v>
      </c>
      <c r="F1054" s="17">
        <v>150</v>
      </c>
      <c r="G1054" s="18">
        <v>1050</v>
      </c>
      <c r="H1054" s="30" t="s">
        <v>2294</v>
      </c>
      <c r="J1054" s="34"/>
    </row>
    <row r="1055" spans="1:10" x14ac:dyDescent="0.25">
      <c r="A1055" s="15">
        <v>41011</v>
      </c>
      <c r="B1055" s="16" t="s">
        <v>865</v>
      </c>
      <c r="C1055" t="s">
        <v>8</v>
      </c>
      <c r="D1055" t="s">
        <v>48</v>
      </c>
      <c r="E1055" s="17">
        <v>2</v>
      </c>
      <c r="F1055" s="17">
        <v>35.35</v>
      </c>
      <c r="G1055" s="18">
        <v>70.7</v>
      </c>
      <c r="H1055" s="30" t="s">
        <v>2294</v>
      </c>
      <c r="J1055" s="34"/>
    </row>
    <row r="1056" spans="1:10" x14ac:dyDescent="0.25">
      <c r="A1056" s="15">
        <v>41011</v>
      </c>
      <c r="B1056" s="16" t="s">
        <v>867</v>
      </c>
      <c r="C1056" t="s">
        <v>868</v>
      </c>
      <c r="D1056" t="s">
        <v>48</v>
      </c>
      <c r="E1056" s="17">
        <v>2.5</v>
      </c>
      <c r="F1056" s="17">
        <v>90</v>
      </c>
      <c r="G1056" s="18">
        <v>225</v>
      </c>
      <c r="H1056" s="30" t="s">
        <v>2294</v>
      </c>
      <c r="J1056" s="34"/>
    </row>
    <row r="1057" spans="1:10" x14ac:dyDescent="0.25">
      <c r="A1057" s="15">
        <v>41011</v>
      </c>
      <c r="B1057" s="16" t="s">
        <v>865</v>
      </c>
      <c r="C1057" t="s">
        <v>8</v>
      </c>
      <c r="D1057" t="s">
        <v>48</v>
      </c>
      <c r="E1057" s="17">
        <v>6</v>
      </c>
      <c r="F1057" s="17">
        <v>35.35</v>
      </c>
      <c r="G1057" s="18">
        <v>212.1</v>
      </c>
      <c r="H1057" s="30" t="s">
        <v>2294</v>
      </c>
      <c r="J1057" s="34"/>
    </row>
    <row r="1058" spans="1:10" x14ac:dyDescent="0.25">
      <c r="A1058" s="15">
        <v>41011</v>
      </c>
      <c r="B1058" s="16" t="s">
        <v>865</v>
      </c>
      <c r="C1058" t="s">
        <v>8</v>
      </c>
      <c r="D1058" t="s">
        <v>48</v>
      </c>
      <c r="E1058" s="17">
        <v>6</v>
      </c>
      <c r="F1058" s="17">
        <v>35.35</v>
      </c>
      <c r="G1058" s="18">
        <v>212.1</v>
      </c>
      <c r="H1058" s="30" t="s">
        <v>2294</v>
      </c>
      <c r="J1058" s="34"/>
    </row>
    <row r="1059" spans="1:10" x14ac:dyDescent="0.25">
      <c r="A1059" s="15">
        <v>41012</v>
      </c>
      <c r="B1059" s="16" t="s">
        <v>865</v>
      </c>
      <c r="C1059" t="s">
        <v>8</v>
      </c>
      <c r="D1059" t="s">
        <v>48</v>
      </c>
      <c r="E1059" s="17">
        <v>6</v>
      </c>
      <c r="F1059" s="17">
        <v>35.35</v>
      </c>
      <c r="G1059" s="18">
        <v>212.1</v>
      </c>
      <c r="H1059" s="30" t="s">
        <v>2294</v>
      </c>
      <c r="J1059" s="34"/>
    </row>
    <row r="1060" spans="1:10" x14ac:dyDescent="0.25">
      <c r="A1060" s="15">
        <v>41012</v>
      </c>
      <c r="B1060" s="16" t="s">
        <v>865</v>
      </c>
      <c r="C1060" t="s">
        <v>8</v>
      </c>
      <c r="D1060" t="s">
        <v>48</v>
      </c>
      <c r="E1060" s="17">
        <v>7.5</v>
      </c>
      <c r="F1060" s="17">
        <v>35.35</v>
      </c>
      <c r="G1060" s="18">
        <v>265.125</v>
      </c>
      <c r="H1060" s="30" t="s">
        <v>2294</v>
      </c>
      <c r="J1060" s="34"/>
    </row>
    <row r="1061" spans="1:10" x14ac:dyDescent="0.25">
      <c r="A1061" s="15">
        <v>41012</v>
      </c>
      <c r="B1061" s="16" t="s">
        <v>931</v>
      </c>
      <c r="C1061" t="s">
        <v>873</v>
      </c>
      <c r="D1061" t="s">
        <v>48</v>
      </c>
      <c r="E1061" s="17">
        <v>7.5</v>
      </c>
      <c r="F1061" s="17">
        <v>130</v>
      </c>
      <c r="G1061" s="18">
        <v>975</v>
      </c>
      <c r="H1061" s="30" t="s">
        <v>2294</v>
      </c>
      <c r="J1061" s="34"/>
    </row>
    <row r="1062" spans="1:10" x14ac:dyDescent="0.25">
      <c r="A1062" s="15">
        <v>41012</v>
      </c>
      <c r="B1062" s="16" t="s">
        <v>865</v>
      </c>
      <c r="C1062" t="s">
        <v>8</v>
      </c>
      <c r="D1062" t="s">
        <v>48</v>
      </c>
      <c r="E1062" s="17">
        <v>7.5</v>
      </c>
      <c r="F1062" s="17">
        <v>35.35</v>
      </c>
      <c r="G1062" s="18">
        <v>265.125</v>
      </c>
      <c r="H1062" s="30" t="s">
        <v>2294</v>
      </c>
      <c r="J1062" s="34"/>
    </row>
    <row r="1063" spans="1:10" x14ac:dyDescent="0.25">
      <c r="A1063" s="15">
        <v>41012</v>
      </c>
      <c r="B1063" s="16" t="s">
        <v>865</v>
      </c>
      <c r="C1063" t="s">
        <v>8</v>
      </c>
      <c r="D1063" t="s">
        <v>48</v>
      </c>
      <c r="E1063" s="17">
        <v>6</v>
      </c>
      <c r="F1063" s="17">
        <v>35.35</v>
      </c>
      <c r="G1063" s="18">
        <v>212.1</v>
      </c>
      <c r="H1063" s="30" t="s">
        <v>2294</v>
      </c>
      <c r="J1063" s="34"/>
    </row>
    <row r="1064" spans="1:10" x14ac:dyDescent="0.25">
      <c r="A1064" s="15">
        <v>41012</v>
      </c>
      <c r="B1064" s="16" t="s">
        <v>867</v>
      </c>
      <c r="C1064" t="s">
        <v>868</v>
      </c>
      <c r="D1064" t="s">
        <v>48</v>
      </c>
      <c r="E1064" s="17">
        <v>2.5</v>
      </c>
      <c r="F1064" s="17">
        <v>90</v>
      </c>
      <c r="G1064" s="18">
        <v>225</v>
      </c>
      <c r="H1064" s="30" t="s">
        <v>2294</v>
      </c>
      <c r="J1064" s="34"/>
    </row>
    <row r="1065" spans="1:10" x14ac:dyDescent="0.25">
      <c r="A1065" s="15">
        <v>41012</v>
      </c>
      <c r="B1065" s="16" t="s">
        <v>931</v>
      </c>
      <c r="C1065" t="s">
        <v>963</v>
      </c>
      <c r="D1065" t="s">
        <v>48</v>
      </c>
      <c r="E1065" s="17">
        <v>6.5</v>
      </c>
      <c r="F1065" s="17">
        <v>145</v>
      </c>
      <c r="G1065" s="18">
        <v>942.5</v>
      </c>
      <c r="H1065" s="30" t="s">
        <v>2294</v>
      </c>
      <c r="J1065" s="34"/>
    </row>
    <row r="1066" spans="1:10" x14ac:dyDescent="0.25">
      <c r="A1066" s="15">
        <v>41012</v>
      </c>
      <c r="B1066" s="16" t="s">
        <v>931</v>
      </c>
      <c r="C1066" t="s">
        <v>964</v>
      </c>
      <c r="D1066" t="s">
        <v>783</v>
      </c>
      <c r="E1066" s="17">
        <v>7</v>
      </c>
      <c r="F1066" s="17">
        <v>150</v>
      </c>
      <c r="G1066" s="18">
        <v>1050</v>
      </c>
      <c r="H1066" s="30" t="s">
        <v>2294</v>
      </c>
      <c r="J1066" s="34"/>
    </row>
    <row r="1067" spans="1:10" x14ac:dyDescent="0.25">
      <c r="A1067" s="15">
        <v>41012</v>
      </c>
      <c r="B1067" s="16" t="s">
        <v>920</v>
      </c>
      <c r="C1067" t="s">
        <v>871</v>
      </c>
      <c r="D1067" t="s">
        <v>48</v>
      </c>
      <c r="E1067" s="17">
        <v>3</v>
      </c>
      <c r="F1067" s="17">
        <v>130</v>
      </c>
      <c r="G1067" s="18">
        <v>390</v>
      </c>
      <c r="H1067" s="30" t="s">
        <v>2294</v>
      </c>
      <c r="J1067" s="34"/>
    </row>
    <row r="1068" spans="1:10" x14ac:dyDescent="0.25">
      <c r="A1068" s="15">
        <v>41015</v>
      </c>
      <c r="B1068" s="16" t="s">
        <v>865</v>
      </c>
      <c r="C1068" t="s">
        <v>8</v>
      </c>
      <c r="D1068" t="s">
        <v>48</v>
      </c>
      <c r="E1068" s="17">
        <v>3</v>
      </c>
      <c r="F1068" s="17">
        <v>35.35</v>
      </c>
      <c r="G1068" s="18">
        <v>106.05</v>
      </c>
      <c r="H1068" s="30" t="s">
        <v>2294</v>
      </c>
      <c r="J1068" s="34"/>
    </row>
    <row r="1069" spans="1:10" x14ac:dyDescent="0.25">
      <c r="A1069" s="15">
        <v>41015</v>
      </c>
      <c r="B1069" s="16" t="s">
        <v>865</v>
      </c>
      <c r="C1069" t="s">
        <v>8</v>
      </c>
      <c r="D1069" t="s">
        <v>48</v>
      </c>
      <c r="E1069" s="17">
        <v>3</v>
      </c>
      <c r="F1069" s="17">
        <v>48</v>
      </c>
      <c r="G1069" s="18">
        <v>144</v>
      </c>
      <c r="H1069" s="30" t="s">
        <v>2294</v>
      </c>
      <c r="J1069" s="34"/>
    </row>
    <row r="1070" spans="1:10" x14ac:dyDescent="0.25">
      <c r="A1070" s="15">
        <v>41015</v>
      </c>
      <c r="B1070" s="16" t="s">
        <v>931</v>
      </c>
      <c r="C1070" t="s">
        <v>963</v>
      </c>
      <c r="D1070" t="s">
        <v>48</v>
      </c>
      <c r="E1070" s="17">
        <v>2.5</v>
      </c>
      <c r="F1070" s="17">
        <v>145</v>
      </c>
      <c r="G1070" s="18">
        <v>362.5</v>
      </c>
      <c r="H1070" s="30" t="s">
        <v>2294</v>
      </c>
      <c r="J1070" s="34"/>
    </row>
    <row r="1071" spans="1:10" x14ac:dyDescent="0.25">
      <c r="A1071" s="15">
        <v>41015</v>
      </c>
      <c r="B1071" s="16" t="s">
        <v>920</v>
      </c>
      <c r="C1071" t="s">
        <v>871</v>
      </c>
      <c r="D1071" t="s">
        <v>48</v>
      </c>
      <c r="E1071" s="17">
        <v>1</v>
      </c>
      <c r="F1071" s="17">
        <v>130</v>
      </c>
      <c r="G1071" s="18">
        <v>130</v>
      </c>
      <c r="H1071" s="30" t="s">
        <v>2294</v>
      </c>
      <c r="J1071" s="34"/>
    </row>
    <row r="1072" spans="1:10" x14ac:dyDescent="0.25">
      <c r="A1072" s="15">
        <v>41015</v>
      </c>
      <c r="B1072" s="16" t="s">
        <v>865</v>
      </c>
      <c r="C1072" t="s">
        <v>8</v>
      </c>
      <c r="D1072" t="s">
        <v>48</v>
      </c>
      <c r="E1072" s="17">
        <v>3</v>
      </c>
      <c r="F1072" s="17">
        <v>35.35</v>
      </c>
      <c r="G1072" s="18">
        <v>106.05</v>
      </c>
      <c r="H1072" s="30" t="s">
        <v>2294</v>
      </c>
      <c r="J1072" s="34"/>
    </row>
    <row r="1073" spans="1:10" x14ac:dyDescent="0.25">
      <c r="A1073" s="15">
        <v>41015</v>
      </c>
      <c r="B1073" s="16" t="s">
        <v>877</v>
      </c>
      <c r="C1073" t="s">
        <v>868</v>
      </c>
      <c r="D1073" t="s">
        <v>48</v>
      </c>
      <c r="E1073" s="17">
        <v>2</v>
      </c>
      <c r="F1073" s="17">
        <v>90</v>
      </c>
      <c r="G1073" s="18">
        <v>180</v>
      </c>
      <c r="H1073" s="30" t="s">
        <v>2294</v>
      </c>
      <c r="J1073" s="34"/>
    </row>
    <row r="1074" spans="1:10" x14ac:dyDescent="0.25">
      <c r="A1074" s="15">
        <v>41016</v>
      </c>
      <c r="B1074" s="16" t="s">
        <v>865</v>
      </c>
      <c r="C1074" t="s">
        <v>8</v>
      </c>
      <c r="D1074" t="s">
        <v>48</v>
      </c>
      <c r="E1074" s="17">
        <v>4.5</v>
      </c>
      <c r="F1074" s="17">
        <v>35.35</v>
      </c>
      <c r="G1074" s="18">
        <v>159.07499999999999</v>
      </c>
      <c r="H1074" s="30" t="s">
        <v>2294</v>
      </c>
      <c r="J1074" s="34"/>
    </row>
    <row r="1075" spans="1:10" x14ac:dyDescent="0.25">
      <c r="A1075" s="15">
        <v>41016</v>
      </c>
      <c r="B1075" s="16" t="s">
        <v>865</v>
      </c>
      <c r="C1075" t="s">
        <v>8</v>
      </c>
      <c r="D1075" t="s">
        <v>48</v>
      </c>
      <c r="E1075" s="17">
        <v>4.5</v>
      </c>
      <c r="F1075" s="17">
        <v>35.35</v>
      </c>
      <c r="G1075" s="18">
        <v>159.07499999999999</v>
      </c>
      <c r="H1075" s="30" t="s">
        <v>2294</v>
      </c>
      <c r="J1075" s="34"/>
    </row>
    <row r="1076" spans="1:10" x14ac:dyDescent="0.25">
      <c r="A1076" s="15">
        <v>41016</v>
      </c>
      <c r="B1076" s="16" t="s">
        <v>931</v>
      </c>
      <c r="C1076" t="s">
        <v>963</v>
      </c>
      <c r="D1076" t="s">
        <v>48</v>
      </c>
      <c r="E1076" s="17">
        <v>8</v>
      </c>
      <c r="F1076" s="17">
        <v>145</v>
      </c>
      <c r="G1076" s="18">
        <v>1160</v>
      </c>
      <c r="H1076" s="30" t="s">
        <v>2294</v>
      </c>
      <c r="J1076" s="34"/>
    </row>
    <row r="1077" spans="1:10" x14ac:dyDescent="0.25">
      <c r="A1077" s="15">
        <v>41016</v>
      </c>
      <c r="B1077" s="16" t="s">
        <v>920</v>
      </c>
      <c r="C1077" t="s">
        <v>871</v>
      </c>
      <c r="D1077" t="s">
        <v>48</v>
      </c>
      <c r="E1077" s="17">
        <v>3</v>
      </c>
      <c r="F1077" s="17">
        <v>130</v>
      </c>
      <c r="G1077" s="18">
        <v>390</v>
      </c>
      <c r="H1077" s="30" t="s">
        <v>2294</v>
      </c>
      <c r="J1077" s="34"/>
    </row>
    <row r="1078" spans="1:10" x14ac:dyDescent="0.25">
      <c r="A1078" s="15">
        <v>41017</v>
      </c>
      <c r="B1078" s="16" t="s">
        <v>931</v>
      </c>
      <c r="C1078" t="s">
        <v>963</v>
      </c>
      <c r="D1078" t="s">
        <v>48</v>
      </c>
      <c r="E1078" s="17">
        <v>7</v>
      </c>
      <c r="F1078" s="17">
        <v>145</v>
      </c>
      <c r="G1078" s="18">
        <v>1015</v>
      </c>
      <c r="H1078" s="30" t="s">
        <v>2294</v>
      </c>
      <c r="J1078" s="34"/>
    </row>
    <row r="1079" spans="1:10" x14ac:dyDescent="0.25">
      <c r="A1079" s="15">
        <v>41017</v>
      </c>
      <c r="B1079" s="16" t="s">
        <v>865</v>
      </c>
      <c r="C1079" t="s">
        <v>8</v>
      </c>
      <c r="D1079" t="s">
        <v>48</v>
      </c>
      <c r="E1079" s="17">
        <v>2</v>
      </c>
      <c r="F1079" s="17">
        <v>35.35</v>
      </c>
      <c r="G1079" s="18">
        <v>70.7</v>
      </c>
      <c r="H1079" s="30" t="s">
        <v>2294</v>
      </c>
      <c r="J1079" s="34"/>
    </row>
    <row r="1080" spans="1:10" x14ac:dyDescent="0.25">
      <c r="A1080" s="15">
        <v>41017</v>
      </c>
      <c r="B1080" s="16" t="s">
        <v>865</v>
      </c>
      <c r="C1080" t="s">
        <v>8</v>
      </c>
      <c r="D1080" t="s">
        <v>48</v>
      </c>
      <c r="E1080" s="17">
        <v>6</v>
      </c>
      <c r="F1080" s="17">
        <v>35.35</v>
      </c>
      <c r="G1080" s="18">
        <v>212.1</v>
      </c>
      <c r="H1080" s="30" t="s">
        <v>2294</v>
      </c>
      <c r="J1080" s="34"/>
    </row>
    <row r="1081" spans="1:10" x14ac:dyDescent="0.25">
      <c r="A1081" s="15">
        <v>41017</v>
      </c>
      <c r="B1081" s="16" t="s">
        <v>872</v>
      </c>
      <c r="C1081" t="s">
        <v>934</v>
      </c>
      <c r="D1081" t="s">
        <v>48</v>
      </c>
      <c r="E1081" s="17">
        <v>1.75</v>
      </c>
      <c r="F1081" s="17">
        <v>136.36500000000001</v>
      </c>
      <c r="G1081" s="18">
        <v>238.63874999999999</v>
      </c>
      <c r="H1081" s="30" t="s">
        <v>2294</v>
      </c>
      <c r="J1081" s="34"/>
    </row>
    <row r="1082" spans="1:10" x14ac:dyDescent="0.25">
      <c r="A1082" s="15">
        <v>41017</v>
      </c>
      <c r="B1082" s="16" t="s">
        <v>865</v>
      </c>
      <c r="C1082" t="s">
        <v>8</v>
      </c>
      <c r="D1082" t="s">
        <v>48</v>
      </c>
      <c r="E1082" s="17">
        <v>6</v>
      </c>
      <c r="F1082" s="17">
        <v>35.35</v>
      </c>
      <c r="G1082" s="18">
        <v>212.1</v>
      </c>
      <c r="H1082" s="30" t="s">
        <v>2294</v>
      </c>
      <c r="J1082" s="34"/>
    </row>
    <row r="1083" spans="1:10" x14ac:dyDescent="0.25">
      <c r="A1083" s="15">
        <v>41017</v>
      </c>
      <c r="B1083" s="16" t="s">
        <v>865</v>
      </c>
      <c r="C1083" t="s">
        <v>8</v>
      </c>
      <c r="D1083" t="s">
        <v>48</v>
      </c>
      <c r="E1083" s="17">
        <v>2</v>
      </c>
      <c r="F1083" s="17">
        <v>35.35</v>
      </c>
      <c r="G1083" s="18">
        <v>70.7</v>
      </c>
      <c r="H1083" s="30" t="s">
        <v>2294</v>
      </c>
      <c r="J1083" s="34"/>
    </row>
    <row r="1084" spans="1:10" x14ac:dyDescent="0.25">
      <c r="A1084" s="15">
        <v>41017</v>
      </c>
      <c r="B1084" s="16" t="s">
        <v>920</v>
      </c>
      <c r="C1084" t="s">
        <v>871</v>
      </c>
      <c r="D1084" t="s">
        <v>48</v>
      </c>
      <c r="E1084" s="17">
        <v>6.5</v>
      </c>
      <c r="F1084" s="17">
        <v>130</v>
      </c>
      <c r="G1084" s="18">
        <v>845</v>
      </c>
      <c r="H1084" s="30" t="s">
        <v>2294</v>
      </c>
      <c r="J1084" s="34"/>
    </row>
    <row r="1085" spans="1:10" x14ac:dyDescent="0.25">
      <c r="A1085" s="15">
        <v>41029</v>
      </c>
      <c r="B1085" s="16" t="s">
        <v>865</v>
      </c>
      <c r="C1085" t="s">
        <v>8</v>
      </c>
      <c r="D1085" t="s">
        <v>48</v>
      </c>
      <c r="E1085" s="17">
        <v>2</v>
      </c>
      <c r="F1085" s="17">
        <v>35.35</v>
      </c>
      <c r="G1085" s="18">
        <v>70.7</v>
      </c>
      <c r="H1085" s="30" t="s">
        <v>2294</v>
      </c>
      <c r="J1085" s="34"/>
    </row>
    <row r="1086" spans="1:10" x14ac:dyDescent="0.25">
      <c r="A1086" s="15">
        <v>41029</v>
      </c>
      <c r="B1086" s="16" t="s">
        <v>880</v>
      </c>
      <c r="C1086" t="s">
        <v>881</v>
      </c>
      <c r="D1086" t="s">
        <v>48</v>
      </c>
      <c r="E1086" s="17">
        <v>2</v>
      </c>
      <c r="F1086" s="17">
        <v>95</v>
      </c>
      <c r="G1086" s="18">
        <v>190</v>
      </c>
      <c r="H1086" s="30" t="s">
        <v>2294</v>
      </c>
      <c r="J1086" s="34"/>
    </row>
    <row r="1087" spans="1:10" x14ac:dyDescent="0.25">
      <c r="A1087" s="15">
        <v>41029</v>
      </c>
      <c r="B1087" s="16" t="s">
        <v>877</v>
      </c>
      <c r="C1087" t="s">
        <v>868</v>
      </c>
      <c r="D1087" t="s">
        <v>48</v>
      </c>
      <c r="E1087" s="17">
        <v>2</v>
      </c>
      <c r="F1087" s="17">
        <v>90</v>
      </c>
      <c r="G1087" s="18">
        <v>180</v>
      </c>
      <c r="H1087" s="30" t="s">
        <v>2294</v>
      </c>
      <c r="J1087" s="34"/>
    </row>
    <row r="1088" spans="1:10" x14ac:dyDescent="0.25">
      <c r="A1088" s="15">
        <v>41029</v>
      </c>
      <c r="B1088" s="16" t="s">
        <v>865</v>
      </c>
      <c r="C1088" t="s">
        <v>8</v>
      </c>
      <c r="D1088" t="s">
        <v>48</v>
      </c>
      <c r="E1088" s="17">
        <v>2</v>
      </c>
      <c r="F1088" s="17">
        <v>48</v>
      </c>
      <c r="G1088" s="18">
        <v>96</v>
      </c>
      <c r="H1088" s="30" t="s">
        <v>2294</v>
      </c>
      <c r="J1088" s="34"/>
    </row>
    <row r="1089" spans="1:10" x14ac:dyDescent="0.25">
      <c r="A1089" s="15">
        <v>41030</v>
      </c>
      <c r="B1089" s="16" t="s">
        <v>920</v>
      </c>
      <c r="C1089" t="s">
        <v>871</v>
      </c>
      <c r="D1089" t="s">
        <v>48</v>
      </c>
      <c r="E1089" s="17">
        <v>9.5</v>
      </c>
      <c r="F1089" s="17">
        <v>130</v>
      </c>
      <c r="G1089" s="18">
        <v>1235</v>
      </c>
      <c r="H1089" s="30" t="s">
        <v>2294</v>
      </c>
      <c r="J1089" s="34"/>
    </row>
    <row r="1090" spans="1:10" x14ac:dyDescent="0.25">
      <c r="A1090" s="15">
        <v>41030</v>
      </c>
      <c r="B1090" s="16" t="s">
        <v>865</v>
      </c>
      <c r="C1090" t="s">
        <v>8</v>
      </c>
      <c r="D1090" t="s">
        <v>48</v>
      </c>
      <c r="E1090" s="17">
        <v>5</v>
      </c>
      <c r="F1090" s="17">
        <v>48</v>
      </c>
      <c r="G1090" s="18">
        <v>240</v>
      </c>
      <c r="H1090" s="30" t="s">
        <v>2294</v>
      </c>
      <c r="J1090" s="34"/>
    </row>
    <row r="1091" spans="1:10" x14ac:dyDescent="0.25">
      <c r="A1091" s="15">
        <v>41030</v>
      </c>
      <c r="B1091" s="16" t="s">
        <v>865</v>
      </c>
      <c r="C1091" t="s">
        <v>8</v>
      </c>
      <c r="D1091" t="s">
        <v>48</v>
      </c>
      <c r="E1091" s="17">
        <v>5</v>
      </c>
      <c r="F1091" s="17">
        <v>35.35</v>
      </c>
      <c r="G1091" s="18">
        <v>176.75</v>
      </c>
      <c r="H1091" s="30" t="s">
        <v>2294</v>
      </c>
      <c r="J1091" s="34"/>
    </row>
    <row r="1092" spans="1:10" x14ac:dyDescent="0.25">
      <c r="A1092" s="15">
        <v>41030</v>
      </c>
      <c r="B1092" s="16" t="s">
        <v>937</v>
      </c>
      <c r="C1092" t="s">
        <v>934</v>
      </c>
      <c r="D1092" t="s">
        <v>48</v>
      </c>
      <c r="E1092" s="17">
        <v>10.25</v>
      </c>
      <c r="F1092" s="17">
        <v>92.728999999999999</v>
      </c>
      <c r="G1092" s="18">
        <v>950.47225000000003</v>
      </c>
      <c r="H1092" s="30" t="s">
        <v>2294</v>
      </c>
      <c r="J1092" s="34"/>
    </row>
    <row r="1093" spans="1:10" x14ac:dyDescent="0.25">
      <c r="A1093" s="15">
        <v>41030</v>
      </c>
      <c r="B1093" s="16" t="s">
        <v>865</v>
      </c>
      <c r="C1093" t="s">
        <v>8</v>
      </c>
      <c r="D1093" t="s">
        <v>48</v>
      </c>
      <c r="E1093" s="17">
        <v>10</v>
      </c>
      <c r="F1093" s="17">
        <v>35.35</v>
      </c>
      <c r="G1093" s="18">
        <v>353.5</v>
      </c>
      <c r="H1093" s="30" t="s">
        <v>2294</v>
      </c>
      <c r="J1093" s="34"/>
    </row>
    <row r="1094" spans="1:10" x14ac:dyDescent="0.25">
      <c r="A1094" s="15">
        <v>41030</v>
      </c>
      <c r="B1094" s="16" t="s">
        <v>865</v>
      </c>
      <c r="C1094" t="s">
        <v>8</v>
      </c>
      <c r="D1094" t="s">
        <v>48</v>
      </c>
      <c r="E1094" s="17">
        <v>10</v>
      </c>
      <c r="F1094" s="17">
        <v>35.35</v>
      </c>
      <c r="G1094" s="18">
        <v>353.5</v>
      </c>
      <c r="H1094" s="30" t="s">
        <v>2294</v>
      </c>
      <c r="J1094" s="34"/>
    </row>
    <row r="1095" spans="1:10" x14ac:dyDescent="0.25">
      <c r="A1095" s="15">
        <v>41030</v>
      </c>
      <c r="B1095" s="16" t="s">
        <v>880</v>
      </c>
      <c r="C1095" t="s">
        <v>881</v>
      </c>
      <c r="D1095" t="s">
        <v>48</v>
      </c>
      <c r="E1095" s="17">
        <v>5</v>
      </c>
      <c r="F1095" s="17">
        <v>95</v>
      </c>
      <c r="G1095" s="18">
        <v>475</v>
      </c>
      <c r="H1095" s="30" t="s">
        <v>2294</v>
      </c>
      <c r="J1095" s="34"/>
    </row>
    <row r="1096" spans="1:10" x14ac:dyDescent="0.25">
      <c r="A1096" s="15">
        <v>41030</v>
      </c>
      <c r="B1096" s="16" t="s">
        <v>967</v>
      </c>
      <c r="C1096" t="s">
        <v>968</v>
      </c>
      <c r="D1096" t="s">
        <v>48</v>
      </c>
      <c r="E1096" s="17">
        <v>9.5</v>
      </c>
      <c r="F1096" s="17">
        <v>145</v>
      </c>
      <c r="G1096" s="18">
        <v>1377.5</v>
      </c>
      <c r="H1096" s="30" t="s">
        <v>2294</v>
      </c>
      <c r="J1096" s="34"/>
    </row>
    <row r="1097" spans="1:10" x14ac:dyDescent="0.25">
      <c r="A1097" s="15">
        <v>41030</v>
      </c>
      <c r="B1097" s="16" t="s">
        <v>937</v>
      </c>
      <c r="C1097" t="s">
        <v>934</v>
      </c>
      <c r="D1097" t="s">
        <v>48</v>
      </c>
      <c r="E1097" s="17">
        <v>10</v>
      </c>
      <c r="F1097" s="17">
        <v>92.72</v>
      </c>
      <c r="G1097" s="18">
        <v>927.2</v>
      </c>
      <c r="H1097" s="30" t="s">
        <v>2294</v>
      </c>
      <c r="J1097" s="34"/>
    </row>
    <row r="1098" spans="1:10" x14ac:dyDescent="0.25">
      <c r="A1098" s="15">
        <v>41030</v>
      </c>
      <c r="B1098" s="16" t="s">
        <v>872</v>
      </c>
      <c r="C1098" t="s">
        <v>873</v>
      </c>
      <c r="D1098" t="s">
        <v>48</v>
      </c>
      <c r="E1098" s="17">
        <v>3</v>
      </c>
      <c r="F1098" s="17">
        <v>95</v>
      </c>
      <c r="G1098" s="18">
        <v>285</v>
      </c>
      <c r="H1098" s="30" t="s">
        <v>2294</v>
      </c>
      <c r="J1098" s="34"/>
    </row>
    <row r="1099" spans="1:10" x14ac:dyDescent="0.25">
      <c r="A1099" s="15">
        <v>41030</v>
      </c>
      <c r="B1099" s="16" t="s">
        <v>865</v>
      </c>
      <c r="C1099" t="s">
        <v>8</v>
      </c>
      <c r="D1099" t="s">
        <v>48</v>
      </c>
      <c r="E1099" s="17">
        <v>5</v>
      </c>
      <c r="F1099" s="17">
        <v>35.35</v>
      </c>
      <c r="G1099" s="18">
        <v>176.75</v>
      </c>
      <c r="H1099" s="30" t="s">
        <v>2294</v>
      </c>
      <c r="J1099" s="34"/>
    </row>
    <row r="1100" spans="1:10" x14ac:dyDescent="0.25">
      <c r="A1100" s="15">
        <v>41031</v>
      </c>
      <c r="B1100" s="16" t="s">
        <v>969</v>
      </c>
      <c r="C1100" t="s">
        <v>934</v>
      </c>
      <c r="D1100" t="s">
        <v>48</v>
      </c>
      <c r="E1100" s="17">
        <v>9.5</v>
      </c>
      <c r="F1100" s="17">
        <v>100</v>
      </c>
      <c r="G1100" s="18">
        <v>950</v>
      </c>
      <c r="H1100" s="30" t="s">
        <v>2294</v>
      </c>
      <c r="J1100" s="34"/>
    </row>
    <row r="1101" spans="1:10" x14ac:dyDescent="0.25">
      <c r="A1101" s="15">
        <v>41031</v>
      </c>
      <c r="B1101" s="16" t="s">
        <v>970</v>
      </c>
      <c r="C1101" t="s">
        <v>934</v>
      </c>
      <c r="D1101" t="s">
        <v>48</v>
      </c>
      <c r="E1101" s="17">
        <v>10</v>
      </c>
      <c r="F1101" s="17">
        <v>92.73</v>
      </c>
      <c r="G1101" s="18">
        <v>927.3</v>
      </c>
      <c r="H1101" s="30" t="s">
        <v>2294</v>
      </c>
      <c r="J1101" s="34"/>
    </row>
    <row r="1102" spans="1:10" x14ac:dyDescent="0.25">
      <c r="A1102" s="15">
        <v>41031</v>
      </c>
      <c r="B1102" s="16" t="s">
        <v>970</v>
      </c>
      <c r="C1102" t="s">
        <v>934</v>
      </c>
      <c r="D1102" t="s">
        <v>48</v>
      </c>
      <c r="E1102" s="17">
        <v>10</v>
      </c>
      <c r="F1102" s="17">
        <v>92.73</v>
      </c>
      <c r="G1102" s="18">
        <v>927.3</v>
      </c>
      <c r="H1102" s="30" t="s">
        <v>2294</v>
      </c>
      <c r="J1102" s="34"/>
    </row>
    <row r="1103" spans="1:10" x14ac:dyDescent="0.25">
      <c r="A1103" s="15">
        <v>41031</v>
      </c>
      <c r="B1103" s="16" t="s">
        <v>880</v>
      </c>
      <c r="C1103" t="s">
        <v>881</v>
      </c>
      <c r="D1103" t="s">
        <v>48</v>
      </c>
      <c r="E1103" s="17">
        <v>10</v>
      </c>
      <c r="F1103" s="17">
        <v>95</v>
      </c>
      <c r="G1103" s="18">
        <v>950</v>
      </c>
      <c r="H1103" s="30" t="s">
        <v>2294</v>
      </c>
      <c r="J1103" s="34"/>
    </row>
    <row r="1104" spans="1:10" x14ac:dyDescent="0.25">
      <c r="A1104" s="15">
        <v>41032</v>
      </c>
      <c r="B1104" s="16" t="s">
        <v>880</v>
      </c>
      <c r="C1104" t="s">
        <v>881</v>
      </c>
      <c r="D1104" t="s">
        <v>48</v>
      </c>
      <c r="E1104" s="17">
        <v>5.5</v>
      </c>
      <c r="F1104" s="17">
        <v>95</v>
      </c>
      <c r="G1104" s="18">
        <v>522.5</v>
      </c>
      <c r="H1104" s="30" t="s">
        <v>2294</v>
      </c>
      <c r="J1104" s="34"/>
    </row>
    <row r="1105" spans="1:10" x14ac:dyDescent="0.25">
      <c r="A1105" s="15">
        <v>41032</v>
      </c>
      <c r="B1105" s="16" t="s">
        <v>872</v>
      </c>
      <c r="C1105" t="s">
        <v>873</v>
      </c>
      <c r="D1105" t="s">
        <v>48</v>
      </c>
      <c r="E1105" s="17">
        <v>5</v>
      </c>
      <c r="F1105" s="17">
        <v>95</v>
      </c>
      <c r="G1105" s="18">
        <v>475</v>
      </c>
      <c r="H1105" s="30" t="s">
        <v>2294</v>
      </c>
      <c r="J1105" s="34"/>
    </row>
    <row r="1106" spans="1:10" x14ac:dyDescent="0.25">
      <c r="A1106" s="15">
        <v>41032</v>
      </c>
      <c r="B1106" s="16" t="s">
        <v>937</v>
      </c>
      <c r="C1106" t="s">
        <v>934</v>
      </c>
      <c r="D1106" t="s">
        <v>48</v>
      </c>
      <c r="E1106" s="17">
        <v>9.75</v>
      </c>
      <c r="F1106" s="17">
        <v>92.73</v>
      </c>
      <c r="G1106" s="18">
        <v>904.11749999999995</v>
      </c>
      <c r="H1106" s="30" t="s">
        <v>2294</v>
      </c>
      <c r="J1106" s="34"/>
    </row>
    <row r="1107" spans="1:10" x14ac:dyDescent="0.25">
      <c r="A1107" s="15">
        <v>41032</v>
      </c>
      <c r="B1107" s="16" t="s">
        <v>937</v>
      </c>
      <c r="C1107" t="s">
        <v>934</v>
      </c>
      <c r="D1107" t="s">
        <v>48</v>
      </c>
      <c r="E1107" s="17">
        <v>9.75</v>
      </c>
      <c r="F1107" s="17">
        <v>92.73</v>
      </c>
      <c r="G1107" s="18">
        <v>904.11749999999995</v>
      </c>
      <c r="H1107" s="30" t="s">
        <v>2294</v>
      </c>
      <c r="J1107" s="34"/>
    </row>
    <row r="1108" spans="1:10" x14ac:dyDescent="0.25">
      <c r="A1108" s="15">
        <v>41032</v>
      </c>
      <c r="B1108" s="16" t="s">
        <v>865</v>
      </c>
      <c r="C1108" t="s">
        <v>8</v>
      </c>
      <c r="D1108" t="s">
        <v>48</v>
      </c>
      <c r="E1108" s="17">
        <v>9.5</v>
      </c>
      <c r="F1108" s="17">
        <v>35.35</v>
      </c>
      <c r="G1108" s="18">
        <v>335.82499999999999</v>
      </c>
      <c r="H1108" s="30" t="s">
        <v>2294</v>
      </c>
      <c r="J1108" s="34"/>
    </row>
    <row r="1109" spans="1:10" x14ac:dyDescent="0.25">
      <c r="A1109" s="15">
        <v>41032</v>
      </c>
      <c r="B1109" s="16" t="s">
        <v>865</v>
      </c>
      <c r="C1109" t="s">
        <v>8</v>
      </c>
      <c r="D1109" t="s">
        <v>48</v>
      </c>
      <c r="E1109" s="17">
        <v>9.5</v>
      </c>
      <c r="F1109" s="17">
        <v>35.35</v>
      </c>
      <c r="G1109" s="18">
        <v>335.82499999999999</v>
      </c>
      <c r="H1109" s="30" t="s">
        <v>2294</v>
      </c>
      <c r="J1109" s="34"/>
    </row>
    <row r="1110" spans="1:10" x14ac:dyDescent="0.25">
      <c r="A1110" s="15">
        <v>41032</v>
      </c>
      <c r="B1110" s="16" t="s">
        <v>865</v>
      </c>
      <c r="C1110" t="s">
        <v>8</v>
      </c>
      <c r="D1110" t="s">
        <v>48</v>
      </c>
      <c r="E1110" s="17">
        <v>7</v>
      </c>
      <c r="F1110" s="17">
        <v>35.35</v>
      </c>
      <c r="G1110" s="18">
        <v>247.45</v>
      </c>
      <c r="H1110" s="30" t="s">
        <v>2294</v>
      </c>
      <c r="J1110" s="34"/>
    </row>
    <row r="1111" spans="1:10" x14ac:dyDescent="0.25">
      <c r="A1111" s="15">
        <v>41032</v>
      </c>
      <c r="B1111" s="16" t="s">
        <v>865</v>
      </c>
      <c r="C1111" t="s">
        <v>8</v>
      </c>
      <c r="D1111" t="s">
        <v>48</v>
      </c>
      <c r="E1111" s="17">
        <v>9.5</v>
      </c>
      <c r="F1111" s="17">
        <v>48</v>
      </c>
      <c r="G1111" s="18">
        <v>456</v>
      </c>
      <c r="H1111" s="30" t="s">
        <v>2294</v>
      </c>
      <c r="J1111" s="34"/>
    </row>
    <row r="1112" spans="1:10" x14ac:dyDescent="0.25">
      <c r="A1112" s="15">
        <v>41032</v>
      </c>
      <c r="B1112" s="16" t="s">
        <v>865</v>
      </c>
      <c r="C1112" t="s">
        <v>8</v>
      </c>
      <c r="D1112" t="s">
        <v>48</v>
      </c>
      <c r="E1112" s="17">
        <v>4.5</v>
      </c>
      <c r="F1112" s="17">
        <v>35.35</v>
      </c>
      <c r="G1112" s="18">
        <v>159.07499999999999</v>
      </c>
      <c r="H1112" s="30" t="s">
        <v>2294</v>
      </c>
      <c r="J1112" s="34"/>
    </row>
    <row r="1113" spans="1:10" x14ac:dyDescent="0.25">
      <c r="A1113" s="15">
        <v>41032</v>
      </c>
      <c r="B1113" s="16" t="s">
        <v>920</v>
      </c>
      <c r="C1113" t="s">
        <v>871</v>
      </c>
      <c r="D1113" t="s">
        <v>48</v>
      </c>
      <c r="E1113" s="17">
        <v>8</v>
      </c>
      <c r="F1113" s="17">
        <v>130</v>
      </c>
      <c r="G1113" s="18">
        <v>1040</v>
      </c>
      <c r="H1113" s="30" t="s">
        <v>2294</v>
      </c>
      <c r="J1113" s="34"/>
    </row>
    <row r="1114" spans="1:10" x14ac:dyDescent="0.25">
      <c r="A1114" s="15">
        <v>41032</v>
      </c>
      <c r="B1114" s="16" t="s">
        <v>967</v>
      </c>
      <c r="C1114" t="s">
        <v>968</v>
      </c>
      <c r="D1114" t="s">
        <v>48</v>
      </c>
      <c r="E1114" s="17">
        <v>9.5</v>
      </c>
      <c r="F1114" s="17">
        <v>145</v>
      </c>
      <c r="G1114" s="18">
        <v>1377.5</v>
      </c>
      <c r="H1114" s="30" t="s">
        <v>2294</v>
      </c>
      <c r="J1114" s="34"/>
    </row>
    <row r="1115" spans="1:10" x14ac:dyDescent="0.25">
      <c r="A1115" s="15">
        <v>41032</v>
      </c>
      <c r="B1115" s="16" t="s">
        <v>971</v>
      </c>
      <c r="C1115" t="s">
        <v>968</v>
      </c>
      <c r="D1115" t="s">
        <v>48</v>
      </c>
      <c r="E1115" s="17">
        <v>9.5</v>
      </c>
      <c r="F1115" s="17">
        <v>145</v>
      </c>
      <c r="G1115" s="18">
        <v>1377.5</v>
      </c>
      <c r="H1115" s="30" t="s">
        <v>2294</v>
      </c>
      <c r="J1115" s="34"/>
    </row>
    <row r="1116" spans="1:10" x14ac:dyDescent="0.25">
      <c r="A1116" s="15">
        <v>41032</v>
      </c>
      <c r="B1116" s="16" t="s">
        <v>867</v>
      </c>
      <c r="C1116" t="s">
        <v>868</v>
      </c>
      <c r="D1116" t="s">
        <v>48</v>
      </c>
      <c r="E1116" s="17">
        <v>2</v>
      </c>
      <c r="F1116" s="17">
        <v>90</v>
      </c>
      <c r="G1116" s="18">
        <v>180</v>
      </c>
      <c r="H1116" s="30" t="s">
        <v>2294</v>
      </c>
      <c r="J1116" s="34"/>
    </row>
    <row r="1117" spans="1:10" x14ac:dyDescent="0.25">
      <c r="A1117" s="15">
        <v>41033</v>
      </c>
      <c r="B1117" s="16" t="s">
        <v>937</v>
      </c>
      <c r="C1117" t="s">
        <v>934</v>
      </c>
      <c r="D1117" t="s">
        <v>48</v>
      </c>
      <c r="E1117" s="17">
        <v>6</v>
      </c>
      <c r="F1117" s="17">
        <v>92.73</v>
      </c>
      <c r="G1117" s="18">
        <v>556.38</v>
      </c>
      <c r="H1117" s="30" t="s">
        <v>2294</v>
      </c>
      <c r="J1117" s="34"/>
    </row>
    <row r="1118" spans="1:10" x14ac:dyDescent="0.25">
      <c r="A1118" s="15">
        <v>41033</v>
      </c>
      <c r="B1118" s="16" t="s">
        <v>865</v>
      </c>
      <c r="C1118" t="s">
        <v>8</v>
      </c>
      <c r="D1118" t="s">
        <v>48</v>
      </c>
      <c r="E1118" s="17">
        <v>4.5</v>
      </c>
      <c r="F1118" s="17">
        <v>35.35</v>
      </c>
      <c r="G1118" s="18">
        <v>159.07499999999999</v>
      </c>
      <c r="H1118" s="30" t="s">
        <v>2294</v>
      </c>
      <c r="J1118" s="34"/>
    </row>
    <row r="1119" spans="1:10" x14ac:dyDescent="0.25">
      <c r="A1119" s="15">
        <v>41033</v>
      </c>
      <c r="B1119" s="16" t="s">
        <v>865</v>
      </c>
      <c r="C1119" t="s">
        <v>8</v>
      </c>
      <c r="D1119" t="s">
        <v>48</v>
      </c>
      <c r="E1119" s="17">
        <v>6.5</v>
      </c>
      <c r="F1119" s="17">
        <v>35.35</v>
      </c>
      <c r="G1119" s="18">
        <v>229.77500000000001</v>
      </c>
      <c r="H1119" s="30" t="s">
        <v>2294</v>
      </c>
      <c r="J1119" s="34"/>
    </row>
    <row r="1120" spans="1:10" x14ac:dyDescent="0.25">
      <c r="A1120" s="15">
        <v>41033</v>
      </c>
      <c r="B1120" s="16" t="s">
        <v>969</v>
      </c>
      <c r="C1120" t="s">
        <v>934</v>
      </c>
      <c r="D1120" t="s">
        <v>48</v>
      </c>
      <c r="E1120" s="17">
        <v>9</v>
      </c>
      <c r="F1120" s="17">
        <v>100</v>
      </c>
      <c r="G1120" s="18">
        <v>900</v>
      </c>
      <c r="H1120" s="30" t="s">
        <v>2294</v>
      </c>
      <c r="J1120" s="34"/>
    </row>
    <row r="1121" spans="1:10" x14ac:dyDescent="0.25">
      <c r="A1121" s="15">
        <v>41033</v>
      </c>
      <c r="B1121" s="16" t="s">
        <v>865</v>
      </c>
      <c r="C1121" t="s">
        <v>8</v>
      </c>
      <c r="D1121" t="s">
        <v>48</v>
      </c>
      <c r="E1121" s="17">
        <v>9.5</v>
      </c>
      <c r="F1121" s="17">
        <v>35.35</v>
      </c>
      <c r="G1121" s="18">
        <v>335.82499999999999</v>
      </c>
      <c r="H1121" s="30" t="s">
        <v>2294</v>
      </c>
      <c r="J1121" s="34"/>
    </row>
    <row r="1122" spans="1:10" x14ac:dyDescent="0.25">
      <c r="A1122" s="15">
        <v>41033</v>
      </c>
      <c r="B1122" s="16" t="s">
        <v>880</v>
      </c>
      <c r="C1122" t="s">
        <v>881</v>
      </c>
      <c r="D1122" t="s">
        <v>48</v>
      </c>
      <c r="E1122" s="17">
        <v>6.5</v>
      </c>
      <c r="F1122" s="17">
        <v>95</v>
      </c>
      <c r="G1122" s="18">
        <v>617.5</v>
      </c>
      <c r="H1122" s="30" t="s">
        <v>2294</v>
      </c>
      <c r="J1122" s="34"/>
    </row>
    <row r="1123" spans="1:10" x14ac:dyDescent="0.25">
      <c r="A1123" s="15">
        <v>41033</v>
      </c>
      <c r="B1123" s="16" t="s">
        <v>972</v>
      </c>
      <c r="C1123" t="s">
        <v>968</v>
      </c>
      <c r="D1123" t="s">
        <v>48</v>
      </c>
      <c r="E1123" s="17">
        <v>9.5</v>
      </c>
      <c r="F1123" s="17">
        <v>145</v>
      </c>
      <c r="G1123" s="18">
        <v>1377.5</v>
      </c>
      <c r="H1123" s="30" t="s">
        <v>2294</v>
      </c>
      <c r="J1123" s="34"/>
    </row>
    <row r="1124" spans="1:10" x14ac:dyDescent="0.25">
      <c r="A1124" s="15">
        <v>41033</v>
      </c>
      <c r="B1124" s="16" t="s">
        <v>937</v>
      </c>
      <c r="C1124" t="s">
        <v>934</v>
      </c>
      <c r="D1124" t="s">
        <v>48</v>
      </c>
      <c r="E1124" s="17">
        <v>6</v>
      </c>
      <c r="F1124" s="17">
        <v>92.73</v>
      </c>
      <c r="G1124" s="18">
        <v>556.38</v>
      </c>
      <c r="H1124" s="30" t="s">
        <v>2294</v>
      </c>
      <c r="J1124" s="34"/>
    </row>
    <row r="1125" spans="1:10" x14ac:dyDescent="0.25">
      <c r="A1125" s="15">
        <v>41033</v>
      </c>
      <c r="B1125" s="16" t="s">
        <v>877</v>
      </c>
      <c r="C1125" t="s">
        <v>868</v>
      </c>
      <c r="D1125" t="s">
        <v>48</v>
      </c>
      <c r="E1125" s="17">
        <v>3</v>
      </c>
      <c r="F1125" s="17">
        <v>90</v>
      </c>
      <c r="G1125" s="18">
        <v>270</v>
      </c>
      <c r="H1125" s="30" t="s">
        <v>2294</v>
      </c>
      <c r="J1125" s="34"/>
    </row>
    <row r="1126" spans="1:10" x14ac:dyDescent="0.25">
      <c r="A1126" s="15">
        <v>41033</v>
      </c>
      <c r="B1126" s="16" t="s">
        <v>865</v>
      </c>
      <c r="C1126" t="s">
        <v>8</v>
      </c>
      <c r="D1126" t="s">
        <v>48</v>
      </c>
      <c r="E1126" s="17">
        <v>4.5</v>
      </c>
      <c r="F1126" s="17">
        <v>35.35</v>
      </c>
      <c r="G1126" s="18">
        <v>159.07499999999999</v>
      </c>
      <c r="H1126" s="30" t="s">
        <v>2294</v>
      </c>
      <c r="J1126" s="34"/>
    </row>
    <row r="1127" spans="1:10" x14ac:dyDescent="0.25">
      <c r="A1127" s="15">
        <v>41033</v>
      </c>
      <c r="B1127" s="16" t="s">
        <v>865</v>
      </c>
      <c r="C1127" t="s">
        <v>8</v>
      </c>
      <c r="D1127" t="s">
        <v>48</v>
      </c>
      <c r="E1127" s="17">
        <v>9.5</v>
      </c>
      <c r="F1127" s="17">
        <v>48</v>
      </c>
      <c r="G1127" s="18">
        <v>456</v>
      </c>
      <c r="H1127" s="30" t="s">
        <v>2294</v>
      </c>
      <c r="J1127" s="34"/>
    </row>
    <row r="1128" spans="1:10" x14ac:dyDescent="0.25">
      <c r="A1128" s="15">
        <v>41033</v>
      </c>
      <c r="B1128" s="16" t="s">
        <v>920</v>
      </c>
      <c r="C1128" t="s">
        <v>871</v>
      </c>
      <c r="D1128" t="s">
        <v>48</v>
      </c>
      <c r="E1128" s="17">
        <v>1</v>
      </c>
      <c r="F1128" s="17">
        <v>120</v>
      </c>
      <c r="G1128" s="18">
        <v>120</v>
      </c>
      <c r="H1128" s="30" t="s">
        <v>2294</v>
      </c>
      <c r="J1128" s="34"/>
    </row>
    <row r="1129" spans="1:10" x14ac:dyDescent="0.25">
      <c r="A1129" s="15">
        <v>41037</v>
      </c>
      <c r="B1129" s="16" t="s">
        <v>937</v>
      </c>
      <c r="C1129" t="s">
        <v>934</v>
      </c>
      <c r="D1129" t="s">
        <v>48</v>
      </c>
      <c r="E1129" s="17">
        <v>4.75</v>
      </c>
      <c r="F1129" s="17">
        <v>92.73</v>
      </c>
      <c r="G1129" s="18">
        <v>440.46749999999997</v>
      </c>
      <c r="H1129" s="30" t="s">
        <v>2294</v>
      </c>
      <c r="J1129" s="34"/>
    </row>
    <row r="1130" spans="1:10" x14ac:dyDescent="0.25">
      <c r="A1130" s="15">
        <v>41037</v>
      </c>
      <c r="B1130" s="16" t="s">
        <v>867</v>
      </c>
      <c r="C1130" t="s">
        <v>868</v>
      </c>
      <c r="D1130" t="s">
        <v>48</v>
      </c>
      <c r="E1130" s="17">
        <v>5</v>
      </c>
      <c r="F1130" s="17">
        <v>90</v>
      </c>
      <c r="G1130" s="18">
        <v>450</v>
      </c>
      <c r="H1130" s="30" t="s">
        <v>2294</v>
      </c>
      <c r="J1130" s="34"/>
    </row>
    <row r="1131" spans="1:10" x14ac:dyDescent="0.25">
      <c r="A1131" s="15">
        <v>41037</v>
      </c>
      <c r="B1131" s="16" t="s">
        <v>865</v>
      </c>
      <c r="C1131" t="s">
        <v>8</v>
      </c>
      <c r="D1131" t="s">
        <v>48</v>
      </c>
      <c r="E1131" s="17">
        <v>5</v>
      </c>
      <c r="F1131" s="17">
        <v>48</v>
      </c>
      <c r="G1131" s="18">
        <v>240</v>
      </c>
      <c r="H1131" s="30" t="s">
        <v>2294</v>
      </c>
      <c r="J1131" s="34"/>
    </row>
    <row r="1132" spans="1:10" x14ac:dyDescent="0.25">
      <c r="A1132" s="15">
        <v>41037</v>
      </c>
      <c r="B1132" s="16" t="s">
        <v>908</v>
      </c>
      <c r="C1132" t="s">
        <v>873</v>
      </c>
      <c r="D1132" t="s">
        <v>48</v>
      </c>
      <c r="E1132" s="17">
        <v>7.5</v>
      </c>
      <c r="F1132" s="17">
        <v>95</v>
      </c>
      <c r="G1132" s="18">
        <v>712.5</v>
      </c>
      <c r="H1132" s="30" t="s">
        <v>2294</v>
      </c>
      <c r="J1132" s="34"/>
    </row>
    <row r="1133" spans="1:10" x14ac:dyDescent="0.25">
      <c r="A1133" s="15">
        <v>41037</v>
      </c>
      <c r="B1133" s="16" t="s">
        <v>937</v>
      </c>
      <c r="C1133" t="s">
        <v>934</v>
      </c>
      <c r="D1133" t="s">
        <v>48</v>
      </c>
      <c r="E1133" s="17">
        <v>5</v>
      </c>
      <c r="F1133" s="17">
        <v>92.73</v>
      </c>
      <c r="G1133" s="18">
        <v>463.65</v>
      </c>
      <c r="H1133" s="30" t="s">
        <v>2294</v>
      </c>
      <c r="J1133" s="34"/>
    </row>
    <row r="1134" spans="1:10" x14ac:dyDescent="0.25">
      <c r="A1134" s="15">
        <v>41037</v>
      </c>
      <c r="B1134" s="16" t="s">
        <v>880</v>
      </c>
      <c r="C1134" t="s">
        <v>881</v>
      </c>
      <c r="D1134" t="s">
        <v>48</v>
      </c>
      <c r="E1134" s="17">
        <v>5.5</v>
      </c>
      <c r="F1134" s="17">
        <v>95</v>
      </c>
      <c r="G1134" s="18">
        <v>522.5</v>
      </c>
      <c r="H1134" s="30" t="s">
        <v>2294</v>
      </c>
      <c r="J1134" s="34"/>
    </row>
    <row r="1135" spans="1:10" x14ac:dyDescent="0.25">
      <c r="A1135" s="15">
        <v>41037</v>
      </c>
      <c r="B1135" s="16" t="s">
        <v>969</v>
      </c>
      <c r="C1135" t="s">
        <v>934</v>
      </c>
      <c r="D1135" t="s">
        <v>48</v>
      </c>
      <c r="E1135" s="17">
        <v>5</v>
      </c>
      <c r="F1135" s="17">
        <v>100</v>
      </c>
      <c r="G1135" s="18">
        <v>500</v>
      </c>
      <c r="H1135" s="30" t="s">
        <v>2294</v>
      </c>
      <c r="J1135" s="34"/>
    </row>
    <row r="1136" spans="1:10" x14ac:dyDescent="0.25">
      <c r="A1136" s="15">
        <v>41037</v>
      </c>
      <c r="B1136" s="16" t="s">
        <v>865</v>
      </c>
      <c r="C1136" t="s">
        <v>8</v>
      </c>
      <c r="D1136" t="s">
        <v>48</v>
      </c>
      <c r="E1136" s="17">
        <v>5</v>
      </c>
      <c r="F1136" s="17">
        <v>35.35</v>
      </c>
      <c r="G1136" s="18">
        <v>176.75</v>
      </c>
      <c r="H1136" s="30" t="s">
        <v>2294</v>
      </c>
      <c r="J1136" s="34"/>
    </row>
    <row r="1137" spans="1:10" x14ac:dyDescent="0.25">
      <c r="A1137" s="15">
        <v>41037</v>
      </c>
      <c r="B1137" s="16" t="s">
        <v>865</v>
      </c>
      <c r="C1137" t="s">
        <v>8</v>
      </c>
      <c r="D1137" t="s">
        <v>48</v>
      </c>
      <c r="E1137" s="17">
        <v>5</v>
      </c>
      <c r="F1137" s="17">
        <v>35.35</v>
      </c>
      <c r="G1137" s="18">
        <v>176.75</v>
      </c>
      <c r="H1137" s="30" t="s">
        <v>2294</v>
      </c>
      <c r="J1137" s="34"/>
    </row>
    <row r="1138" spans="1:10" ht="30" x14ac:dyDescent="0.25">
      <c r="A1138" s="15">
        <v>41039</v>
      </c>
      <c r="B1138" s="16" t="s">
        <v>973</v>
      </c>
      <c r="C1138" t="s">
        <v>974</v>
      </c>
      <c r="D1138" t="s">
        <v>783</v>
      </c>
      <c r="E1138" s="17">
        <v>5</v>
      </c>
      <c r="F1138" s="17">
        <v>365</v>
      </c>
      <c r="G1138" s="18">
        <v>1825</v>
      </c>
      <c r="H1138" s="30" t="s">
        <v>2294</v>
      </c>
      <c r="J1138" s="34"/>
    </row>
    <row r="1139" spans="1:10" x14ac:dyDescent="0.25">
      <c r="A1139" s="15">
        <v>41046</v>
      </c>
      <c r="B1139" s="16" t="s">
        <v>865</v>
      </c>
      <c r="C1139" t="s">
        <v>8</v>
      </c>
      <c r="D1139" t="s">
        <v>48</v>
      </c>
      <c r="E1139" s="17">
        <v>9</v>
      </c>
      <c r="F1139" s="17">
        <v>35.35</v>
      </c>
      <c r="G1139" s="18">
        <v>318.14999999999998</v>
      </c>
      <c r="H1139" s="30" t="s">
        <v>2294</v>
      </c>
      <c r="J1139" s="34"/>
    </row>
    <row r="1140" spans="1:10" x14ac:dyDescent="0.25">
      <c r="A1140" s="15">
        <v>41046</v>
      </c>
      <c r="B1140" s="16" t="s">
        <v>877</v>
      </c>
      <c r="C1140" t="s">
        <v>868</v>
      </c>
      <c r="D1140" t="s">
        <v>48</v>
      </c>
      <c r="E1140" s="17">
        <v>8</v>
      </c>
      <c r="F1140" s="17">
        <v>90</v>
      </c>
      <c r="G1140" s="18">
        <v>720</v>
      </c>
      <c r="H1140" s="30" t="s">
        <v>2294</v>
      </c>
      <c r="J1140" s="34"/>
    </row>
    <row r="1141" spans="1:10" x14ac:dyDescent="0.25">
      <c r="A1141" s="15">
        <v>41046</v>
      </c>
      <c r="B1141" s="16" t="s">
        <v>865</v>
      </c>
      <c r="C1141" t="s">
        <v>8</v>
      </c>
      <c r="D1141" t="s">
        <v>48</v>
      </c>
      <c r="E1141" s="17">
        <v>4.5</v>
      </c>
      <c r="F1141" s="17">
        <v>35.35</v>
      </c>
      <c r="G1141" s="18">
        <v>159.07499999999999</v>
      </c>
      <c r="H1141" s="30" t="s">
        <v>2294</v>
      </c>
      <c r="J1141" s="34"/>
    </row>
    <row r="1142" spans="1:10" x14ac:dyDescent="0.25">
      <c r="A1142" s="15">
        <v>41046</v>
      </c>
      <c r="B1142" s="16" t="s">
        <v>931</v>
      </c>
      <c r="C1142" t="s">
        <v>963</v>
      </c>
      <c r="D1142" t="s">
        <v>48</v>
      </c>
      <c r="E1142" s="17">
        <v>8</v>
      </c>
      <c r="F1142" s="17">
        <v>145</v>
      </c>
      <c r="G1142" s="18">
        <v>1160</v>
      </c>
      <c r="H1142" s="30" t="s">
        <v>2294</v>
      </c>
      <c r="J1142" s="34"/>
    </row>
    <row r="1143" spans="1:10" x14ac:dyDescent="0.25">
      <c r="A1143" s="15">
        <v>41046</v>
      </c>
      <c r="B1143" s="16" t="s">
        <v>865</v>
      </c>
      <c r="C1143" t="s">
        <v>8</v>
      </c>
      <c r="D1143" t="s">
        <v>48</v>
      </c>
      <c r="E1143" s="17">
        <v>9</v>
      </c>
      <c r="F1143" s="17">
        <v>35.35</v>
      </c>
      <c r="G1143" s="18">
        <v>318.14999999999998</v>
      </c>
      <c r="H1143" s="30" t="s">
        <v>2294</v>
      </c>
      <c r="J1143" s="34"/>
    </row>
    <row r="1144" spans="1:10" x14ac:dyDescent="0.25">
      <c r="A1144" s="15">
        <v>41046</v>
      </c>
      <c r="B1144" s="16" t="s">
        <v>865</v>
      </c>
      <c r="C1144" t="s">
        <v>8</v>
      </c>
      <c r="D1144" t="s">
        <v>48</v>
      </c>
      <c r="E1144" s="17">
        <v>4.5</v>
      </c>
      <c r="F1144" s="17">
        <v>48</v>
      </c>
      <c r="G1144" s="18">
        <v>216</v>
      </c>
      <c r="H1144" s="30" t="s">
        <v>2294</v>
      </c>
      <c r="J1144" s="34"/>
    </row>
    <row r="1145" spans="1:10" x14ac:dyDescent="0.25">
      <c r="A1145" s="15">
        <v>41046</v>
      </c>
      <c r="B1145" s="16" t="s">
        <v>920</v>
      </c>
      <c r="C1145" t="s">
        <v>871</v>
      </c>
      <c r="D1145" t="s">
        <v>48</v>
      </c>
      <c r="E1145" s="17">
        <v>6</v>
      </c>
      <c r="F1145" s="17">
        <v>130</v>
      </c>
      <c r="G1145" s="18">
        <v>780</v>
      </c>
      <c r="H1145" s="30" t="s">
        <v>2294</v>
      </c>
      <c r="J1145" s="34"/>
    </row>
    <row r="1146" spans="1:10" x14ac:dyDescent="0.25">
      <c r="A1146" s="15">
        <v>41047</v>
      </c>
      <c r="B1146" s="16" t="s">
        <v>920</v>
      </c>
      <c r="C1146" t="s">
        <v>871</v>
      </c>
      <c r="D1146" t="s">
        <v>48</v>
      </c>
      <c r="E1146" s="17">
        <v>6</v>
      </c>
      <c r="F1146" s="17">
        <v>130</v>
      </c>
      <c r="G1146" s="18">
        <v>780</v>
      </c>
      <c r="H1146" s="30" t="s">
        <v>2294</v>
      </c>
      <c r="J1146" s="34"/>
    </row>
    <row r="1147" spans="1:10" x14ac:dyDescent="0.25">
      <c r="A1147" s="15">
        <v>41047</v>
      </c>
      <c r="B1147" s="16" t="s">
        <v>865</v>
      </c>
      <c r="C1147" t="s">
        <v>8</v>
      </c>
      <c r="D1147" t="s">
        <v>48</v>
      </c>
      <c r="E1147" s="17">
        <v>4.5</v>
      </c>
      <c r="F1147" s="17">
        <v>35.35</v>
      </c>
      <c r="G1147" s="18">
        <v>159.07499999999999</v>
      </c>
      <c r="H1147" s="30" t="s">
        <v>2294</v>
      </c>
      <c r="J1147" s="34"/>
    </row>
    <row r="1148" spans="1:10" x14ac:dyDescent="0.25">
      <c r="A1148" s="15">
        <v>41047</v>
      </c>
      <c r="B1148" s="16" t="s">
        <v>865</v>
      </c>
      <c r="C1148" t="s">
        <v>8</v>
      </c>
      <c r="D1148" t="s">
        <v>48</v>
      </c>
      <c r="E1148" s="17">
        <v>4.5</v>
      </c>
      <c r="F1148" s="17">
        <v>35.35</v>
      </c>
      <c r="G1148" s="18">
        <v>159.07499999999999</v>
      </c>
      <c r="H1148" s="30" t="s">
        <v>2294</v>
      </c>
      <c r="J1148" s="34"/>
    </row>
    <row r="1149" spans="1:10" x14ac:dyDescent="0.25">
      <c r="A1149" s="15">
        <v>41047</v>
      </c>
      <c r="B1149" s="16" t="s">
        <v>877</v>
      </c>
      <c r="C1149" t="s">
        <v>868</v>
      </c>
      <c r="D1149" t="s">
        <v>48</v>
      </c>
      <c r="E1149" s="17">
        <v>4</v>
      </c>
      <c r="F1149" s="17">
        <v>90</v>
      </c>
      <c r="G1149" s="18">
        <v>360</v>
      </c>
      <c r="H1149" s="30" t="s">
        <v>2294</v>
      </c>
      <c r="J1149" s="34"/>
    </row>
    <row r="1150" spans="1:10" x14ac:dyDescent="0.25">
      <c r="A1150" s="15">
        <v>41047</v>
      </c>
      <c r="B1150" s="16" t="s">
        <v>865</v>
      </c>
      <c r="C1150" t="s">
        <v>8</v>
      </c>
      <c r="D1150" t="s">
        <v>48</v>
      </c>
      <c r="E1150" s="17">
        <v>4.5</v>
      </c>
      <c r="F1150" s="17">
        <v>35.35</v>
      </c>
      <c r="G1150" s="18">
        <v>159.07499999999999</v>
      </c>
      <c r="H1150" s="30" t="s">
        <v>2294</v>
      </c>
      <c r="J1150" s="34"/>
    </row>
    <row r="1151" spans="1:10" x14ac:dyDescent="0.25">
      <c r="A1151" s="15">
        <v>41047</v>
      </c>
      <c r="B1151" s="16" t="s">
        <v>931</v>
      </c>
      <c r="C1151" t="s">
        <v>963</v>
      </c>
      <c r="D1151" t="s">
        <v>48</v>
      </c>
      <c r="E1151" s="17">
        <v>9.5</v>
      </c>
      <c r="F1151" s="17">
        <v>145</v>
      </c>
      <c r="G1151" s="18">
        <v>1377.5</v>
      </c>
      <c r="H1151" s="30" t="s">
        <v>2294</v>
      </c>
      <c r="J1151" s="34"/>
    </row>
    <row r="1152" spans="1:10" x14ac:dyDescent="0.25">
      <c r="A1152" s="15">
        <v>41047</v>
      </c>
      <c r="B1152" s="16" t="s">
        <v>865</v>
      </c>
      <c r="C1152" t="s">
        <v>8</v>
      </c>
      <c r="D1152" t="s">
        <v>48</v>
      </c>
      <c r="E1152" s="17">
        <v>4.5</v>
      </c>
      <c r="F1152" s="17">
        <v>48</v>
      </c>
      <c r="G1152" s="18">
        <v>216</v>
      </c>
      <c r="H1152" s="30" t="s">
        <v>2294</v>
      </c>
      <c r="J1152" s="34"/>
    </row>
    <row r="1153" spans="1:10" x14ac:dyDescent="0.25">
      <c r="A1153" s="15">
        <v>41047</v>
      </c>
      <c r="B1153" s="16" t="s">
        <v>865</v>
      </c>
      <c r="C1153" t="s">
        <v>8</v>
      </c>
      <c r="D1153" t="s">
        <v>48</v>
      </c>
      <c r="E1153" s="17">
        <v>4.5</v>
      </c>
      <c r="F1153" s="17">
        <v>35.35</v>
      </c>
      <c r="G1153" s="18">
        <v>159.07499999999999</v>
      </c>
      <c r="H1153" s="30" t="s">
        <v>2294</v>
      </c>
      <c r="J1153" s="34"/>
    </row>
    <row r="1154" spans="1:10" x14ac:dyDescent="0.25">
      <c r="A1154" s="15">
        <v>41048</v>
      </c>
      <c r="B1154" s="16" t="s">
        <v>865</v>
      </c>
      <c r="C1154" t="s">
        <v>8</v>
      </c>
      <c r="D1154" t="s">
        <v>48</v>
      </c>
      <c r="E1154" s="17">
        <v>4</v>
      </c>
      <c r="F1154" s="17">
        <v>35.35</v>
      </c>
      <c r="G1154" s="18">
        <v>141.4</v>
      </c>
      <c r="H1154" s="30" t="s">
        <v>2294</v>
      </c>
      <c r="J1154" s="34"/>
    </row>
    <row r="1155" spans="1:10" x14ac:dyDescent="0.25">
      <c r="A1155" s="15">
        <v>41048</v>
      </c>
      <c r="B1155" s="16" t="s">
        <v>865</v>
      </c>
      <c r="C1155" t="s">
        <v>8</v>
      </c>
      <c r="D1155" t="s">
        <v>48</v>
      </c>
      <c r="E1155" s="17">
        <v>4</v>
      </c>
      <c r="F1155" s="17">
        <v>35.35</v>
      </c>
      <c r="G1155" s="18">
        <v>141.4</v>
      </c>
      <c r="H1155" s="30" t="s">
        <v>2294</v>
      </c>
      <c r="J1155" s="34"/>
    </row>
    <row r="1156" spans="1:10" x14ac:dyDescent="0.25">
      <c r="A1156" s="15">
        <v>41048</v>
      </c>
      <c r="B1156" s="16" t="s">
        <v>920</v>
      </c>
      <c r="C1156" t="s">
        <v>871</v>
      </c>
      <c r="D1156" t="s">
        <v>48</v>
      </c>
      <c r="E1156" s="17">
        <v>4</v>
      </c>
      <c r="F1156" s="17">
        <v>130</v>
      </c>
      <c r="G1156" s="18">
        <v>520</v>
      </c>
      <c r="H1156" s="30" t="s">
        <v>2294</v>
      </c>
      <c r="J1156" s="34"/>
    </row>
    <row r="1157" spans="1:10" x14ac:dyDescent="0.25">
      <c r="A1157" s="15">
        <v>41048</v>
      </c>
      <c r="B1157" s="16" t="s">
        <v>865</v>
      </c>
      <c r="C1157" t="s">
        <v>8</v>
      </c>
      <c r="D1157" t="s">
        <v>48</v>
      </c>
      <c r="E1157" s="17">
        <v>4</v>
      </c>
      <c r="F1157" s="17">
        <v>35.35</v>
      </c>
      <c r="G1157" s="18">
        <v>141.4</v>
      </c>
      <c r="H1157" s="30" t="s">
        <v>2294</v>
      </c>
      <c r="J1157" s="34"/>
    </row>
    <row r="1158" spans="1:10" x14ac:dyDescent="0.25">
      <c r="A1158" s="15">
        <v>41048</v>
      </c>
      <c r="B1158" s="16" t="s">
        <v>931</v>
      </c>
      <c r="C1158" t="s">
        <v>873</v>
      </c>
      <c r="D1158" t="s">
        <v>48</v>
      </c>
      <c r="E1158" s="17">
        <v>2</v>
      </c>
      <c r="F1158" s="17">
        <v>130</v>
      </c>
      <c r="G1158" s="18">
        <v>260</v>
      </c>
      <c r="H1158" s="30" t="s">
        <v>2294</v>
      </c>
      <c r="J1158" s="34"/>
    </row>
    <row r="1159" spans="1:10" x14ac:dyDescent="0.25">
      <c r="A1159" s="15">
        <v>41048</v>
      </c>
      <c r="B1159" s="16" t="s">
        <v>904</v>
      </c>
      <c r="C1159" t="s">
        <v>905</v>
      </c>
      <c r="D1159" t="s">
        <v>48</v>
      </c>
      <c r="E1159" s="17">
        <v>4</v>
      </c>
      <c r="F1159" s="17">
        <v>95</v>
      </c>
      <c r="G1159" s="18"/>
      <c r="H1159" s="30" t="s">
        <v>2294</v>
      </c>
      <c r="J1159" s="34"/>
    </row>
    <row r="1160" spans="1:10" x14ac:dyDescent="0.25">
      <c r="A1160" s="15">
        <v>41048</v>
      </c>
      <c r="B1160" s="16" t="s">
        <v>865</v>
      </c>
      <c r="C1160" t="s">
        <v>8</v>
      </c>
      <c r="D1160" t="s">
        <v>48</v>
      </c>
      <c r="E1160" s="17">
        <v>7</v>
      </c>
      <c r="F1160" s="17">
        <v>48</v>
      </c>
      <c r="G1160" s="18">
        <v>336</v>
      </c>
      <c r="H1160" s="30" t="s">
        <v>2294</v>
      </c>
      <c r="J1160" s="34"/>
    </row>
    <row r="1161" spans="1:10" x14ac:dyDescent="0.25">
      <c r="A1161" s="15">
        <v>41048</v>
      </c>
      <c r="B1161" s="16" t="s">
        <v>877</v>
      </c>
      <c r="C1161" t="s">
        <v>868</v>
      </c>
      <c r="D1161" t="s">
        <v>48</v>
      </c>
      <c r="E1161" s="17">
        <v>4</v>
      </c>
      <c r="F1161" s="17">
        <v>90</v>
      </c>
      <c r="G1161" s="18">
        <v>360</v>
      </c>
      <c r="H1161" s="30" t="s">
        <v>2294</v>
      </c>
      <c r="J1161" s="34"/>
    </row>
    <row r="1162" spans="1:10" x14ac:dyDescent="0.25">
      <c r="A1162" s="15">
        <v>41053</v>
      </c>
      <c r="B1162" s="16" t="s">
        <v>865</v>
      </c>
      <c r="C1162" t="s">
        <v>8</v>
      </c>
      <c r="D1162" t="s">
        <v>48</v>
      </c>
      <c r="E1162" s="17">
        <v>3.5</v>
      </c>
      <c r="F1162" s="17">
        <v>35.35</v>
      </c>
      <c r="G1162" s="18">
        <v>123.72499999999999</v>
      </c>
      <c r="H1162" s="30" t="s">
        <v>2294</v>
      </c>
      <c r="J1162" s="34"/>
    </row>
    <row r="1163" spans="1:10" x14ac:dyDescent="0.25">
      <c r="A1163" s="15">
        <v>41053</v>
      </c>
      <c r="B1163" s="16" t="s">
        <v>865</v>
      </c>
      <c r="C1163" t="s">
        <v>8</v>
      </c>
      <c r="D1163" t="s">
        <v>48</v>
      </c>
      <c r="E1163" s="17">
        <v>3.5</v>
      </c>
      <c r="F1163" s="17">
        <v>48</v>
      </c>
      <c r="G1163" s="18">
        <v>168</v>
      </c>
      <c r="H1163" s="30" t="s">
        <v>2294</v>
      </c>
      <c r="J1163" s="34"/>
    </row>
    <row r="1164" spans="1:10" x14ac:dyDescent="0.25">
      <c r="A1164" s="15">
        <v>41053</v>
      </c>
      <c r="B1164" s="16" t="s">
        <v>865</v>
      </c>
      <c r="C1164" t="s">
        <v>8</v>
      </c>
      <c r="D1164" t="s">
        <v>48</v>
      </c>
      <c r="E1164" s="17">
        <v>3.5</v>
      </c>
      <c r="F1164" s="17">
        <v>35.35</v>
      </c>
      <c r="G1164" s="18">
        <v>123.72499999999999</v>
      </c>
      <c r="H1164" s="30" t="s">
        <v>2294</v>
      </c>
      <c r="J1164" s="34"/>
    </row>
    <row r="1165" spans="1:10" x14ac:dyDescent="0.25">
      <c r="A1165" s="15">
        <v>41094</v>
      </c>
      <c r="B1165" s="16" t="s">
        <v>865</v>
      </c>
      <c r="C1165" t="s">
        <v>8</v>
      </c>
      <c r="D1165" t="s">
        <v>48</v>
      </c>
      <c r="E1165" s="17">
        <v>8.5</v>
      </c>
      <c r="F1165" s="17">
        <v>48</v>
      </c>
      <c r="G1165" s="18">
        <v>408</v>
      </c>
      <c r="H1165" s="30" t="s">
        <v>2294</v>
      </c>
      <c r="J1165" s="34"/>
    </row>
    <row r="1166" spans="1:10" x14ac:dyDescent="0.25">
      <c r="A1166" s="15">
        <v>41094</v>
      </c>
      <c r="B1166" s="16" t="s">
        <v>865</v>
      </c>
      <c r="C1166" t="s">
        <v>8</v>
      </c>
      <c r="D1166" t="s">
        <v>48</v>
      </c>
      <c r="E1166" s="17">
        <v>8.5</v>
      </c>
      <c r="F1166" s="17">
        <v>35.35</v>
      </c>
      <c r="G1166" s="18">
        <v>300.47500000000002</v>
      </c>
      <c r="H1166" s="30" t="s">
        <v>2294</v>
      </c>
      <c r="J1166" s="34"/>
    </row>
    <row r="1167" spans="1:10" x14ac:dyDescent="0.25">
      <c r="A1167" s="15">
        <v>41094</v>
      </c>
      <c r="B1167" s="16" t="s">
        <v>865</v>
      </c>
      <c r="C1167" t="s">
        <v>8</v>
      </c>
      <c r="D1167" t="s">
        <v>48</v>
      </c>
      <c r="E1167" s="17">
        <v>8.5</v>
      </c>
      <c r="F1167" s="17">
        <v>35.35</v>
      </c>
      <c r="G1167" s="18">
        <v>300.47500000000002</v>
      </c>
      <c r="H1167" s="30" t="s">
        <v>2294</v>
      </c>
      <c r="J1167" s="34"/>
    </row>
    <row r="1168" spans="1:10" x14ac:dyDescent="0.25">
      <c r="A1168" s="15">
        <v>41094</v>
      </c>
      <c r="B1168" s="16" t="s">
        <v>920</v>
      </c>
      <c r="C1168" t="s">
        <v>871</v>
      </c>
      <c r="D1168" t="s">
        <v>48</v>
      </c>
      <c r="E1168" s="17">
        <v>5.5</v>
      </c>
      <c r="F1168" s="17">
        <v>130</v>
      </c>
      <c r="G1168" s="18">
        <v>715</v>
      </c>
      <c r="H1168" s="30" t="s">
        <v>2294</v>
      </c>
      <c r="J1168" s="34"/>
    </row>
    <row r="1169" spans="1:10" x14ac:dyDescent="0.25">
      <c r="A1169" s="15">
        <v>41094</v>
      </c>
      <c r="B1169" s="16" t="s">
        <v>880</v>
      </c>
      <c r="C1169" t="s">
        <v>881</v>
      </c>
      <c r="D1169" t="s">
        <v>48</v>
      </c>
      <c r="E1169" s="17">
        <v>4</v>
      </c>
      <c r="F1169" s="17">
        <v>95</v>
      </c>
      <c r="G1169" s="18">
        <v>380</v>
      </c>
      <c r="H1169" s="30" t="s">
        <v>2294</v>
      </c>
      <c r="J1169" s="34"/>
    </row>
    <row r="1170" spans="1:10" x14ac:dyDescent="0.25">
      <c r="A1170" s="15">
        <v>41095</v>
      </c>
      <c r="B1170" s="16" t="s">
        <v>880</v>
      </c>
      <c r="C1170" t="s">
        <v>881</v>
      </c>
      <c r="D1170" t="s">
        <v>48</v>
      </c>
      <c r="E1170" s="17">
        <v>9</v>
      </c>
      <c r="F1170" s="17">
        <v>95</v>
      </c>
      <c r="G1170" s="18">
        <v>855</v>
      </c>
      <c r="H1170" s="30" t="s">
        <v>2294</v>
      </c>
      <c r="J1170" s="34"/>
    </row>
    <row r="1171" spans="1:10" x14ac:dyDescent="0.25">
      <c r="A1171" s="15">
        <v>41096</v>
      </c>
      <c r="B1171" s="16" t="s">
        <v>880</v>
      </c>
      <c r="C1171" t="s">
        <v>881</v>
      </c>
      <c r="D1171" t="s">
        <v>48</v>
      </c>
      <c r="E1171" s="17">
        <v>6.5</v>
      </c>
      <c r="F1171" s="17">
        <v>95</v>
      </c>
      <c r="G1171" s="18">
        <v>617.5</v>
      </c>
      <c r="H1171" s="30" t="s">
        <v>2294</v>
      </c>
      <c r="J1171" s="34"/>
    </row>
    <row r="1172" spans="1:10" x14ac:dyDescent="0.25">
      <c r="A1172" s="15">
        <v>41096</v>
      </c>
      <c r="B1172" s="16" t="s">
        <v>878</v>
      </c>
      <c r="C1172" t="s">
        <v>879</v>
      </c>
      <c r="D1172" t="s">
        <v>48</v>
      </c>
      <c r="E1172" s="17">
        <v>9.25</v>
      </c>
      <c r="F1172" s="17">
        <v>110</v>
      </c>
      <c r="G1172" s="18">
        <v>1017.5</v>
      </c>
      <c r="H1172" s="30" t="s">
        <v>2294</v>
      </c>
      <c r="J1172" s="34"/>
    </row>
    <row r="1173" spans="1:10" x14ac:dyDescent="0.25">
      <c r="A1173" s="15">
        <v>41106</v>
      </c>
      <c r="B1173" s="16" t="s">
        <v>904</v>
      </c>
      <c r="C1173" t="s">
        <v>905</v>
      </c>
      <c r="D1173" t="s">
        <v>48</v>
      </c>
      <c r="E1173" s="17">
        <v>5</v>
      </c>
      <c r="F1173" s="17">
        <v>95</v>
      </c>
      <c r="G1173" s="18">
        <v>475</v>
      </c>
      <c r="H1173" s="30" t="s">
        <v>2294</v>
      </c>
      <c r="J1173" s="34"/>
    </row>
    <row r="1174" spans="1:10" x14ac:dyDescent="0.25">
      <c r="A1174" s="15">
        <v>41106</v>
      </c>
      <c r="B1174" s="16" t="s">
        <v>975</v>
      </c>
      <c r="C1174" t="s">
        <v>976</v>
      </c>
      <c r="D1174" t="s">
        <v>783</v>
      </c>
      <c r="E1174" s="17">
        <v>60</v>
      </c>
      <c r="F1174" s="17">
        <v>9.5</v>
      </c>
      <c r="G1174" s="18">
        <v>570</v>
      </c>
      <c r="H1174" s="30" t="s">
        <v>2294</v>
      </c>
      <c r="J1174" s="34"/>
    </row>
    <row r="1175" spans="1:10" x14ac:dyDescent="0.25">
      <c r="A1175" s="15">
        <v>41106</v>
      </c>
      <c r="B1175" s="16" t="s">
        <v>878</v>
      </c>
      <c r="C1175" t="s">
        <v>879</v>
      </c>
      <c r="D1175" t="s">
        <v>48</v>
      </c>
      <c r="E1175" s="17">
        <v>6</v>
      </c>
      <c r="F1175" s="17">
        <v>110</v>
      </c>
      <c r="G1175" s="18">
        <v>660</v>
      </c>
      <c r="H1175" s="30" t="s">
        <v>2294</v>
      </c>
      <c r="J1175" s="34"/>
    </row>
    <row r="1176" spans="1:10" x14ac:dyDescent="0.25">
      <c r="A1176" s="15">
        <v>41106</v>
      </c>
      <c r="B1176" s="16" t="s">
        <v>865</v>
      </c>
      <c r="C1176" t="s">
        <v>8</v>
      </c>
      <c r="D1176" t="s">
        <v>48</v>
      </c>
      <c r="E1176" s="17">
        <v>9.5</v>
      </c>
      <c r="F1176" s="17">
        <v>35.35</v>
      </c>
      <c r="G1176" s="18">
        <v>335.82499999999999</v>
      </c>
      <c r="H1176" s="30" t="s">
        <v>2294</v>
      </c>
      <c r="J1176" s="34"/>
    </row>
    <row r="1177" spans="1:10" x14ac:dyDescent="0.25">
      <c r="A1177" s="15">
        <v>41106</v>
      </c>
      <c r="B1177" s="16" t="s">
        <v>865</v>
      </c>
      <c r="C1177" t="s">
        <v>8</v>
      </c>
      <c r="D1177" t="s">
        <v>48</v>
      </c>
      <c r="E1177" s="17">
        <v>8.5</v>
      </c>
      <c r="F1177" s="17">
        <v>35.35</v>
      </c>
      <c r="G1177" s="18">
        <v>300.47500000000002</v>
      </c>
      <c r="H1177" s="30" t="s">
        <v>2294</v>
      </c>
      <c r="J1177" s="34"/>
    </row>
    <row r="1178" spans="1:10" x14ac:dyDescent="0.25">
      <c r="A1178" s="15">
        <v>41106</v>
      </c>
      <c r="B1178" s="16" t="s">
        <v>865</v>
      </c>
      <c r="C1178" t="s">
        <v>8</v>
      </c>
      <c r="D1178" t="s">
        <v>48</v>
      </c>
      <c r="E1178" s="17">
        <v>10</v>
      </c>
      <c r="F1178" s="17">
        <v>35.35</v>
      </c>
      <c r="G1178" s="18">
        <v>353.5</v>
      </c>
      <c r="H1178" s="30" t="s">
        <v>2294</v>
      </c>
      <c r="J1178" s="34"/>
    </row>
    <row r="1179" spans="1:10" x14ac:dyDescent="0.25">
      <c r="A1179" s="15">
        <v>41106</v>
      </c>
      <c r="B1179" s="16" t="s">
        <v>865</v>
      </c>
      <c r="C1179" t="s">
        <v>8</v>
      </c>
      <c r="D1179" t="s">
        <v>48</v>
      </c>
      <c r="E1179" s="17">
        <v>10</v>
      </c>
      <c r="F1179" s="17">
        <v>48</v>
      </c>
      <c r="G1179" s="18">
        <v>480</v>
      </c>
      <c r="H1179" s="30" t="s">
        <v>2294</v>
      </c>
      <c r="J1179" s="34"/>
    </row>
    <row r="1180" spans="1:10" x14ac:dyDescent="0.25">
      <c r="A1180" s="15">
        <v>41106</v>
      </c>
      <c r="B1180" s="16" t="s">
        <v>920</v>
      </c>
      <c r="C1180" t="s">
        <v>871</v>
      </c>
      <c r="D1180" t="s">
        <v>48</v>
      </c>
      <c r="E1180" s="17">
        <v>10</v>
      </c>
      <c r="F1180" s="17">
        <v>130</v>
      </c>
      <c r="G1180" s="18">
        <v>1300</v>
      </c>
      <c r="H1180" s="30" t="s">
        <v>2294</v>
      </c>
      <c r="J1180" s="34"/>
    </row>
    <row r="1181" spans="1:10" x14ac:dyDescent="0.25">
      <c r="A1181" s="15">
        <v>41106</v>
      </c>
      <c r="B1181" s="16" t="s">
        <v>880</v>
      </c>
      <c r="C1181" t="s">
        <v>881</v>
      </c>
      <c r="D1181" t="s">
        <v>48</v>
      </c>
      <c r="E1181" s="17">
        <v>9</v>
      </c>
      <c r="F1181" s="17">
        <v>95</v>
      </c>
      <c r="G1181" s="18">
        <v>855</v>
      </c>
      <c r="H1181" s="30" t="s">
        <v>2294</v>
      </c>
      <c r="J1181" s="34"/>
    </row>
    <row r="1182" spans="1:10" x14ac:dyDescent="0.25">
      <c r="A1182" s="15">
        <v>41106</v>
      </c>
      <c r="B1182" s="16" t="s">
        <v>865</v>
      </c>
      <c r="C1182" t="s">
        <v>8</v>
      </c>
      <c r="D1182" t="s">
        <v>48</v>
      </c>
      <c r="E1182" s="17">
        <v>10</v>
      </c>
      <c r="F1182" s="17">
        <v>35.35</v>
      </c>
      <c r="G1182" s="18">
        <v>353.5</v>
      </c>
      <c r="H1182" s="30" t="s">
        <v>2294</v>
      </c>
      <c r="J1182" s="34"/>
    </row>
    <row r="1183" spans="1:10" x14ac:dyDescent="0.25">
      <c r="A1183" s="15">
        <v>41107</v>
      </c>
      <c r="B1183" s="16" t="s">
        <v>878</v>
      </c>
      <c r="C1183" t="s">
        <v>879</v>
      </c>
      <c r="D1183" t="s">
        <v>48</v>
      </c>
      <c r="E1183" s="17">
        <v>4.25</v>
      </c>
      <c r="F1183" s="17">
        <v>110</v>
      </c>
      <c r="G1183" s="18">
        <v>467.5</v>
      </c>
      <c r="H1183" s="30" t="s">
        <v>2294</v>
      </c>
      <c r="J1183" s="34"/>
    </row>
    <row r="1184" spans="1:10" x14ac:dyDescent="0.25">
      <c r="A1184" s="15">
        <v>41107</v>
      </c>
      <c r="B1184" s="16" t="s">
        <v>880</v>
      </c>
      <c r="C1184" t="s">
        <v>881</v>
      </c>
      <c r="D1184" t="s">
        <v>48</v>
      </c>
      <c r="E1184" s="17">
        <v>4</v>
      </c>
      <c r="F1184" s="17">
        <v>95</v>
      </c>
      <c r="G1184" s="18">
        <v>380</v>
      </c>
      <c r="H1184" s="30" t="s">
        <v>2294</v>
      </c>
      <c r="J1184" s="34"/>
    </row>
    <row r="1185" spans="1:10" x14ac:dyDescent="0.25">
      <c r="A1185" s="15">
        <v>41107</v>
      </c>
      <c r="B1185" s="16" t="s">
        <v>865</v>
      </c>
      <c r="C1185" t="s">
        <v>8</v>
      </c>
      <c r="D1185" t="s">
        <v>48</v>
      </c>
      <c r="E1185" s="17">
        <v>5</v>
      </c>
      <c r="F1185" s="17">
        <v>35.35</v>
      </c>
      <c r="G1185" s="18">
        <v>176.75</v>
      </c>
      <c r="H1185" s="30" t="s">
        <v>2294</v>
      </c>
      <c r="J1185" s="34"/>
    </row>
    <row r="1186" spans="1:10" x14ac:dyDescent="0.25">
      <c r="A1186" s="15">
        <v>41107</v>
      </c>
      <c r="B1186" s="16" t="s">
        <v>865</v>
      </c>
      <c r="C1186" t="s">
        <v>8</v>
      </c>
      <c r="D1186" t="s">
        <v>48</v>
      </c>
      <c r="E1186" s="17">
        <v>5</v>
      </c>
      <c r="F1186" s="17">
        <v>35.35</v>
      </c>
      <c r="G1186" s="18">
        <v>176.75</v>
      </c>
      <c r="H1186" s="30" t="s">
        <v>2294</v>
      </c>
      <c r="J1186" s="34"/>
    </row>
    <row r="1187" spans="1:10" x14ac:dyDescent="0.25">
      <c r="A1187" s="15">
        <v>41107</v>
      </c>
      <c r="B1187" s="16" t="s">
        <v>865</v>
      </c>
      <c r="C1187" t="s">
        <v>8</v>
      </c>
      <c r="D1187" t="s">
        <v>48</v>
      </c>
      <c r="E1187" s="17">
        <v>5</v>
      </c>
      <c r="F1187" s="17">
        <v>48</v>
      </c>
      <c r="G1187" s="18">
        <v>240</v>
      </c>
      <c r="H1187" s="30" t="s">
        <v>2294</v>
      </c>
      <c r="J1187" s="34"/>
    </row>
    <row r="1188" spans="1:10" x14ac:dyDescent="0.25">
      <c r="A1188" s="15">
        <v>41107</v>
      </c>
      <c r="B1188" s="16" t="s">
        <v>920</v>
      </c>
      <c r="C1188" t="s">
        <v>871</v>
      </c>
      <c r="D1188" t="s">
        <v>48</v>
      </c>
      <c r="E1188" s="17">
        <v>4</v>
      </c>
      <c r="F1188" s="17">
        <v>130</v>
      </c>
      <c r="G1188" s="18">
        <v>520</v>
      </c>
      <c r="H1188" s="30" t="s">
        <v>2294</v>
      </c>
      <c r="J1188" s="34"/>
    </row>
    <row r="1189" spans="1:10" x14ac:dyDescent="0.25">
      <c r="A1189" s="15">
        <v>41107</v>
      </c>
      <c r="B1189" s="16" t="s">
        <v>865</v>
      </c>
      <c r="C1189" t="s">
        <v>8</v>
      </c>
      <c r="D1189" t="s">
        <v>48</v>
      </c>
      <c r="E1189" s="17">
        <v>5</v>
      </c>
      <c r="F1189" s="17">
        <v>35.35</v>
      </c>
      <c r="G1189" s="18">
        <v>176.75</v>
      </c>
      <c r="H1189" s="30" t="s">
        <v>2294</v>
      </c>
      <c r="J1189" s="34"/>
    </row>
    <row r="1190" spans="1:10" x14ac:dyDescent="0.25">
      <c r="A1190" s="15">
        <v>41107</v>
      </c>
      <c r="B1190" s="16" t="s">
        <v>865</v>
      </c>
      <c r="C1190" t="s">
        <v>8</v>
      </c>
      <c r="D1190" t="s">
        <v>48</v>
      </c>
      <c r="E1190" s="17">
        <v>5</v>
      </c>
      <c r="F1190" s="17">
        <v>35.35</v>
      </c>
      <c r="G1190" s="18">
        <v>176.75</v>
      </c>
      <c r="H1190" s="30" t="s">
        <v>2294</v>
      </c>
      <c r="J1190" s="34"/>
    </row>
    <row r="1191" spans="1:10" x14ac:dyDescent="0.25">
      <c r="A1191" s="15">
        <v>41109</v>
      </c>
      <c r="B1191" s="16" t="s">
        <v>904</v>
      </c>
      <c r="C1191" t="s">
        <v>905</v>
      </c>
      <c r="D1191" t="s">
        <v>48</v>
      </c>
      <c r="E1191" s="17">
        <v>6</v>
      </c>
      <c r="F1191" s="17">
        <v>95</v>
      </c>
      <c r="G1191" s="18">
        <v>570</v>
      </c>
      <c r="H1191" s="30" t="s">
        <v>2294</v>
      </c>
      <c r="J1191" s="34"/>
    </row>
    <row r="1192" spans="1:10" x14ac:dyDescent="0.25">
      <c r="A1192" s="15">
        <v>41109</v>
      </c>
      <c r="B1192" s="16" t="s">
        <v>887</v>
      </c>
      <c r="C1192" t="s">
        <v>873</v>
      </c>
      <c r="D1192" t="s">
        <v>48</v>
      </c>
      <c r="E1192" s="17">
        <v>8</v>
      </c>
      <c r="F1192" s="17">
        <v>95</v>
      </c>
      <c r="G1192" s="18">
        <v>760</v>
      </c>
      <c r="H1192" s="30" t="s">
        <v>2294</v>
      </c>
      <c r="J1192" s="34"/>
    </row>
    <row r="1193" spans="1:10" x14ac:dyDescent="0.25">
      <c r="A1193" s="15">
        <v>41109</v>
      </c>
      <c r="B1193" s="16" t="s">
        <v>865</v>
      </c>
      <c r="C1193" t="s">
        <v>8</v>
      </c>
      <c r="D1193" t="s">
        <v>48</v>
      </c>
      <c r="E1193" s="17">
        <v>8</v>
      </c>
      <c r="F1193" s="17">
        <v>35.35</v>
      </c>
      <c r="G1193" s="18">
        <v>282.8</v>
      </c>
      <c r="H1193" s="30" t="s">
        <v>2294</v>
      </c>
      <c r="J1193" s="34"/>
    </row>
    <row r="1194" spans="1:10" x14ac:dyDescent="0.25">
      <c r="A1194" s="15">
        <v>41109</v>
      </c>
      <c r="B1194" s="16" t="s">
        <v>878</v>
      </c>
      <c r="C1194" t="s">
        <v>879</v>
      </c>
      <c r="D1194" t="s">
        <v>48</v>
      </c>
      <c r="E1194" s="17">
        <v>7</v>
      </c>
      <c r="F1194" s="17">
        <v>110</v>
      </c>
      <c r="G1194" s="18">
        <v>770</v>
      </c>
      <c r="H1194" s="30" t="s">
        <v>2294</v>
      </c>
      <c r="J1194" s="34"/>
    </row>
    <row r="1195" spans="1:10" x14ac:dyDescent="0.25">
      <c r="A1195" s="15">
        <v>41109</v>
      </c>
      <c r="B1195" s="16" t="s">
        <v>977</v>
      </c>
      <c r="C1195" t="s">
        <v>976</v>
      </c>
      <c r="D1195" t="s">
        <v>783</v>
      </c>
      <c r="E1195" s="17">
        <v>1</v>
      </c>
      <c r="F1195" s="17">
        <v>649.09</v>
      </c>
      <c r="G1195" s="18">
        <v>649.09</v>
      </c>
      <c r="H1195" s="30" t="s">
        <v>2294</v>
      </c>
      <c r="J1195" s="34"/>
    </row>
    <row r="1196" spans="1:10" x14ac:dyDescent="0.25">
      <c r="A1196" s="15">
        <v>41109</v>
      </c>
      <c r="B1196" s="16" t="s">
        <v>865</v>
      </c>
      <c r="C1196" t="s">
        <v>8</v>
      </c>
      <c r="D1196" t="s">
        <v>48</v>
      </c>
      <c r="E1196" s="17">
        <v>8</v>
      </c>
      <c r="F1196" s="17">
        <v>48</v>
      </c>
      <c r="G1196" s="18">
        <v>384</v>
      </c>
      <c r="H1196" s="30" t="s">
        <v>2294</v>
      </c>
      <c r="J1196" s="34"/>
    </row>
    <row r="1197" spans="1:10" x14ac:dyDescent="0.25">
      <c r="A1197" s="15">
        <v>41109</v>
      </c>
      <c r="B1197" s="16" t="s">
        <v>865</v>
      </c>
      <c r="C1197" t="s">
        <v>8</v>
      </c>
      <c r="D1197" t="s">
        <v>48</v>
      </c>
      <c r="E1197" s="17">
        <v>8</v>
      </c>
      <c r="F1197" s="17">
        <v>35.35</v>
      </c>
      <c r="G1197" s="18">
        <v>282.8</v>
      </c>
      <c r="H1197" s="30" t="s">
        <v>2294</v>
      </c>
      <c r="J1197" s="34"/>
    </row>
    <row r="1198" spans="1:10" x14ac:dyDescent="0.25">
      <c r="A1198" s="15">
        <v>41109</v>
      </c>
      <c r="B1198" s="16" t="s">
        <v>880</v>
      </c>
      <c r="C1198" t="s">
        <v>881</v>
      </c>
      <c r="D1198" t="s">
        <v>48</v>
      </c>
      <c r="E1198" s="17">
        <v>6</v>
      </c>
      <c r="F1198" s="17">
        <v>95</v>
      </c>
      <c r="G1198" s="18">
        <v>570</v>
      </c>
      <c r="H1198" s="30" t="s">
        <v>2294</v>
      </c>
      <c r="J1198" s="34"/>
    </row>
    <row r="1199" spans="1:10" x14ac:dyDescent="0.25">
      <c r="A1199" s="15">
        <v>41109</v>
      </c>
      <c r="B1199" s="16" t="s">
        <v>865</v>
      </c>
      <c r="C1199" t="s">
        <v>8</v>
      </c>
      <c r="D1199" t="s">
        <v>48</v>
      </c>
      <c r="E1199" s="17">
        <v>8</v>
      </c>
      <c r="F1199" s="17">
        <v>35.35</v>
      </c>
      <c r="G1199" s="18">
        <v>282.8</v>
      </c>
      <c r="H1199" s="30" t="s">
        <v>2294</v>
      </c>
      <c r="J1199" s="34"/>
    </row>
    <row r="1200" spans="1:10" x14ac:dyDescent="0.25">
      <c r="A1200" s="15">
        <v>41109</v>
      </c>
      <c r="B1200" s="16" t="s">
        <v>920</v>
      </c>
      <c r="C1200" t="s">
        <v>871</v>
      </c>
      <c r="D1200" t="s">
        <v>48</v>
      </c>
      <c r="E1200" s="17">
        <v>7</v>
      </c>
      <c r="F1200" s="17">
        <v>130</v>
      </c>
      <c r="G1200" s="18">
        <v>910</v>
      </c>
      <c r="H1200" s="30" t="s">
        <v>2294</v>
      </c>
      <c r="J1200" s="34"/>
    </row>
    <row r="1201" spans="1:10" x14ac:dyDescent="0.25">
      <c r="A1201" s="15">
        <v>41109</v>
      </c>
      <c r="B1201" s="16" t="s">
        <v>865</v>
      </c>
      <c r="C1201" t="s">
        <v>8</v>
      </c>
      <c r="D1201" t="s">
        <v>48</v>
      </c>
      <c r="E1201" s="17">
        <v>7.5</v>
      </c>
      <c r="F1201" s="17">
        <v>35.35</v>
      </c>
      <c r="G1201" s="18">
        <v>265.125</v>
      </c>
      <c r="H1201" s="30" t="s">
        <v>2294</v>
      </c>
      <c r="J1201" s="34"/>
    </row>
    <row r="1202" spans="1:10" x14ac:dyDescent="0.25">
      <c r="A1202" s="15">
        <v>41110</v>
      </c>
      <c r="B1202" s="16" t="s">
        <v>920</v>
      </c>
      <c r="C1202" t="s">
        <v>871</v>
      </c>
      <c r="D1202" t="s">
        <v>48</v>
      </c>
      <c r="E1202" s="17">
        <v>9</v>
      </c>
      <c r="F1202" s="17">
        <v>130</v>
      </c>
      <c r="G1202" s="18">
        <v>1170</v>
      </c>
      <c r="H1202" s="30" t="s">
        <v>2294</v>
      </c>
      <c r="J1202" s="34"/>
    </row>
    <row r="1203" spans="1:10" x14ac:dyDescent="0.25">
      <c r="A1203" s="15">
        <v>41110</v>
      </c>
      <c r="B1203" s="16" t="s">
        <v>904</v>
      </c>
      <c r="C1203" t="s">
        <v>905</v>
      </c>
      <c r="D1203" t="s">
        <v>48</v>
      </c>
      <c r="E1203" s="17">
        <v>6</v>
      </c>
      <c r="F1203" s="17">
        <v>95</v>
      </c>
      <c r="G1203" s="18">
        <v>570</v>
      </c>
      <c r="H1203" s="30" t="s">
        <v>2294</v>
      </c>
      <c r="J1203" s="34"/>
    </row>
    <row r="1204" spans="1:10" x14ac:dyDescent="0.25">
      <c r="A1204" s="15">
        <v>41110</v>
      </c>
      <c r="B1204" s="16" t="s">
        <v>880</v>
      </c>
      <c r="C1204" t="s">
        <v>881</v>
      </c>
      <c r="D1204" t="s">
        <v>48</v>
      </c>
      <c r="E1204" s="17">
        <v>8</v>
      </c>
      <c r="F1204" s="17">
        <v>95</v>
      </c>
      <c r="G1204" s="18">
        <v>760</v>
      </c>
      <c r="H1204" s="30" t="s">
        <v>2294</v>
      </c>
      <c r="J1204" s="34"/>
    </row>
    <row r="1205" spans="1:10" x14ac:dyDescent="0.25">
      <c r="A1205" s="15">
        <v>41110</v>
      </c>
      <c r="B1205" s="16" t="s">
        <v>865</v>
      </c>
      <c r="C1205" t="s">
        <v>8</v>
      </c>
      <c r="D1205" t="s">
        <v>48</v>
      </c>
      <c r="E1205" s="17">
        <v>9.5</v>
      </c>
      <c r="F1205" s="17">
        <v>48</v>
      </c>
      <c r="G1205" s="18">
        <v>456</v>
      </c>
      <c r="H1205" s="30" t="s">
        <v>2294</v>
      </c>
      <c r="J1205" s="34"/>
    </row>
    <row r="1206" spans="1:10" x14ac:dyDescent="0.25">
      <c r="A1206" s="15">
        <v>41110</v>
      </c>
      <c r="B1206" s="16" t="s">
        <v>865</v>
      </c>
      <c r="C1206" t="s">
        <v>8</v>
      </c>
      <c r="D1206" t="s">
        <v>48</v>
      </c>
      <c r="E1206" s="17">
        <v>9.5</v>
      </c>
      <c r="F1206" s="17">
        <v>35.35</v>
      </c>
      <c r="G1206" s="18">
        <v>335.82499999999999</v>
      </c>
      <c r="H1206" s="30" t="s">
        <v>2294</v>
      </c>
      <c r="J1206" s="34"/>
    </row>
    <row r="1207" spans="1:10" x14ac:dyDescent="0.25">
      <c r="A1207" s="15">
        <v>41110</v>
      </c>
      <c r="B1207" s="16" t="s">
        <v>887</v>
      </c>
      <c r="C1207" t="s">
        <v>873</v>
      </c>
      <c r="D1207" t="s">
        <v>48</v>
      </c>
      <c r="E1207" s="17">
        <v>7.5</v>
      </c>
      <c r="F1207" s="17">
        <v>95</v>
      </c>
      <c r="G1207" s="18">
        <v>712.5</v>
      </c>
      <c r="H1207" s="30" t="s">
        <v>2294</v>
      </c>
      <c r="J1207" s="34"/>
    </row>
    <row r="1208" spans="1:10" x14ac:dyDescent="0.25">
      <c r="A1208" s="15">
        <v>41110</v>
      </c>
      <c r="B1208" s="16" t="s">
        <v>865</v>
      </c>
      <c r="C1208" t="s">
        <v>8</v>
      </c>
      <c r="D1208" t="s">
        <v>48</v>
      </c>
      <c r="E1208" s="17">
        <v>9.5</v>
      </c>
      <c r="F1208" s="17">
        <v>35.35</v>
      </c>
      <c r="G1208" s="18">
        <v>335.82499999999999</v>
      </c>
      <c r="H1208" s="30" t="s">
        <v>2294</v>
      </c>
      <c r="J1208" s="34"/>
    </row>
    <row r="1209" spans="1:10" x14ac:dyDescent="0.25">
      <c r="A1209" s="15">
        <v>41110</v>
      </c>
      <c r="B1209" s="16" t="s">
        <v>878</v>
      </c>
      <c r="C1209" t="s">
        <v>879</v>
      </c>
      <c r="D1209" t="s">
        <v>48</v>
      </c>
      <c r="E1209" s="17">
        <v>9.5</v>
      </c>
      <c r="F1209" s="17">
        <v>110</v>
      </c>
      <c r="G1209" s="18">
        <v>1045</v>
      </c>
      <c r="H1209" s="30" t="s">
        <v>2294</v>
      </c>
      <c r="J1209" s="34"/>
    </row>
    <row r="1210" spans="1:10" x14ac:dyDescent="0.25">
      <c r="A1210" s="15">
        <v>41110</v>
      </c>
      <c r="B1210" s="16" t="s">
        <v>865</v>
      </c>
      <c r="C1210" t="s">
        <v>8</v>
      </c>
      <c r="D1210" t="s">
        <v>48</v>
      </c>
      <c r="E1210" s="17">
        <v>9.5</v>
      </c>
      <c r="F1210" s="17">
        <v>35.35</v>
      </c>
      <c r="G1210" s="18">
        <v>335.82499999999999</v>
      </c>
      <c r="H1210" s="30" t="s">
        <v>2294</v>
      </c>
      <c r="J1210" s="34"/>
    </row>
    <row r="1211" spans="1:10" x14ac:dyDescent="0.25">
      <c r="A1211" s="15">
        <v>41110</v>
      </c>
      <c r="B1211" s="16" t="s">
        <v>865</v>
      </c>
      <c r="C1211" t="s">
        <v>8</v>
      </c>
      <c r="D1211" t="s">
        <v>48</v>
      </c>
      <c r="E1211" s="17">
        <v>9.5</v>
      </c>
      <c r="F1211" s="17">
        <v>35.35</v>
      </c>
      <c r="G1211" s="18">
        <v>335.82499999999999</v>
      </c>
      <c r="H1211" s="30" t="s">
        <v>2294</v>
      </c>
      <c r="J1211" s="34"/>
    </row>
    <row r="1212" spans="1:10" x14ac:dyDescent="0.25">
      <c r="A1212" s="15">
        <v>41111</v>
      </c>
      <c r="B1212" s="16" t="s">
        <v>978</v>
      </c>
      <c r="C1212" t="s">
        <v>976</v>
      </c>
      <c r="D1212" t="s">
        <v>783</v>
      </c>
      <c r="E1212" s="17">
        <v>1</v>
      </c>
      <c r="F1212" s="17">
        <v>262.72000000000003</v>
      </c>
      <c r="G1212" s="18">
        <v>262.72000000000003</v>
      </c>
      <c r="H1212" s="30" t="s">
        <v>2294</v>
      </c>
      <c r="J1212" s="34"/>
    </row>
    <row r="1213" spans="1:10" x14ac:dyDescent="0.25">
      <c r="A1213" s="15">
        <v>41111</v>
      </c>
      <c r="B1213" s="16" t="s">
        <v>865</v>
      </c>
      <c r="C1213" t="s">
        <v>8</v>
      </c>
      <c r="D1213" t="s">
        <v>48</v>
      </c>
      <c r="E1213" s="17">
        <v>7</v>
      </c>
      <c r="F1213" s="17">
        <v>35.35</v>
      </c>
      <c r="G1213" s="18">
        <v>247.45</v>
      </c>
      <c r="H1213" s="30" t="s">
        <v>2294</v>
      </c>
      <c r="J1213" s="34"/>
    </row>
    <row r="1214" spans="1:10" x14ac:dyDescent="0.25">
      <c r="A1214" s="15">
        <v>41111</v>
      </c>
      <c r="B1214" s="16" t="s">
        <v>878</v>
      </c>
      <c r="C1214" t="s">
        <v>879</v>
      </c>
      <c r="D1214" t="s">
        <v>48</v>
      </c>
      <c r="E1214" s="17">
        <v>7</v>
      </c>
      <c r="F1214" s="17">
        <v>110</v>
      </c>
      <c r="G1214" s="18">
        <v>770</v>
      </c>
      <c r="H1214" s="30" t="s">
        <v>2294</v>
      </c>
      <c r="J1214" s="34"/>
    </row>
    <row r="1215" spans="1:10" x14ac:dyDescent="0.25">
      <c r="A1215" s="15">
        <v>41111</v>
      </c>
      <c r="B1215" s="16" t="s">
        <v>887</v>
      </c>
      <c r="C1215" t="s">
        <v>873</v>
      </c>
      <c r="D1215" t="s">
        <v>48</v>
      </c>
      <c r="E1215" s="17">
        <v>7.5</v>
      </c>
      <c r="F1215" s="17">
        <v>95</v>
      </c>
      <c r="G1215" s="18">
        <v>712.5</v>
      </c>
      <c r="H1215" s="30" t="s">
        <v>2294</v>
      </c>
      <c r="J1215" s="34"/>
    </row>
    <row r="1216" spans="1:10" x14ac:dyDescent="0.25">
      <c r="A1216" s="15">
        <v>41111</v>
      </c>
      <c r="B1216" s="16" t="s">
        <v>880</v>
      </c>
      <c r="C1216" t="s">
        <v>881</v>
      </c>
      <c r="D1216" t="s">
        <v>48</v>
      </c>
      <c r="E1216" s="17">
        <v>6.5</v>
      </c>
      <c r="F1216" s="17">
        <v>95</v>
      </c>
      <c r="G1216" s="18">
        <v>617.5</v>
      </c>
      <c r="H1216" s="30" t="s">
        <v>2294</v>
      </c>
      <c r="J1216" s="34"/>
    </row>
    <row r="1217" spans="1:10" x14ac:dyDescent="0.25">
      <c r="A1217" s="15">
        <v>41111</v>
      </c>
      <c r="B1217" s="16" t="s">
        <v>880</v>
      </c>
      <c r="C1217" t="s">
        <v>881</v>
      </c>
      <c r="D1217" t="s">
        <v>48</v>
      </c>
      <c r="E1217" s="17">
        <v>6.5</v>
      </c>
      <c r="F1217" s="17">
        <v>95</v>
      </c>
      <c r="G1217" s="18">
        <v>617.5</v>
      </c>
      <c r="H1217" s="30" t="s">
        <v>2294</v>
      </c>
      <c r="J1217" s="34"/>
    </row>
    <row r="1218" spans="1:10" x14ac:dyDescent="0.25">
      <c r="A1218" s="15">
        <v>41111</v>
      </c>
      <c r="B1218" s="16" t="s">
        <v>865</v>
      </c>
      <c r="C1218" t="s">
        <v>8</v>
      </c>
      <c r="D1218" t="s">
        <v>48</v>
      </c>
      <c r="E1218" s="17">
        <v>7</v>
      </c>
      <c r="F1218" s="17">
        <v>35.35</v>
      </c>
      <c r="G1218" s="18">
        <v>247.45</v>
      </c>
      <c r="H1218" s="30" t="s">
        <v>2294</v>
      </c>
      <c r="J1218" s="34"/>
    </row>
    <row r="1219" spans="1:10" x14ac:dyDescent="0.25">
      <c r="A1219" s="15">
        <v>41111</v>
      </c>
      <c r="B1219" s="16" t="s">
        <v>920</v>
      </c>
      <c r="C1219" t="s">
        <v>871</v>
      </c>
      <c r="D1219" t="s">
        <v>48</v>
      </c>
      <c r="E1219" s="17">
        <v>7</v>
      </c>
      <c r="F1219" s="17">
        <v>130</v>
      </c>
      <c r="G1219" s="18">
        <v>910</v>
      </c>
      <c r="H1219" s="30" t="s">
        <v>2294</v>
      </c>
      <c r="J1219" s="34"/>
    </row>
    <row r="1220" spans="1:10" x14ac:dyDescent="0.25">
      <c r="A1220" s="15">
        <v>41111</v>
      </c>
      <c r="B1220" s="16" t="s">
        <v>865</v>
      </c>
      <c r="C1220" t="s">
        <v>8</v>
      </c>
      <c r="D1220" t="s">
        <v>48</v>
      </c>
      <c r="E1220" s="17">
        <v>7</v>
      </c>
      <c r="F1220" s="17">
        <v>48</v>
      </c>
      <c r="G1220" s="18">
        <v>336</v>
      </c>
      <c r="H1220" s="30" t="s">
        <v>2294</v>
      </c>
      <c r="J1220" s="34"/>
    </row>
    <row r="1221" spans="1:10" x14ac:dyDescent="0.25">
      <c r="A1221" s="15">
        <v>41112</v>
      </c>
      <c r="B1221" s="16" t="s">
        <v>898</v>
      </c>
      <c r="C1221" t="s">
        <v>8</v>
      </c>
      <c r="D1221" t="s">
        <v>48</v>
      </c>
      <c r="E1221" s="17">
        <v>3</v>
      </c>
      <c r="F1221" s="17">
        <v>45.7</v>
      </c>
      <c r="G1221" s="18">
        <v>137.1</v>
      </c>
      <c r="H1221" s="30" t="s">
        <v>2294</v>
      </c>
      <c r="J1221" s="34"/>
    </row>
    <row r="1222" spans="1:10" x14ac:dyDescent="0.25">
      <c r="A1222" s="15">
        <v>41113</v>
      </c>
      <c r="B1222" s="16" t="s">
        <v>880</v>
      </c>
      <c r="C1222" t="s">
        <v>881</v>
      </c>
      <c r="D1222" t="s">
        <v>48</v>
      </c>
      <c r="E1222" s="17">
        <v>6.5</v>
      </c>
      <c r="F1222" s="17">
        <v>95</v>
      </c>
      <c r="G1222" s="18">
        <v>617.5</v>
      </c>
      <c r="H1222" s="30" t="s">
        <v>2294</v>
      </c>
      <c r="J1222" s="34"/>
    </row>
    <row r="1223" spans="1:10" x14ac:dyDescent="0.25">
      <c r="A1223" s="15">
        <v>41113</v>
      </c>
      <c r="B1223" s="16" t="s">
        <v>920</v>
      </c>
      <c r="C1223" t="s">
        <v>871</v>
      </c>
      <c r="D1223" t="s">
        <v>48</v>
      </c>
      <c r="E1223" s="17">
        <v>8</v>
      </c>
      <c r="F1223" s="17">
        <v>130</v>
      </c>
      <c r="G1223" s="18">
        <v>1040</v>
      </c>
      <c r="H1223" s="30" t="s">
        <v>2294</v>
      </c>
      <c r="J1223" s="34"/>
    </row>
    <row r="1224" spans="1:10" x14ac:dyDescent="0.25">
      <c r="A1224" s="15">
        <v>41113</v>
      </c>
      <c r="B1224" s="16" t="s">
        <v>865</v>
      </c>
      <c r="C1224" t="s">
        <v>8</v>
      </c>
      <c r="D1224" t="s">
        <v>48</v>
      </c>
      <c r="E1224" s="17">
        <v>9.5</v>
      </c>
      <c r="F1224" s="17">
        <v>35.35</v>
      </c>
      <c r="G1224" s="18">
        <v>335.82499999999999</v>
      </c>
      <c r="H1224" s="30" t="s">
        <v>2294</v>
      </c>
      <c r="J1224" s="34"/>
    </row>
    <row r="1225" spans="1:10" x14ac:dyDescent="0.25">
      <c r="A1225" s="15">
        <v>41113</v>
      </c>
      <c r="B1225" s="16" t="s">
        <v>878</v>
      </c>
      <c r="C1225" t="s">
        <v>879</v>
      </c>
      <c r="D1225" t="s">
        <v>48</v>
      </c>
      <c r="E1225" s="17">
        <v>9.5</v>
      </c>
      <c r="F1225" s="17">
        <v>110</v>
      </c>
      <c r="G1225" s="18">
        <v>1045</v>
      </c>
      <c r="H1225" s="30" t="s">
        <v>2294</v>
      </c>
      <c r="J1225" s="34"/>
    </row>
    <row r="1226" spans="1:10" x14ac:dyDescent="0.25">
      <c r="A1226" s="15">
        <v>41113</v>
      </c>
      <c r="B1226" s="16" t="s">
        <v>865</v>
      </c>
      <c r="C1226" t="s">
        <v>8</v>
      </c>
      <c r="D1226" t="s">
        <v>48</v>
      </c>
      <c r="E1226" s="17">
        <v>9.5</v>
      </c>
      <c r="F1226" s="17">
        <v>35.35</v>
      </c>
      <c r="G1226" s="18">
        <v>335.82499999999999</v>
      </c>
      <c r="H1226" s="30" t="s">
        <v>2294</v>
      </c>
      <c r="J1226" s="34"/>
    </row>
    <row r="1227" spans="1:10" x14ac:dyDescent="0.25">
      <c r="A1227" s="15">
        <v>41113</v>
      </c>
      <c r="B1227" s="16" t="s">
        <v>865</v>
      </c>
      <c r="C1227" t="s">
        <v>8</v>
      </c>
      <c r="D1227" t="s">
        <v>48</v>
      </c>
      <c r="E1227" s="17">
        <v>9.5</v>
      </c>
      <c r="F1227" s="17">
        <v>35.35</v>
      </c>
      <c r="G1227" s="18">
        <v>335.82499999999999</v>
      </c>
      <c r="H1227" s="30" t="s">
        <v>2294</v>
      </c>
      <c r="J1227" s="34"/>
    </row>
    <row r="1228" spans="1:10" x14ac:dyDescent="0.25">
      <c r="A1228" s="15">
        <v>41113</v>
      </c>
      <c r="B1228" s="16" t="s">
        <v>865</v>
      </c>
      <c r="C1228" t="s">
        <v>8</v>
      </c>
      <c r="D1228" t="s">
        <v>48</v>
      </c>
      <c r="E1228" s="17">
        <v>9.5</v>
      </c>
      <c r="F1228" s="17">
        <v>35.35</v>
      </c>
      <c r="G1228" s="18">
        <v>335.82499999999999</v>
      </c>
      <c r="H1228" s="30" t="s">
        <v>2294</v>
      </c>
      <c r="J1228" s="34"/>
    </row>
    <row r="1229" spans="1:10" x14ac:dyDescent="0.25">
      <c r="A1229" s="15">
        <v>41113</v>
      </c>
      <c r="B1229" s="16" t="s">
        <v>904</v>
      </c>
      <c r="C1229" t="s">
        <v>905</v>
      </c>
      <c r="D1229" t="s">
        <v>48</v>
      </c>
      <c r="E1229" s="17">
        <v>6.75</v>
      </c>
      <c r="F1229" s="17">
        <v>95</v>
      </c>
      <c r="G1229" s="18">
        <v>641.25</v>
      </c>
      <c r="H1229" s="30" t="s">
        <v>2294</v>
      </c>
      <c r="J1229" s="34"/>
    </row>
    <row r="1230" spans="1:10" x14ac:dyDescent="0.25">
      <c r="A1230" s="15">
        <v>41113</v>
      </c>
      <c r="B1230" s="16" t="s">
        <v>887</v>
      </c>
      <c r="C1230" t="s">
        <v>873</v>
      </c>
      <c r="D1230" t="s">
        <v>48</v>
      </c>
      <c r="E1230" s="17">
        <v>7.5</v>
      </c>
      <c r="F1230" s="17">
        <v>95</v>
      </c>
      <c r="G1230" s="18">
        <v>712.5</v>
      </c>
      <c r="H1230" s="30" t="s">
        <v>2294</v>
      </c>
      <c r="J1230" s="34"/>
    </row>
    <row r="1231" spans="1:10" x14ac:dyDescent="0.25">
      <c r="A1231" s="15">
        <v>41113</v>
      </c>
      <c r="B1231" s="16" t="s">
        <v>865</v>
      </c>
      <c r="C1231" t="s">
        <v>8</v>
      </c>
      <c r="D1231" t="s">
        <v>48</v>
      </c>
      <c r="E1231" s="17">
        <v>9.5</v>
      </c>
      <c r="F1231" s="17">
        <v>48</v>
      </c>
      <c r="G1231" s="18">
        <v>456</v>
      </c>
      <c r="H1231" s="30" t="s">
        <v>2294</v>
      </c>
      <c r="J1231" s="34"/>
    </row>
    <row r="1232" spans="1:10" x14ac:dyDescent="0.25">
      <c r="A1232" s="15">
        <v>41114</v>
      </c>
      <c r="B1232" s="16" t="s">
        <v>979</v>
      </c>
      <c r="C1232" t="s">
        <v>976</v>
      </c>
      <c r="D1232" t="s">
        <v>783</v>
      </c>
      <c r="E1232" s="17">
        <v>1</v>
      </c>
      <c r="F1232" s="17">
        <v>108.81</v>
      </c>
      <c r="G1232" s="18">
        <v>108.81</v>
      </c>
      <c r="H1232" s="30" t="s">
        <v>2294</v>
      </c>
      <c r="J1232" s="34"/>
    </row>
    <row r="1233" spans="1:10" x14ac:dyDescent="0.25">
      <c r="A1233" s="15">
        <v>41114</v>
      </c>
      <c r="B1233" s="16" t="s">
        <v>904</v>
      </c>
      <c r="C1233" t="s">
        <v>905</v>
      </c>
      <c r="D1233" t="s">
        <v>48</v>
      </c>
      <c r="E1233" s="17">
        <v>8.5</v>
      </c>
      <c r="F1233" s="17">
        <v>95</v>
      </c>
      <c r="G1233" s="18">
        <v>807.5</v>
      </c>
      <c r="H1233" s="30" t="s">
        <v>2294</v>
      </c>
      <c r="J1233" s="34"/>
    </row>
    <row r="1234" spans="1:10" x14ac:dyDescent="0.25">
      <c r="A1234" s="15">
        <v>41114</v>
      </c>
      <c r="B1234" s="16" t="s">
        <v>865</v>
      </c>
      <c r="C1234" t="s">
        <v>8</v>
      </c>
      <c r="D1234" t="s">
        <v>48</v>
      </c>
      <c r="E1234" s="17">
        <v>5</v>
      </c>
      <c r="F1234" s="17">
        <v>35.35</v>
      </c>
      <c r="G1234" s="18">
        <v>176.75</v>
      </c>
      <c r="H1234" s="30" t="s">
        <v>2294</v>
      </c>
      <c r="J1234" s="34"/>
    </row>
    <row r="1235" spans="1:10" x14ac:dyDescent="0.25">
      <c r="A1235" s="15">
        <v>41114</v>
      </c>
      <c r="B1235" s="16" t="s">
        <v>874</v>
      </c>
      <c r="C1235" t="s">
        <v>875</v>
      </c>
      <c r="D1235" t="s">
        <v>48</v>
      </c>
      <c r="E1235" s="17">
        <v>2.5</v>
      </c>
      <c r="F1235" s="17">
        <v>25.78</v>
      </c>
      <c r="G1235" s="18">
        <v>64.45</v>
      </c>
      <c r="H1235" s="30" t="s">
        <v>2294</v>
      </c>
      <c r="J1235" s="34"/>
    </row>
    <row r="1236" spans="1:10" x14ac:dyDescent="0.25">
      <c r="A1236" s="15">
        <v>41114</v>
      </c>
      <c r="B1236" s="16" t="s">
        <v>887</v>
      </c>
      <c r="C1236" t="s">
        <v>873</v>
      </c>
      <c r="D1236" t="s">
        <v>48</v>
      </c>
      <c r="E1236" s="17">
        <v>7</v>
      </c>
      <c r="F1236" s="17">
        <v>95</v>
      </c>
      <c r="G1236" s="18">
        <v>665</v>
      </c>
      <c r="H1236" s="30" t="s">
        <v>2294</v>
      </c>
      <c r="J1236" s="34"/>
    </row>
    <row r="1237" spans="1:10" x14ac:dyDescent="0.25">
      <c r="A1237" s="15">
        <v>41114</v>
      </c>
      <c r="B1237" s="16" t="s">
        <v>878</v>
      </c>
      <c r="C1237" t="s">
        <v>879</v>
      </c>
      <c r="D1237" t="s">
        <v>48</v>
      </c>
      <c r="E1237" s="17">
        <v>9.5</v>
      </c>
      <c r="F1237" s="17">
        <v>110</v>
      </c>
      <c r="G1237" s="18">
        <v>1045</v>
      </c>
      <c r="H1237" s="30" t="s">
        <v>2294</v>
      </c>
      <c r="J1237" s="34"/>
    </row>
    <row r="1238" spans="1:10" x14ac:dyDescent="0.25">
      <c r="A1238" s="15">
        <v>41114</v>
      </c>
      <c r="B1238" s="16" t="s">
        <v>865</v>
      </c>
      <c r="C1238" t="s">
        <v>8</v>
      </c>
      <c r="D1238" t="s">
        <v>48</v>
      </c>
      <c r="E1238" s="17">
        <v>9.5</v>
      </c>
      <c r="F1238" s="17">
        <v>35.35</v>
      </c>
      <c r="G1238" s="18">
        <v>335.82499999999999</v>
      </c>
      <c r="H1238" s="30" t="s">
        <v>2294</v>
      </c>
      <c r="J1238" s="34"/>
    </row>
    <row r="1239" spans="1:10" x14ac:dyDescent="0.25">
      <c r="A1239" s="15">
        <v>41114</v>
      </c>
      <c r="B1239" s="16" t="s">
        <v>880</v>
      </c>
      <c r="C1239" t="s">
        <v>881</v>
      </c>
      <c r="D1239" t="s">
        <v>48</v>
      </c>
      <c r="E1239" s="17">
        <v>8.5</v>
      </c>
      <c r="F1239" s="17">
        <v>95</v>
      </c>
      <c r="G1239" s="18">
        <v>807.5</v>
      </c>
      <c r="H1239" s="30" t="s">
        <v>2294</v>
      </c>
      <c r="J1239" s="34"/>
    </row>
    <row r="1240" spans="1:10" x14ac:dyDescent="0.25">
      <c r="A1240" s="15">
        <v>41114</v>
      </c>
      <c r="B1240" s="16" t="s">
        <v>865</v>
      </c>
      <c r="C1240" t="s">
        <v>8</v>
      </c>
      <c r="D1240" t="s">
        <v>48</v>
      </c>
      <c r="E1240" s="17">
        <v>9.5</v>
      </c>
      <c r="F1240" s="17">
        <v>35.35</v>
      </c>
      <c r="G1240" s="18">
        <v>335.82499999999999</v>
      </c>
      <c r="H1240" s="30" t="s">
        <v>2294</v>
      </c>
      <c r="J1240" s="34"/>
    </row>
    <row r="1241" spans="1:10" x14ac:dyDescent="0.25">
      <c r="A1241" s="15">
        <v>41114</v>
      </c>
      <c r="B1241" s="16" t="s">
        <v>920</v>
      </c>
      <c r="C1241" t="s">
        <v>871</v>
      </c>
      <c r="D1241" t="s">
        <v>48</v>
      </c>
      <c r="E1241" s="17">
        <v>9</v>
      </c>
      <c r="F1241" s="17">
        <v>130</v>
      </c>
      <c r="G1241" s="18">
        <v>1170</v>
      </c>
      <c r="H1241" s="30" t="s">
        <v>2294</v>
      </c>
      <c r="J1241" s="34"/>
    </row>
    <row r="1242" spans="1:10" x14ac:dyDescent="0.25">
      <c r="A1242" s="15">
        <v>41114</v>
      </c>
      <c r="B1242" s="16" t="s">
        <v>880</v>
      </c>
      <c r="C1242" t="s">
        <v>881</v>
      </c>
      <c r="D1242" t="s">
        <v>48</v>
      </c>
      <c r="E1242" s="17">
        <v>4</v>
      </c>
      <c r="F1242" s="17">
        <v>95</v>
      </c>
      <c r="G1242" s="18">
        <v>380</v>
      </c>
      <c r="H1242" s="30" t="s">
        <v>2294</v>
      </c>
      <c r="J1242" s="34"/>
    </row>
    <row r="1243" spans="1:10" x14ac:dyDescent="0.25">
      <c r="A1243" s="15">
        <v>41115</v>
      </c>
      <c r="B1243" s="16" t="s">
        <v>920</v>
      </c>
      <c r="C1243" t="s">
        <v>871</v>
      </c>
      <c r="D1243" t="s">
        <v>48</v>
      </c>
      <c r="E1243" s="17">
        <v>10</v>
      </c>
      <c r="F1243" s="17">
        <v>130</v>
      </c>
      <c r="G1243" s="18">
        <v>1300</v>
      </c>
      <c r="H1243" s="30" t="s">
        <v>2294</v>
      </c>
      <c r="J1243" s="34"/>
    </row>
    <row r="1244" spans="1:10" x14ac:dyDescent="0.25">
      <c r="A1244" s="15">
        <v>41115</v>
      </c>
      <c r="B1244" s="16" t="s">
        <v>865</v>
      </c>
      <c r="C1244" t="s">
        <v>8</v>
      </c>
      <c r="D1244" t="s">
        <v>48</v>
      </c>
      <c r="E1244" s="17">
        <v>10</v>
      </c>
      <c r="F1244" s="17">
        <v>35.35</v>
      </c>
      <c r="G1244" s="18">
        <v>353.5</v>
      </c>
      <c r="H1244" s="30" t="s">
        <v>2294</v>
      </c>
      <c r="J1244" s="34"/>
    </row>
    <row r="1245" spans="1:10" x14ac:dyDescent="0.25">
      <c r="A1245" s="15">
        <v>41115</v>
      </c>
      <c r="B1245" s="16" t="s">
        <v>880</v>
      </c>
      <c r="C1245" t="s">
        <v>881</v>
      </c>
      <c r="D1245" t="s">
        <v>48</v>
      </c>
      <c r="E1245" s="17">
        <v>9.5</v>
      </c>
      <c r="F1245" s="17">
        <v>95</v>
      </c>
      <c r="G1245" s="18">
        <v>902.5</v>
      </c>
      <c r="H1245" s="30" t="s">
        <v>2294</v>
      </c>
      <c r="J1245" s="34"/>
    </row>
    <row r="1246" spans="1:10" x14ac:dyDescent="0.25">
      <c r="A1246" s="15">
        <v>41115</v>
      </c>
      <c r="B1246" s="16" t="s">
        <v>904</v>
      </c>
      <c r="C1246" t="s">
        <v>905</v>
      </c>
      <c r="D1246" t="s">
        <v>48</v>
      </c>
      <c r="E1246" s="17">
        <v>9.5</v>
      </c>
      <c r="F1246" s="17">
        <v>95</v>
      </c>
      <c r="G1246" s="18">
        <v>902.5</v>
      </c>
      <c r="H1246" s="30" t="s">
        <v>2294</v>
      </c>
      <c r="J1246" s="34"/>
    </row>
    <row r="1247" spans="1:10" x14ac:dyDescent="0.25">
      <c r="A1247" s="15">
        <v>41115</v>
      </c>
      <c r="B1247" s="16" t="s">
        <v>887</v>
      </c>
      <c r="C1247" t="s">
        <v>873</v>
      </c>
      <c r="D1247" t="s">
        <v>48</v>
      </c>
      <c r="E1247" s="17">
        <v>6.5</v>
      </c>
      <c r="F1247" s="17">
        <v>95</v>
      </c>
      <c r="G1247" s="18">
        <v>617.5</v>
      </c>
      <c r="H1247" s="30" t="s">
        <v>2294</v>
      </c>
      <c r="J1247" s="34"/>
    </row>
    <row r="1248" spans="1:10" x14ac:dyDescent="0.25">
      <c r="A1248" s="15">
        <v>41115</v>
      </c>
      <c r="B1248" s="16" t="s">
        <v>878</v>
      </c>
      <c r="C1248" t="s">
        <v>879</v>
      </c>
      <c r="D1248" t="s">
        <v>48</v>
      </c>
      <c r="E1248" s="17">
        <v>9.75</v>
      </c>
      <c r="F1248" s="17">
        <v>110</v>
      </c>
      <c r="G1248" s="18">
        <v>1072.5</v>
      </c>
      <c r="H1248" s="30" t="s">
        <v>2294</v>
      </c>
      <c r="J1248" s="34"/>
    </row>
    <row r="1249" spans="1:10" x14ac:dyDescent="0.25">
      <c r="A1249" s="15">
        <v>41115</v>
      </c>
      <c r="B1249" s="16" t="s">
        <v>865</v>
      </c>
      <c r="C1249" t="s">
        <v>8</v>
      </c>
      <c r="D1249" t="s">
        <v>48</v>
      </c>
      <c r="E1249" s="17">
        <v>10</v>
      </c>
      <c r="F1249" s="17">
        <v>35.35</v>
      </c>
      <c r="G1249" s="18">
        <v>353.5</v>
      </c>
      <c r="H1249" s="30" t="s">
        <v>2294</v>
      </c>
      <c r="J1249" s="34"/>
    </row>
    <row r="1250" spans="1:10" x14ac:dyDescent="0.25">
      <c r="A1250" s="15">
        <v>41115</v>
      </c>
      <c r="B1250" s="16" t="s">
        <v>865</v>
      </c>
      <c r="C1250" t="s">
        <v>8</v>
      </c>
      <c r="D1250" t="s">
        <v>48</v>
      </c>
      <c r="E1250" s="17">
        <v>10</v>
      </c>
      <c r="F1250" s="17">
        <v>35.35</v>
      </c>
      <c r="G1250" s="18">
        <v>353.5</v>
      </c>
      <c r="H1250" s="30" t="s">
        <v>2294</v>
      </c>
      <c r="J1250" s="34"/>
    </row>
    <row r="1251" spans="1:10" x14ac:dyDescent="0.25">
      <c r="A1251" s="15">
        <v>41115</v>
      </c>
      <c r="B1251" s="16" t="s">
        <v>980</v>
      </c>
      <c r="C1251" t="s">
        <v>976</v>
      </c>
      <c r="D1251" t="s">
        <v>783</v>
      </c>
      <c r="E1251" s="17">
        <v>1</v>
      </c>
      <c r="F1251" s="17">
        <v>734.54</v>
      </c>
      <c r="G1251" s="18">
        <v>734.54</v>
      </c>
      <c r="H1251" s="30" t="s">
        <v>2294</v>
      </c>
      <c r="J1251" s="34"/>
    </row>
    <row r="1252" spans="1:10" x14ac:dyDescent="0.25">
      <c r="A1252" s="15">
        <v>41116</v>
      </c>
      <c r="B1252" s="16" t="s">
        <v>878</v>
      </c>
      <c r="C1252" t="s">
        <v>879</v>
      </c>
      <c r="D1252" t="s">
        <v>48</v>
      </c>
      <c r="E1252" s="17">
        <v>9.5</v>
      </c>
      <c r="F1252" s="17">
        <v>110</v>
      </c>
      <c r="G1252" s="18">
        <v>1045</v>
      </c>
      <c r="H1252" s="30" t="s">
        <v>2294</v>
      </c>
      <c r="J1252" s="34"/>
    </row>
    <row r="1253" spans="1:10" x14ac:dyDescent="0.25">
      <c r="A1253" s="15">
        <v>41116</v>
      </c>
      <c r="B1253" s="16" t="s">
        <v>920</v>
      </c>
      <c r="C1253" t="s">
        <v>871</v>
      </c>
      <c r="D1253" t="s">
        <v>48</v>
      </c>
      <c r="E1253" s="17">
        <v>9.5</v>
      </c>
      <c r="F1253" s="17">
        <v>130</v>
      </c>
      <c r="G1253" s="18">
        <v>1235</v>
      </c>
      <c r="H1253" s="30" t="s">
        <v>2294</v>
      </c>
      <c r="J1253" s="34"/>
    </row>
    <row r="1254" spans="1:10" x14ac:dyDescent="0.25">
      <c r="A1254" s="15">
        <v>41116</v>
      </c>
      <c r="B1254" s="16" t="s">
        <v>880</v>
      </c>
      <c r="C1254" t="s">
        <v>881</v>
      </c>
      <c r="D1254" t="s">
        <v>48</v>
      </c>
      <c r="E1254" s="17">
        <v>4</v>
      </c>
      <c r="F1254" s="17">
        <v>95</v>
      </c>
      <c r="G1254" s="18">
        <v>380</v>
      </c>
      <c r="H1254" s="30" t="s">
        <v>2294</v>
      </c>
      <c r="J1254" s="34"/>
    </row>
    <row r="1255" spans="1:10" x14ac:dyDescent="0.25">
      <c r="A1255" s="15">
        <v>41116</v>
      </c>
      <c r="B1255" s="16" t="s">
        <v>904</v>
      </c>
      <c r="C1255" t="s">
        <v>905</v>
      </c>
      <c r="D1255" t="s">
        <v>48</v>
      </c>
      <c r="E1255" s="17">
        <v>8.5</v>
      </c>
      <c r="F1255" s="17">
        <v>95</v>
      </c>
      <c r="G1255" s="18">
        <v>807.5</v>
      </c>
      <c r="H1255" s="30" t="s">
        <v>2294</v>
      </c>
      <c r="J1255" s="34"/>
    </row>
    <row r="1256" spans="1:10" x14ac:dyDescent="0.25">
      <c r="A1256" s="15">
        <v>41116</v>
      </c>
      <c r="B1256" s="16" t="s">
        <v>896</v>
      </c>
      <c r="C1256" t="s">
        <v>8</v>
      </c>
      <c r="D1256" t="s">
        <v>48</v>
      </c>
      <c r="E1256" s="17">
        <v>2</v>
      </c>
      <c r="F1256" s="17">
        <v>34.81</v>
      </c>
      <c r="G1256" s="18">
        <v>69.62</v>
      </c>
      <c r="H1256" s="30" t="s">
        <v>2294</v>
      </c>
      <c r="J1256" s="34"/>
    </row>
    <row r="1257" spans="1:10" x14ac:dyDescent="0.25">
      <c r="A1257" s="15">
        <v>41116</v>
      </c>
      <c r="B1257" s="16" t="s">
        <v>865</v>
      </c>
      <c r="C1257" t="s">
        <v>8</v>
      </c>
      <c r="D1257" t="s">
        <v>48</v>
      </c>
      <c r="E1257" s="17">
        <v>2</v>
      </c>
      <c r="F1257" s="17">
        <v>35.35</v>
      </c>
      <c r="G1257" s="18">
        <v>70.7</v>
      </c>
      <c r="H1257" s="30" t="s">
        <v>2294</v>
      </c>
      <c r="J1257" s="34"/>
    </row>
    <row r="1258" spans="1:10" x14ac:dyDescent="0.25">
      <c r="A1258" s="15">
        <v>41116</v>
      </c>
      <c r="B1258" s="16" t="s">
        <v>865</v>
      </c>
      <c r="C1258" t="s">
        <v>8</v>
      </c>
      <c r="D1258" t="s">
        <v>48</v>
      </c>
      <c r="E1258" s="17">
        <v>9.5</v>
      </c>
      <c r="F1258" s="17">
        <v>35.35</v>
      </c>
      <c r="G1258" s="18">
        <v>335.82499999999999</v>
      </c>
      <c r="H1258" s="30" t="s">
        <v>2294</v>
      </c>
      <c r="J1258" s="34"/>
    </row>
    <row r="1259" spans="1:10" x14ac:dyDescent="0.25">
      <c r="A1259" s="15">
        <v>41116</v>
      </c>
      <c r="B1259" s="16" t="s">
        <v>865</v>
      </c>
      <c r="C1259" t="s">
        <v>8</v>
      </c>
      <c r="D1259" t="s">
        <v>48</v>
      </c>
      <c r="E1259" s="17">
        <v>9.5</v>
      </c>
      <c r="F1259" s="17">
        <v>35.35</v>
      </c>
      <c r="G1259" s="18">
        <v>335.82499999999999</v>
      </c>
      <c r="H1259" s="30" t="s">
        <v>2294</v>
      </c>
      <c r="J1259" s="34"/>
    </row>
    <row r="1260" spans="1:10" x14ac:dyDescent="0.25">
      <c r="A1260" s="15">
        <v>41116</v>
      </c>
      <c r="B1260" s="16" t="s">
        <v>880</v>
      </c>
      <c r="C1260" t="s">
        <v>881</v>
      </c>
      <c r="D1260" t="s">
        <v>48</v>
      </c>
      <c r="E1260" s="17">
        <v>9.5</v>
      </c>
      <c r="F1260" s="17">
        <v>95</v>
      </c>
      <c r="G1260" s="18">
        <v>902.5</v>
      </c>
      <c r="H1260" s="30" t="s">
        <v>2294</v>
      </c>
      <c r="J1260" s="34"/>
    </row>
    <row r="1261" spans="1:10" x14ac:dyDescent="0.25">
      <c r="A1261" s="15">
        <v>41116</v>
      </c>
      <c r="B1261" s="16" t="s">
        <v>943</v>
      </c>
      <c r="C1261" t="s">
        <v>944</v>
      </c>
      <c r="D1261" t="s">
        <v>48</v>
      </c>
      <c r="E1261" s="17">
        <v>9.5</v>
      </c>
      <c r="F1261" s="17">
        <v>95</v>
      </c>
      <c r="G1261" s="18">
        <v>902.5</v>
      </c>
      <c r="H1261" s="30" t="s">
        <v>2294</v>
      </c>
      <c r="J1261" s="34"/>
    </row>
    <row r="1262" spans="1:10" x14ac:dyDescent="0.25">
      <c r="A1262" s="15">
        <v>41117</v>
      </c>
      <c r="B1262" s="16" t="s">
        <v>865</v>
      </c>
      <c r="C1262" t="s">
        <v>8</v>
      </c>
      <c r="D1262" t="s">
        <v>48</v>
      </c>
      <c r="E1262" s="17">
        <v>9.5</v>
      </c>
      <c r="F1262" s="17">
        <v>35.35</v>
      </c>
      <c r="G1262" s="18">
        <v>335.82499999999999</v>
      </c>
      <c r="H1262" s="30" t="s">
        <v>2294</v>
      </c>
      <c r="J1262" s="34"/>
    </row>
    <row r="1263" spans="1:10" x14ac:dyDescent="0.25">
      <c r="A1263" s="15">
        <v>41117</v>
      </c>
      <c r="B1263" s="16" t="s">
        <v>880</v>
      </c>
      <c r="C1263" t="s">
        <v>881</v>
      </c>
      <c r="D1263" t="s">
        <v>48</v>
      </c>
      <c r="E1263" s="17">
        <v>6</v>
      </c>
      <c r="F1263" s="17">
        <v>95</v>
      </c>
      <c r="G1263" s="18">
        <v>570</v>
      </c>
      <c r="H1263" s="30" t="s">
        <v>2294</v>
      </c>
      <c r="J1263" s="34"/>
    </row>
    <row r="1264" spans="1:10" x14ac:dyDescent="0.25">
      <c r="A1264" s="15">
        <v>41117</v>
      </c>
      <c r="B1264" s="16" t="s">
        <v>865</v>
      </c>
      <c r="C1264" t="s">
        <v>8</v>
      </c>
      <c r="D1264" t="s">
        <v>48</v>
      </c>
      <c r="E1264" s="17">
        <v>6.5</v>
      </c>
      <c r="F1264" s="17">
        <v>35.35</v>
      </c>
      <c r="G1264" s="18">
        <v>229.77500000000001</v>
      </c>
      <c r="H1264" s="30" t="s">
        <v>2294</v>
      </c>
      <c r="J1264" s="34"/>
    </row>
    <row r="1265" spans="1:10" x14ac:dyDescent="0.25">
      <c r="A1265" s="15">
        <v>41117</v>
      </c>
      <c r="B1265" s="16" t="s">
        <v>887</v>
      </c>
      <c r="C1265" t="s">
        <v>873</v>
      </c>
      <c r="D1265" t="s">
        <v>48</v>
      </c>
      <c r="E1265" s="17">
        <v>5</v>
      </c>
      <c r="F1265" s="17">
        <v>95</v>
      </c>
      <c r="G1265" s="18">
        <v>475</v>
      </c>
      <c r="H1265" s="30" t="s">
        <v>2294</v>
      </c>
      <c r="J1265" s="34"/>
    </row>
    <row r="1266" spans="1:10" x14ac:dyDescent="0.25">
      <c r="A1266" s="15">
        <v>41117</v>
      </c>
      <c r="B1266" s="16" t="s">
        <v>981</v>
      </c>
      <c r="C1266" t="s">
        <v>976</v>
      </c>
      <c r="D1266" t="s">
        <v>783</v>
      </c>
      <c r="E1266" s="17">
        <v>1</v>
      </c>
      <c r="F1266" s="17">
        <v>525</v>
      </c>
      <c r="G1266" s="18">
        <v>525</v>
      </c>
      <c r="H1266" s="30" t="s">
        <v>2294</v>
      </c>
      <c r="J1266" s="34"/>
    </row>
    <row r="1267" spans="1:10" x14ac:dyDescent="0.25">
      <c r="A1267" s="15">
        <v>41117</v>
      </c>
      <c r="B1267" s="16" t="s">
        <v>865</v>
      </c>
      <c r="C1267" t="s">
        <v>8</v>
      </c>
      <c r="D1267" t="s">
        <v>48</v>
      </c>
      <c r="E1267" s="17">
        <v>9.5</v>
      </c>
      <c r="F1267" s="17">
        <v>35.35</v>
      </c>
      <c r="G1267" s="18">
        <v>335.82499999999999</v>
      </c>
      <c r="H1267" s="30" t="s">
        <v>2294</v>
      </c>
      <c r="J1267" s="34"/>
    </row>
    <row r="1268" spans="1:10" x14ac:dyDescent="0.25">
      <c r="A1268" s="15">
        <v>41117</v>
      </c>
      <c r="B1268" s="16" t="s">
        <v>880</v>
      </c>
      <c r="C1268" t="s">
        <v>881</v>
      </c>
      <c r="D1268" t="s">
        <v>48</v>
      </c>
      <c r="E1268" s="17">
        <v>4</v>
      </c>
      <c r="F1268" s="17">
        <v>95</v>
      </c>
      <c r="G1268" s="18">
        <v>380</v>
      </c>
      <c r="H1268" s="30" t="s">
        <v>2294</v>
      </c>
      <c r="J1268" s="34"/>
    </row>
    <row r="1269" spans="1:10" x14ac:dyDescent="0.25">
      <c r="A1269" s="15">
        <v>41117</v>
      </c>
      <c r="B1269" s="16" t="s">
        <v>878</v>
      </c>
      <c r="C1269" t="s">
        <v>879</v>
      </c>
      <c r="D1269" t="s">
        <v>48</v>
      </c>
      <c r="E1269" s="17">
        <v>5</v>
      </c>
      <c r="F1269" s="17">
        <v>110</v>
      </c>
      <c r="G1269" s="18">
        <v>550</v>
      </c>
      <c r="H1269" s="30" t="s">
        <v>2294</v>
      </c>
      <c r="J1269" s="34"/>
    </row>
    <row r="1270" spans="1:10" x14ac:dyDescent="0.25">
      <c r="A1270" s="15">
        <v>41117</v>
      </c>
      <c r="B1270" s="16" t="s">
        <v>920</v>
      </c>
      <c r="C1270" t="s">
        <v>871</v>
      </c>
      <c r="D1270" t="s">
        <v>48</v>
      </c>
      <c r="E1270" s="17">
        <v>7</v>
      </c>
      <c r="F1270" s="17">
        <v>130</v>
      </c>
      <c r="G1270" s="18">
        <v>910</v>
      </c>
      <c r="H1270" s="30" t="s">
        <v>2294</v>
      </c>
      <c r="J1270" s="34"/>
    </row>
    <row r="1271" spans="1:10" x14ac:dyDescent="0.25">
      <c r="A1271" s="15">
        <v>41117</v>
      </c>
      <c r="B1271" s="16" t="s">
        <v>904</v>
      </c>
      <c r="C1271" t="s">
        <v>905</v>
      </c>
      <c r="D1271" t="s">
        <v>48</v>
      </c>
      <c r="E1271" s="17">
        <v>7</v>
      </c>
      <c r="F1271" s="17">
        <v>95</v>
      </c>
      <c r="G1271" s="18">
        <v>665</v>
      </c>
      <c r="H1271" s="30" t="s">
        <v>2294</v>
      </c>
      <c r="J1271" s="34"/>
    </row>
    <row r="1272" spans="1:10" x14ac:dyDescent="0.25">
      <c r="A1272" s="15">
        <v>41121</v>
      </c>
      <c r="B1272" s="16" t="s">
        <v>878</v>
      </c>
      <c r="C1272" t="s">
        <v>879</v>
      </c>
      <c r="D1272" t="s">
        <v>48</v>
      </c>
      <c r="E1272" s="17">
        <v>4</v>
      </c>
      <c r="F1272" s="17">
        <v>110</v>
      </c>
      <c r="G1272" s="18">
        <v>440</v>
      </c>
      <c r="H1272" s="30" t="s">
        <v>2294</v>
      </c>
      <c r="J1272" s="34"/>
    </row>
    <row r="1273" spans="1:10" x14ac:dyDescent="0.25">
      <c r="A1273" s="15">
        <v>41121</v>
      </c>
      <c r="B1273" s="16" t="s">
        <v>920</v>
      </c>
      <c r="C1273" t="s">
        <v>871</v>
      </c>
      <c r="D1273" t="s">
        <v>48</v>
      </c>
      <c r="E1273" s="17">
        <v>5</v>
      </c>
      <c r="F1273" s="17">
        <v>130</v>
      </c>
      <c r="G1273" s="18">
        <v>650</v>
      </c>
      <c r="H1273" s="30" t="s">
        <v>2294</v>
      </c>
      <c r="J1273" s="34"/>
    </row>
    <row r="1274" spans="1:10" x14ac:dyDescent="0.25">
      <c r="A1274" s="15">
        <v>41121</v>
      </c>
      <c r="B1274" s="16" t="s">
        <v>943</v>
      </c>
      <c r="C1274" t="s">
        <v>944</v>
      </c>
      <c r="D1274" t="s">
        <v>48</v>
      </c>
      <c r="E1274" s="17">
        <v>2</v>
      </c>
      <c r="F1274" s="17">
        <v>95</v>
      </c>
      <c r="G1274" s="18">
        <v>190</v>
      </c>
      <c r="H1274" s="30" t="s">
        <v>2294</v>
      </c>
      <c r="J1274" s="34"/>
    </row>
    <row r="1275" spans="1:10" x14ac:dyDescent="0.25">
      <c r="A1275" s="15">
        <v>41121</v>
      </c>
      <c r="B1275" s="16" t="s">
        <v>880</v>
      </c>
      <c r="C1275" t="s">
        <v>881</v>
      </c>
      <c r="D1275" t="s">
        <v>48</v>
      </c>
      <c r="E1275" s="17">
        <v>4.5</v>
      </c>
      <c r="F1275" s="17">
        <v>95</v>
      </c>
      <c r="G1275" s="18">
        <v>427.5</v>
      </c>
      <c r="H1275" s="30" t="s">
        <v>2294</v>
      </c>
      <c r="J1275" s="34"/>
    </row>
    <row r="1276" spans="1:10" x14ac:dyDescent="0.25">
      <c r="A1276" s="15">
        <v>41121</v>
      </c>
      <c r="B1276" s="16" t="s">
        <v>880</v>
      </c>
      <c r="C1276" t="s">
        <v>881</v>
      </c>
      <c r="D1276" t="s">
        <v>48</v>
      </c>
      <c r="E1276" s="17">
        <v>2</v>
      </c>
      <c r="F1276" s="17">
        <v>95</v>
      </c>
      <c r="G1276" s="18">
        <v>190</v>
      </c>
      <c r="H1276" s="30" t="s">
        <v>2294</v>
      </c>
      <c r="J1276" s="34"/>
    </row>
    <row r="1277" spans="1:10" x14ac:dyDescent="0.25">
      <c r="A1277" s="15">
        <v>41121</v>
      </c>
      <c r="B1277" s="16" t="s">
        <v>982</v>
      </c>
      <c r="C1277" t="s">
        <v>957</v>
      </c>
      <c r="D1277" t="s">
        <v>783</v>
      </c>
      <c r="E1277" s="17">
        <v>9</v>
      </c>
      <c r="F1277" s="17">
        <v>247</v>
      </c>
      <c r="G1277" s="18">
        <v>2223</v>
      </c>
      <c r="H1277" s="30" t="s">
        <v>2294</v>
      </c>
      <c r="J1277" s="34"/>
    </row>
    <row r="1278" spans="1:10" ht="30" x14ac:dyDescent="0.25">
      <c r="A1278" s="15">
        <v>41121</v>
      </c>
      <c r="B1278" s="16" t="s">
        <v>983</v>
      </c>
      <c r="C1278" t="s">
        <v>974</v>
      </c>
      <c r="D1278" t="s">
        <v>783</v>
      </c>
      <c r="E1278" s="17">
        <v>6</v>
      </c>
      <c r="F1278" s="17">
        <v>325</v>
      </c>
      <c r="G1278" s="18">
        <v>1950</v>
      </c>
      <c r="H1278" s="30" t="s">
        <v>2294</v>
      </c>
      <c r="J1278" s="34"/>
    </row>
    <row r="1279" spans="1:10" x14ac:dyDescent="0.25">
      <c r="A1279" s="15">
        <v>41121</v>
      </c>
      <c r="B1279" s="16" t="s">
        <v>865</v>
      </c>
      <c r="C1279" t="s">
        <v>8</v>
      </c>
      <c r="D1279" t="s">
        <v>48</v>
      </c>
      <c r="E1279" s="17">
        <v>1.5</v>
      </c>
      <c r="F1279" s="17">
        <v>35.35</v>
      </c>
      <c r="G1279" s="18">
        <v>53.024999999999999</v>
      </c>
      <c r="H1279" s="30" t="s">
        <v>2294</v>
      </c>
      <c r="J1279" s="34"/>
    </row>
    <row r="1280" spans="1:10" x14ac:dyDescent="0.25">
      <c r="A1280" s="15">
        <v>41121</v>
      </c>
      <c r="B1280" s="16" t="s">
        <v>904</v>
      </c>
      <c r="C1280" t="s">
        <v>905</v>
      </c>
      <c r="D1280" t="s">
        <v>48</v>
      </c>
      <c r="E1280" s="17">
        <v>2</v>
      </c>
      <c r="F1280" s="17">
        <v>95</v>
      </c>
      <c r="G1280" s="18">
        <v>190</v>
      </c>
      <c r="H1280" s="30" t="s">
        <v>2294</v>
      </c>
      <c r="J1280" s="34"/>
    </row>
    <row r="1281" spans="1:10" x14ac:dyDescent="0.25">
      <c r="A1281" s="15">
        <v>41122</v>
      </c>
      <c r="B1281" s="16" t="s">
        <v>969</v>
      </c>
      <c r="C1281" t="s">
        <v>934</v>
      </c>
      <c r="D1281" t="s">
        <v>48</v>
      </c>
      <c r="E1281" s="17">
        <v>3</v>
      </c>
      <c r="F1281" s="17">
        <v>100</v>
      </c>
      <c r="G1281" s="18">
        <v>300</v>
      </c>
      <c r="H1281" s="30" t="s">
        <v>2294</v>
      </c>
      <c r="J1281" s="34"/>
    </row>
    <row r="1282" spans="1:10" x14ac:dyDescent="0.25">
      <c r="A1282" s="15">
        <v>41122</v>
      </c>
      <c r="B1282" s="16" t="s">
        <v>943</v>
      </c>
      <c r="C1282" t="s">
        <v>944</v>
      </c>
      <c r="D1282" t="s">
        <v>48</v>
      </c>
      <c r="E1282" s="17">
        <v>3.5</v>
      </c>
      <c r="F1282" s="17">
        <v>95</v>
      </c>
      <c r="G1282" s="18">
        <v>332.5</v>
      </c>
      <c r="H1282" s="30" t="s">
        <v>2294</v>
      </c>
      <c r="J1282" s="34"/>
    </row>
    <row r="1283" spans="1:10" x14ac:dyDescent="0.25">
      <c r="A1283" s="15">
        <v>41122</v>
      </c>
      <c r="B1283" s="16" t="s">
        <v>945</v>
      </c>
      <c r="C1283" t="s">
        <v>946</v>
      </c>
      <c r="D1283" t="s">
        <v>48</v>
      </c>
      <c r="E1283" s="17">
        <v>4.5</v>
      </c>
      <c r="F1283" s="17">
        <v>90</v>
      </c>
      <c r="G1283" s="18">
        <v>405</v>
      </c>
      <c r="H1283" s="30" t="s">
        <v>2294</v>
      </c>
      <c r="J1283" s="34"/>
    </row>
    <row r="1284" spans="1:10" x14ac:dyDescent="0.25">
      <c r="A1284" s="15">
        <v>41122</v>
      </c>
      <c r="B1284" s="16" t="s">
        <v>880</v>
      </c>
      <c r="C1284" t="s">
        <v>881</v>
      </c>
      <c r="D1284" t="s">
        <v>48</v>
      </c>
      <c r="E1284" s="17">
        <v>8.5</v>
      </c>
      <c r="F1284" s="17">
        <v>95</v>
      </c>
      <c r="G1284" s="18">
        <v>807.5</v>
      </c>
      <c r="H1284" s="30" t="s">
        <v>2294</v>
      </c>
      <c r="J1284" s="34"/>
    </row>
    <row r="1285" spans="1:10" x14ac:dyDescent="0.25">
      <c r="A1285" s="15">
        <v>41122</v>
      </c>
      <c r="B1285" s="16" t="s">
        <v>865</v>
      </c>
      <c r="C1285" t="s">
        <v>8</v>
      </c>
      <c r="D1285" t="s">
        <v>48</v>
      </c>
      <c r="E1285" s="17">
        <v>9.5</v>
      </c>
      <c r="F1285" s="17">
        <v>35.35</v>
      </c>
      <c r="G1285" s="18">
        <v>335.82499999999999</v>
      </c>
      <c r="H1285" s="30" t="s">
        <v>2294</v>
      </c>
      <c r="J1285" s="34"/>
    </row>
    <row r="1286" spans="1:10" x14ac:dyDescent="0.25">
      <c r="A1286" s="15">
        <v>41122</v>
      </c>
      <c r="B1286" s="16" t="s">
        <v>880</v>
      </c>
      <c r="C1286" t="s">
        <v>881</v>
      </c>
      <c r="D1286" t="s">
        <v>48</v>
      </c>
      <c r="E1286" s="17">
        <v>3.5</v>
      </c>
      <c r="F1286" s="17">
        <v>95</v>
      </c>
      <c r="G1286" s="18">
        <v>332.5</v>
      </c>
      <c r="H1286" s="30" t="s">
        <v>2294</v>
      </c>
      <c r="J1286" s="34"/>
    </row>
    <row r="1287" spans="1:10" x14ac:dyDescent="0.25">
      <c r="A1287" s="15">
        <v>41122</v>
      </c>
      <c r="B1287" s="16" t="s">
        <v>920</v>
      </c>
      <c r="C1287" t="s">
        <v>871</v>
      </c>
      <c r="D1287" t="s">
        <v>48</v>
      </c>
      <c r="E1287" s="17">
        <v>4.5</v>
      </c>
      <c r="F1287" s="17">
        <v>130</v>
      </c>
      <c r="G1287" s="18">
        <v>585</v>
      </c>
      <c r="H1287" s="30" t="s">
        <v>2294</v>
      </c>
      <c r="J1287" s="34"/>
    </row>
    <row r="1288" spans="1:10" x14ac:dyDescent="0.25">
      <c r="A1288" s="15">
        <v>41122</v>
      </c>
      <c r="B1288" s="16" t="s">
        <v>865</v>
      </c>
      <c r="C1288" t="s">
        <v>8</v>
      </c>
      <c r="D1288" t="s">
        <v>48</v>
      </c>
      <c r="E1288" s="17">
        <v>8</v>
      </c>
      <c r="F1288" s="17">
        <v>35.35</v>
      </c>
      <c r="G1288" s="18">
        <v>282.8</v>
      </c>
      <c r="H1288" s="30" t="s">
        <v>2294</v>
      </c>
      <c r="J1288" s="34"/>
    </row>
    <row r="1289" spans="1:10" x14ac:dyDescent="0.25">
      <c r="A1289" s="15">
        <v>41122</v>
      </c>
      <c r="B1289" s="16" t="s">
        <v>865</v>
      </c>
      <c r="C1289" t="s">
        <v>8</v>
      </c>
      <c r="D1289" t="s">
        <v>48</v>
      </c>
      <c r="E1289" s="17">
        <v>4.5</v>
      </c>
      <c r="F1289" s="17">
        <v>35.35</v>
      </c>
      <c r="G1289" s="18">
        <v>159.07499999999999</v>
      </c>
      <c r="H1289" s="30" t="s">
        <v>2294</v>
      </c>
      <c r="J1289" s="34"/>
    </row>
    <row r="1290" spans="1:10" x14ac:dyDescent="0.25">
      <c r="A1290" s="15">
        <v>41122</v>
      </c>
      <c r="B1290" s="16" t="s">
        <v>865</v>
      </c>
      <c r="C1290" t="s">
        <v>8</v>
      </c>
      <c r="D1290" t="s">
        <v>48</v>
      </c>
      <c r="E1290" s="17">
        <v>10</v>
      </c>
      <c r="F1290" s="17">
        <v>48</v>
      </c>
      <c r="G1290" s="18">
        <v>480</v>
      </c>
      <c r="H1290" s="30" t="s">
        <v>2294</v>
      </c>
      <c r="J1290" s="34"/>
    </row>
    <row r="1291" spans="1:10" x14ac:dyDescent="0.25">
      <c r="A1291" s="15">
        <v>41122</v>
      </c>
      <c r="B1291" s="16" t="s">
        <v>865</v>
      </c>
      <c r="C1291" t="s">
        <v>8</v>
      </c>
      <c r="D1291" t="s">
        <v>48</v>
      </c>
      <c r="E1291" s="17">
        <v>4.5</v>
      </c>
      <c r="F1291" s="17">
        <v>35.35</v>
      </c>
      <c r="G1291" s="18">
        <v>159.07499999999999</v>
      </c>
      <c r="H1291" s="30" t="s">
        <v>2294</v>
      </c>
      <c r="J1291" s="34"/>
    </row>
    <row r="1292" spans="1:10" x14ac:dyDescent="0.25">
      <c r="A1292" s="15">
        <v>41122</v>
      </c>
      <c r="B1292" s="16" t="s">
        <v>984</v>
      </c>
      <c r="C1292" t="s">
        <v>948</v>
      </c>
      <c r="D1292" t="s">
        <v>774</v>
      </c>
      <c r="E1292" s="17">
        <v>7.5</v>
      </c>
      <c r="F1292" s="17">
        <v>110</v>
      </c>
      <c r="G1292" s="18">
        <v>825</v>
      </c>
      <c r="H1292" s="30" t="s">
        <v>2294</v>
      </c>
      <c r="J1292" s="34"/>
    </row>
    <row r="1293" spans="1:10" x14ac:dyDescent="0.25">
      <c r="A1293" s="15">
        <v>41122</v>
      </c>
      <c r="B1293" s="16" t="s">
        <v>872</v>
      </c>
      <c r="C1293" t="s">
        <v>985</v>
      </c>
      <c r="D1293" t="s">
        <v>48</v>
      </c>
      <c r="E1293" s="17">
        <v>9</v>
      </c>
      <c r="F1293" s="17">
        <v>90</v>
      </c>
      <c r="G1293" s="18">
        <v>810</v>
      </c>
      <c r="H1293" s="30" t="s">
        <v>2294</v>
      </c>
      <c r="J1293" s="34"/>
    </row>
    <row r="1294" spans="1:10" x14ac:dyDescent="0.25">
      <c r="A1294" s="15">
        <v>41123</v>
      </c>
      <c r="B1294" s="16" t="s">
        <v>943</v>
      </c>
      <c r="C1294" t="s">
        <v>944</v>
      </c>
      <c r="D1294" t="s">
        <v>48</v>
      </c>
      <c r="E1294" s="17">
        <v>5</v>
      </c>
      <c r="F1294" s="17">
        <v>95</v>
      </c>
      <c r="G1294" s="18">
        <v>475</v>
      </c>
      <c r="H1294" s="30" t="s">
        <v>2294</v>
      </c>
      <c r="J1294" s="34"/>
    </row>
    <row r="1295" spans="1:10" x14ac:dyDescent="0.25">
      <c r="A1295" s="15">
        <v>41123</v>
      </c>
      <c r="B1295" s="16" t="s">
        <v>904</v>
      </c>
      <c r="C1295" t="s">
        <v>905</v>
      </c>
      <c r="D1295" t="s">
        <v>48</v>
      </c>
      <c r="E1295" s="17">
        <v>3</v>
      </c>
      <c r="F1295" s="17">
        <v>95</v>
      </c>
      <c r="G1295" s="18">
        <v>285</v>
      </c>
      <c r="H1295" s="30" t="s">
        <v>2294</v>
      </c>
      <c r="J1295" s="34"/>
    </row>
    <row r="1296" spans="1:10" x14ac:dyDescent="0.25">
      <c r="A1296" s="15">
        <v>41123</v>
      </c>
      <c r="B1296" s="16" t="s">
        <v>880</v>
      </c>
      <c r="C1296" t="s">
        <v>881</v>
      </c>
      <c r="D1296" t="s">
        <v>48</v>
      </c>
      <c r="E1296" s="17">
        <v>3</v>
      </c>
      <c r="F1296" s="17">
        <v>95</v>
      </c>
      <c r="G1296" s="18">
        <v>285</v>
      </c>
      <c r="H1296" s="30" t="s">
        <v>2294</v>
      </c>
      <c r="J1296" s="34"/>
    </row>
    <row r="1297" spans="1:10" x14ac:dyDescent="0.25">
      <c r="A1297" s="15">
        <v>41123</v>
      </c>
      <c r="B1297" s="16" t="s">
        <v>887</v>
      </c>
      <c r="C1297" t="s">
        <v>873</v>
      </c>
      <c r="D1297" t="s">
        <v>48</v>
      </c>
      <c r="E1297" s="17">
        <v>4.5</v>
      </c>
      <c r="F1297" s="17">
        <v>95</v>
      </c>
      <c r="G1297" s="18">
        <v>427.5</v>
      </c>
      <c r="H1297" s="30" t="s">
        <v>2294</v>
      </c>
      <c r="J1297" s="34"/>
    </row>
    <row r="1298" spans="1:10" x14ac:dyDescent="0.25">
      <c r="A1298" s="15">
        <v>41123</v>
      </c>
      <c r="B1298" s="16" t="s">
        <v>920</v>
      </c>
      <c r="C1298" t="s">
        <v>871</v>
      </c>
      <c r="D1298" t="s">
        <v>48</v>
      </c>
      <c r="E1298" s="17">
        <v>5</v>
      </c>
      <c r="F1298" s="17">
        <v>130</v>
      </c>
      <c r="G1298" s="18">
        <v>650</v>
      </c>
      <c r="H1298" s="30" t="s">
        <v>2294</v>
      </c>
      <c r="J1298" s="34"/>
    </row>
    <row r="1299" spans="1:10" x14ac:dyDescent="0.25">
      <c r="A1299" s="15">
        <v>41123</v>
      </c>
      <c r="B1299" s="16" t="s">
        <v>865</v>
      </c>
      <c r="C1299" t="s">
        <v>8</v>
      </c>
      <c r="D1299" t="s">
        <v>48</v>
      </c>
      <c r="E1299" s="17">
        <v>5</v>
      </c>
      <c r="F1299" s="17">
        <v>35.35</v>
      </c>
      <c r="G1299" s="18">
        <v>176.75</v>
      </c>
      <c r="H1299" s="30" t="s">
        <v>2294</v>
      </c>
      <c r="J1299" s="34"/>
    </row>
    <row r="1300" spans="1:10" x14ac:dyDescent="0.25">
      <c r="A1300" s="15">
        <v>41123</v>
      </c>
      <c r="B1300" s="16" t="s">
        <v>880</v>
      </c>
      <c r="C1300" t="s">
        <v>881</v>
      </c>
      <c r="D1300" t="s">
        <v>48</v>
      </c>
      <c r="E1300" s="17">
        <v>5</v>
      </c>
      <c r="F1300" s="17">
        <v>95</v>
      </c>
      <c r="G1300" s="18">
        <v>475</v>
      </c>
      <c r="H1300" s="30" t="s">
        <v>2294</v>
      </c>
      <c r="J1300" s="34"/>
    </row>
    <row r="1301" spans="1:10" x14ac:dyDescent="0.25">
      <c r="A1301" s="15">
        <v>41123</v>
      </c>
      <c r="B1301" s="16" t="s">
        <v>865</v>
      </c>
      <c r="C1301" t="s">
        <v>8</v>
      </c>
      <c r="D1301" t="s">
        <v>48</v>
      </c>
      <c r="E1301" s="17">
        <v>2</v>
      </c>
      <c r="F1301" s="17">
        <v>48</v>
      </c>
      <c r="G1301" s="18">
        <v>96</v>
      </c>
      <c r="H1301" s="30" t="s">
        <v>2294</v>
      </c>
      <c r="J1301" s="34"/>
    </row>
    <row r="1302" spans="1:10" x14ac:dyDescent="0.25">
      <c r="A1302" s="15">
        <v>41124</v>
      </c>
      <c r="B1302" s="16" t="s">
        <v>878</v>
      </c>
      <c r="C1302" t="s">
        <v>879</v>
      </c>
      <c r="D1302" t="s">
        <v>48</v>
      </c>
      <c r="E1302" s="17">
        <v>5</v>
      </c>
      <c r="F1302" s="17">
        <v>110</v>
      </c>
      <c r="G1302" s="18">
        <v>550</v>
      </c>
      <c r="H1302" s="30" t="s">
        <v>2294</v>
      </c>
      <c r="J1302" s="34"/>
    </row>
    <row r="1303" spans="1:10" x14ac:dyDescent="0.25">
      <c r="A1303" s="15">
        <v>41124</v>
      </c>
      <c r="B1303" s="16" t="s">
        <v>887</v>
      </c>
      <c r="C1303" t="s">
        <v>873</v>
      </c>
      <c r="D1303" t="s">
        <v>48</v>
      </c>
      <c r="E1303" s="17">
        <v>4.5</v>
      </c>
      <c r="F1303" s="17">
        <v>95</v>
      </c>
      <c r="G1303" s="18">
        <v>427.5</v>
      </c>
      <c r="H1303" s="30" t="s">
        <v>2294</v>
      </c>
      <c r="J1303" s="34"/>
    </row>
    <row r="1304" spans="1:10" x14ac:dyDescent="0.25">
      <c r="A1304" s="15">
        <v>41124</v>
      </c>
      <c r="B1304" s="16" t="s">
        <v>880</v>
      </c>
      <c r="C1304" t="s">
        <v>881</v>
      </c>
      <c r="D1304" t="s">
        <v>48</v>
      </c>
      <c r="E1304" s="17">
        <v>2</v>
      </c>
      <c r="F1304" s="17">
        <v>95</v>
      </c>
      <c r="G1304" s="18">
        <v>190</v>
      </c>
      <c r="H1304" s="30" t="s">
        <v>2294</v>
      </c>
      <c r="J1304" s="34"/>
    </row>
    <row r="1305" spans="1:10" x14ac:dyDescent="0.25">
      <c r="A1305" s="15">
        <v>41124</v>
      </c>
      <c r="B1305" s="16" t="s">
        <v>865</v>
      </c>
      <c r="C1305" t="s">
        <v>8</v>
      </c>
      <c r="D1305" t="s">
        <v>48</v>
      </c>
      <c r="E1305" s="17">
        <v>5.5</v>
      </c>
      <c r="F1305" s="17">
        <v>35.35</v>
      </c>
      <c r="G1305" s="18">
        <v>194.42500000000001</v>
      </c>
      <c r="H1305" s="30" t="s">
        <v>2294</v>
      </c>
      <c r="J1305" s="34"/>
    </row>
    <row r="1306" spans="1:10" x14ac:dyDescent="0.25">
      <c r="A1306" s="15">
        <v>41124</v>
      </c>
      <c r="B1306" s="16" t="s">
        <v>920</v>
      </c>
      <c r="C1306" t="s">
        <v>871</v>
      </c>
      <c r="D1306" t="s">
        <v>48</v>
      </c>
      <c r="E1306" s="17">
        <v>5</v>
      </c>
      <c r="F1306" s="17">
        <v>130</v>
      </c>
      <c r="G1306" s="18">
        <v>650</v>
      </c>
      <c r="H1306" s="30" t="s">
        <v>2294</v>
      </c>
      <c r="J1306" s="34"/>
    </row>
    <row r="1307" spans="1:10" x14ac:dyDescent="0.25">
      <c r="A1307" s="15">
        <v>41124</v>
      </c>
      <c r="B1307" s="16" t="s">
        <v>904</v>
      </c>
      <c r="C1307" t="s">
        <v>905</v>
      </c>
      <c r="D1307" t="s">
        <v>48</v>
      </c>
      <c r="E1307" s="17">
        <v>4.5</v>
      </c>
      <c r="F1307" s="17">
        <v>95</v>
      </c>
      <c r="G1307" s="18">
        <v>427.5</v>
      </c>
      <c r="H1307" s="30" t="s">
        <v>2294</v>
      </c>
      <c r="J1307" s="34"/>
    </row>
    <row r="1308" spans="1:10" x14ac:dyDescent="0.25">
      <c r="A1308" s="15">
        <v>41124</v>
      </c>
      <c r="B1308" s="16" t="s">
        <v>880</v>
      </c>
      <c r="C1308" t="s">
        <v>881</v>
      </c>
      <c r="D1308" t="s">
        <v>48</v>
      </c>
      <c r="E1308" s="17">
        <v>5</v>
      </c>
      <c r="F1308" s="17">
        <v>95</v>
      </c>
      <c r="G1308" s="18">
        <v>475</v>
      </c>
      <c r="H1308" s="30" t="s">
        <v>2294</v>
      </c>
      <c r="J1308" s="34"/>
    </row>
    <row r="1309" spans="1:10" x14ac:dyDescent="0.25">
      <c r="A1309" s="15">
        <v>41125</v>
      </c>
      <c r="B1309" s="16" t="s">
        <v>904</v>
      </c>
      <c r="C1309" t="s">
        <v>905</v>
      </c>
      <c r="D1309" t="s">
        <v>48</v>
      </c>
      <c r="E1309" s="17">
        <v>3</v>
      </c>
      <c r="F1309" s="17">
        <v>95</v>
      </c>
      <c r="G1309" s="18">
        <v>285</v>
      </c>
      <c r="H1309" s="30" t="s">
        <v>2294</v>
      </c>
      <c r="J1309" s="34"/>
    </row>
    <row r="1310" spans="1:10" x14ac:dyDescent="0.25">
      <c r="A1310" s="15">
        <v>41125</v>
      </c>
      <c r="B1310" s="16" t="s">
        <v>920</v>
      </c>
      <c r="C1310" t="s">
        <v>871</v>
      </c>
      <c r="D1310" t="s">
        <v>48</v>
      </c>
      <c r="E1310" s="17">
        <v>4.5</v>
      </c>
      <c r="F1310" s="17">
        <v>130</v>
      </c>
      <c r="G1310" s="18">
        <v>585</v>
      </c>
      <c r="H1310" s="30" t="s">
        <v>2294</v>
      </c>
      <c r="J1310" s="34"/>
    </row>
    <row r="1311" spans="1:10" x14ac:dyDescent="0.25">
      <c r="A1311" s="15">
        <v>41125</v>
      </c>
      <c r="B1311" s="16" t="s">
        <v>880</v>
      </c>
      <c r="C1311" t="s">
        <v>881</v>
      </c>
      <c r="D1311" t="s">
        <v>48</v>
      </c>
      <c r="E1311" s="17">
        <v>3</v>
      </c>
      <c r="F1311" s="17">
        <v>95</v>
      </c>
      <c r="G1311" s="18">
        <v>285</v>
      </c>
      <c r="H1311" s="30" t="s">
        <v>2294</v>
      </c>
      <c r="J1311" s="34"/>
    </row>
    <row r="1312" spans="1:10" x14ac:dyDescent="0.25">
      <c r="A1312" s="15">
        <v>41125</v>
      </c>
      <c r="B1312" s="16" t="s">
        <v>865</v>
      </c>
      <c r="C1312" t="s">
        <v>8</v>
      </c>
      <c r="D1312" t="s">
        <v>48</v>
      </c>
      <c r="E1312" s="17">
        <v>4</v>
      </c>
      <c r="F1312" s="17">
        <v>35.35</v>
      </c>
      <c r="G1312" s="18">
        <v>141.4</v>
      </c>
      <c r="H1312" s="30" t="s">
        <v>2294</v>
      </c>
      <c r="J1312" s="34"/>
    </row>
    <row r="1313" spans="1:10" x14ac:dyDescent="0.25">
      <c r="A1313" s="15">
        <v>41125</v>
      </c>
      <c r="B1313" s="16" t="s">
        <v>887</v>
      </c>
      <c r="C1313" t="s">
        <v>873</v>
      </c>
      <c r="D1313" t="s">
        <v>48</v>
      </c>
      <c r="E1313" s="17">
        <v>4</v>
      </c>
      <c r="F1313" s="17">
        <v>95</v>
      </c>
      <c r="G1313" s="18">
        <v>380</v>
      </c>
      <c r="H1313" s="30" t="s">
        <v>2294</v>
      </c>
      <c r="J1313" s="34"/>
    </row>
    <row r="1314" spans="1:10" x14ac:dyDescent="0.25">
      <c r="A1314" s="15">
        <v>41125</v>
      </c>
      <c r="B1314" s="16" t="s">
        <v>865</v>
      </c>
      <c r="C1314" t="s">
        <v>8</v>
      </c>
      <c r="D1314" t="s">
        <v>48</v>
      </c>
      <c r="E1314" s="17">
        <v>2.5</v>
      </c>
      <c r="F1314" s="17">
        <v>35.35</v>
      </c>
      <c r="G1314" s="18">
        <v>88.375</v>
      </c>
      <c r="H1314" s="30" t="s">
        <v>2294</v>
      </c>
      <c r="J1314" s="34"/>
    </row>
    <row r="1315" spans="1:10" x14ac:dyDescent="0.25">
      <c r="A1315" s="15">
        <v>41127</v>
      </c>
      <c r="B1315" s="16" t="s">
        <v>984</v>
      </c>
      <c r="C1315" t="s">
        <v>948</v>
      </c>
      <c r="D1315" t="s">
        <v>48</v>
      </c>
      <c r="E1315" s="17">
        <v>9.5</v>
      </c>
      <c r="F1315" s="17">
        <v>110</v>
      </c>
      <c r="G1315" s="18">
        <v>1045</v>
      </c>
      <c r="H1315" s="30" t="s">
        <v>2294</v>
      </c>
      <c r="J1315" s="34"/>
    </row>
    <row r="1316" spans="1:10" x14ac:dyDescent="0.25">
      <c r="A1316" s="15">
        <v>41127</v>
      </c>
      <c r="B1316" s="16" t="s">
        <v>986</v>
      </c>
      <c r="C1316" t="s">
        <v>974</v>
      </c>
      <c r="D1316" t="s">
        <v>774</v>
      </c>
      <c r="E1316" s="17">
        <v>1</v>
      </c>
      <c r="F1316" s="17">
        <v>365</v>
      </c>
      <c r="G1316" s="18">
        <v>365</v>
      </c>
      <c r="H1316" s="30" t="s">
        <v>2294</v>
      </c>
      <c r="J1316" s="34"/>
    </row>
    <row r="1317" spans="1:10" x14ac:dyDescent="0.25">
      <c r="A1317" s="15">
        <v>41128</v>
      </c>
      <c r="B1317" s="16" t="s">
        <v>887</v>
      </c>
      <c r="C1317" t="s">
        <v>873</v>
      </c>
      <c r="D1317" t="s">
        <v>48</v>
      </c>
      <c r="E1317" s="17">
        <v>5</v>
      </c>
      <c r="F1317" s="17">
        <v>95</v>
      </c>
      <c r="G1317" s="18">
        <v>475</v>
      </c>
      <c r="H1317" s="30" t="s">
        <v>2294</v>
      </c>
      <c r="J1317" s="34"/>
    </row>
    <row r="1318" spans="1:10" x14ac:dyDescent="0.25">
      <c r="A1318" s="15">
        <v>41128</v>
      </c>
      <c r="B1318" s="16" t="s">
        <v>986</v>
      </c>
      <c r="C1318" t="s">
        <v>974</v>
      </c>
      <c r="D1318" t="s">
        <v>774</v>
      </c>
      <c r="E1318" s="17">
        <v>1</v>
      </c>
      <c r="F1318" s="17">
        <v>365</v>
      </c>
      <c r="G1318" s="18">
        <v>365</v>
      </c>
      <c r="H1318" s="30" t="s">
        <v>2294</v>
      </c>
      <c r="J1318" s="34"/>
    </row>
    <row r="1319" spans="1:10" x14ac:dyDescent="0.25">
      <c r="A1319" s="15">
        <v>41128</v>
      </c>
      <c r="B1319" s="16" t="s">
        <v>984</v>
      </c>
      <c r="C1319" t="s">
        <v>948</v>
      </c>
      <c r="D1319" t="s">
        <v>48</v>
      </c>
      <c r="E1319" s="17">
        <v>9.5</v>
      </c>
      <c r="F1319" s="17">
        <v>110</v>
      </c>
      <c r="G1319" s="18">
        <v>1045</v>
      </c>
      <c r="H1319" s="30" t="s">
        <v>2294</v>
      </c>
      <c r="J1319" s="34"/>
    </row>
    <row r="1320" spans="1:10" x14ac:dyDescent="0.25">
      <c r="A1320" s="15">
        <v>41128</v>
      </c>
      <c r="B1320" s="16" t="s">
        <v>920</v>
      </c>
      <c r="C1320" t="s">
        <v>871</v>
      </c>
      <c r="D1320" t="s">
        <v>48</v>
      </c>
      <c r="E1320" s="17">
        <v>3</v>
      </c>
      <c r="F1320" s="17">
        <v>130</v>
      </c>
      <c r="G1320" s="18">
        <v>390</v>
      </c>
      <c r="H1320" s="30" t="s">
        <v>2294</v>
      </c>
      <c r="J1320" s="34"/>
    </row>
    <row r="1321" spans="1:10" x14ac:dyDescent="0.25">
      <c r="A1321" s="15">
        <v>41128</v>
      </c>
      <c r="B1321" s="16" t="s">
        <v>865</v>
      </c>
      <c r="C1321" t="s">
        <v>8</v>
      </c>
      <c r="D1321" t="s">
        <v>48</v>
      </c>
      <c r="E1321" s="17">
        <v>2</v>
      </c>
      <c r="F1321" s="17">
        <v>35.35</v>
      </c>
      <c r="G1321" s="18">
        <v>70.7</v>
      </c>
      <c r="H1321" s="30" t="s">
        <v>2294</v>
      </c>
      <c r="J1321" s="34"/>
    </row>
    <row r="1322" spans="1:10" x14ac:dyDescent="0.25">
      <c r="A1322" s="15">
        <v>41128</v>
      </c>
      <c r="B1322" s="16" t="s">
        <v>880</v>
      </c>
      <c r="C1322" t="s">
        <v>881</v>
      </c>
      <c r="D1322" t="s">
        <v>48</v>
      </c>
      <c r="E1322" s="17">
        <v>5</v>
      </c>
      <c r="F1322" s="17">
        <v>95</v>
      </c>
      <c r="G1322" s="18">
        <v>475</v>
      </c>
      <c r="H1322" s="30" t="s">
        <v>2294</v>
      </c>
      <c r="J1322" s="34"/>
    </row>
    <row r="1323" spans="1:10" x14ac:dyDescent="0.25">
      <c r="A1323" s="15">
        <v>41128</v>
      </c>
      <c r="B1323" s="16" t="s">
        <v>880</v>
      </c>
      <c r="C1323" t="s">
        <v>881</v>
      </c>
      <c r="D1323" t="s">
        <v>48</v>
      </c>
      <c r="E1323" s="17">
        <v>4</v>
      </c>
      <c r="F1323" s="17">
        <v>95</v>
      </c>
      <c r="G1323" s="18">
        <v>380</v>
      </c>
      <c r="H1323" s="30" t="s">
        <v>2294</v>
      </c>
      <c r="J1323" s="34"/>
    </row>
    <row r="1324" spans="1:10" x14ac:dyDescent="0.25">
      <c r="A1324" s="15">
        <v>41129</v>
      </c>
      <c r="B1324" s="16" t="s">
        <v>904</v>
      </c>
      <c r="C1324" t="s">
        <v>905</v>
      </c>
      <c r="D1324" t="s">
        <v>48</v>
      </c>
      <c r="E1324" s="17">
        <v>6.5</v>
      </c>
      <c r="F1324" s="17">
        <v>95</v>
      </c>
      <c r="G1324" s="18">
        <v>617.5</v>
      </c>
      <c r="H1324" s="30" t="s">
        <v>2294</v>
      </c>
      <c r="J1324" s="34"/>
    </row>
    <row r="1325" spans="1:10" x14ac:dyDescent="0.25">
      <c r="A1325" s="15">
        <v>41129</v>
      </c>
      <c r="B1325" s="16" t="s">
        <v>880</v>
      </c>
      <c r="C1325" t="s">
        <v>881</v>
      </c>
      <c r="D1325" t="s">
        <v>48</v>
      </c>
      <c r="E1325" s="17">
        <v>6.5</v>
      </c>
      <c r="F1325" s="17">
        <v>95</v>
      </c>
      <c r="G1325" s="18">
        <v>617.5</v>
      </c>
      <c r="H1325" s="30" t="s">
        <v>2294</v>
      </c>
      <c r="J1325" s="34"/>
    </row>
    <row r="1326" spans="1:10" x14ac:dyDescent="0.25">
      <c r="A1326" s="15">
        <v>41129</v>
      </c>
      <c r="B1326" s="16" t="s">
        <v>865</v>
      </c>
      <c r="C1326" t="s">
        <v>8</v>
      </c>
      <c r="D1326" t="s">
        <v>48</v>
      </c>
      <c r="E1326" s="17">
        <v>5</v>
      </c>
      <c r="F1326" s="17">
        <v>35.35</v>
      </c>
      <c r="G1326" s="18">
        <v>176.75</v>
      </c>
      <c r="H1326" s="30" t="s">
        <v>2294</v>
      </c>
      <c r="J1326" s="34"/>
    </row>
    <row r="1327" spans="1:10" x14ac:dyDescent="0.25">
      <c r="A1327" s="15">
        <v>41129</v>
      </c>
      <c r="B1327" s="16" t="s">
        <v>920</v>
      </c>
      <c r="C1327" t="s">
        <v>871</v>
      </c>
      <c r="D1327" t="s">
        <v>48</v>
      </c>
      <c r="E1327" s="17">
        <v>4</v>
      </c>
      <c r="F1327" s="17">
        <v>130</v>
      </c>
      <c r="G1327" s="18">
        <v>520</v>
      </c>
      <c r="H1327" s="30" t="s">
        <v>2294</v>
      </c>
      <c r="J1327" s="34"/>
    </row>
    <row r="1328" spans="1:10" x14ac:dyDescent="0.25">
      <c r="A1328" s="15">
        <v>41129</v>
      </c>
      <c r="B1328" s="16" t="s">
        <v>986</v>
      </c>
      <c r="C1328" t="s">
        <v>974</v>
      </c>
      <c r="D1328" t="s">
        <v>774</v>
      </c>
      <c r="E1328" s="17">
        <v>1</v>
      </c>
      <c r="F1328" s="17">
        <v>365</v>
      </c>
      <c r="G1328" s="18">
        <v>365</v>
      </c>
      <c r="H1328" s="30" t="s">
        <v>2294</v>
      </c>
      <c r="J1328" s="34"/>
    </row>
    <row r="1329" spans="1:10" x14ac:dyDescent="0.25">
      <c r="A1329" s="15">
        <v>41129</v>
      </c>
      <c r="B1329" s="16" t="s">
        <v>984</v>
      </c>
      <c r="C1329" t="s">
        <v>948</v>
      </c>
      <c r="D1329" t="s">
        <v>48</v>
      </c>
      <c r="E1329" s="17">
        <v>8.5</v>
      </c>
      <c r="F1329" s="17">
        <v>110</v>
      </c>
      <c r="G1329" s="18">
        <v>935</v>
      </c>
      <c r="H1329" s="30" t="s">
        <v>2294</v>
      </c>
      <c r="J1329" s="34"/>
    </row>
    <row r="1330" spans="1:10" x14ac:dyDescent="0.25">
      <c r="A1330" s="15">
        <v>41130</v>
      </c>
      <c r="B1330" s="16" t="s">
        <v>880</v>
      </c>
      <c r="C1330" t="s">
        <v>881</v>
      </c>
      <c r="D1330" t="s">
        <v>48</v>
      </c>
      <c r="E1330" s="17">
        <v>3</v>
      </c>
      <c r="F1330" s="17">
        <v>95</v>
      </c>
      <c r="G1330" s="18">
        <v>285</v>
      </c>
      <c r="H1330" s="30" t="s">
        <v>2294</v>
      </c>
      <c r="J1330" s="34"/>
    </row>
    <row r="1331" spans="1:10" x14ac:dyDescent="0.25">
      <c r="A1331" s="15">
        <v>41130</v>
      </c>
      <c r="B1331" s="16" t="s">
        <v>969</v>
      </c>
      <c r="C1331" t="s">
        <v>934</v>
      </c>
      <c r="D1331" t="s">
        <v>48</v>
      </c>
      <c r="E1331" s="17">
        <v>2.5</v>
      </c>
      <c r="F1331" s="17">
        <v>100</v>
      </c>
      <c r="G1331" s="18">
        <v>250</v>
      </c>
      <c r="H1331" s="30" t="s">
        <v>2294</v>
      </c>
      <c r="J1331" s="34"/>
    </row>
    <row r="1332" spans="1:10" x14ac:dyDescent="0.25">
      <c r="A1332" s="15">
        <v>41130</v>
      </c>
      <c r="B1332" s="16" t="s">
        <v>920</v>
      </c>
      <c r="C1332" t="s">
        <v>871</v>
      </c>
      <c r="D1332" t="s">
        <v>48</v>
      </c>
      <c r="E1332" s="17">
        <v>5.5</v>
      </c>
      <c r="F1332" s="17">
        <v>130</v>
      </c>
      <c r="G1332" s="18">
        <v>715</v>
      </c>
      <c r="H1332" s="30" t="s">
        <v>2294</v>
      </c>
      <c r="J1332" s="34"/>
    </row>
    <row r="1333" spans="1:10" x14ac:dyDescent="0.25">
      <c r="A1333" s="15">
        <v>41130</v>
      </c>
      <c r="B1333" s="16" t="s">
        <v>986</v>
      </c>
      <c r="C1333" t="s">
        <v>974</v>
      </c>
      <c r="D1333" t="s">
        <v>774</v>
      </c>
      <c r="E1333" s="17">
        <v>1</v>
      </c>
      <c r="F1333" s="17">
        <v>365</v>
      </c>
      <c r="G1333" s="18">
        <v>365</v>
      </c>
      <c r="H1333" s="30" t="s">
        <v>2294</v>
      </c>
      <c r="J1333" s="34"/>
    </row>
    <row r="1334" spans="1:10" x14ac:dyDescent="0.25">
      <c r="A1334" s="15">
        <v>41130</v>
      </c>
      <c r="B1334" s="16" t="s">
        <v>865</v>
      </c>
      <c r="C1334" t="s">
        <v>8</v>
      </c>
      <c r="D1334" t="s">
        <v>48</v>
      </c>
      <c r="E1334" s="17">
        <v>5</v>
      </c>
      <c r="F1334" s="17">
        <v>35.35</v>
      </c>
      <c r="G1334" s="18">
        <v>176.75</v>
      </c>
      <c r="H1334" s="30" t="s">
        <v>2294</v>
      </c>
      <c r="J1334" s="34"/>
    </row>
    <row r="1335" spans="1:10" x14ac:dyDescent="0.25">
      <c r="A1335" s="15">
        <v>41130</v>
      </c>
      <c r="B1335" s="16" t="s">
        <v>904</v>
      </c>
      <c r="C1335" t="s">
        <v>905</v>
      </c>
      <c r="D1335" t="s">
        <v>48</v>
      </c>
      <c r="E1335" s="17">
        <v>5</v>
      </c>
      <c r="F1335" s="17">
        <v>95</v>
      </c>
      <c r="G1335" s="18">
        <v>475</v>
      </c>
      <c r="H1335" s="30" t="s">
        <v>2294</v>
      </c>
      <c r="J1335" s="34"/>
    </row>
    <row r="1336" spans="1:10" x14ac:dyDescent="0.25">
      <c r="A1336" s="15">
        <v>41131</v>
      </c>
      <c r="B1336" s="16" t="s">
        <v>880</v>
      </c>
      <c r="C1336" t="s">
        <v>881</v>
      </c>
      <c r="D1336" t="s">
        <v>48</v>
      </c>
      <c r="E1336" s="17">
        <v>6</v>
      </c>
      <c r="F1336" s="17">
        <v>95</v>
      </c>
      <c r="G1336" s="18">
        <v>570</v>
      </c>
      <c r="H1336" s="30" t="s">
        <v>2294</v>
      </c>
      <c r="J1336" s="34"/>
    </row>
    <row r="1337" spans="1:10" x14ac:dyDescent="0.25">
      <c r="A1337" s="15">
        <v>41131</v>
      </c>
      <c r="B1337" s="16" t="s">
        <v>865</v>
      </c>
      <c r="C1337" t="s">
        <v>8</v>
      </c>
      <c r="D1337" t="s">
        <v>48</v>
      </c>
      <c r="E1337" s="17">
        <v>6.5</v>
      </c>
      <c r="F1337" s="17">
        <v>35.35</v>
      </c>
      <c r="G1337" s="18">
        <v>229.77500000000001</v>
      </c>
      <c r="H1337" s="30" t="s">
        <v>2294</v>
      </c>
      <c r="J1337" s="34"/>
    </row>
    <row r="1338" spans="1:10" x14ac:dyDescent="0.25">
      <c r="A1338" s="15">
        <v>41131</v>
      </c>
      <c r="B1338" s="16" t="s">
        <v>887</v>
      </c>
      <c r="C1338" t="s">
        <v>873</v>
      </c>
      <c r="D1338" t="s">
        <v>48</v>
      </c>
      <c r="E1338" s="17">
        <v>3.5</v>
      </c>
      <c r="F1338" s="17">
        <v>95</v>
      </c>
      <c r="G1338" s="18">
        <v>332.5</v>
      </c>
      <c r="H1338" s="30" t="s">
        <v>2294</v>
      </c>
      <c r="J1338" s="34"/>
    </row>
    <row r="1339" spans="1:10" x14ac:dyDescent="0.25">
      <c r="A1339" s="15">
        <v>41131</v>
      </c>
      <c r="B1339" s="16" t="s">
        <v>920</v>
      </c>
      <c r="C1339" t="s">
        <v>871</v>
      </c>
      <c r="D1339" t="s">
        <v>48</v>
      </c>
      <c r="E1339" s="17">
        <v>6.5</v>
      </c>
      <c r="F1339" s="17">
        <v>130</v>
      </c>
      <c r="G1339" s="18">
        <v>845</v>
      </c>
      <c r="H1339" s="30" t="s">
        <v>2294</v>
      </c>
      <c r="J1339" s="34"/>
    </row>
    <row r="1340" spans="1:10" x14ac:dyDescent="0.25">
      <c r="A1340" s="15">
        <v>41131</v>
      </c>
      <c r="B1340" s="16" t="s">
        <v>904</v>
      </c>
      <c r="C1340" t="s">
        <v>905</v>
      </c>
      <c r="D1340" t="s">
        <v>48</v>
      </c>
      <c r="E1340" s="17">
        <v>6</v>
      </c>
      <c r="F1340" s="17">
        <v>95</v>
      </c>
      <c r="G1340" s="18">
        <v>570</v>
      </c>
      <c r="H1340" s="30" t="s">
        <v>2294</v>
      </c>
      <c r="J1340" s="34"/>
    </row>
    <row r="1341" spans="1:10" x14ac:dyDescent="0.25">
      <c r="A1341" s="15">
        <v>41134</v>
      </c>
      <c r="B1341" s="16" t="s">
        <v>951</v>
      </c>
      <c r="C1341" t="s">
        <v>934</v>
      </c>
      <c r="D1341" t="s">
        <v>48</v>
      </c>
      <c r="E1341" s="17">
        <v>7.5</v>
      </c>
      <c r="F1341" s="17">
        <v>87.272999999999996</v>
      </c>
      <c r="G1341" s="18">
        <v>654.54750000000001</v>
      </c>
      <c r="H1341" s="30" t="s">
        <v>2294</v>
      </c>
      <c r="J1341" s="34"/>
    </row>
    <row r="1342" spans="1:10" x14ac:dyDescent="0.25">
      <c r="A1342" s="15">
        <v>41134</v>
      </c>
      <c r="B1342" s="16" t="s">
        <v>987</v>
      </c>
      <c r="C1342" t="s">
        <v>873</v>
      </c>
      <c r="D1342" t="s">
        <v>48</v>
      </c>
      <c r="E1342" s="17">
        <v>8</v>
      </c>
      <c r="F1342" s="17">
        <v>95</v>
      </c>
      <c r="G1342" s="18">
        <v>760</v>
      </c>
      <c r="H1342" s="30" t="s">
        <v>2294</v>
      </c>
      <c r="J1342" s="34"/>
    </row>
    <row r="1343" spans="1:10" x14ac:dyDescent="0.25">
      <c r="A1343" s="15">
        <v>41134</v>
      </c>
      <c r="B1343" s="16" t="s">
        <v>878</v>
      </c>
      <c r="C1343" t="s">
        <v>879</v>
      </c>
      <c r="D1343" t="s">
        <v>48</v>
      </c>
      <c r="E1343" s="17">
        <v>6</v>
      </c>
      <c r="F1343" s="17">
        <v>110</v>
      </c>
      <c r="G1343" s="18">
        <v>660</v>
      </c>
      <c r="H1343" s="30" t="s">
        <v>2294</v>
      </c>
      <c r="J1343" s="34"/>
    </row>
    <row r="1344" spans="1:10" x14ac:dyDescent="0.25">
      <c r="A1344" s="15">
        <v>41134</v>
      </c>
      <c r="B1344" s="16" t="s">
        <v>887</v>
      </c>
      <c r="C1344" t="s">
        <v>873</v>
      </c>
      <c r="D1344" t="s">
        <v>48</v>
      </c>
      <c r="E1344" s="17">
        <v>4</v>
      </c>
      <c r="F1344" s="17">
        <v>95</v>
      </c>
      <c r="G1344" s="18">
        <v>380</v>
      </c>
      <c r="H1344" s="30" t="s">
        <v>2294</v>
      </c>
      <c r="J1344" s="34"/>
    </row>
    <row r="1345" spans="1:10" x14ac:dyDescent="0.25">
      <c r="A1345" s="15">
        <v>41134</v>
      </c>
      <c r="B1345" s="16" t="s">
        <v>880</v>
      </c>
      <c r="C1345" t="s">
        <v>881</v>
      </c>
      <c r="D1345" t="s">
        <v>48</v>
      </c>
      <c r="E1345" s="17">
        <v>4.5</v>
      </c>
      <c r="F1345" s="17">
        <v>95</v>
      </c>
      <c r="G1345" s="18">
        <v>427.5</v>
      </c>
      <c r="H1345" s="30" t="s">
        <v>2294</v>
      </c>
      <c r="J1345" s="34"/>
    </row>
    <row r="1346" spans="1:10" x14ac:dyDescent="0.25">
      <c r="A1346" s="15">
        <v>41134</v>
      </c>
      <c r="B1346" s="16" t="s">
        <v>904</v>
      </c>
      <c r="C1346" t="s">
        <v>905</v>
      </c>
      <c r="D1346" t="s">
        <v>48</v>
      </c>
      <c r="E1346" s="17">
        <v>4.5</v>
      </c>
      <c r="F1346" s="17">
        <v>95</v>
      </c>
      <c r="G1346" s="18">
        <v>427.5</v>
      </c>
      <c r="H1346" s="30" t="s">
        <v>2294</v>
      </c>
      <c r="J1346" s="34"/>
    </row>
    <row r="1347" spans="1:10" x14ac:dyDescent="0.25">
      <c r="A1347" s="15">
        <v>41134</v>
      </c>
      <c r="B1347" s="16" t="s">
        <v>988</v>
      </c>
      <c r="C1347" t="s">
        <v>873</v>
      </c>
      <c r="D1347" t="s">
        <v>48</v>
      </c>
      <c r="E1347" s="17">
        <v>9</v>
      </c>
      <c r="F1347" s="17">
        <v>130</v>
      </c>
      <c r="G1347" s="18">
        <v>1170</v>
      </c>
      <c r="H1347" s="30" t="s">
        <v>2294</v>
      </c>
      <c r="J1347" s="34"/>
    </row>
    <row r="1348" spans="1:10" x14ac:dyDescent="0.25">
      <c r="A1348" s="15">
        <v>41134</v>
      </c>
      <c r="B1348" s="16" t="s">
        <v>865</v>
      </c>
      <c r="C1348" t="s">
        <v>8</v>
      </c>
      <c r="D1348" t="s">
        <v>48</v>
      </c>
      <c r="E1348" s="17">
        <v>5</v>
      </c>
      <c r="F1348" s="17">
        <v>35.35</v>
      </c>
      <c r="G1348" s="18">
        <v>176.75</v>
      </c>
      <c r="H1348" s="30" t="s">
        <v>2294</v>
      </c>
      <c r="J1348" s="34"/>
    </row>
    <row r="1349" spans="1:10" x14ac:dyDescent="0.25">
      <c r="A1349" s="15">
        <v>41134</v>
      </c>
      <c r="B1349" s="16" t="s">
        <v>920</v>
      </c>
      <c r="C1349" t="s">
        <v>871</v>
      </c>
      <c r="D1349" t="s">
        <v>48</v>
      </c>
      <c r="E1349" s="17">
        <v>4.5</v>
      </c>
      <c r="F1349" s="17">
        <v>130</v>
      </c>
      <c r="G1349" s="18">
        <v>585</v>
      </c>
      <c r="H1349" s="30" t="s">
        <v>2294</v>
      </c>
      <c r="J1349" s="34"/>
    </row>
    <row r="1350" spans="1:10" x14ac:dyDescent="0.25">
      <c r="A1350" s="15">
        <v>41135</v>
      </c>
      <c r="B1350" s="16" t="s">
        <v>865</v>
      </c>
      <c r="C1350" t="s">
        <v>8</v>
      </c>
      <c r="D1350" t="s">
        <v>48</v>
      </c>
      <c r="E1350" s="17">
        <v>6</v>
      </c>
      <c r="F1350" s="17">
        <v>35.35</v>
      </c>
      <c r="G1350" s="18">
        <v>212.1</v>
      </c>
      <c r="H1350" s="30" t="s">
        <v>2294</v>
      </c>
      <c r="J1350" s="34"/>
    </row>
    <row r="1351" spans="1:10" x14ac:dyDescent="0.25">
      <c r="A1351" s="15">
        <v>41135</v>
      </c>
      <c r="B1351" s="16" t="s">
        <v>904</v>
      </c>
      <c r="C1351" t="s">
        <v>905</v>
      </c>
      <c r="D1351" t="s">
        <v>48</v>
      </c>
      <c r="E1351" s="17">
        <v>5</v>
      </c>
      <c r="F1351" s="17">
        <v>95</v>
      </c>
      <c r="G1351" s="18">
        <v>475</v>
      </c>
      <c r="H1351" s="30" t="s">
        <v>2294</v>
      </c>
      <c r="J1351" s="34"/>
    </row>
    <row r="1352" spans="1:10" x14ac:dyDescent="0.25">
      <c r="A1352" s="15">
        <v>41135</v>
      </c>
      <c r="B1352" s="16" t="s">
        <v>880</v>
      </c>
      <c r="C1352" t="s">
        <v>881</v>
      </c>
      <c r="D1352" t="s">
        <v>48</v>
      </c>
      <c r="E1352" s="17">
        <v>5</v>
      </c>
      <c r="F1352" s="17">
        <v>95</v>
      </c>
      <c r="G1352" s="18">
        <v>475</v>
      </c>
      <c r="H1352" s="30" t="s">
        <v>2294</v>
      </c>
      <c r="J1352" s="34"/>
    </row>
    <row r="1353" spans="1:10" x14ac:dyDescent="0.25">
      <c r="A1353" s="15">
        <v>41135</v>
      </c>
      <c r="B1353" s="16" t="s">
        <v>878</v>
      </c>
      <c r="C1353" t="s">
        <v>879</v>
      </c>
      <c r="D1353" t="s">
        <v>48</v>
      </c>
      <c r="E1353" s="17">
        <v>3.5</v>
      </c>
      <c r="F1353" s="17">
        <v>110</v>
      </c>
      <c r="G1353" s="18">
        <v>385</v>
      </c>
      <c r="H1353" s="30" t="s">
        <v>2294</v>
      </c>
      <c r="J1353" s="34"/>
    </row>
    <row r="1354" spans="1:10" x14ac:dyDescent="0.25">
      <c r="A1354" s="15">
        <v>41135</v>
      </c>
      <c r="B1354" s="16" t="s">
        <v>920</v>
      </c>
      <c r="C1354" t="s">
        <v>871</v>
      </c>
      <c r="D1354" t="s">
        <v>48</v>
      </c>
      <c r="E1354" s="17">
        <v>5.5</v>
      </c>
      <c r="F1354" s="17">
        <v>130</v>
      </c>
      <c r="G1354" s="18">
        <v>715</v>
      </c>
      <c r="H1354" s="30" t="s">
        <v>2294</v>
      </c>
      <c r="J1354" s="34"/>
    </row>
    <row r="1355" spans="1:10" x14ac:dyDescent="0.25">
      <c r="A1355" s="15">
        <v>41135</v>
      </c>
      <c r="B1355" s="16" t="s">
        <v>887</v>
      </c>
      <c r="C1355" t="s">
        <v>873</v>
      </c>
      <c r="D1355" t="s">
        <v>48</v>
      </c>
      <c r="E1355" s="17">
        <v>4</v>
      </c>
      <c r="F1355" s="17">
        <v>95</v>
      </c>
      <c r="G1355" s="18">
        <v>380</v>
      </c>
      <c r="H1355" s="30" t="s">
        <v>2294</v>
      </c>
      <c r="J1355" s="34"/>
    </row>
    <row r="1356" spans="1:10" x14ac:dyDescent="0.25">
      <c r="A1356" s="15">
        <v>41136</v>
      </c>
      <c r="B1356" s="16" t="s">
        <v>878</v>
      </c>
      <c r="C1356" t="s">
        <v>879</v>
      </c>
      <c r="D1356" t="s">
        <v>48</v>
      </c>
      <c r="E1356" s="17">
        <v>3</v>
      </c>
      <c r="F1356" s="17">
        <v>110</v>
      </c>
      <c r="G1356" s="18">
        <v>330</v>
      </c>
      <c r="H1356" s="30" t="s">
        <v>2294</v>
      </c>
      <c r="J1356" s="34"/>
    </row>
    <row r="1357" spans="1:10" x14ac:dyDescent="0.25">
      <c r="A1357" s="15">
        <v>41136</v>
      </c>
      <c r="B1357" s="16" t="s">
        <v>920</v>
      </c>
      <c r="C1357" t="s">
        <v>871</v>
      </c>
      <c r="D1357" t="s">
        <v>48</v>
      </c>
      <c r="E1357" s="17">
        <v>5</v>
      </c>
      <c r="F1357" s="17">
        <v>130</v>
      </c>
      <c r="G1357" s="18">
        <v>650</v>
      </c>
      <c r="H1357" s="30" t="s">
        <v>2294</v>
      </c>
      <c r="J1357" s="34"/>
    </row>
    <row r="1358" spans="1:10" x14ac:dyDescent="0.25">
      <c r="A1358" s="15">
        <v>41136</v>
      </c>
      <c r="B1358" s="16" t="s">
        <v>904</v>
      </c>
      <c r="C1358" t="s">
        <v>905</v>
      </c>
      <c r="D1358" t="s">
        <v>48</v>
      </c>
      <c r="E1358" s="17">
        <v>5</v>
      </c>
      <c r="F1358" s="17">
        <v>95</v>
      </c>
      <c r="G1358" s="18">
        <v>475</v>
      </c>
      <c r="H1358" s="30" t="s">
        <v>2294</v>
      </c>
      <c r="J1358" s="34"/>
    </row>
    <row r="1359" spans="1:10" x14ac:dyDescent="0.25">
      <c r="A1359" s="15">
        <v>41136</v>
      </c>
      <c r="B1359" s="16" t="s">
        <v>880</v>
      </c>
      <c r="C1359" t="s">
        <v>881</v>
      </c>
      <c r="D1359" t="s">
        <v>48</v>
      </c>
      <c r="E1359" s="17">
        <v>5</v>
      </c>
      <c r="F1359" s="17">
        <v>95</v>
      </c>
      <c r="G1359" s="18">
        <v>475</v>
      </c>
      <c r="H1359" s="30" t="s">
        <v>2294</v>
      </c>
      <c r="J1359" s="34"/>
    </row>
    <row r="1360" spans="1:10" x14ac:dyDescent="0.25">
      <c r="A1360" s="15">
        <v>41136</v>
      </c>
      <c r="B1360" s="16" t="s">
        <v>865</v>
      </c>
      <c r="C1360" t="s">
        <v>8</v>
      </c>
      <c r="D1360" t="s">
        <v>48</v>
      </c>
      <c r="E1360" s="17">
        <v>5.5</v>
      </c>
      <c r="F1360" s="17">
        <v>35.35</v>
      </c>
      <c r="G1360" s="18">
        <v>194.42500000000001</v>
      </c>
      <c r="H1360" s="30" t="s">
        <v>2294</v>
      </c>
      <c r="J1360" s="34"/>
    </row>
    <row r="1361" spans="1:10" x14ac:dyDescent="0.25">
      <c r="A1361" s="15">
        <v>41136</v>
      </c>
      <c r="B1361" s="16" t="s">
        <v>887</v>
      </c>
      <c r="C1361" t="s">
        <v>873</v>
      </c>
      <c r="D1361" t="s">
        <v>48</v>
      </c>
      <c r="E1361" s="17">
        <v>3</v>
      </c>
      <c r="F1361" s="17">
        <v>95</v>
      </c>
      <c r="G1361" s="18">
        <v>285</v>
      </c>
      <c r="H1361" s="30" t="s">
        <v>2294</v>
      </c>
      <c r="J1361" s="34"/>
    </row>
    <row r="1362" spans="1:10" x14ac:dyDescent="0.25">
      <c r="A1362" s="15">
        <v>41137</v>
      </c>
      <c r="B1362" s="16" t="s">
        <v>986</v>
      </c>
      <c r="C1362" t="s">
        <v>974</v>
      </c>
      <c r="D1362" t="s">
        <v>774</v>
      </c>
      <c r="E1362" s="17">
        <v>1</v>
      </c>
      <c r="F1362" s="17">
        <v>365</v>
      </c>
      <c r="G1362" s="18">
        <v>365</v>
      </c>
      <c r="H1362" s="30" t="s">
        <v>2294</v>
      </c>
      <c r="J1362" s="34"/>
    </row>
    <row r="1363" spans="1:10" x14ac:dyDescent="0.25">
      <c r="A1363" s="15">
        <v>41138</v>
      </c>
      <c r="B1363" s="16" t="s">
        <v>986</v>
      </c>
      <c r="C1363" t="s">
        <v>974</v>
      </c>
      <c r="D1363" t="s">
        <v>774</v>
      </c>
      <c r="E1363" s="17">
        <v>1</v>
      </c>
      <c r="F1363" s="17">
        <v>365</v>
      </c>
      <c r="G1363" s="18">
        <v>365</v>
      </c>
      <c r="H1363" s="30" t="s">
        <v>2294</v>
      </c>
      <c r="J1363" s="34"/>
    </row>
    <row r="1364" spans="1:10" x14ac:dyDescent="0.25">
      <c r="A1364" s="15">
        <v>41139</v>
      </c>
      <c r="B1364" s="16" t="s">
        <v>986</v>
      </c>
      <c r="C1364" t="s">
        <v>974</v>
      </c>
      <c r="D1364" t="s">
        <v>774</v>
      </c>
      <c r="E1364" s="17">
        <v>1</v>
      </c>
      <c r="F1364" s="17">
        <v>365</v>
      </c>
      <c r="G1364" s="18">
        <v>365</v>
      </c>
      <c r="H1364" s="30" t="s">
        <v>2294</v>
      </c>
      <c r="J1364" s="34"/>
    </row>
    <row r="1365" spans="1:10" x14ac:dyDescent="0.25">
      <c r="A1365" s="15">
        <v>41142</v>
      </c>
      <c r="B1365" s="16" t="s">
        <v>865</v>
      </c>
      <c r="C1365" t="s">
        <v>8</v>
      </c>
      <c r="D1365" t="s">
        <v>48</v>
      </c>
      <c r="E1365" s="17">
        <v>5</v>
      </c>
      <c r="F1365" s="17">
        <v>35.35</v>
      </c>
      <c r="G1365" s="18">
        <v>176.75</v>
      </c>
      <c r="H1365" s="30" t="s">
        <v>2294</v>
      </c>
      <c r="J1365" s="34"/>
    </row>
    <row r="1366" spans="1:10" x14ac:dyDescent="0.25">
      <c r="A1366" s="15">
        <v>41142</v>
      </c>
      <c r="B1366" s="16" t="s">
        <v>865</v>
      </c>
      <c r="C1366" t="s">
        <v>8</v>
      </c>
      <c r="D1366" t="s">
        <v>48</v>
      </c>
      <c r="E1366" s="17">
        <v>5</v>
      </c>
      <c r="F1366" s="17">
        <v>35.35</v>
      </c>
      <c r="G1366" s="18">
        <v>176.75</v>
      </c>
      <c r="H1366" s="30" t="s">
        <v>2294</v>
      </c>
      <c r="J1366" s="34"/>
    </row>
    <row r="1367" spans="1:10" x14ac:dyDescent="0.25">
      <c r="A1367" s="15">
        <v>41142</v>
      </c>
      <c r="B1367" s="16" t="s">
        <v>882</v>
      </c>
      <c r="C1367" t="s">
        <v>8</v>
      </c>
      <c r="D1367" t="s">
        <v>48</v>
      </c>
      <c r="E1367" s="17">
        <v>3</v>
      </c>
      <c r="F1367" s="17">
        <v>48</v>
      </c>
      <c r="G1367" s="18">
        <v>144</v>
      </c>
      <c r="H1367" s="30" t="s">
        <v>2294</v>
      </c>
      <c r="J1367" s="34"/>
    </row>
    <row r="1368" spans="1:10" x14ac:dyDescent="0.25">
      <c r="A1368" s="15">
        <v>41142</v>
      </c>
      <c r="B1368" s="16" t="s">
        <v>865</v>
      </c>
      <c r="C1368" t="s">
        <v>8</v>
      </c>
      <c r="D1368" t="s">
        <v>48</v>
      </c>
      <c r="E1368" s="17">
        <v>5</v>
      </c>
      <c r="F1368" s="17">
        <v>35.35</v>
      </c>
      <c r="G1368" s="18">
        <v>176.75</v>
      </c>
      <c r="H1368" s="30" t="s">
        <v>2294</v>
      </c>
      <c r="J1368" s="34"/>
    </row>
    <row r="1369" spans="1:10" x14ac:dyDescent="0.25">
      <c r="A1369" s="15">
        <v>41142</v>
      </c>
      <c r="B1369" s="16" t="s">
        <v>880</v>
      </c>
      <c r="C1369" t="s">
        <v>881</v>
      </c>
      <c r="D1369" t="s">
        <v>48</v>
      </c>
      <c r="E1369" s="17">
        <v>5.5</v>
      </c>
      <c r="F1369" s="17">
        <v>95</v>
      </c>
      <c r="G1369" s="18">
        <v>522.5</v>
      </c>
      <c r="H1369" s="30" t="s">
        <v>2294</v>
      </c>
      <c r="J1369" s="34"/>
    </row>
    <row r="1370" spans="1:10" x14ac:dyDescent="0.25">
      <c r="A1370" s="15">
        <v>41142</v>
      </c>
      <c r="B1370" s="16" t="s">
        <v>986</v>
      </c>
      <c r="C1370" t="s">
        <v>974</v>
      </c>
      <c r="D1370" t="s">
        <v>774</v>
      </c>
      <c r="E1370" s="17">
        <v>1</v>
      </c>
      <c r="F1370" s="17">
        <v>365</v>
      </c>
      <c r="G1370" s="18">
        <v>365</v>
      </c>
      <c r="H1370" s="30" t="s">
        <v>2294</v>
      </c>
      <c r="J1370" s="34"/>
    </row>
    <row r="1371" spans="1:10" x14ac:dyDescent="0.25">
      <c r="A1371" s="15">
        <v>41142</v>
      </c>
      <c r="B1371" s="16" t="s">
        <v>878</v>
      </c>
      <c r="C1371" t="s">
        <v>879</v>
      </c>
      <c r="D1371" t="s">
        <v>48</v>
      </c>
      <c r="E1371" s="17">
        <v>5</v>
      </c>
      <c r="F1371" s="17">
        <v>110</v>
      </c>
      <c r="G1371" s="18">
        <v>550</v>
      </c>
      <c r="H1371" s="30" t="s">
        <v>2294</v>
      </c>
      <c r="J1371" s="34"/>
    </row>
    <row r="1372" spans="1:10" x14ac:dyDescent="0.25">
      <c r="A1372" s="15">
        <v>41142</v>
      </c>
      <c r="B1372" s="16" t="s">
        <v>904</v>
      </c>
      <c r="C1372" t="s">
        <v>905</v>
      </c>
      <c r="D1372" t="s">
        <v>48</v>
      </c>
      <c r="E1372" s="17">
        <v>5.5</v>
      </c>
      <c r="F1372" s="17">
        <v>95</v>
      </c>
      <c r="G1372" s="18">
        <v>522.5</v>
      </c>
      <c r="H1372" s="30" t="s">
        <v>2294</v>
      </c>
      <c r="J1372" s="34"/>
    </row>
    <row r="1373" spans="1:10" x14ac:dyDescent="0.25">
      <c r="A1373" s="15">
        <v>41143</v>
      </c>
      <c r="B1373" s="16" t="s">
        <v>880</v>
      </c>
      <c r="C1373" t="s">
        <v>881</v>
      </c>
      <c r="D1373" t="s">
        <v>48</v>
      </c>
      <c r="E1373" s="17">
        <v>3</v>
      </c>
      <c r="F1373" s="17">
        <v>95</v>
      </c>
      <c r="G1373" s="18">
        <v>285</v>
      </c>
      <c r="H1373" s="30" t="s">
        <v>2294</v>
      </c>
      <c r="J1373" s="34"/>
    </row>
    <row r="1374" spans="1:10" x14ac:dyDescent="0.25">
      <c r="A1374" s="15">
        <v>41143</v>
      </c>
      <c r="B1374" s="16" t="s">
        <v>904</v>
      </c>
      <c r="C1374" t="s">
        <v>905</v>
      </c>
      <c r="D1374" t="s">
        <v>48</v>
      </c>
      <c r="E1374" s="17">
        <v>3</v>
      </c>
      <c r="F1374" s="17">
        <v>95</v>
      </c>
      <c r="G1374" s="18">
        <v>285</v>
      </c>
      <c r="H1374" s="30" t="s">
        <v>2294</v>
      </c>
      <c r="J1374" s="34"/>
    </row>
    <row r="1375" spans="1:10" x14ac:dyDescent="0.25">
      <c r="A1375" s="15">
        <v>41143</v>
      </c>
      <c r="B1375" s="16" t="s">
        <v>887</v>
      </c>
      <c r="C1375" t="s">
        <v>873</v>
      </c>
      <c r="D1375" t="s">
        <v>48</v>
      </c>
      <c r="E1375" s="17">
        <v>5.5</v>
      </c>
      <c r="F1375" s="17">
        <v>95</v>
      </c>
      <c r="G1375" s="18">
        <v>522.5</v>
      </c>
      <c r="H1375" s="30" t="s">
        <v>2294</v>
      </c>
      <c r="J1375" s="34"/>
    </row>
    <row r="1376" spans="1:10" x14ac:dyDescent="0.25">
      <c r="A1376" s="15">
        <v>41143</v>
      </c>
      <c r="B1376" s="16" t="s">
        <v>865</v>
      </c>
      <c r="C1376" t="s">
        <v>8</v>
      </c>
      <c r="D1376" t="s">
        <v>48</v>
      </c>
      <c r="E1376" s="17">
        <v>4.5</v>
      </c>
      <c r="F1376" s="17">
        <v>35.35</v>
      </c>
      <c r="G1376" s="18">
        <v>159.07499999999999</v>
      </c>
      <c r="H1376" s="30" t="s">
        <v>2294</v>
      </c>
      <c r="J1376" s="34"/>
    </row>
    <row r="1377" spans="1:10" x14ac:dyDescent="0.25">
      <c r="A1377" s="15">
        <v>41143</v>
      </c>
      <c r="B1377" s="16" t="s">
        <v>865</v>
      </c>
      <c r="C1377" t="s">
        <v>8</v>
      </c>
      <c r="D1377" t="s">
        <v>48</v>
      </c>
      <c r="E1377" s="17">
        <v>4.5</v>
      </c>
      <c r="F1377" s="17">
        <v>35.35</v>
      </c>
      <c r="G1377" s="18">
        <v>159.07499999999999</v>
      </c>
      <c r="H1377" s="30" t="s">
        <v>2294</v>
      </c>
      <c r="J1377" s="34"/>
    </row>
    <row r="1378" spans="1:10" x14ac:dyDescent="0.25">
      <c r="A1378" s="15">
        <v>41143</v>
      </c>
      <c r="B1378" s="16" t="s">
        <v>920</v>
      </c>
      <c r="C1378" t="s">
        <v>871</v>
      </c>
      <c r="D1378" t="s">
        <v>48</v>
      </c>
      <c r="E1378" s="17">
        <v>4.5</v>
      </c>
      <c r="F1378" s="17">
        <v>130</v>
      </c>
      <c r="G1378" s="18">
        <v>585</v>
      </c>
      <c r="H1378" s="30" t="s">
        <v>2294</v>
      </c>
      <c r="J1378" s="34"/>
    </row>
    <row r="1379" spans="1:10" x14ac:dyDescent="0.25">
      <c r="A1379" s="15">
        <v>41143</v>
      </c>
      <c r="B1379" s="16" t="s">
        <v>872</v>
      </c>
      <c r="C1379" t="s">
        <v>873</v>
      </c>
      <c r="D1379" t="s">
        <v>48</v>
      </c>
      <c r="E1379" s="17">
        <v>7.5</v>
      </c>
      <c r="F1379" s="17">
        <v>95</v>
      </c>
      <c r="G1379" s="18">
        <v>712.5</v>
      </c>
      <c r="H1379" s="30" t="s">
        <v>2294</v>
      </c>
      <c r="J1379" s="34"/>
    </row>
    <row r="1380" spans="1:10" x14ac:dyDescent="0.25">
      <c r="A1380" s="15">
        <v>41143</v>
      </c>
      <c r="B1380" s="16" t="s">
        <v>945</v>
      </c>
      <c r="C1380" t="s">
        <v>946</v>
      </c>
      <c r="D1380" t="s">
        <v>48</v>
      </c>
      <c r="E1380" s="17">
        <v>5.5</v>
      </c>
      <c r="F1380" s="17">
        <v>130</v>
      </c>
      <c r="G1380" s="18">
        <v>715</v>
      </c>
      <c r="H1380" s="30" t="s">
        <v>2294</v>
      </c>
      <c r="J1380" s="34"/>
    </row>
    <row r="1381" spans="1:10" x14ac:dyDescent="0.25">
      <c r="A1381" s="15">
        <v>41143</v>
      </c>
      <c r="B1381" s="16" t="s">
        <v>986</v>
      </c>
      <c r="C1381" t="s">
        <v>974</v>
      </c>
      <c r="D1381" t="s">
        <v>774</v>
      </c>
      <c r="E1381" s="17">
        <v>1</v>
      </c>
      <c r="F1381" s="17">
        <v>365</v>
      </c>
      <c r="G1381" s="18">
        <v>365</v>
      </c>
      <c r="H1381" s="30" t="s">
        <v>2294</v>
      </c>
      <c r="J1381" s="34"/>
    </row>
    <row r="1382" spans="1:10" x14ac:dyDescent="0.25">
      <c r="A1382" s="15">
        <v>41143</v>
      </c>
      <c r="B1382" s="16" t="s">
        <v>931</v>
      </c>
      <c r="C1382" t="s">
        <v>934</v>
      </c>
      <c r="D1382" t="s">
        <v>48</v>
      </c>
      <c r="E1382" s="17">
        <v>5.5</v>
      </c>
      <c r="F1382" s="17">
        <v>107.27</v>
      </c>
      <c r="G1382" s="18">
        <v>589.98500000000001</v>
      </c>
      <c r="H1382" s="30" t="s">
        <v>2294</v>
      </c>
      <c r="J1382" s="34"/>
    </row>
    <row r="1383" spans="1:10" x14ac:dyDescent="0.25">
      <c r="A1383" s="15">
        <v>41144</v>
      </c>
      <c r="B1383" s="16" t="s">
        <v>865</v>
      </c>
      <c r="C1383" t="s">
        <v>8</v>
      </c>
      <c r="D1383" t="s">
        <v>48</v>
      </c>
      <c r="E1383" s="17">
        <v>2</v>
      </c>
      <c r="F1383" s="17">
        <v>35.35</v>
      </c>
      <c r="G1383" s="18">
        <v>70.7</v>
      </c>
      <c r="H1383" s="30" t="s">
        <v>2294</v>
      </c>
      <c r="J1383" s="34"/>
    </row>
    <row r="1384" spans="1:10" x14ac:dyDescent="0.25">
      <c r="A1384" s="15">
        <v>41144</v>
      </c>
      <c r="B1384" s="16" t="s">
        <v>865</v>
      </c>
      <c r="C1384" t="s">
        <v>8</v>
      </c>
      <c r="D1384" t="s">
        <v>48</v>
      </c>
      <c r="E1384" s="17">
        <v>2</v>
      </c>
      <c r="F1384" s="17">
        <v>35.35</v>
      </c>
      <c r="G1384" s="18">
        <v>70.7</v>
      </c>
      <c r="H1384" s="30" t="s">
        <v>2294</v>
      </c>
      <c r="J1384" s="34"/>
    </row>
    <row r="1385" spans="1:10" x14ac:dyDescent="0.25">
      <c r="A1385" s="15">
        <v>41144</v>
      </c>
      <c r="B1385" s="16" t="s">
        <v>920</v>
      </c>
      <c r="C1385" t="s">
        <v>871</v>
      </c>
      <c r="D1385" t="s">
        <v>48</v>
      </c>
      <c r="E1385" s="17">
        <v>4.5</v>
      </c>
      <c r="F1385" s="17">
        <v>130</v>
      </c>
      <c r="G1385" s="18">
        <v>585</v>
      </c>
      <c r="H1385" s="30" t="s">
        <v>2294</v>
      </c>
      <c r="J1385" s="34"/>
    </row>
    <row r="1386" spans="1:10" x14ac:dyDescent="0.25">
      <c r="A1386" s="15">
        <v>41144</v>
      </c>
      <c r="B1386" s="16" t="s">
        <v>880</v>
      </c>
      <c r="C1386" t="s">
        <v>881</v>
      </c>
      <c r="D1386" t="s">
        <v>48</v>
      </c>
      <c r="E1386" s="17">
        <v>3</v>
      </c>
      <c r="F1386" s="17">
        <v>95</v>
      </c>
      <c r="G1386" s="18">
        <v>285</v>
      </c>
      <c r="H1386" s="30" t="s">
        <v>2294</v>
      </c>
      <c r="J1386" s="34"/>
    </row>
    <row r="1387" spans="1:10" x14ac:dyDescent="0.25">
      <c r="A1387" s="15">
        <v>41144</v>
      </c>
      <c r="B1387" s="16" t="s">
        <v>904</v>
      </c>
      <c r="C1387" t="s">
        <v>905</v>
      </c>
      <c r="D1387" t="s">
        <v>48</v>
      </c>
      <c r="E1387" s="17">
        <v>3</v>
      </c>
      <c r="F1387" s="17">
        <v>95</v>
      </c>
      <c r="G1387" s="18">
        <v>285</v>
      </c>
      <c r="H1387" s="30" t="s">
        <v>2294</v>
      </c>
      <c r="J1387" s="34"/>
    </row>
    <row r="1388" spans="1:10" x14ac:dyDescent="0.25">
      <c r="A1388" s="15">
        <v>41144</v>
      </c>
      <c r="B1388" s="16" t="s">
        <v>986</v>
      </c>
      <c r="C1388" t="s">
        <v>974</v>
      </c>
      <c r="D1388" t="s">
        <v>774</v>
      </c>
      <c r="E1388" s="17">
        <v>1</v>
      </c>
      <c r="F1388" s="17">
        <v>365</v>
      </c>
      <c r="G1388" s="18">
        <v>365</v>
      </c>
      <c r="H1388" s="30" t="s">
        <v>2294</v>
      </c>
      <c r="J1388" s="34"/>
    </row>
    <row r="1389" spans="1:10" x14ac:dyDescent="0.25">
      <c r="A1389" s="15">
        <v>41145</v>
      </c>
      <c r="B1389" s="16" t="s">
        <v>887</v>
      </c>
      <c r="C1389" t="s">
        <v>873</v>
      </c>
      <c r="D1389" t="s">
        <v>48</v>
      </c>
      <c r="E1389" s="17">
        <v>2</v>
      </c>
      <c r="F1389" s="17">
        <v>95</v>
      </c>
      <c r="G1389" s="18">
        <v>190</v>
      </c>
      <c r="H1389" s="30" t="s">
        <v>2294</v>
      </c>
      <c r="J1389" s="34"/>
    </row>
    <row r="1390" spans="1:10" x14ac:dyDescent="0.25">
      <c r="A1390" s="15">
        <v>41145</v>
      </c>
      <c r="B1390" s="16" t="s">
        <v>865</v>
      </c>
      <c r="C1390" t="s">
        <v>8</v>
      </c>
      <c r="D1390" t="s">
        <v>48</v>
      </c>
      <c r="E1390" s="17">
        <v>5.5</v>
      </c>
      <c r="F1390" s="17">
        <v>35.35</v>
      </c>
      <c r="G1390" s="18">
        <v>194.42500000000001</v>
      </c>
      <c r="H1390" s="30" t="s">
        <v>2294</v>
      </c>
      <c r="J1390" s="34"/>
    </row>
    <row r="1391" spans="1:10" x14ac:dyDescent="0.25">
      <c r="A1391" s="15">
        <v>41145</v>
      </c>
      <c r="B1391" s="16" t="s">
        <v>882</v>
      </c>
      <c r="C1391" t="s">
        <v>8</v>
      </c>
      <c r="D1391" t="s">
        <v>48</v>
      </c>
      <c r="E1391" s="17">
        <v>5.5</v>
      </c>
      <c r="F1391" s="17">
        <v>48</v>
      </c>
      <c r="G1391" s="18">
        <v>264</v>
      </c>
      <c r="H1391" s="30" t="s">
        <v>2294</v>
      </c>
      <c r="J1391" s="34"/>
    </row>
    <row r="1392" spans="1:10" x14ac:dyDescent="0.25">
      <c r="A1392" s="15">
        <v>41145</v>
      </c>
      <c r="B1392" s="16" t="s">
        <v>865</v>
      </c>
      <c r="C1392" t="s">
        <v>8</v>
      </c>
      <c r="D1392" t="s">
        <v>48</v>
      </c>
      <c r="E1392" s="17">
        <v>4</v>
      </c>
      <c r="F1392" s="17">
        <v>35.35</v>
      </c>
      <c r="G1392" s="18">
        <v>141.4</v>
      </c>
      <c r="H1392" s="30" t="s">
        <v>2294</v>
      </c>
      <c r="J1392" s="34"/>
    </row>
    <row r="1393" spans="1:10" x14ac:dyDescent="0.25">
      <c r="A1393" s="15">
        <v>41145</v>
      </c>
      <c r="B1393" s="16" t="s">
        <v>865</v>
      </c>
      <c r="C1393" t="s">
        <v>8</v>
      </c>
      <c r="D1393" t="s">
        <v>48</v>
      </c>
      <c r="E1393" s="17">
        <v>5.5</v>
      </c>
      <c r="F1393" s="17">
        <v>35.35</v>
      </c>
      <c r="G1393" s="18">
        <v>194.42500000000001</v>
      </c>
      <c r="H1393" s="30" t="s">
        <v>2294</v>
      </c>
      <c r="J1393" s="34"/>
    </row>
    <row r="1394" spans="1:10" x14ac:dyDescent="0.25">
      <c r="A1394" s="15">
        <v>41145</v>
      </c>
      <c r="B1394" s="16" t="s">
        <v>865</v>
      </c>
      <c r="C1394" t="s">
        <v>8</v>
      </c>
      <c r="D1394" t="s">
        <v>48</v>
      </c>
      <c r="E1394" s="17">
        <v>4</v>
      </c>
      <c r="F1394" s="17">
        <v>35.35</v>
      </c>
      <c r="G1394" s="18">
        <v>141.4</v>
      </c>
      <c r="H1394" s="30" t="s">
        <v>2294</v>
      </c>
      <c r="J1394" s="34"/>
    </row>
    <row r="1395" spans="1:10" x14ac:dyDescent="0.25">
      <c r="A1395" s="15">
        <v>41145</v>
      </c>
      <c r="B1395" s="16" t="s">
        <v>878</v>
      </c>
      <c r="C1395" t="s">
        <v>879</v>
      </c>
      <c r="D1395" t="s">
        <v>48</v>
      </c>
      <c r="E1395" s="17">
        <v>4.5</v>
      </c>
      <c r="F1395" s="17">
        <v>110</v>
      </c>
      <c r="G1395" s="18">
        <v>495</v>
      </c>
      <c r="H1395" s="30" t="s">
        <v>2294</v>
      </c>
      <c r="J1395" s="34"/>
    </row>
    <row r="1396" spans="1:10" x14ac:dyDescent="0.25">
      <c r="A1396" s="15">
        <v>41148</v>
      </c>
      <c r="B1396" s="16" t="s">
        <v>880</v>
      </c>
      <c r="C1396" t="s">
        <v>881</v>
      </c>
      <c r="D1396" t="s">
        <v>48</v>
      </c>
      <c r="E1396" s="17">
        <v>5</v>
      </c>
      <c r="F1396" s="17">
        <v>95</v>
      </c>
      <c r="G1396" s="18">
        <v>475</v>
      </c>
      <c r="H1396" s="30" t="s">
        <v>2294</v>
      </c>
      <c r="J1396" s="34"/>
    </row>
    <row r="1397" spans="1:10" x14ac:dyDescent="0.25">
      <c r="A1397" s="15">
        <v>41148</v>
      </c>
      <c r="B1397" s="16" t="s">
        <v>865</v>
      </c>
      <c r="C1397" t="s">
        <v>8</v>
      </c>
      <c r="D1397" t="s">
        <v>48</v>
      </c>
      <c r="E1397" s="17">
        <v>4</v>
      </c>
      <c r="F1397" s="17">
        <v>35.35</v>
      </c>
      <c r="G1397" s="18">
        <v>141.4</v>
      </c>
      <c r="H1397" s="30" t="s">
        <v>2294</v>
      </c>
      <c r="J1397" s="34"/>
    </row>
    <row r="1398" spans="1:10" x14ac:dyDescent="0.25">
      <c r="A1398" s="15">
        <v>41148</v>
      </c>
      <c r="B1398" s="16" t="s">
        <v>920</v>
      </c>
      <c r="C1398" t="s">
        <v>871</v>
      </c>
      <c r="D1398" t="s">
        <v>48</v>
      </c>
      <c r="E1398" s="17">
        <v>3.5</v>
      </c>
      <c r="F1398" s="17">
        <v>130</v>
      </c>
      <c r="G1398" s="18">
        <v>455</v>
      </c>
      <c r="H1398" s="30" t="s">
        <v>2294</v>
      </c>
      <c r="J1398" s="34"/>
    </row>
    <row r="1399" spans="1:10" x14ac:dyDescent="0.25">
      <c r="A1399" s="15">
        <v>41148</v>
      </c>
      <c r="B1399" s="16" t="s">
        <v>878</v>
      </c>
      <c r="C1399" t="s">
        <v>879</v>
      </c>
      <c r="D1399" t="s">
        <v>48</v>
      </c>
      <c r="E1399" s="17">
        <v>4.5</v>
      </c>
      <c r="F1399" s="17">
        <v>110</v>
      </c>
      <c r="G1399" s="18">
        <v>495</v>
      </c>
      <c r="H1399" s="30" t="s">
        <v>2294</v>
      </c>
      <c r="J1399" s="34"/>
    </row>
    <row r="1400" spans="1:10" x14ac:dyDescent="0.25">
      <c r="A1400" s="15">
        <v>41148</v>
      </c>
      <c r="B1400" s="16" t="s">
        <v>904</v>
      </c>
      <c r="C1400" t="s">
        <v>905</v>
      </c>
      <c r="D1400" t="s">
        <v>48</v>
      </c>
      <c r="E1400" s="17">
        <v>5</v>
      </c>
      <c r="F1400" s="17">
        <v>95</v>
      </c>
      <c r="G1400" s="18">
        <v>475</v>
      </c>
      <c r="H1400" s="30" t="s">
        <v>2294</v>
      </c>
      <c r="J1400" s="34"/>
    </row>
    <row r="1401" spans="1:10" x14ac:dyDescent="0.25">
      <c r="A1401" s="15">
        <v>41148</v>
      </c>
      <c r="B1401" s="16" t="s">
        <v>865</v>
      </c>
      <c r="C1401" t="s">
        <v>8</v>
      </c>
      <c r="D1401" t="s">
        <v>48</v>
      </c>
      <c r="E1401" s="17">
        <v>4</v>
      </c>
      <c r="F1401" s="17">
        <v>35.35</v>
      </c>
      <c r="G1401" s="18">
        <v>141.4</v>
      </c>
      <c r="H1401" s="30" t="s">
        <v>2294</v>
      </c>
      <c r="J1401" s="34"/>
    </row>
    <row r="1402" spans="1:10" x14ac:dyDescent="0.25">
      <c r="A1402" s="15">
        <v>41149</v>
      </c>
      <c r="B1402" s="16" t="s">
        <v>878</v>
      </c>
      <c r="C1402" t="s">
        <v>879</v>
      </c>
      <c r="D1402" t="s">
        <v>48</v>
      </c>
      <c r="E1402" s="17">
        <v>2.5</v>
      </c>
      <c r="F1402" s="17">
        <v>110</v>
      </c>
      <c r="G1402" s="18">
        <v>275</v>
      </c>
      <c r="H1402" s="30" t="s">
        <v>2294</v>
      </c>
      <c r="J1402" s="34"/>
    </row>
    <row r="1403" spans="1:10" x14ac:dyDescent="0.25">
      <c r="A1403" s="15">
        <v>41149</v>
      </c>
      <c r="B1403" s="16" t="s">
        <v>887</v>
      </c>
      <c r="C1403" t="s">
        <v>873</v>
      </c>
      <c r="D1403" t="s">
        <v>48</v>
      </c>
      <c r="E1403" s="17">
        <v>3</v>
      </c>
      <c r="F1403" s="17">
        <v>95</v>
      </c>
      <c r="G1403" s="18">
        <v>285</v>
      </c>
      <c r="H1403" s="30" t="s">
        <v>2294</v>
      </c>
      <c r="J1403" s="34"/>
    </row>
    <row r="1404" spans="1:10" x14ac:dyDescent="0.25">
      <c r="A1404" s="15">
        <v>41149</v>
      </c>
      <c r="B1404" s="16" t="s">
        <v>904</v>
      </c>
      <c r="C1404" t="s">
        <v>905</v>
      </c>
      <c r="D1404" t="s">
        <v>48</v>
      </c>
      <c r="E1404" s="17">
        <v>5</v>
      </c>
      <c r="F1404" s="17">
        <v>95</v>
      </c>
      <c r="G1404" s="18">
        <v>475</v>
      </c>
      <c r="H1404" s="30" t="s">
        <v>2294</v>
      </c>
      <c r="J1404" s="34"/>
    </row>
    <row r="1405" spans="1:10" x14ac:dyDescent="0.25">
      <c r="A1405" s="15">
        <v>41149</v>
      </c>
      <c r="B1405" s="16" t="s">
        <v>865</v>
      </c>
      <c r="C1405" t="s">
        <v>8</v>
      </c>
      <c r="D1405" t="s">
        <v>48</v>
      </c>
      <c r="E1405" s="17">
        <v>6</v>
      </c>
      <c r="F1405" s="17">
        <v>35.35</v>
      </c>
      <c r="G1405" s="18">
        <v>212.1</v>
      </c>
      <c r="H1405" s="30" t="s">
        <v>2294</v>
      </c>
      <c r="J1405" s="34"/>
    </row>
    <row r="1406" spans="1:10" x14ac:dyDescent="0.25">
      <c r="A1406" s="15">
        <v>41149</v>
      </c>
      <c r="B1406" s="16" t="s">
        <v>920</v>
      </c>
      <c r="C1406" t="s">
        <v>871</v>
      </c>
      <c r="D1406" t="s">
        <v>48</v>
      </c>
      <c r="E1406" s="17">
        <v>3.5</v>
      </c>
      <c r="F1406" s="17">
        <v>130</v>
      </c>
      <c r="G1406" s="18">
        <v>455</v>
      </c>
      <c r="H1406" s="30" t="s">
        <v>2294</v>
      </c>
      <c r="J1406" s="34"/>
    </row>
    <row r="1407" spans="1:10" x14ac:dyDescent="0.25">
      <c r="A1407" s="15">
        <v>41149</v>
      </c>
      <c r="B1407" s="16" t="s">
        <v>880</v>
      </c>
      <c r="C1407" t="s">
        <v>881</v>
      </c>
      <c r="D1407" t="s">
        <v>48</v>
      </c>
      <c r="E1407" s="17">
        <v>5</v>
      </c>
      <c r="F1407" s="17">
        <v>95</v>
      </c>
      <c r="G1407" s="18">
        <v>475</v>
      </c>
      <c r="H1407" s="30" t="s">
        <v>2294</v>
      </c>
      <c r="J1407" s="34"/>
    </row>
    <row r="1408" spans="1:10" x14ac:dyDescent="0.25">
      <c r="A1408" s="15">
        <v>41150</v>
      </c>
      <c r="B1408" s="16" t="s">
        <v>920</v>
      </c>
      <c r="C1408" t="s">
        <v>871</v>
      </c>
      <c r="D1408" t="s">
        <v>48</v>
      </c>
      <c r="E1408" s="17">
        <v>4</v>
      </c>
      <c r="F1408" s="17">
        <v>130</v>
      </c>
      <c r="G1408" s="18">
        <v>520</v>
      </c>
      <c r="H1408" s="30" t="s">
        <v>2294</v>
      </c>
      <c r="J1408" s="34"/>
    </row>
    <row r="1409" spans="1:10" x14ac:dyDescent="0.25">
      <c r="A1409" s="15">
        <v>41150</v>
      </c>
      <c r="B1409" s="16" t="s">
        <v>904</v>
      </c>
      <c r="C1409" t="s">
        <v>905</v>
      </c>
      <c r="D1409" t="s">
        <v>48</v>
      </c>
      <c r="E1409" s="17">
        <v>4</v>
      </c>
      <c r="F1409" s="17">
        <v>95</v>
      </c>
      <c r="G1409" s="18">
        <v>380</v>
      </c>
      <c r="H1409" s="30" t="s">
        <v>2294</v>
      </c>
      <c r="J1409" s="34"/>
    </row>
    <row r="1410" spans="1:10" x14ac:dyDescent="0.25">
      <c r="A1410" s="15">
        <v>41150</v>
      </c>
      <c r="B1410" s="16" t="s">
        <v>922</v>
      </c>
      <c r="C1410" t="s">
        <v>886</v>
      </c>
      <c r="D1410" t="s">
        <v>48</v>
      </c>
      <c r="E1410" s="17">
        <v>4</v>
      </c>
      <c r="F1410" s="17">
        <v>95</v>
      </c>
      <c r="G1410" s="18">
        <v>380</v>
      </c>
      <c r="H1410" s="30" t="s">
        <v>2294</v>
      </c>
      <c r="J1410" s="34"/>
    </row>
    <row r="1411" spans="1:10" x14ac:dyDescent="0.25">
      <c r="A1411" s="15">
        <v>41150</v>
      </c>
      <c r="B1411" s="16" t="s">
        <v>865</v>
      </c>
      <c r="C1411" t="s">
        <v>8</v>
      </c>
      <c r="D1411" t="s">
        <v>48</v>
      </c>
      <c r="E1411" s="17">
        <v>2</v>
      </c>
      <c r="F1411" s="17">
        <v>35.35</v>
      </c>
      <c r="G1411" s="18">
        <v>70.7</v>
      </c>
      <c r="H1411" s="30" t="s">
        <v>2294</v>
      </c>
      <c r="J1411" s="34"/>
    </row>
    <row r="1412" spans="1:10" x14ac:dyDescent="0.25">
      <c r="A1412" s="15">
        <v>41150</v>
      </c>
      <c r="B1412" s="16" t="s">
        <v>865</v>
      </c>
      <c r="C1412" t="s">
        <v>8</v>
      </c>
      <c r="D1412" t="s">
        <v>48</v>
      </c>
      <c r="E1412" s="17">
        <v>3</v>
      </c>
      <c r="F1412" s="17">
        <v>35.35</v>
      </c>
      <c r="G1412" s="18">
        <v>106.05</v>
      </c>
      <c r="H1412" s="30" t="s">
        <v>2294</v>
      </c>
      <c r="J1412" s="34"/>
    </row>
    <row r="1413" spans="1:10" x14ac:dyDescent="0.25">
      <c r="A1413" s="15">
        <v>41150</v>
      </c>
      <c r="B1413" s="16" t="s">
        <v>882</v>
      </c>
      <c r="C1413" t="s">
        <v>8</v>
      </c>
      <c r="D1413" t="s">
        <v>48</v>
      </c>
      <c r="E1413" s="17">
        <v>2</v>
      </c>
      <c r="F1413" s="17">
        <v>48</v>
      </c>
      <c r="G1413" s="18">
        <v>96</v>
      </c>
      <c r="H1413" s="30" t="s">
        <v>2294</v>
      </c>
      <c r="J1413" s="34"/>
    </row>
    <row r="1414" spans="1:10" x14ac:dyDescent="0.25">
      <c r="A1414" s="15">
        <v>41150</v>
      </c>
      <c r="B1414" s="16" t="s">
        <v>865</v>
      </c>
      <c r="C1414" t="s">
        <v>8</v>
      </c>
      <c r="D1414" t="s">
        <v>48</v>
      </c>
      <c r="E1414" s="17">
        <v>5</v>
      </c>
      <c r="F1414" s="17">
        <v>35.35</v>
      </c>
      <c r="G1414" s="18">
        <v>176.75</v>
      </c>
      <c r="H1414" s="30" t="s">
        <v>2294</v>
      </c>
      <c r="J1414" s="34"/>
    </row>
    <row r="1415" spans="1:10" x14ac:dyDescent="0.25">
      <c r="A1415" s="15">
        <v>41150</v>
      </c>
      <c r="B1415" s="16" t="s">
        <v>865</v>
      </c>
      <c r="C1415" t="s">
        <v>8</v>
      </c>
      <c r="D1415" t="s">
        <v>48</v>
      </c>
      <c r="E1415" s="17">
        <v>3</v>
      </c>
      <c r="F1415" s="17">
        <v>35.35</v>
      </c>
      <c r="G1415" s="18">
        <v>106.05</v>
      </c>
      <c r="H1415" s="30" t="s">
        <v>2294</v>
      </c>
      <c r="J1415" s="34"/>
    </row>
    <row r="1416" spans="1:10" x14ac:dyDescent="0.25">
      <c r="A1416" s="15">
        <v>41151</v>
      </c>
      <c r="B1416" s="16" t="s">
        <v>904</v>
      </c>
      <c r="C1416" t="s">
        <v>905</v>
      </c>
      <c r="D1416" t="s">
        <v>48</v>
      </c>
      <c r="E1416" s="17">
        <v>6</v>
      </c>
      <c r="F1416" s="17">
        <v>95</v>
      </c>
      <c r="G1416" s="18">
        <v>570</v>
      </c>
      <c r="H1416" s="30" t="s">
        <v>2294</v>
      </c>
      <c r="J1416" s="34"/>
    </row>
    <row r="1417" spans="1:10" x14ac:dyDescent="0.25">
      <c r="A1417" s="15">
        <v>41151</v>
      </c>
      <c r="B1417" s="16" t="s">
        <v>878</v>
      </c>
      <c r="C1417" t="s">
        <v>879</v>
      </c>
      <c r="D1417" t="s">
        <v>48</v>
      </c>
      <c r="E1417" s="17">
        <v>6</v>
      </c>
      <c r="F1417" s="17">
        <v>110</v>
      </c>
      <c r="G1417" s="18">
        <v>660</v>
      </c>
      <c r="H1417" s="30" t="s">
        <v>2294</v>
      </c>
      <c r="J1417" s="34"/>
    </row>
    <row r="1418" spans="1:10" ht="30" x14ac:dyDescent="0.25">
      <c r="A1418" s="15">
        <v>41151</v>
      </c>
      <c r="B1418" s="16" t="s">
        <v>989</v>
      </c>
      <c r="C1418" t="s">
        <v>974</v>
      </c>
      <c r="D1418" t="s">
        <v>783</v>
      </c>
      <c r="E1418" s="17">
        <v>1</v>
      </c>
      <c r="F1418" s="17">
        <v>2166.6660000000002</v>
      </c>
      <c r="G1418" s="18">
        <v>2166.6660000000002</v>
      </c>
      <c r="H1418" s="30" t="s">
        <v>2294</v>
      </c>
      <c r="J1418" s="34"/>
    </row>
    <row r="1419" spans="1:10" x14ac:dyDescent="0.25">
      <c r="A1419" s="15">
        <v>41151</v>
      </c>
      <c r="B1419" s="16" t="s">
        <v>887</v>
      </c>
      <c r="C1419" t="s">
        <v>873</v>
      </c>
      <c r="D1419" t="s">
        <v>48</v>
      </c>
      <c r="E1419" s="17">
        <v>3</v>
      </c>
      <c r="F1419" s="17">
        <v>95</v>
      </c>
      <c r="G1419" s="18">
        <v>285</v>
      </c>
      <c r="H1419" s="30" t="s">
        <v>2294</v>
      </c>
      <c r="J1419" s="34"/>
    </row>
    <row r="1420" spans="1:10" x14ac:dyDescent="0.25">
      <c r="A1420" s="15">
        <v>41152</v>
      </c>
      <c r="B1420" s="16" t="s">
        <v>922</v>
      </c>
      <c r="C1420" t="s">
        <v>886</v>
      </c>
      <c r="D1420" t="s">
        <v>48</v>
      </c>
      <c r="E1420" s="17">
        <v>4.5</v>
      </c>
      <c r="F1420" s="17">
        <v>95</v>
      </c>
      <c r="G1420" s="18">
        <v>427.5</v>
      </c>
      <c r="H1420" s="30" t="s">
        <v>2294</v>
      </c>
      <c r="J1420" s="34"/>
    </row>
    <row r="1421" spans="1:10" x14ac:dyDescent="0.25">
      <c r="A1421" s="15">
        <v>41152</v>
      </c>
      <c r="B1421" s="16" t="s">
        <v>887</v>
      </c>
      <c r="C1421" t="s">
        <v>873</v>
      </c>
      <c r="D1421" t="s">
        <v>48</v>
      </c>
      <c r="E1421" s="17">
        <v>3</v>
      </c>
      <c r="F1421" s="17">
        <v>95</v>
      </c>
      <c r="G1421" s="18">
        <v>285</v>
      </c>
      <c r="H1421" s="30" t="s">
        <v>2294</v>
      </c>
      <c r="J1421" s="34"/>
    </row>
    <row r="1422" spans="1:10" x14ac:dyDescent="0.25">
      <c r="A1422" s="15">
        <v>41152</v>
      </c>
      <c r="B1422" s="16" t="s">
        <v>865</v>
      </c>
      <c r="C1422" t="s">
        <v>8</v>
      </c>
      <c r="D1422" t="s">
        <v>48</v>
      </c>
      <c r="E1422" s="17">
        <v>5</v>
      </c>
      <c r="F1422" s="17">
        <v>35.35</v>
      </c>
      <c r="G1422" s="18">
        <v>176.75</v>
      </c>
      <c r="H1422" s="30" t="s">
        <v>2294</v>
      </c>
      <c r="J1422" s="34"/>
    </row>
    <row r="1423" spans="1:10" x14ac:dyDescent="0.25">
      <c r="A1423" s="15">
        <v>41152</v>
      </c>
      <c r="B1423" s="16" t="s">
        <v>865</v>
      </c>
      <c r="C1423" t="s">
        <v>8</v>
      </c>
      <c r="D1423" t="s">
        <v>48</v>
      </c>
      <c r="E1423" s="17">
        <v>4.5</v>
      </c>
      <c r="F1423" s="17">
        <v>35.35</v>
      </c>
      <c r="G1423" s="18">
        <v>159.07499999999999</v>
      </c>
      <c r="H1423" s="30" t="s">
        <v>2294</v>
      </c>
      <c r="J1423" s="34"/>
    </row>
    <row r="1424" spans="1:10" x14ac:dyDescent="0.25">
      <c r="A1424" s="15">
        <v>41152</v>
      </c>
      <c r="B1424" s="16" t="s">
        <v>882</v>
      </c>
      <c r="C1424" t="s">
        <v>8</v>
      </c>
      <c r="D1424" t="s">
        <v>48</v>
      </c>
      <c r="E1424" s="17">
        <v>5</v>
      </c>
      <c r="F1424" s="17">
        <v>48</v>
      </c>
      <c r="G1424" s="18">
        <v>240</v>
      </c>
      <c r="H1424" s="30" t="s">
        <v>2294</v>
      </c>
      <c r="J1424" s="34"/>
    </row>
    <row r="1425" spans="1:10" x14ac:dyDescent="0.25">
      <c r="A1425" s="15">
        <v>41152</v>
      </c>
      <c r="B1425" s="16" t="s">
        <v>878</v>
      </c>
      <c r="C1425" t="s">
        <v>879</v>
      </c>
      <c r="D1425" t="s">
        <v>48</v>
      </c>
      <c r="E1425" s="17">
        <v>5</v>
      </c>
      <c r="F1425" s="17">
        <v>110</v>
      </c>
      <c r="G1425" s="18">
        <v>550</v>
      </c>
      <c r="H1425" s="30" t="s">
        <v>2294</v>
      </c>
      <c r="J1425" s="34"/>
    </row>
    <row r="1426" spans="1:10" x14ac:dyDescent="0.25">
      <c r="A1426" s="15">
        <v>41152</v>
      </c>
      <c r="B1426" s="16" t="s">
        <v>865</v>
      </c>
      <c r="C1426" t="s">
        <v>8</v>
      </c>
      <c r="D1426" t="s">
        <v>48</v>
      </c>
      <c r="E1426" s="17">
        <v>5</v>
      </c>
      <c r="F1426" s="17">
        <v>35.35</v>
      </c>
      <c r="G1426" s="18">
        <v>176.75</v>
      </c>
      <c r="H1426" s="30" t="s">
        <v>2294</v>
      </c>
      <c r="J1426" s="34"/>
    </row>
    <row r="1427" spans="1:10" x14ac:dyDescent="0.25">
      <c r="A1427" s="15">
        <v>41152</v>
      </c>
      <c r="B1427" s="16" t="s">
        <v>865</v>
      </c>
      <c r="C1427" t="s">
        <v>8</v>
      </c>
      <c r="D1427" t="s">
        <v>48</v>
      </c>
      <c r="E1427" s="17">
        <v>3</v>
      </c>
      <c r="F1427" s="17">
        <v>35.35</v>
      </c>
      <c r="G1427" s="18">
        <v>106.05</v>
      </c>
      <c r="H1427" s="30" t="s">
        <v>2294</v>
      </c>
      <c r="J1427" s="34"/>
    </row>
    <row r="1428" spans="1:10" x14ac:dyDescent="0.25">
      <c r="A1428" s="15">
        <v>41158</v>
      </c>
      <c r="B1428" s="16" t="s">
        <v>920</v>
      </c>
      <c r="C1428" t="s">
        <v>871</v>
      </c>
      <c r="D1428" t="s">
        <v>48</v>
      </c>
      <c r="E1428" s="17">
        <v>5</v>
      </c>
      <c r="F1428" s="17">
        <v>130</v>
      </c>
      <c r="G1428" s="18">
        <v>650</v>
      </c>
      <c r="H1428" s="30" t="s">
        <v>2294</v>
      </c>
      <c r="J1428" s="34"/>
    </row>
    <row r="1429" spans="1:10" x14ac:dyDescent="0.25">
      <c r="A1429" s="15">
        <v>41158</v>
      </c>
      <c r="B1429" s="16" t="s">
        <v>885</v>
      </c>
      <c r="C1429" t="s">
        <v>886</v>
      </c>
      <c r="D1429" t="s">
        <v>48</v>
      </c>
      <c r="E1429" s="17">
        <v>5.5</v>
      </c>
      <c r="F1429" s="17">
        <v>95</v>
      </c>
      <c r="G1429" s="18">
        <v>522.5</v>
      </c>
      <c r="H1429" s="30" t="s">
        <v>2294</v>
      </c>
      <c r="J1429" s="34"/>
    </row>
    <row r="1430" spans="1:10" x14ac:dyDescent="0.25">
      <c r="A1430" s="15">
        <v>41158</v>
      </c>
      <c r="B1430" s="16" t="s">
        <v>865</v>
      </c>
      <c r="C1430" t="s">
        <v>8</v>
      </c>
      <c r="D1430" t="s">
        <v>48</v>
      </c>
      <c r="E1430" s="17">
        <v>5.5</v>
      </c>
      <c r="F1430" s="17">
        <v>35.35</v>
      </c>
      <c r="G1430" s="18">
        <v>194.42500000000001</v>
      </c>
      <c r="H1430" s="30" t="s">
        <v>2294</v>
      </c>
      <c r="J1430" s="34"/>
    </row>
    <row r="1431" spans="1:10" x14ac:dyDescent="0.25">
      <c r="A1431" s="15">
        <v>41158</v>
      </c>
      <c r="B1431" s="16" t="s">
        <v>904</v>
      </c>
      <c r="C1431" t="s">
        <v>905</v>
      </c>
      <c r="D1431" t="s">
        <v>48</v>
      </c>
      <c r="E1431" s="17">
        <v>5</v>
      </c>
      <c r="F1431" s="17">
        <v>95</v>
      </c>
      <c r="G1431" s="18">
        <v>475</v>
      </c>
      <c r="H1431" s="30" t="s">
        <v>2294</v>
      </c>
      <c r="J1431" s="34"/>
    </row>
    <row r="1432" spans="1:10" x14ac:dyDescent="0.25">
      <c r="A1432" s="15">
        <v>41158</v>
      </c>
      <c r="B1432" s="16" t="s">
        <v>882</v>
      </c>
      <c r="C1432" t="s">
        <v>8</v>
      </c>
      <c r="D1432" t="s">
        <v>48</v>
      </c>
      <c r="E1432" s="17">
        <v>2</v>
      </c>
      <c r="F1432" s="17">
        <v>48</v>
      </c>
      <c r="G1432" s="18">
        <v>96</v>
      </c>
      <c r="H1432" s="30" t="s">
        <v>2294</v>
      </c>
      <c r="J1432" s="34"/>
    </row>
    <row r="1433" spans="1:10" x14ac:dyDescent="0.25">
      <c r="A1433" s="15">
        <v>41159</v>
      </c>
      <c r="B1433" s="16" t="s">
        <v>865</v>
      </c>
      <c r="C1433" t="s">
        <v>8</v>
      </c>
      <c r="D1433" t="s">
        <v>48</v>
      </c>
      <c r="E1433" s="17">
        <v>2.5</v>
      </c>
      <c r="F1433" s="17">
        <v>35.35</v>
      </c>
      <c r="G1433" s="18">
        <v>88.375</v>
      </c>
      <c r="H1433" s="30" t="s">
        <v>2294</v>
      </c>
      <c r="J1433" s="34"/>
    </row>
    <row r="1434" spans="1:10" x14ac:dyDescent="0.25">
      <c r="A1434" s="15">
        <v>41159</v>
      </c>
      <c r="B1434" s="16" t="s">
        <v>882</v>
      </c>
      <c r="C1434" t="s">
        <v>8</v>
      </c>
      <c r="D1434" t="s">
        <v>48</v>
      </c>
      <c r="E1434" s="17">
        <v>2.5</v>
      </c>
      <c r="F1434" s="17">
        <v>48</v>
      </c>
      <c r="G1434" s="18">
        <v>120</v>
      </c>
      <c r="H1434" s="30" t="s">
        <v>2294</v>
      </c>
      <c r="J1434" s="34"/>
    </row>
    <row r="1435" spans="1:10" x14ac:dyDescent="0.25">
      <c r="A1435" s="15">
        <v>41159</v>
      </c>
      <c r="B1435" s="16" t="s">
        <v>865</v>
      </c>
      <c r="C1435" t="s">
        <v>8</v>
      </c>
      <c r="D1435" t="s">
        <v>48</v>
      </c>
      <c r="E1435" s="17">
        <v>2.5</v>
      </c>
      <c r="F1435" s="17">
        <v>35.35</v>
      </c>
      <c r="G1435" s="18">
        <v>88.375</v>
      </c>
      <c r="H1435" s="30" t="s">
        <v>2294</v>
      </c>
      <c r="J1435" s="34"/>
    </row>
    <row r="1436" spans="1:10" x14ac:dyDescent="0.25">
      <c r="A1436" s="15">
        <v>41159</v>
      </c>
      <c r="B1436" s="16" t="s">
        <v>920</v>
      </c>
      <c r="C1436" t="s">
        <v>871</v>
      </c>
      <c r="D1436" t="s">
        <v>48</v>
      </c>
      <c r="E1436" s="17">
        <v>2.5</v>
      </c>
      <c r="F1436" s="17">
        <v>130</v>
      </c>
      <c r="G1436" s="18">
        <v>325</v>
      </c>
      <c r="H1436" s="30" t="s">
        <v>2294</v>
      </c>
      <c r="J1436" s="34"/>
    </row>
    <row r="1437" spans="1:10" x14ac:dyDescent="0.25">
      <c r="A1437" s="15">
        <v>41159</v>
      </c>
      <c r="B1437" s="16" t="s">
        <v>887</v>
      </c>
      <c r="C1437" t="s">
        <v>873</v>
      </c>
      <c r="D1437" t="s">
        <v>48</v>
      </c>
      <c r="E1437" s="17">
        <v>3</v>
      </c>
      <c r="F1437" s="17">
        <v>95</v>
      </c>
      <c r="G1437" s="18">
        <v>285</v>
      </c>
      <c r="H1437" s="30" t="s">
        <v>2294</v>
      </c>
      <c r="J1437" s="34"/>
    </row>
    <row r="1438" spans="1:10" x14ac:dyDescent="0.25">
      <c r="A1438" s="15">
        <v>41159</v>
      </c>
      <c r="B1438" s="16" t="s">
        <v>885</v>
      </c>
      <c r="C1438" t="s">
        <v>886</v>
      </c>
      <c r="D1438" t="s">
        <v>48</v>
      </c>
      <c r="E1438" s="17">
        <v>1</v>
      </c>
      <c r="F1438" s="17">
        <v>95</v>
      </c>
      <c r="G1438" s="18">
        <v>95</v>
      </c>
      <c r="H1438" s="30" t="s">
        <v>2294</v>
      </c>
      <c r="J1438" s="34"/>
    </row>
    <row r="1439" spans="1:10" x14ac:dyDescent="0.25">
      <c r="A1439" s="15">
        <v>41159</v>
      </c>
      <c r="B1439" s="16" t="s">
        <v>865</v>
      </c>
      <c r="C1439" t="s">
        <v>8</v>
      </c>
      <c r="D1439" t="s">
        <v>48</v>
      </c>
      <c r="E1439" s="17">
        <v>2.5</v>
      </c>
      <c r="F1439" s="17">
        <v>35.35</v>
      </c>
      <c r="G1439" s="18">
        <v>88.375</v>
      </c>
      <c r="H1439" s="30" t="s">
        <v>2294</v>
      </c>
      <c r="J1439" s="34"/>
    </row>
    <row r="1440" spans="1:10" x14ac:dyDescent="0.25">
      <c r="A1440" s="15">
        <v>41159</v>
      </c>
      <c r="B1440" s="16" t="s">
        <v>865</v>
      </c>
      <c r="C1440" t="s">
        <v>8</v>
      </c>
      <c r="D1440" t="s">
        <v>48</v>
      </c>
      <c r="E1440" s="17">
        <v>3</v>
      </c>
      <c r="F1440" s="17">
        <v>35.35</v>
      </c>
      <c r="G1440" s="18">
        <v>106.05</v>
      </c>
      <c r="H1440" s="30" t="s">
        <v>2294</v>
      </c>
      <c r="J1440" s="34"/>
    </row>
    <row r="1441" spans="1:10" x14ac:dyDescent="0.25">
      <c r="A1441" s="15">
        <v>41159</v>
      </c>
      <c r="B1441" s="16" t="s">
        <v>883</v>
      </c>
      <c r="C1441" t="s">
        <v>884</v>
      </c>
      <c r="D1441" t="s">
        <v>48</v>
      </c>
      <c r="E1441" s="17">
        <v>3</v>
      </c>
      <c r="F1441" s="17">
        <v>66.069999999999993</v>
      </c>
      <c r="G1441" s="18">
        <v>198.21</v>
      </c>
      <c r="H1441" s="30" t="s">
        <v>2294</v>
      </c>
      <c r="J1441" s="34"/>
    </row>
    <row r="1442" spans="1:10" x14ac:dyDescent="0.25">
      <c r="A1442" s="15">
        <v>41162</v>
      </c>
      <c r="B1442" s="16" t="s">
        <v>865</v>
      </c>
      <c r="C1442" t="s">
        <v>8</v>
      </c>
      <c r="D1442" t="s">
        <v>48</v>
      </c>
      <c r="E1442" s="17">
        <v>5</v>
      </c>
      <c r="F1442" s="17">
        <v>35.35</v>
      </c>
      <c r="G1442" s="18">
        <v>176.75</v>
      </c>
      <c r="H1442" s="30" t="s">
        <v>2294</v>
      </c>
      <c r="J1442" s="34"/>
    </row>
    <row r="1443" spans="1:10" x14ac:dyDescent="0.25">
      <c r="A1443" s="15">
        <v>41162</v>
      </c>
      <c r="B1443" s="16" t="s">
        <v>865</v>
      </c>
      <c r="C1443" t="s">
        <v>8</v>
      </c>
      <c r="D1443" t="s">
        <v>48</v>
      </c>
      <c r="E1443" s="17">
        <v>4.5</v>
      </c>
      <c r="F1443" s="17">
        <v>35.35</v>
      </c>
      <c r="G1443" s="18">
        <v>159.07499999999999</v>
      </c>
      <c r="H1443" s="30" t="s">
        <v>2294</v>
      </c>
      <c r="J1443" s="34"/>
    </row>
    <row r="1444" spans="1:10" x14ac:dyDescent="0.25">
      <c r="A1444" s="15">
        <v>41162</v>
      </c>
      <c r="B1444" s="16" t="s">
        <v>882</v>
      </c>
      <c r="C1444" t="s">
        <v>8</v>
      </c>
      <c r="D1444" t="s">
        <v>48</v>
      </c>
      <c r="E1444" s="17">
        <v>5</v>
      </c>
      <c r="F1444" s="17">
        <v>48</v>
      </c>
      <c r="G1444" s="18">
        <v>240</v>
      </c>
      <c r="H1444" s="30" t="s">
        <v>2294</v>
      </c>
      <c r="J1444" s="34"/>
    </row>
    <row r="1445" spans="1:10" x14ac:dyDescent="0.25">
      <c r="A1445" s="15">
        <v>41162</v>
      </c>
      <c r="B1445" s="16" t="s">
        <v>920</v>
      </c>
      <c r="C1445" t="s">
        <v>871</v>
      </c>
      <c r="D1445" t="s">
        <v>48</v>
      </c>
      <c r="E1445" s="17">
        <v>4.5</v>
      </c>
      <c r="F1445" s="17">
        <v>130</v>
      </c>
      <c r="G1445" s="18">
        <v>585</v>
      </c>
      <c r="H1445" s="30" t="s">
        <v>2294</v>
      </c>
      <c r="J1445" s="34"/>
    </row>
    <row r="1446" spans="1:10" x14ac:dyDescent="0.25">
      <c r="A1446" s="15">
        <v>41162</v>
      </c>
      <c r="B1446" s="16" t="s">
        <v>880</v>
      </c>
      <c r="C1446" t="s">
        <v>881</v>
      </c>
      <c r="D1446" t="s">
        <v>48</v>
      </c>
      <c r="E1446" s="17">
        <v>3.5</v>
      </c>
      <c r="F1446" s="17">
        <v>95</v>
      </c>
      <c r="G1446" s="18">
        <v>332.5</v>
      </c>
      <c r="H1446" s="30" t="s">
        <v>2294</v>
      </c>
      <c r="J1446" s="34"/>
    </row>
    <row r="1447" spans="1:10" x14ac:dyDescent="0.25">
      <c r="A1447" s="15">
        <v>41162</v>
      </c>
      <c r="B1447" s="16" t="s">
        <v>954</v>
      </c>
      <c r="C1447" t="s">
        <v>8</v>
      </c>
      <c r="D1447" t="s">
        <v>48</v>
      </c>
      <c r="E1447" s="17">
        <v>3</v>
      </c>
      <c r="F1447" s="17">
        <v>40.97</v>
      </c>
      <c r="G1447" s="18">
        <v>122.91</v>
      </c>
      <c r="H1447" s="30" t="s">
        <v>2294</v>
      </c>
      <c r="J1447" s="34"/>
    </row>
    <row r="1448" spans="1:10" x14ac:dyDescent="0.25">
      <c r="A1448" s="15">
        <v>41162</v>
      </c>
      <c r="B1448" s="16" t="s">
        <v>990</v>
      </c>
      <c r="C1448" t="s">
        <v>886</v>
      </c>
      <c r="D1448" t="s">
        <v>48</v>
      </c>
      <c r="E1448" s="17">
        <v>3</v>
      </c>
      <c r="F1448" s="17">
        <v>50</v>
      </c>
      <c r="G1448" s="18">
        <v>150</v>
      </c>
      <c r="H1448" s="30" t="s">
        <v>2294</v>
      </c>
      <c r="J1448" s="34"/>
    </row>
    <row r="1449" spans="1:10" x14ac:dyDescent="0.25">
      <c r="A1449" s="15">
        <v>41162</v>
      </c>
      <c r="B1449" s="16" t="s">
        <v>904</v>
      </c>
      <c r="C1449" t="s">
        <v>905</v>
      </c>
      <c r="D1449" t="s">
        <v>48</v>
      </c>
      <c r="E1449" s="17">
        <v>5</v>
      </c>
      <c r="F1449" s="17">
        <v>95</v>
      </c>
      <c r="G1449" s="18">
        <v>475</v>
      </c>
      <c r="H1449" s="30" t="s">
        <v>2294</v>
      </c>
      <c r="J1449" s="34"/>
    </row>
    <row r="1450" spans="1:10" x14ac:dyDescent="0.25">
      <c r="A1450" s="15">
        <v>41163</v>
      </c>
      <c r="B1450" s="16" t="s">
        <v>920</v>
      </c>
      <c r="C1450" t="s">
        <v>871</v>
      </c>
      <c r="D1450" t="s">
        <v>48</v>
      </c>
      <c r="E1450" s="17">
        <v>4.5</v>
      </c>
      <c r="F1450" s="17">
        <v>130</v>
      </c>
      <c r="G1450" s="18">
        <v>585</v>
      </c>
      <c r="H1450" s="30" t="s">
        <v>2294</v>
      </c>
      <c r="J1450" s="34"/>
    </row>
    <row r="1451" spans="1:10" x14ac:dyDescent="0.25">
      <c r="A1451" s="15">
        <v>41163</v>
      </c>
      <c r="B1451" s="16" t="s">
        <v>865</v>
      </c>
      <c r="C1451" t="s">
        <v>8</v>
      </c>
      <c r="D1451" t="s">
        <v>48</v>
      </c>
      <c r="E1451" s="17">
        <v>5</v>
      </c>
      <c r="F1451" s="17">
        <v>35.35</v>
      </c>
      <c r="G1451" s="18">
        <v>176.75</v>
      </c>
      <c r="H1451" s="30" t="s">
        <v>2294</v>
      </c>
      <c r="J1451" s="34"/>
    </row>
    <row r="1452" spans="1:10" x14ac:dyDescent="0.25">
      <c r="A1452" s="15">
        <v>41163</v>
      </c>
      <c r="B1452" s="16" t="s">
        <v>904</v>
      </c>
      <c r="C1452" t="s">
        <v>905</v>
      </c>
      <c r="D1452" t="s">
        <v>48</v>
      </c>
      <c r="E1452" s="17">
        <v>4.5</v>
      </c>
      <c r="F1452" s="17">
        <v>95</v>
      </c>
      <c r="G1452" s="18">
        <v>427.5</v>
      </c>
      <c r="H1452" s="30" t="s">
        <v>2294</v>
      </c>
      <c r="J1452" s="34"/>
    </row>
    <row r="1453" spans="1:10" x14ac:dyDescent="0.25">
      <c r="A1453" s="15">
        <v>41163</v>
      </c>
      <c r="B1453" s="16" t="s">
        <v>865</v>
      </c>
      <c r="C1453" t="s">
        <v>8</v>
      </c>
      <c r="D1453" t="s">
        <v>48</v>
      </c>
      <c r="E1453" s="17">
        <v>6</v>
      </c>
      <c r="F1453" s="17">
        <v>35.35</v>
      </c>
      <c r="G1453" s="18">
        <v>212.1</v>
      </c>
      <c r="H1453" s="30" t="s">
        <v>2294</v>
      </c>
      <c r="J1453" s="34"/>
    </row>
    <row r="1454" spans="1:10" x14ac:dyDescent="0.25">
      <c r="A1454" s="15">
        <v>41163</v>
      </c>
      <c r="B1454" s="16" t="s">
        <v>865</v>
      </c>
      <c r="C1454" t="s">
        <v>8</v>
      </c>
      <c r="D1454" t="s">
        <v>48</v>
      </c>
      <c r="E1454" s="17">
        <v>5</v>
      </c>
      <c r="F1454" s="17">
        <v>35.35</v>
      </c>
      <c r="G1454" s="18">
        <v>176.75</v>
      </c>
      <c r="H1454" s="30" t="s">
        <v>2294</v>
      </c>
      <c r="J1454" s="34"/>
    </row>
    <row r="1455" spans="1:10" x14ac:dyDescent="0.25">
      <c r="A1455" s="15">
        <v>41164</v>
      </c>
      <c r="B1455" s="16" t="s">
        <v>865</v>
      </c>
      <c r="C1455" t="s">
        <v>8</v>
      </c>
      <c r="D1455" t="s">
        <v>48</v>
      </c>
      <c r="E1455" s="17">
        <v>2</v>
      </c>
      <c r="F1455" s="17">
        <v>35.35</v>
      </c>
      <c r="G1455" s="18">
        <v>70.7</v>
      </c>
      <c r="H1455" s="30" t="s">
        <v>2294</v>
      </c>
      <c r="J1455" s="34"/>
    </row>
    <row r="1456" spans="1:10" x14ac:dyDescent="0.25">
      <c r="A1456" s="15">
        <v>41164</v>
      </c>
      <c r="B1456" s="16" t="s">
        <v>920</v>
      </c>
      <c r="C1456" t="s">
        <v>871</v>
      </c>
      <c r="D1456" t="s">
        <v>48</v>
      </c>
      <c r="E1456" s="17">
        <v>4.5</v>
      </c>
      <c r="F1456" s="17">
        <v>130</v>
      </c>
      <c r="G1456" s="18">
        <v>585</v>
      </c>
      <c r="H1456" s="30" t="s">
        <v>2294</v>
      </c>
      <c r="J1456" s="34"/>
    </row>
    <row r="1457" spans="1:10" x14ac:dyDescent="0.25">
      <c r="A1457" s="15">
        <v>41164</v>
      </c>
      <c r="B1457" s="16" t="s">
        <v>904</v>
      </c>
      <c r="C1457" t="s">
        <v>905</v>
      </c>
      <c r="D1457" t="s">
        <v>48</v>
      </c>
      <c r="E1457" s="17">
        <v>4</v>
      </c>
      <c r="F1457" s="17">
        <v>95</v>
      </c>
      <c r="G1457" s="18">
        <v>380</v>
      </c>
      <c r="H1457" s="30" t="s">
        <v>2294</v>
      </c>
      <c r="J1457" s="34"/>
    </row>
    <row r="1458" spans="1:10" x14ac:dyDescent="0.25">
      <c r="A1458" s="15">
        <v>41164</v>
      </c>
      <c r="B1458" s="16" t="s">
        <v>880</v>
      </c>
      <c r="C1458" t="s">
        <v>881</v>
      </c>
      <c r="D1458" t="s">
        <v>48</v>
      </c>
      <c r="E1458" s="17">
        <v>3.5</v>
      </c>
      <c r="F1458" s="17">
        <v>95</v>
      </c>
      <c r="G1458" s="18">
        <v>332.5</v>
      </c>
      <c r="H1458" s="30" t="s">
        <v>2294</v>
      </c>
      <c r="J1458" s="34"/>
    </row>
    <row r="1459" spans="1:10" x14ac:dyDescent="0.25">
      <c r="A1459" s="15">
        <v>41164</v>
      </c>
      <c r="B1459" s="16" t="s">
        <v>865</v>
      </c>
      <c r="C1459" t="s">
        <v>8</v>
      </c>
      <c r="D1459" t="s">
        <v>48</v>
      </c>
      <c r="E1459" s="17">
        <v>5</v>
      </c>
      <c r="F1459" s="17">
        <v>35.35</v>
      </c>
      <c r="G1459" s="18">
        <v>176.75</v>
      </c>
      <c r="H1459" s="30" t="s">
        <v>2294</v>
      </c>
      <c r="J1459" s="34"/>
    </row>
    <row r="1460" spans="1:10" x14ac:dyDescent="0.25">
      <c r="A1460" s="15">
        <v>41165</v>
      </c>
      <c r="B1460" s="16" t="s">
        <v>865</v>
      </c>
      <c r="C1460" t="s">
        <v>8</v>
      </c>
      <c r="D1460" t="s">
        <v>48</v>
      </c>
      <c r="E1460" s="17">
        <v>5</v>
      </c>
      <c r="F1460" s="17">
        <v>35.35</v>
      </c>
      <c r="G1460" s="18">
        <v>176.75</v>
      </c>
      <c r="H1460" s="30" t="s">
        <v>2294</v>
      </c>
      <c r="J1460" s="34"/>
    </row>
    <row r="1461" spans="1:10" x14ac:dyDescent="0.25">
      <c r="A1461" s="15">
        <v>41165</v>
      </c>
      <c r="B1461" s="16" t="s">
        <v>865</v>
      </c>
      <c r="C1461" t="s">
        <v>8</v>
      </c>
      <c r="D1461" t="s">
        <v>48</v>
      </c>
      <c r="E1461" s="17">
        <v>2</v>
      </c>
      <c r="F1461" s="17">
        <v>35.35</v>
      </c>
      <c r="G1461" s="18">
        <v>70.7</v>
      </c>
      <c r="H1461" s="30" t="s">
        <v>2294</v>
      </c>
      <c r="J1461" s="34"/>
    </row>
    <row r="1462" spans="1:10" x14ac:dyDescent="0.25">
      <c r="A1462" s="15">
        <v>41165</v>
      </c>
      <c r="B1462" s="16" t="s">
        <v>904</v>
      </c>
      <c r="C1462" t="s">
        <v>905</v>
      </c>
      <c r="D1462" t="s">
        <v>48</v>
      </c>
      <c r="E1462" s="17">
        <v>2</v>
      </c>
      <c r="F1462" s="17">
        <v>95</v>
      </c>
      <c r="G1462" s="18">
        <v>190</v>
      </c>
      <c r="H1462" s="30" t="s">
        <v>2294</v>
      </c>
      <c r="J1462" s="34"/>
    </row>
    <row r="1463" spans="1:10" x14ac:dyDescent="0.25">
      <c r="A1463" s="19" t="s">
        <v>781</v>
      </c>
      <c r="B1463" s="20" t="s">
        <v>991</v>
      </c>
      <c r="C1463" s="21" t="s">
        <v>781</v>
      </c>
      <c r="D1463" s="21" t="s">
        <v>781</v>
      </c>
      <c r="E1463" s="22"/>
      <c r="F1463" s="22"/>
      <c r="G1463" s="23">
        <v>215667.31700000001</v>
      </c>
      <c r="H1463" s="31" t="s">
        <v>2285</v>
      </c>
      <c r="J1463" s="34"/>
    </row>
    <row r="1464" spans="1:10" x14ac:dyDescent="0.25">
      <c r="A1464" s="15" t="s">
        <v>781</v>
      </c>
      <c r="B1464" s="16" t="s">
        <v>781</v>
      </c>
      <c r="C1464" t="s">
        <v>781</v>
      </c>
      <c r="D1464" t="s">
        <v>781</v>
      </c>
      <c r="E1464" s="17"/>
      <c r="F1464" s="17"/>
      <c r="G1464" s="18"/>
      <c r="H1464" s="30" t="s">
        <v>2285</v>
      </c>
      <c r="J1464" s="34"/>
    </row>
    <row r="1465" spans="1:10" x14ac:dyDescent="0.25">
      <c r="A1465" s="12" t="s">
        <v>781</v>
      </c>
      <c r="B1465" s="11" t="s">
        <v>1862</v>
      </c>
      <c r="C1465" s="10" t="s">
        <v>781</v>
      </c>
      <c r="D1465" s="10" t="s">
        <v>781</v>
      </c>
      <c r="E1465" s="13"/>
      <c r="F1465" s="13"/>
      <c r="G1465" s="14"/>
      <c r="H1465" s="29" t="s">
        <v>2285</v>
      </c>
      <c r="J1465" s="34"/>
    </row>
    <row r="1466" spans="1:10" x14ac:dyDescent="0.25">
      <c r="A1466" s="15">
        <v>40844</v>
      </c>
      <c r="B1466" s="16" t="s">
        <v>865</v>
      </c>
      <c r="C1466" t="s">
        <v>8</v>
      </c>
      <c r="D1466" t="s">
        <v>48</v>
      </c>
      <c r="E1466" s="17">
        <v>5</v>
      </c>
      <c r="F1466" s="17">
        <v>35.35</v>
      </c>
      <c r="G1466" s="18">
        <v>176.75</v>
      </c>
      <c r="H1466" s="30" t="s">
        <v>2295</v>
      </c>
      <c r="J1466" s="34"/>
    </row>
    <row r="1467" spans="1:10" x14ac:dyDescent="0.25">
      <c r="A1467" s="15">
        <v>40845</v>
      </c>
      <c r="B1467" s="16" t="s">
        <v>865</v>
      </c>
      <c r="C1467" t="s">
        <v>8</v>
      </c>
      <c r="D1467" t="s">
        <v>48</v>
      </c>
      <c r="E1467" s="17">
        <v>5</v>
      </c>
      <c r="F1467" s="17">
        <v>35.35</v>
      </c>
      <c r="G1467" s="18">
        <v>176.75</v>
      </c>
      <c r="H1467" s="30" t="s">
        <v>2295</v>
      </c>
      <c r="J1467" s="34"/>
    </row>
    <row r="1468" spans="1:10" x14ac:dyDescent="0.25">
      <c r="A1468" s="15">
        <v>40845</v>
      </c>
      <c r="B1468" s="16" t="s">
        <v>865</v>
      </c>
      <c r="C1468" t="s">
        <v>8</v>
      </c>
      <c r="D1468" t="s">
        <v>48</v>
      </c>
      <c r="E1468" s="17">
        <v>5</v>
      </c>
      <c r="F1468" s="17">
        <v>35.35</v>
      </c>
      <c r="G1468" s="18">
        <v>176.75</v>
      </c>
      <c r="H1468" s="30" t="s">
        <v>2295</v>
      </c>
      <c r="J1468" s="34"/>
    </row>
    <row r="1469" spans="1:10" x14ac:dyDescent="0.25">
      <c r="A1469" s="15">
        <v>40869</v>
      </c>
      <c r="B1469" s="16" t="s">
        <v>865</v>
      </c>
      <c r="C1469" t="s">
        <v>8</v>
      </c>
      <c r="D1469" t="s">
        <v>48</v>
      </c>
      <c r="E1469" s="17">
        <v>5</v>
      </c>
      <c r="F1469" s="17">
        <v>35.35</v>
      </c>
      <c r="G1469" s="18">
        <v>176.75</v>
      </c>
      <c r="H1469" s="30" t="s">
        <v>2295</v>
      </c>
      <c r="J1469" s="34"/>
    </row>
    <row r="1470" spans="1:10" x14ac:dyDescent="0.25">
      <c r="A1470" s="15">
        <v>40869</v>
      </c>
      <c r="B1470" s="16" t="s">
        <v>865</v>
      </c>
      <c r="C1470" t="s">
        <v>8</v>
      </c>
      <c r="D1470" t="s">
        <v>48</v>
      </c>
      <c r="E1470" s="17">
        <v>5</v>
      </c>
      <c r="F1470" s="17">
        <v>35.35</v>
      </c>
      <c r="G1470" s="18">
        <v>176.75</v>
      </c>
      <c r="H1470" s="30" t="s">
        <v>2295</v>
      </c>
      <c r="J1470" s="34"/>
    </row>
    <row r="1471" spans="1:10" x14ac:dyDescent="0.25">
      <c r="A1471" s="15">
        <v>40869</v>
      </c>
      <c r="B1471" s="16" t="s">
        <v>918</v>
      </c>
      <c r="C1471" t="s">
        <v>8</v>
      </c>
      <c r="D1471" t="s">
        <v>48</v>
      </c>
      <c r="E1471" s="17">
        <v>4.5</v>
      </c>
      <c r="F1471" s="17">
        <v>65</v>
      </c>
      <c r="G1471" s="18">
        <v>292.5</v>
      </c>
      <c r="H1471" s="30" t="s">
        <v>2295</v>
      </c>
      <c r="J1471" s="34"/>
    </row>
    <row r="1472" spans="1:10" x14ac:dyDescent="0.25">
      <c r="A1472" s="15">
        <v>40869</v>
      </c>
      <c r="B1472" s="16" t="s">
        <v>889</v>
      </c>
      <c r="C1472" t="s">
        <v>864</v>
      </c>
      <c r="D1472" t="s">
        <v>48</v>
      </c>
      <c r="E1472" s="17">
        <v>3.5</v>
      </c>
      <c r="F1472" s="17">
        <v>140</v>
      </c>
      <c r="G1472" s="18">
        <v>490</v>
      </c>
      <c r="H1472" s="30" t="s">
        <v>2295</v>
      </c>
      <c r="J1472" s="34"/>
    </row>
    <row r="1473" spans="1:10" x14ac:dyDescent="0.25">
      <c r="A1473" s="15">
        <v>40869</v>
      </c>
      <c r="B1473" s="16" t="s">
        <v>45</v>
      </c>
      <c r="C1473" t="s">
        <v>8</v>
      </c>
      <c r="D1473" t="s">
        <v>48</v>
      </c>
      <c r="E1473" s="17">
        <v>2.5</v>
      </c>
      <c r="F1473" s="17">
        <v>95</v>
      </c>
      <c r="G1473" s="18">
        <v>237.5</v>
      </c>
      <c r="H1473" s="30" t="s">
        <v>2295</v>
      </c>
      <c r="J1473" s="34"/>
    </row>
    <row r="1474" spans="1:10" x14ac:dyDescent="0.25">
      <c r="A1474" s="15">
        <v>40869</v>
      </c>
      <c r="B1474" s="16" t="s">
        <v>865</v>
      </c>
      <c r="C1474" t="s">
        <v>8</v>
      </c>
      <c r="D1474" t="s">
        <v>48</v>
      </c>
      <c r="E1474" s="17">
        <v>5</v>
      </c>
      <c r="F1474" s="17">
        <v>35.35</v>
      </c>
      <c r="G1474" s="18">
        <v>176.75</v>
      </c>
      <c r="H1474" s="30" t="s">
        <v>2295</v>
      </c>
      <c r="J1474" s="34"/>
    </row>
    <row r="1475" spans="1:10" x14ac:dyDescent="0.25">
      <c r="A1475" s="15">
        <v>40971</v>
      </c>
      <c r="B1475" s="16" t="s">
        <v>992</v>
      </c>
      <c r="C1475" t="s">
        <v>871</v>
      </c>
      <c r="D1475" t="s">
        <v>48</v>
      </c>
      <c r="E1475" s="17">
        <v>3</v>
      </c>
      <c r="F1475" s="17">
        <v>85</v>
      </c>
      <c r="G1475" s="18">
        <v>255</v>
      </c>
      <c r="H1475" s="30" t="s">
        <v>2295</v>
      </c>
      <c r="J1475" s="34"/>
    </row>
    <row r="1476" spans="1:10" x14ac:dyDescent="0.25">
      <c r="A1476" s="15">
        <v>40971</v>
      </c>
      <c r="B1476" s="16" t="s">
        <v>869</v>
      </c>
      <c r="C1476" t="s">
        <v>8</v>
      </c>
      <c r="D1476" t="s">
        <v>48</v>
      </c>
      <c r="E1476" s="17">
        <v>1.5</v>
      </c>
      <c r="F1476" s="17">
        <v>35.35</v>
      </c>
      <c r="G1476" s="18">
        <v>53.024999999999999</v>
      </c>
      <c r="H1476" s="30" t="s">
        <v>2295</v>
      </c>
      <c r="J1476" s="34"/>
    </row>
    <row r="1477" spans="1:10" x14ac:dyDescent="0.25">
      <c r="A1477" s="15">
        <v>40971</v>
      </c>
      <c r="B1477" s="16" t="s">
        <v>865</v>
      </c>
      <c r="C1477" t="s">
        <v>8</v>
      </c>
      <c r="D1477" t="s">
        <v>48</v>
      </c>
      <c r="E1477" s="17">
        <v>3</v>
      </c>
      <c r="F1477" s="17">
        <v>35.35</v>
      </c>
      <c r="G1477" s="18">
        <v>106.05</v>
      </c>
      <c r="H1477" s="30" t="s">
        <v>2295</v>
      </c>
      <c r="J1477" s="34"/>
    </row>
    <row r="1478" spans="1:10" x14ac:dyDescent="0.25">
      <c r="A1478" s="15">
        <v>40971</v>
      </c>
      <c r="B1478" s="16" t="s">
        <v>869</v>
      </c>
      <c r="C1478" t="s">
        <v>8</v>
      </c>
      <c r="D1478" t="s">
        <v>48</v>
      </c>
      <c r="E1478" s="17">
        <v>3</v>
      </c>
      <c r="F1478" s="17">
        <v>35.35</v>
      </c>
      <c r="G1478" s="18">
        <v>106.05</v>
      </c>
      <c r="H1478" s="30" t="s">
        <v>2295</v>
      </c>
      <c r="J1478" s="34"/>
    </row>
    <row r="1479" spans="1:10" x14ac:dyDescent="0.25">
      <c r="A1479" s="15">
        <v>40980</v>
      </c>
      <c r="B1479" s="16" t="s">
        <v>865</v>
      </c>
      <c r="C1479" t="s">
        <v>8</v>
      </c>
      <c r="D1479" t="s">
        <v>48</v>
      </c>
      <c r="E1479" s="17">
        <v>5</v>
      </c>
      <c r="F1479" s="17">
        <v>35.35</v>
      </c>
      <c r="G1479" s="18">
        <v>176.75</v>
      </c>
      <c r="H1479" s="30" t="s">
        <v>2295</v>
      </c>
      <c r="J1479" s="34"/>
    </row>
    <row r="1480" spans="1:10" x14ac:dyDescent="0.25">
      <c r="A1480" s="15">
        <v>40980</v>
      </c>
      <c r="B1480" s="16" t="s">
        <v>865</v>
      </c>
      <c r="C1480" t="s">
        <v>8</v>
      </c>
      <c r="D1480" t="s">
        <v>48</v>
      </c>
      <c r="E1480" s="17">
        <v>5</v>
      </c>
      <c r="F1480" s="17">
        <v>35.35</v>
      </c>
      <c r="G1480" s="18">
        <v>176.75</v>
      </c>
      <c r="H1480" s="30" t="s">
        <v>2295</v>
      </c>
      <c r="J1480" s="34"/>
    </row>
    <row r="1481" spans="1:10" x14ac:dyDescent="0.25">
      <c r="A1481" s="15">
        <v>40980</v>
      </c>
      <c r="B1481" s="16" t="s">
        <v>877</v>
      </c>
      <c r="C1481" t="s">
        <v>868</v>
      </c>
      <c r="D1481" t="s">
        <v>48</v>
      </c>
      <c r="E1481" s="17">
        <v>4</v>
      </c>
      <c r="F1481" s="17">
        <v>90</v>
      </c>
      <c r="G1481" s="18">
        <v>360</v>
      </c>
      <c r="H1481" s="30" t="s">
        <v>2295</v>
      </c>
      <c r="J1481" s="34"/>
    </row>
    <row r="1482" spans="1:10" x14ac:dyDescent="0.25">
      <c r="A1482" s="15">
        <v>40980</v>
      </c>
      <c r="B1482" s="16" t="s">
        <v>865</v>
      </c>
      <c r="C1482" t="s">
        <v>8</v>
      </c>
      <c r="D1482" t="s">
        <v>48</v>
      </c>
      <c r="E1482" s="17">
        <v>5</v>
      </c>
      <c r="F1482" s="17">
        <v>35.35</v>
      </c>
      <c r="G1482" s="18">
        <v>176.75</v>
      </c>
      <c r="H1482" s="30" t="s">
        <v>2295</v>
      </c>
      <c r="J1482" s="34"/>
    </row>
    <row r="1483" spans="1:10" x14ac:dyDescent="0.25">
      <c r="A1483" s="15">
        <v>40980</v>
      </c>
      <c r="B1483" s="16" t="s">
        <v>865</v>
      </c>
      <c r="C1483" t="s">
        <v>8</v>
      </c>
      <c r="D1483" t="s">
        <v>48</v>
      </c>
      <c r="E1483" s="17">
        <v>5</v>
      </c>
      <c r="F1483" s="17">
        <v>35.35</v>
      </c>
      <c r="G1483" s="18">
        <v>176.75</v>
      </c>
      <c r="H1483" s="30" t="s">
        <v>2295</v>
      </c>
      <c r="J1483" s="34"/>
    </row>
    <row r="1484" spans="1:10" x14ac:dyDescent="0.25">
      <c r="A1484" s="15">
        <v>41136</v>
      </c>
      <c r="B1484" s="16" t="s">
        <v>865</v>
      </c>
      <c r="C1484" t="s">
        <v>8</v>
      </c>
      <c r="D1484" t="s">
        <v>48</v>
      </c>
      <c r="E1484" s="17">
        <v>2</v>
      </c>
      <c r="F1484" s="17">
        <v>35.35</v>
      </c>
      <c r="G1484" s="18">
        <v>70.7</v>
      </c>
      <c r="H1484" s="30" t="s">
        <v>2295</v>
      </c>
      <c r="J1484" s="34"/>
    </row>
    <row r="1485" spans="1:10" x14ac:dyDescent="0.25">
      <c r="A1485" s="15">
        <v>41136</v>
      </c>
      <c r="B1485" s="16" t="s">
        <v>865</v>
      </c>
      <c r="C1485" t="s">
        <v>8</v>
      </c>
      <c r="D1485" t="s">
        <v>48</v>
      </c>
      <c r="E1485" s="17">
        <v>6</v>
      </c>
      <c r="F1485" s="17">
        <v>35.35</v>
      </c>
      <c r="G1485" s="18">
        <v>212.1</v>
      </c>
      <c r="H1485" s="30" t="s">
        <v>2295</v>
      </c>
      <c r="J1485" s="34"/>
    </row>
    <row r="1486" spans="1:10" x14ac:dyDescent="0.25">
      <c r="A1486" s="15">
        <v>41136</v>
      </c>
      <c r="B1486" s="16" t="s">
        <v>878</v>
      </c>
      <c r="C1486" t="s">
        <v>879</v>
      </c>
      <c r="D1486" t="s">
        <v>48</v>
      </c>
      <c r="E1486" s="17">
        <v>4</v>
      </c>
      <c r="F1486" s="17">
        <v>110</v>
      </c>
      <c r="G1486" s="18">
        <v>440</v>
      </c>
      <c r="H1486" s="30" t="s">
        <v>2295</v>
      </c>
      <c r="J1486" s="34"/>
    </row>
    <row r="1487" spans="1:10" x14ac:dyDescent="0.25">
      <c r="A1487" s="19" t="s">
        <v>781</v>
      </c>
      <c r="B1487" s="20" t="s">
        <v>993</v>
      </c>
      <c r="C1487" s="21" t="s">
        <v>781</v>
      </c>
      <c r="D1487" s="21" t="s">
        <v>781</v>
      </c>
      <c r="E1487" s="22"/>
      <c r="F1487" s="22"/>
      <c r="G1487" s="23">
        <v>4390.4250000000002</v>
      </c>
      <c r="H1487" s="31" t="s">
        <v>2285</v>
      </c>
      <c r="J1487" s="34"/>
    </row>
    <row r="1488" spans="1:10" x14ac:dyDescent="0.25">
      <c r="A1488" s="15" t="s">
        <v>781</v>
      </c>
      <c r="B1488" s="16" t="s">
        <v>781</v>
      </c>
      <c r="C1488" t="s">
        <v>781</v>
      </c>
      <c r="D1488" t="s">
        <v>781</v>
      </c>
      <c r="E1488" s="17"/>
      <c r="F1488" s="17"/>
      <c r="G1488" s="18"/>
      <c r="H1488" s="30" t="s">
        <v>2285</v>
      </c>
      <c r="J1488" s="34"/>
    </row>
    <row r="1489" spans="1:10" x14ac:dyDescent="0.25">
      <c r="A1489" s="12" t="s">
        <v>781</v>
      </c>
      <c r="B1489" s="11" t="s">
        <v>1863</v>
      </c>
      <c r="C1489" s="10" t="s">
        <v>781</v>
      </c>
      <c r="D1489" s="10" t="s">
        <v>781</v>
      </c>
      <c r="E1489" s="13"/>
      <c r="F1489" s="13"/>
      <c r="G1489" s="14"/>
      <c r="H1489" s="29" t="s">
        <v>2285</v>
      </c>
      <c r="J1489" s="34"/>
    </row>
    <row r="1490" spans="1:10" x14ac:dyDescent="0.25">
      <c r="A1490" s="15">
        <v>40841</v>
      </c>
      <c r="B1490" s="16" t="s">
        <v>883</v>
      </c>
      <c r="C1490" t="s">
        <v>884</v>
      </c>
      <c r="D1490" t="s">
        <v>48</v>
      </c>
      <c r="E1490" s="17">
        <v>1.5</v>
      </c>
      <c r="F1490" s="17">
        <v>66.069999999999993</v>
      </c>
      <c r="G1490" s="18">
        <v>99.105000000000004</v>
      </c>
      <c r="H1490" s="30" t="s">
        <v>2296</v>
      </c>
      <c r="J1490" s="34"/>
    </row>
    <row r="1491" spans="1:10" x14ac:dyDescent="0.25">
      <c r="A1491" s="15">
        <v>40841</v>
      </c>
      <c r="B1491" s="16" t="s">
        <v>865</v>
      </c>
      <c r="C1491" t="s">
        <v>8</v>
      </c>
      <c r="D1491" t="s">
        <v>48</v>
      </c>
      <c r="E1491" s="17">
        <v>2</v>
      </c>
      <c r="F1491" s="17">
        <v>35.35</v>
      </c>
      <c r="G1491" s="18">
        <v>70.7</v>
      </c>
      <c r="H1491" s="30" t="s">
        <v>2296</v>
      </c>
      <c r="J1491" s="34"/>
    </row>
    <row r="1492" spans="1:10" x14ac:dyDescent="0.25">
      <c r="A1492" s="15">
        <v>40841</v>
      </c>
      <c r="B1492" s="16" t="s">
        <v>865</v>
      </c>
      <c r="C1492" t="s">
        <v>8</v>
      </c>
      <c r="D1492" t="s">
        <v>48</v>
      </c>
      <c r="E1492" s="17">
        <v>2</v>
      </c>
      <c r="F1492" s="17">
        <v>35.35</v>
      </c>
      <c r="G1492" s="18">
        <v>70.7</v>
      </c>
      <c r="H1492" s="30" t="s">
        <v>2296</v>
      </c>
      <c r="J1492" s="34"/>
    </row>
    <row r="1493" spans="1:10" x14ac:dyDescent="0.25">
      <c r="A1493" s="15">
        <v>40841</v>
      </c>
      <c r="B1493" s="16" t="s">
        <v>865</v>
      </c>
      <c r="C1493" t="s">
        <v>8</v>
      </c>
      <c r="D1493" t="s">
        <v>48</v>
      </c>
      <c r="E1493" s="17">
        <v>3</v>
      </c>
      <c r="F1493" s="17">
        <v>35.35</v>
      </c>
      <c r="G1493" s="18">
        <v>106.05</v>
      </c>
      <c r="H1493" s="30" t="s">
        <v>2296</v>
      </c>
      <c r="J1493" s="34"/>
    </row>
    <row r="1494" spans="1:10" ht="30" x14ac:dyDescent="0.25">
      <c r="A1494" s="15">
        <v>40841</v>
      </c>
      <c r="B1494" s="16" t="s">
        <v>994</v>
      </c>
      <c r="C1494" t="s">
        <v>995</v>
      </c>
      <c r="D1494" t="s">
        <v>783</v>
      </c>
      <c r="E1494" s="17">
        <v>1</v>
      </c>
      <c r="F1494" s="17">
        <v>159.51</v>
      </c>
      <c r="G1494" s="18">
        <v>159.51</v>
      </c>
      <c r="H1494" s="30" t="s">
        <v>2296</v>
      </c>
      <c r="J1494" s="34"/>
    </row>
    <row r="1495" spans="1:10" x14ac:dyDescent="0.25">
      <c r="A1495" s="15">
        <v>40841</v>
      </c>
      <c r="B1495" s="16" t="s">
        <v>880</v>
      </c>
      <c r="C1495" t="s">
        <v>881</v>
      </c>
      <c r="D1495" t="s">
        <v>48</v>
      </c>
      <c r="E1495" s="17">
        <v>4.5</v>
      </c>
      <c r="F1495" s="17">
        <v>90</v>
      </c>
      <c r="G1495" s="18">
        <v>405</v>
      </c>
      <c r="H1495" s="30" t="s">
        <v>2296</v>
      </c>
      <c r="J1495" s="34"/>
    </row>
    <row r="1496" spans="1:10" x14ac:dyDescent="0.25">
      <c r="A1496" s="15">
        <v>40842</v>
      </c>
      <c r="B1496" s="16" t="s">
        <v>883</v>
      </c>
      <c r="C1496" t="s">
        <v>884</v>
      </c>
      <c r="D1496" t="s">
        <v>48</v>
      </c>
      <c r="E1496" s="17">
        <v>1.5</v>
      </c>
      <c r="F1496" s="17">
        <v>66.069999999999993</v>
      </c>
      <c r="G1496" s="18">
        <v>99.105000000000004</v>
      </c>
      <c r="H1496" s="30" t="s">
        <v>2296</v>
      </c>
      <c r="J1496" s="34"/>
    </row>
    <row r="1497" spans="1:10" x14ac:dyDescent="0.25">
      <c r="A1497" s="15">
        <v>40843</v>
      </c>
      <c r="B1497" s="16" t="s">
        <v>908</v>
      </c>
      <c r="C1497" t="s">
        <v>873</v>
      </c>
      <c r="D1497" t="s">
        <v>48</v>
      </c>
      <c r="E1497" s="17">
        <v>9</v>
      </c>
      <c r="F1497" s="17">
        <v>95</v>
      </c>
      <c r="G1497" s="18">
        <v>855</v>
      </c>
      <c r="H1497" s="30" t="s">
        <v>2296</v>
      </c>
      <c r="J1497" s="34"/>
    </row>
    <row r="1498" spans="1:10" x14ac:dyDescent="0.25">
      <c r="A1498" s="15">
        <v>40847</v>
      </c>
      <c r="B1498" s="16" t="s">
        <v>865</v>
      </c>
      <c r="C1498" t="s">
        <v>8</v>
      </c>
      <c r="D1498" t="s">
        <v>48</v>
      </c>
      <c r="E1498" s="17">
        <v>10</v>
      </c>
      <c r="F1498" s="17">
        <v>35.35</v>
      </c>
      <c r="G1498" s="18">
        <v>353.5</v>
      </c>
      <c r="H1498" s="30" t="s">
        <v>2296</v>
      </c>
      <c r="J1498" s="34"/>
    </row>
    <row r="1499" spans="1:10" x14ac:dyDescent="0.25">
      <c r="A1499" s="15">
        <v>40847</v>
      </c>
      <c r="B1499" s="16" t="s">
        <v>865</v>
      </c>
      <c r="C1499" t="s">
        <v>8</v>
      </c>
      <c r="D1499" t="s">
        <v>48</v>
      </c>
      <c r="E1499" s="17">
        <v>10</v>
      </c>
      <c r="F1499" s="17">
        <v>35.35</v>
      </c>
      <c r="G1499" s="18">
        <v>353.5</v>
      </c>
      <c r="H1499" s="30" t="s">
        <v>2296</v>
      </c>
      <c r="J1499" s="34"/>
    </row>
    <row r="1500" spans="1:10" x14ac:dyDescent="0.25">
      <c r="A1500" s="15">
        <v>40847</v>
      </c>
      <c r="B1500" s="16" t="s">
        <v>996</v>
      </c>
      <c r="C1500" t="s">
        <v>997</v>
      </c>
      <c r="D1500" t="s">
        <v>48</v>
      </c>
      <c r="E1500" s="17">
        <v>10</v>
      </c>
      <c r="F1500" s="17">
        <v>42.79</v>
      </c>
      <c r="G1500" s="18">
        <v>427.9</v>
      </c>
      <c r="H1500" s="30" t="s">
        <v>2296</v>
      </c>
      <c r="J1500" s="34"/>
    </row>
    <row r="1501" spans="1:10" x14ac:dyDescent="0.25">
      <c r="A1501" s="15">
        <v>40847</v>
      </c>
      <c r="B1501" s="16" t="s">
        <v>863</v>
      </c>
      <c r="C1501" t="s">
        <v>864</v>
      </c>
      <c r="D1501" t="s">
        <v>48</v>
      </c>
      <c r="E1501" s="17">
        <v>9</v>
      </c>
      <c r="F1501" s="17">
        <v>110</v>
      </c>
      <c r="G1501" s="18">
        <v>990</v>
      </c>
      <c r="H1501" s="30" t="s">
        <v>2296</v>
      </c>
      <c r="J1501" s="34"/>
    </row>
    <row r="1502" spans="1:10" x14ac:dyDescent="0.25">
      <c r="A1502" s="15">
        <v>40848</v>
      </c>
      <c r="B1502" s="16" t="s">
        <v>876</v>
      </c>
      <c r="C1502" t="s">
        <v>8</v>
      </c>
      <c r="D1502" t="s">
        <v>48</v>
      </c>
      <c r="E1502" s="17">
        <v>10</v>
      </c>
      <c r="F1502" s="17">
        <v>95</v>
      </c>
      <c r="G1502" s="18">
        <v>950</v>
      </c>
      <c r="H1502" s="30" t="s">
        <v>2296</v>
      </c>
      <c r="J1502" s="34"/>
    </row>
    <row r="1503" spans="1:10" x14ac:dyDescent="0.25">
      <c r="A1503" s="15">
        <v>40848</v>
      </c>
      <c r="B1503" s="16" t="s">
        <v>906</v>
      </c>
      <c r="C1503" t="s">
        <v>864</v>
      </c>
      <c r="D1503" t="s">
        <v>48</v>
      </c>
      <c r="E1503" s="17">
        <v>7</v>
      </c>
      <c r="F1503" s="17">
        <v>110</v>
      </c>
      <c r="G1503" s="18">
        <v>770</v>
      </c>
      <c r="H1503" s="30" t="s">
        <v>2296</v>
      </c>
      <c r="J1503" s="34"/>
    </row>
    <row r="1504" spans="1:10" x14ac:dyDescent="0.25">
      <c r="A1504" s="15">
        <v>40848</v>
      </c>
      <c r="B1504" s="16" t="s">
        <v>917</v>
      </c>
      <c r="C1504" t="s">
        <v>913</v>
      </c>
      <c r="D1504" t="s">
        <v>48</v>
      </c>
      <c r="E1504" s="17">
        <v>9.5</v>
      </c>
      <c r="F1504" s="17">
        <v>95</v>
      </c>
      <c r="G1504" s="18">
        <v>902.5</v>
      </c>
      <c r="H1504" s="30" t="s">
        <v>2296</v>
      </c>
      <c r="J1504" s="34"/>
    </row>
    <row r="1505" spans="1:10" x14ac:dyDescent="0.25">
      <c r="A1505" s="15">
        <v>40848</v>
      </c>
      <c r="B1505" s="16" t="s">
        <v>865</v>
      </c>
      <c r="C1505" t="s">
        <v>8</v>
      </c>
      <c r="D1505" t="s">
        <v>48</v>
      </c>
      <c r="E1505" s="17">
        <v>9.5</v>
      </c>
      <c r="F1505" s="17">
        <v>35.35</v>
      </c>
      <c r="G1505" s="18">
        <v>335.82499999999999</v>
      </c>
      <c r="H1505" s="30" t="s">
        <v>2296</v>
      </c>
      <c r="J1505" s="34"/>
    </row>
    <row r="1506" spans="1:10" x14ac:dyDescent="0.25">
      <c r="A1506" s="15">
        <v>40848</v>
      </c>
      <c r="B1506" s="16" t="s">
        <v>865</v>
      </c>
      <c r="C1506" t="s">
        <v>8</v>
      </c>
      <c r="D1506" t="s">
        <v>48</v>
      </c>
      <c r="E1506" s="17">
        <v>10</v>
      </c>
      <c r="F1506" s="17">
        <v>35.35</v>
      </c>
      <c r="G1506" s="18">
        <v>353.5</v>
      </c>
      <c r="H1506" s="30" t="s">
        <v>2296</v>
      </c>
      <c r="J1506" s="34"/>
    </row>
    <row r="1507" spans="1:10" x14ac:dyDescent="0.25">
      <c r="A1507" s="15">
        <v>40849</v>
      </c>
      <c r="B1507" s="16" t="s">
        <v>906</v>
      </c>
      <c r="C1507" t="s">
        <v>864</v>
      </c>
      <c r="D1507" t="s">
        <v>48</v>
      </c>
      <c r="E1507" s="17">
        <v>8</v>
      </c>
      <c r="F1507" s="17">
        <v>110</v>
      </c>
      <c r="G1507" s="18">
        <v>880</v>
      </c>
      <c r="H1507" s="30" t="s">
        <v>2296</v>
      </c>
      <c r="J1507" s="34"/>
    </row>
    <row r="1508" spans="1:10" x14ac:dyDescent="0.25">
      <c r="A1508" s="15">
        <v>40849</v>
      </c>
      <c r="B1508" s="16" t="s">
        <v>865</v>
      </c>
      <c r="C1508" t="s">
        <v>8</v>
      </c>
      <c r="D1508" t="s">
        <v>48</v>
      </c>
      <c r="E1508" s="17">
        <v>10</v>
      </c>
      <c r="F1508" s="17">
        <v>35.35</v>
      </c>
      <c r="G1508" s="18">
        <v>353.5</v>
      </c>
      <c r="H1508" s="30" t="s">
        <v>2296</v>
      </c>
      <c r="J1508" s="34"/>
    </row>
    <row r="1509" spans="1:10" x14ac:dyDescent="0.25">
      <c r="A1509" s="15">
        <v>40849</v>
      </c>
      <c r="B1509" s="16" t="s">
        <v>865</v>
      </c>
      <c r="C1509" t="s">
        <v>8</v>
      </c>
      <c r="D1509" t="s">
        <v>48</v>
      </c>
      <c r="E1509" s="17">
        <v>10</v>
      </c>
      <c r="F1509" s="17">
        <v>35.35</v>
      </c>
      <c r="G1509" s="18">
        <v>353.5</v>
      </c>
      <c r="H1509" s="30" t="s">
        <v>2296</v>
      </c>
      <c r="J1509" s="34"/>
    </row>
    <row r="1510" spans="1:10" x14ac:dyDescent="0.25">
      <c r="A1510" s="15">
        <v>40857</v>
      </c>
      <c r="B1510" s="16" t="s">
        <v>869</v>
      </c>
      <c r="C1510" t="s">
        <v>8</v>
      </c>
      <c r="D1510" t="s">
        <v>48</v>
      </c>
      <c r="E1510" s="17">
        <v>9.5</v>
      </c>
      <c r="F1510" s="17">
        <v>35.35</v>
      </c>
      <c r="G1510" s="18">
        <v>335.82499999999999</v>
      </c>
      <c r="H1510" s="30" t="s">
        <v>2296</v>
      </c>
      <c r="J1510" s="34"/>
    </row>
    <row r="1511" spans="1:10" x14ac:dyDescent="0.25">
      <c r="A1511" s="15">
        <v>40857</v>
      </c>
      <c r="B1511" s="16" t="s">
        <v>921</v>
      </c>
      <c r="C1511" t="s">
        <v>8</v>
      </c>
      <c r="D1511" t="s">
        <v>48</v>
      </c>
      <c r="E1511" s="17">
        <v>9.5</v>
      </c>
      <c r="F1511" s="17">
        <v>44.2</v>
      </c>
      <c r="G1511" s="18">
        <v>419.9</v>
      </c>
      <c r="H1511" s="30" t="s">
        <v>2296</v>
      </c>
      <c r="J1511" s="34"/>
    </row>
    <row r="1512" spans="1:10" x14ac:dyDescent="0.25">
      <c r="A1512" s="15">
        <v>40857</v>
      </c>
      <c r="B1512" s="16" t="s">
        <v>865</v>
      </c>
      <c r="C1512" t="s">
        <v>8</v>
      </c>
      <c r="D1512" t="s">
        <v>48</v>
      </c>
      <c r="E1512" s="17">
        <v>3</v>
      </c>
      <c r="F1512" s="17">
        <v>35.35</v>
      </c>
      <c r="G1512" s="18">
        <v>106.05</v>
      </c>
      <c r="H1512" s="30" t="s">
        <v>2296</v>
      </c>
      <c r="J1512" s="34"/>
    </row>
    <row r="1513" spans="1:10" x14ac:dyDescent="0.25">
      <c r="A1513" s="15">
        <v>40857</v>
      </c>
      <c r="B1513" s="16" t="s">
        <v>880</v>
      </c>
      <c r="C1513" t="s">
        <v>881</v>
      </c>
      <c r="D1513" t="s">
        <v>48</v>
      </c>
      <c r="E1513" s="17">
        <v>3.5</v>
      </c>
      <c r="F1513" s="17">
        <v>90</v>
      </c>
      <c r="G1513" s="18">
        <v>315</v>
      </c>
      <c r="H1513" s="30" t="s">
        <v>2296</v>
      </c>
      <c r="J1513" s="34"/>
    </row>
    <row r="1514" spans="1:10" x14ac:dyDescent="0.25">
      <c r="A1514" s="15">
        <v>40857</v>
      </c>
      <c r="B1514" s="16" t="s">
        <v>889</v>
      </c>
      <c r="C1514" t="s">
        <v>864</v>
      </c>
      <c r="D1514" t="s">
        <v>48</v>
      </c>
      <c r="E1514" s="17">
        <v>3.75</v>
      </c>
      <c r="F1514" s="17">
        <v>110</v>
      </c>
      <c r="G1514" s="18">
        <v>412.5</v>
      </c>
      <c r="H1514" s="30" t="s">
        <v>2296</v>
      </c>
      <c r="J1514" s="34"/>
    </row>
    <row r="1515" spans="1:10" x14ac:dyDescent="0.25">
      <c r="A1515" s="15">
        <v>40861</v>
      </c>
      <c r="B1515" s="16" t="s">
        <v>865</v>
      </c>
      <c r="C1515" t="s">
        <v>8</v>
      </c>
      <c r="D1515" t="s">
        <v>48</v>
      </c>
      <c r="E1515" s="17">
        <v>6.5</v>
      </c>
      <c r="F1515" s="17">
        <v>35.35</v>
      </c>
      <c r="G1515" s="18">
        <v>229.77500000000001</v>
      </c>
      <c r="H1515" s="30" t="s">
        <v>2296</v>
      </c>
      <c r="J1515" s="34"/>
    </row>
    <row r="1516" spans="1:10" x14ac:dyDescent="0.25">
      <c r="A1516" s="15">
        <v>40861</v>
      </c>
      <c r="B1516" s="16" t="s">
        <v>865</v>
      </c>
      <c r="C1516" t="s">
        <v>8</v>
      </c>
      <c r="D1516" t="s">
        <v>48</v>
      </c>
      <c r="E1516" s="17">
        <v>6.5</v>
      </c>
      <c r="F1516" s="17">
        <v>35.35</v>
      </c>
      <c r="G1516" s="18">
        <v>229.77500000000001</v>
      </c>
      <c r="H1516" s="30" t="s">
        <v>2296</v>
      </c>
      <c r="J1516" s="34"/>
    </row>
    <row r="1517" spans="1:10" x14ac:dyDescent="0.25">
      <c r="A1517" s="15">
        <v>40861</v>
      </c>
      <c r="B1517" s="16" t="s">
        <v>865</v>
      </c>
      <c r="C1517" t="s">
        <v>8</v>
      </c>
      <c r="D1517" t="s">
        <v>48</v>
      </c>
      <c r="E1517" s="17">
        <v>3</v>
      </c>
      <c r="F1517" s="17">
        <v>35.35</v>
      </c>
      <c r="G1517" s="18">
        <v>106.05</v>
      </c>
      <c r="H1517" s="30" t="s">
        <v>2296</v>
      </c>
      <c r="J1517" s="34"/>
    </row>
    <row r="1518" spans="1:10" x14ac:dyDescent="0.25">
      <c r="A1518" s="15">
        <v>40861</v>
      </c>
      <c r="B1518" s="16" t="s">
        <v>889</v>
      </c>
      <c r="C1518" t="s">
        <v>864</v>
      </c>
      <c r="D1518" t="s">
        <v>48</v>
      </c>
      <c r="E1518" s="17">
        <v>3.5</v>
      </c>
      <c r="F1518" s="17">
        <v>110</v>
      </c>
      <c r="G1518" s="18">
        <v>385</v>
      </c>
      <c r="H1518" s="30" t="s">
        <v>2296</v>
      </c>
      <c r="J1518" s="34"/>
    </row>
    <row r="1519" spans="1:10" x14ac:dyDescent="0.25">
      <c r="A1519" s="15">
        <v>40861</v>
      </c>
      <c r="B1519" s="16" t="s">
        <v>869</v>
      </c>
      <c r="C1519" t="s">
        <v>8</v>
      </c>
      <c r="D1519" t="s">
        <v>48</v>
      </c>
      <c r="E1519" s="17">
        <v>6.5</v>
      </c>
      <c r="F1519" s="17">
        <v>35.35</v>
      </c>
      <c r="G1519" s="18">
        <v>229.77500000000001</v>
      </c>
      <c r="H1519" s="30" t="s">
        <v>2296</v>
      </c>
      <c r="J1519" s="34"/>
    </row>
    <row r="1520" spans="1:10" x14ac:dyDescent="0.25">
      <c r="A1520" s="15">
        <v>40865</v>
      </c>
      <c r="B1520" s="16" t="s">
        <v>865</v>
      </c>
      <c r="C1520" t="s">
        <v>8</v>
      </c>
      <c r="D1520" t="s">
        <v>48</v>
      </c>
      <c r="E1520" s="17">
        <v>4</v>
      </c>
      <c r="F1520" s="17">
        <v>35.35</v>
      </c>
      <c r="G1520" s="18">
        <v>141.4</v>
      </c>
      <c r="H1520" s="30" t="s">
        <v>2296</v>
      </c>
      <c r="J1520" s="34"/>
    </row>
    <row r="1521" spans="1:10" x14ac:dyDescent="0.25">
      <c r="A1521" s="15">
        <v>40865</v>
      </c>
      <c r="B1521" s="16" t="s">
        <v>869</v>
      </c>
      <c r="C1521" t="s">
        <v>8</v>
      </c>
      <c r="D1521" t="s">
        <v>48</v>
      </c>
      <c r="E1521" s="17">
        <v>2.5</v>
      </c>
      <c r="F1521" s="17">
        <v>35.35</v>
      </c>
      <c r="G1521" s="18">
        <v>88.375</v>
      </c>
      <c r="H1521" s="30" t="s">
        <v>2296</v>
      </c>
      <c r="J1521" s="34"/>
    </row>
    <row r="1522" spans="1:10" x14ac:dyDescent="0.25">
      <c r="A1522" s="15">
        <v>40865</v>
      </c>
      <c r="B1522" s="16" t="s">
        <v>912</v>
      </c>
      <c r="C1522" t="s">
        <v>913</v>
      </c>
      <c r="D1522" t="s">
        <v>48</v>
      </c>
      <c r="E1522" s="17">
        <v>7.5</v>
      </c>
      <c r="F1522" s="17">
        <v>95</v>
      </c>
      <c r="G1522" s="18">
        <v>712.5</v>
      </c>
      <c r="H1522" s="30" t="s">
        <v>2296</v>
      </c>
      <c r="J1522" s="34"/>
    </row>
    <row r="1523" spans="1:10" x14ac:dyDescent="0.25">
      <c r="A1523" s="15">
        <v>40865</v>
      </c>
      <c r="B1523" s="16" t="s">
        <v>876</v>
      </c>
      <c r="C1523" t="s">
        <v>8</v>
      </c>
      <c r="D1523" t="s">
        <v>48</v>
      </c>
      <c r="E1523" s="17">
        <v>2</v>
      </c>
      <c r="F1523" s="17">
        <v>95</v>
      </c>
      <c r="G1523" s="18">
        <v>190</v>
      </c>
      <c r="H1523" s="30" t="s">
        <v>2296</v>
      </c>
      <c r="J1523" s="34"/>
    </row>
    <row r="1524" spans="1:10" x14ac:dyDescent="0.25">
      <c r="A1524" s="15">
        <v>40866</v>
      </c>
      <c r="B1524" s="16" t="s">
        <v>917</v>
      </c>
      <c r="C1524" t="s">
        <v>913</v>
      </c>
      <c r="D1524" t="s">
        <v>48</v>
      </c>
      <c r="E1524" s="17">
        <v>7.5</v>
      </c>
      <c r="F1524" s="17">
        <v>95</v>
      </c>
      <c r="G1524" s="18">
        <v>712.5</v>
      </c>
      <c r="H1524" s="30" t="s">
        <v>2296</v>
      </c>
      <c r="J1524" s="34"/>
    </row>
    <row r="1525" spans="1:10" x14ac:dyDescent="0.25">
      <c r="A1525" s="15">
        <v>40868</v>
      </c>
      <c r="B1525" s="16" t="s">
        <v>917</v>
      </c>
      <c r="C1525" t="s">
        <v>913</v>
      </c>
      <c r="D1525" t="s">
        <v>48</v>
      </c>
      <c r="E1525" s="17">
        <v>9.5</v>
      </c>
      <c r="F1525" s="17">
        <v>95</v>
      </c>
      <c r="G1525" s="18">
        <v>902.5</v>
      </c>
      <c r="H1525" s="30" t="s">
        <v>2296</v>
      </c>
      <c r="J1525" s="34"/>
    </row>
    <row r="1526" spans="1:10" x14ac:dyDescent="0.25">
      <c r="A1526" s="15">
        <v>40870</v>
      </c>
      <c r="B1526" s="16" t="s">
        <v>45</v>
      </c>
      <c r="C1526" t="s">
        <v>8</v>
      </c>
      <c r="D1526" t="s">
        <v>48</v>
      </c>
      <c r="E1526" s="17">
        <v>5</v>
      </c>
      <c r="F1526" s="17">
        <v>95</v>
      </c>
      <c r="G1526" s="18">
        <v>475</v>
      </c>
      <c r="H1526" s="30" t="s">
        <v>2296</v>
      </c>
      <c r="J1526" s="34"/>
    </row>
    <row r="1527" spans="1:10" x14ac:dyDescent="0.25">
      <c r="A1527" s="15">
        <v>40870</v>
      </c>
      <c r="B1527" s="16" t="s">
        <v>917</v>
      </c>
      <c r="C1527" t="s">
        <v>913</v>
      </c>
      <c r="D1527" t="s">
        <v>48</v>
      </c>
      <c r="E1527" s="17">
        <v>10</v>
      </c>
      <c r="F1527" s="17">
        <v>95</v>
      </c>
      <c r="G1527" s="18">
        <v>950</v>
      </c>
      <c r="H1527" s="30" t="s">
        <v>2296</v>
      </c>
      <c r="J1527" s="34"/>
    </row>
    <row r="1528" spans="1:10" x14ac:dyDescent="0.25">
      <c r="A1528" s="15">
        <v>40870</v>
      </c>
      <c r="B1528" s="16" t="s">
        <v>865</v>
      </c>
      <c r="C1528" t="s">
        <v>8</v>
      </c>
      <c r="D1528" t="s">
        <v>48</v>
      </c>
      <c r="E1528" s="17">
        <v>9.5</v>
      </c>
      <c r="F1528" s="17">
        <v>35.35</v>
      </c>
      <c r="G1528" s="18">
        <v>335.82499999999999</v>
      </c>
      <c r="H1528" s="30" t="s">
        <v>2296</v>
      </c>
      <c r="J1528" s="34"/>
    </row>
    <row r="1529" spans="1:10" x14ac:dyDescent="0.25">
      <c r="A1529" s="15">
        <v>40870</v>
      </c>
      <c r="B1529" s="16" t="s">
        <v>865</v>
      </c>
      <c r="C1529" t="s">
        <v>8</v>
      </c>
      <c r="D1529" t="s">
        <v>48</v>
      </c>
      <c r="E1529" s="17">
        <v>9.5</v>
      </c>
      <c r="F1529" s="17">
        <v>35.35</v>
      </c>
      <c r="G1529" s="18">
        <v>335.82499999999999</v>
      </c>
      <c r="H1529" s="30" t="s">
        <v>2296</v>
      </c>
      <c r="J1529" s="34"/>
    </row>
    <row r="1530" spans="1:10" ht="30" x14ac:dyDescent="0.25">
      <c r="A1530" s="15">
        <v>40870</v>
      </c>
      <c r="B1530" s="16" t="s">
        <v>998</v>
      </c>
      <c r="C1530" t="s">
        <v>629</v>
      </c>
      <c r="D1530" t="s">
        <v>783</v>
      </c>
      <c r="E1530" s="17">
        <v>6.5</v>
      </c>
      <c r="F1530" s="17">
        <v>145</v>
      </c>
      <c r="G1530" s="18">
        <v>942.5</v>
      </c>
      <c r="H1530" s="30" t="s">
        <v>2296</v>
      </c>
      <c r="J1530" s="34"/>
    </row>
    <row r="1531" spans="1:10" x14ac:dyDescent="0.25">
      <c r="A1531" s="15">
        <v>40875</v>
      </c>
      <c r="B1531" s="16" t="s">
        <v>865</v>
      </c>
      <c r="C1531" t="s">
        <v>8</v>
      </c>
      <c r="D1531" t="s">
        <v>48</v>
      </c>
      <c r="E1531" s="17">
        <v>3</v>
      </c>
      <c r="F1531" s="17">
        <v>35.35</v>
      </c>
      <c r="G1531" s="18">
        <v>106.05</v>
      </c>
      <c r="H1531" s="30" t="s">
        <v>2296</v>
      </c>
      <c r="J1531" s="34"/>
    </row>
    <row r="1532" spans="1:10" x14ac:dyDescent="0.25">
      <c r="A1532" s="15">
        <v>40875</v>
      </c>
      <c r="B1532" s="16" t="s">
        <v>865</v>
      </c>
      <c r="C1532" t="s">
        <v>8</v>
      </c>
      <c r="D1532" t="s">
        <v>48</v>
      </c>
      <c r="E1532" s="17">
        <v>3</v>
      </c>
      <c r="F1532" s="17">
        <v>35.35</v>
      </c>
      <c r="G1532" s="18">
        <v>106.05</v>
      </c>
      <c r="H1532" s="30" t="s">
        <v>2296</v>
      </c>
      <c r="J1532" s="34"/>
    </row>
    <row r="1533" spans="1:10" x14ac:dyDescent="0.25">
      <c r="A1533" s="15">
        <v>40875</v>
      </c>
      <c r="B1533" s="16" t="s">
        <v>865</v>
      </c>
      <c r="C1533" t="s">
        <v>8</v>
      </c>
      <c r="D1533" t="s">
        <v>48</v>
      </c>
      <c r="E1533" s="17">
        <v>3</v>
      </c>
      <c r="F1533" s="17">
        <v>35.35</v>
      </c>
      <c r="G1533" s="18">
        <v>106.05</v>
      </c>
      <c r="H1533" s="30" t="s">
        <v>2296</v>
      </c>
      <c r="J1533" s="34"/>
    </row>
    <row r="1534" spans="1:10" x14ac:dyDescent="0.25">
      <c r="A1534" s="15">
        <v>40876</v>
      </c>
      <c r="B1534" s="16" t="s">
        <v>865</v>
      </c>
      <c r="C1534" t="s">
        <v>8</v>
      </c>
      <c r="D1534" t="s">
        <v>48</v>
      </c>
      <c r="E1534" s="17">
        <v>3</v>
      </c>
      <c r="F1534" s="17">
        <v>35.35</v>
      </c>
      <c r="G1534" s="18">
        <v>106.05</v>
      </c>
      <c r="H1534" s="30" t="s">
        <v>2296</v>
      </c>
      <c r="J1534" s="34"/>
    </row>
    <row r="1535" spans="1:10" x14ac:dyDescent="0.25">
      <c r="A1535" s="15">
        <v>40876</v>
      </c>
      <c r="B1535" s="16" t="s">
        <v>865</v>
      </c>
      <c r="C1535" t="s">
        <v>8</v>
      </c>
      <c r="D1535" t="s">
        <v>48</v>
      </c>
      <c r="E1535" s="17">
        <v>3</v>
      </c>
      <c r="F1535" s="17">
        <v>35.35</v>
      </c>
      <c r="G1535" s="18">
        <v>106.05</v>
      </c>
      <c r="H1535" s="30" t="s">
        <v>2296</v>
      </c>
      <c r="J1535" s="34"/>
    </row>
    <row r="1536" spans="1:10" x14ac:dyDescent="0.25">
      <c r="A1536" s="15">
        <v>40876</v>
      </c>
      <c r="B1536" s="16" t="s">
        <v>917</v>
      </c>
      <c r="C1536" t="s">
        <v>913</v>
      </c>
      <c r="D1536" t="s">
        <v>48</v>
      </c>
      <c r="E1536" s="17">
        <v>4</v>
      </c>
      <c r="F1536" s="17">
        <v>95</v>
      </c>
      <c r="G1536" s="18">
        <v>380</v>
      </c>
      <c r="H1536" s="30" t="s">
        <v>2296</v>
      </c>
      <c r="J1536" s="34"/>
    </row>
    <row r="1537" spans="1:10" x14ac:dyDescent="0.25">
      <c r="A1537" s="15">
        <v>40876</v>
      </c>
      <c r="B1537" s="16" t="s">
        <v>865</v>
      </c>
      <c r="C1537" t="s">
        <v>8</v>
      </c>
      <c r="D1537" t="s">
        <v>48</v>
      </c>
      <c r="E1537" s="17">
        <v>3</v>
      </c>
      <c r="F1537" s="17">
        <v>35.35</v>
      </c>
      <c r="G1537" s="18">
        <v>106.05</v>
      </c>
      <c r="H1537" s="30" t="s">
        <v>2296</v>
      </c>
      <c r="J1537" s="34"/>
    </row>
    <row r="1538" spans="1:10" x14ac:dyDescent="0.25">
      <c r="A1538" s="15">
        <v>40877</v>
      </c>
      <c r="B1538" s="16" t="s">
        <v>865</v>
      </c>
      <c r="C1538" t="s">
        <v>8</v>
      </c>
      <c r="D1538" t="s">
        <v>48</v>
      </c>
      <c r="E1538" s="17">
        <v>8</v>
      </c>
      <c r="F1538" s="17">
        <v>35.35</v>
      </c>
      <c r="G1538" s="18">
        <v>282.8</v>
      </c>
      <c r="H1538" s="30" t="s">
        <v>2296</v>
      </c>
      <c r="J1538" s="34"/>
    </row>
    <row r="1539" spans="1:10" ht="30" x14ac:dyDescent="0.25">
      <c r="A1539" s="15">
        <v>40877</v>
      </c>
      <c r="B1539" s="16" t="s">
        <v>999</v>
      </c>
      <c r="C1539" t="s">
        <v>1000</v>
      </c>
      <c r="D1539" t="s">
        <v>783</v>
      </c>
      <c r="E1539" s="17">
        <v>1</v>
      </c>
      <c r="F1539" s="17">
        <v>79.510000000000005</v>
      </c>
      <c r="G1539" s="18">
        <v>79.510000000000005</v>
      </c>
      <c r="H1539" s="30" t="s">
        <v>2296</v>
      </c>
      <c r="J1539" s="34"/>
    </row>
    <row r="1540" spans="1:10" ht="30" x14ac:dyDescent="0.25">
      <c r="A1540" s="15">
        <v>40877</v>
      </c>
      <c r="B1540" s="16" t="s">
        <v>1001</v>
      </c>
      <c r="C1540" t="s">
        <v>1002</v>
      </c>
      <c r="D1540" t="s">
        <v>783</v>
      </c>
      <c r="E1540" s="17">
        <v>1</v>
      </c>
      <c r="F1540" s="17">
        <v>10001</v>
      </c>
      <c r="G1540" s="18">
        <v>10001</v>
      </c>
      <c r="H1540" s="30" t="s">
        <v>2296</v>
      </c>
      <c r="J1540" s="34"/>
    </row>
    <row r="1541" spans="1:10" x14ac:dyDescent="0.25">
      <c r="A1541" s="15">
        <v>40877</v>
      </c>
      <c r="B1541" s="16" t="s">
        <v>865</v>
      </c>
      <c r="C1541" t="s">
        <v>8</v>
      </c>
      <c r="D1541" t="s">
        <v>48</v>
      </c>
      <c r="E1541" s="17">
        <v>8</v>
      </c>
      <c r="F1541" s="17">
        <v>35.35</v>
      </c>
      <c r="G1541" s="18">
        <v>282.8</v>
      </c>
      <c r="H1541" s="30" t="s">
        <v>2296</v>
      </c>
      <c r="J1541" s="34"/>
    </row>
    <row r="1542" spans="1:10" x14ac:dyDescent="0.25">
      <c r="A1542" s="15">
        <v>40878</v>
      </c>
      <c r="B1542" s="16" t="s">
        <v>865</v>
      </c>
      <c r="C1542" t="s">
        <v>8</v>
      </c>
      <c r="D1542" t="s">
        <v>48</v>
      </c>
      <c r="E1542" s="17">
        <v>8</v>
      </c>
      <c r="F1542" s="17">
        <v>35.35</v>
      </c>
      <c r="G1542" s="18">
        <v>282.8</v>
      </c>
      <c r="H1542" s="30" t="s">
        <v>2296</v>
      </c>
      <c r="J1542" s="34"/>
    </row>
    <row r="1543" spans="1:10" x14ac:dyDescent="0.25">
      <c r="A1543" s="15">
        <v>40878</v>
      </c>
      <c r="B1543" s="16" t="s">
        <v>865</v>
      </c>
      <c r="C1543" t="s">
        <v>8</v>
      </c>
      <c r="D1543" t="s">
        <v>48</v>
      </c>
      <c r="E1543" s="17">
        <v>8</v>
      </c>
      <c r="F1543" s="17">
        <v>35.35</v>
      </c>
      <c r="G1543" s="18">
        <v>282.8</v>
      </c>
      <c r="H1543" s="30" t="s">
        <v>2296</v>
      </c>
      <c r="J1543" s="34"/>
    </row>
    <row r="1544" spans="1:10" x14ac:dyDescent="0.25">
      <c r="A1544" s="15">
        <v>40879</v>
      </c>
      <c r="B1544" s="16" t="s">
        <v>865</v>
      </c>
      <c r="C1544" t="s">
        <v>8</v>
      </c>
      <c r="D1544" t="s">
        <v>48</v>
      </c>
      <c r="E1544" s="17">
        <v>1</v>
      </c>
      <c r="F1544" s="17">
        <v>35.35</v>
      </c>
      <c r="G1544" s="18">
        <v>35.35</v>
      </c>
      <c r="H1544" s="30" t="s">
        <v>2296</v>
      </c>
      <c r="J1544" s="34"/>
    </row>
    <row r="1545" spans="1:10" x14ac:dyDescent="0.25">
      <c r="A1545" s="15">
        <v>40879</v>
      </c>
      <c r="B1545" s="16" t="s">
        <v>865</v>
      </c>
      <c r="C1545" t="s">
        <v>8</v>
      </c>
      <c r="D1545" t="s">
        <v>48</v>
      </c>
      <c r="E1545" s="17">
        <v>1</v>
      </c>
      <c r="F1545" s="17">
        <v>35.35</v>
      </c>
      <c r="G1545" s="18">
        <v>35.35</v>
      </c>
      <c r="H1545" s="30" t="s">
        <v>2296</v>
      </c>
      <c r="J1545" s="34"/>
    </row>
    <row r="1546" spans="1:10" x14ac:dyDescent="0.25">
      <c r="A1546" s="15">
        <v>40882</v>
      </c>
      <c r="B1546" s="16" t="s">
        <v>865</v>
      </c>
      <c r="C1546" t="s">
        <v>8</v>
      </c>
      <c r="D1546" t="s">
        <v>48</v>
      </c>
      <c r="E1546" s="17">
        <v>3</v>
      </c>
      <c r="F1546" s="17">
        <v>35.35</v>
      </c>
      <c r="G1546" s="18">
        <v>106.05</v>
      </c>
      <c r="H1546" s="30" t="s">
        <v>2296</v>
      </c>
      <c r="J1546" s="34"/>
    </row>
    <row r="1547" spans="1:10" x14ac:dyDescent="0.25">
      <c r="A1547" s="15">
        <v>40882</v>
      </c>
      <c r="B1547" s="16" t="s">
        <v>865</v>
      </c>
      <c r="C1547" t="s">
        <v>8</v>
      </c>
      <c r="D1547" t="s">
        <v>48</v>
      </c>
      <c r="E1547" s="17">
        <v>3</v>
      </c>
      <c r="F1547" s="17">
        <v>35.35</v>
      </c>
      <c r="G1547" s="18">
        <v>106.05</v>
      </c>
      <c r="H1547" s="30" t="s">
        <v>2296</v>
      </c>
      <c r="J1547" s="34"/>
    </row>
    <row r="1548" spans="1:10" x14ac:dyDescent="0.25">
      <c r="A1548" s="15">
        <v>40884</v>
      </c>
      <c r="B1548" s="16" t="s">
        <v>865</v>
      </c>
      <c r="C1548" t="s">
        <v>8</v>
      </c>
      <c r="D1548" t="s">
        <v>48</v>
      </c>
      <c r="E1548" s="17">
        <v>9.5</v>
      </c>
      <c r="F1548" s="17">
        <v>35.35</v>
      </c>
      <c r="G1548" s="18">
        <v>335.82499999999999</v>
      </c>
      <c r="H1548" s="30" t="s">
        <v>2296</v>
      </c>
      <c r="J1548" s="34"/>
    </row>
    <row r="1549" spans="1:10" x14ac:dyDescent="0.25">
      <c r="A1549" s="15">
        <v>40884</v>
      </c>
      <c r="B1549" s="16" t="s">
        <v>865</v>
      </c>
      <c r="C1549" t="s">
        <v>8</v>
      </c>
      <c r="D1549" t="s">
        <v>48</v>
      </c>
      <c r="E1549" s="17">
        <v>9.5</v>
      </c>
      <c r="F1549" s="17">
        <v>35.35</v>
      </c>
      <c r="G1549" s="18">
        <v>335.82499999999999</v>
      </c>
      <c r="H1549" s="30" t="s">
        <v>2296</v>
      </c>
      <c r="J1549" s="34"/>
    </row>
    <row r="1550" spans="1:10" x14ac:dyDescent="0.25">
      <c r="A1550" s="15">
        <v>40886</v>
      </c>
      <c r="B1550" s="16" t="s">
        <v>919</v>
      </c>
      <c r="C1550" t="s">
        <v>864</v>
      </c>
      <c r="D1550" t="s">
        <v>48</v>
      </c>
      <c r="E1550" s="17">
        <v>5.5</v>
      </c>
      <c r="F1550" s="17">
        <v>110</v>
      </c>
      <c r="G1550" s="18">
        <v>605</v>
      </c>
      <c r="H1550" s="30" t="s">
        <v>2296</v>
      </c>
      <c r="J1550" s="34"/>
    </row>
    <row r="1551" spans="1:10" x14ac:dyDescent="0.25">
      <c r="A1551" s="15">
        <v>40886</v>
      </c>
      <c r="B1551" s="16" t="s">
        <v>1003</v>
      </c>
      <c r="C1551" t="s">
        <v>1004</v>
      </c>
      <c r="D1551" t="s">
        <v>783</v>
      </c>
      <c r="E1551" s="17">
        <v>1</v>
      </c>
      <c r="F1551" s="17">
        <v>358.33</v>
      </c>
      <c r="G1551" s="18">
        <v>358.33</v>
      </c>
      <c r="H1551" s="30" t="s">
        <v>2296</v>
      </c>
      <c r="J1551" s="34"/>
    </row>
    <row r="1552" spans="1:10" x14ac:dyDescent="0.25">
      <c r="A1552" s="15">
        <v>40886</v>
      </c>
      <c r="B1552" s="16" t="s">
        <v>866</v>
      </c>
      <c r="C1552" t="s">
        <v>8</v>
      </c>
      <c r="D1552" t="s">
        <v>48</v>
      </c>
      <c r="E1552" s="17">
        <v>4</v>
      </c>
      <c r="F1552" s="17">
        <v>65</v>
      </c>
      <c r="G1552" s="18">
        <v>260</v>
      </c>
      <c r="H1552" s="30" t="s">
        <v>2296</v>
      </c>
      <c r="J1552" s="34"/>
    </row>
    <row r="1553" spans="1:10" ht="45" x14ac:dyDescent="0.25">
      <c r="A1553" s="15">
        <v>40887</v>
      </c>
      <c r="B1553" s="16" t="s">
        <v>1005</v>
      </c>
      <c r="C1553" t="s">
        <v>1000</v>
      </c>
      <c r="D1553" t="s">
        <v>783</v>
      </c>
      <c r="E1553" s="17">
        <v>1</v>
      </c>
      <c r="F1553" s="17">
        <v>493.91</v>
      </c>
      <c r="G1553" s="18">
        <v>493.91</v>
      </c>
      <c r="H1553" s="30" t="s">
        <v>2296</v>
      </c>
      <c r="J1553" s="34"/>
    </row>
    <row r="1554" spans="1:10" x14ac:dyDescent="0.25">
      <c r="A1554" s="15">
        <v>40889</v>
      </c>
      <c r="B1554" s="16" t="s">
        <v>1006</v>
      </c>
      <c r="C1554" t="s">
        <v>1007</v>
      </c>
      <c r="D1554" t="s">
        <v>783</v>
      </c>
      <c r="E1554" s="17">
        <v>1</v>
      </c>
      <c r="F1554" s="17">
        <v>69.290000000000006</v>
      </c>
      <c r="G1554" s="18">
        <v>69.290000000000006</v>
      </c>
      <c r="H1554" s="30" t="s">
        <v>2296</v>
      </c>
      <c r="J1554" s="34"/>
    </row>
    <row r="1555" spans="1:10" ht="30" x14ac:dyDescent="0.25">
      <c r="A1555" s="15">
        <v>40908</v>
      </c>
      <c r="B1555" s="16" t="s">
        <v>1008</v>
      </c>
      <c r="C1555" t="s">
        <v>957</v>
      </c>
      <c r="D1555" t="s">
        <v>783</v>
      </c>
      <c r="E1555" s="17">
        <v>1</v>
      </c>
      <c r="F1555" s="17">
        <v>2520</v>
      </c>
      <c r="G1555" s="18">
        <v>2520</v>
      </c>
      <c r="H1555" s="30" t="s">
        <v>2296</v>
      </c>
      <c r="J1555" s="34"/>
    </row>
    <row r="1556" spans="1:10" ht="30" x14ac:dyDescent="0.25">
      <c r="A1556" s="15">
        <v>40908</v>
      </c>
      <c r="B1556" s="16" t="s">
        <v>1009</v>
      </c>
      <c r="C1556" t="s">
        <v>1010</v>
      </c>
      <c r="D1556" t="s">
        <v>783</v>
      </c>
      <c r="E1556" s="17">
        <v>1</v>
      </c>
      <c r="F1556" s="17">
        <v>9281.25</v>
      </c>
      <c r="G1556" s="18">
        <v>9281.25</v>
      </c>
      <c r="H1556" s="30" t="s">
        <v>2296</v>
      </c>
      <c r="J1556" s="34"/>
    </row>
    <row r="1557" spans="1:10" ht="30" x14ac:dyDescent="0.25">
      <c r="A1557" s="15">
        <v>40931</v>
      </c>
      <c r="B1557" s="16" t="s">
        <v>1011</v>
      </c>
      <c r="C1557" t="s">
        <v>1010</v>
      </c>
      <c r="D1557" t="s">
        <v>783</v>
      </c>
      <c r="E1557" s="17">
        <v>1</v>
      </c>
      <c r="F1557" s="17">
        <v>8274.68</v>
      </c>
      <c r="G1557" s="18">
        <v>8274.68</v>
      </c>
      <c r="H1557" s="30" t="s">
        <v>2296</v>
      </c>
      <c r="J1557" s="34"/>
    </row>
    <row r="1558" spans="1:10" x14ac:dyDescent="0.25">
      <c r="A1558" s="15">
        <v>40931</v>
      </c>
      <c r="B1558" s="16" t="s">
        <v>954</v>
      </c>
      <c r="C1558" t="s">
        <v>8</v>
      </c>
      <c r="D1558" t="s">
        <v>48</v>
      </c>
      <c r="E1558" s="17">
        <v>8.5</v>
      </c>
      <c r="F1558" s="17">
        <v>40.97</v>
      </c>
      <c r="G1558" s="18">
        <v>348.245</v>
      </c>
      <c r="H1558" s="30" t="s">
        <v>2296</v>
      </c>
      <c r="J1558" s="34"/>
    </row>
    <row r="1559" spans="1:10" x14ac:dyDescent="0.25">
      <c r="A1559" s="15">
        <v>40931</v>
      </c>
      <c r="B1559" s="16" t="s">
        <v>922</v>
      </c>
      <c r="C1559" t="s">
        <v>886</v>
      </c>
      <c r="D1559" t="s">
        <v>48</v>
      </c>
      <c r="E1559" s="17">
        <v>6</v>
      </c>
      <c r="F1559" s="17">
        <v>125</v>
      </c>
      <c r="G1559" s="18">
        <v>750</v>
      </c>
      <c r="H1559" s="30" t="s">
        <v>2296</v>
      </c>
      <c r="J1559" s="34"/>
    </row>
    <row r="1560" spans="1:10" x14ac:dyDescent="0.25">
      <c r="A1560" s="15">
        <v>40931</v>
      </c>
      <c r="B1560" s="16" t="s">
        <v>893</v>
      </c>
      <c r="C1560" t="s">
        <v>924</v>
      </c>
      <c r="D1560" t="s">
        <v>48</v>
      </c>
      <c r="E1560" s="17">
        <v>6.5</v>
      </c>
      <c r="F1560" s="17">
        <v>125</v>
      </c>
      <c r="G1560" s="18">
        <v>812.5</v>
      </c>
      <c r="H1560" s="30" t="s">
        <v>2296</v>
      </c>
      <c r="J1560" s="34"/>
    </row>
    <row r="1561" spans="1:10" x14ac:dyDescent="0.25">
      <c r="A1561" s="15">
        <v>40931</v>
      </c>
      <c r="B1561" s="16" t="s">
        <v>865</v>
      </c>
      <c r="C1561" t="s">
        <v>8</v>
      </c>
      <c r="D1561" t="s">
        <v>48</v>
      </c>
      <c r="E1561" s="17">
        <v>2</v>
      </c>
      <c r="F1561" s="17">
        <v>35.35</v>
      </c>
      <c r="G1561" s="18">
        <v>70.7</v>
      </c>
      <c r="H1561" s="30" t="s">
        <v>2296</v>
      </c>
      <c r="J1561" s="34"/>
    </row>
    <row r="1562" spans="1:10" x14ac:dyDescent="0.25">
      <c r="A1562" s="15">
        <v>40931</v>
      </c>
      <c r="B1562" s="16" t="s">
        <v>865</v>
      </c>
      <c r="C1562" t="s">
        <v>8</v>
      </c>
      <c r="D1562" t="s">
        <v>48</v>
      </c>
      <c r="E1562" s="17">
        <v>3</v>
      </c>
      <c r="F1562" s="17">
        <v>35.35</v>
      </c>
      <c r="G1562" s="18">
        <v>106.05</v>
      </c>
      <c r="H1562" s="30" t="s">
        <v>2296</v>
      </c>
      <c r="J1562" s="34"/>
    </row>
    <row r="1563" spans="1:10" x14ac:dyDescent="0.25">
      <c r="A1563" s="15">
        <v>40931</v>
      </c>
      <c r="B1563" s="16" t="s">
        <v>865</v>
      </c>
      <c r="C1563" t="s">
        <v>8</v>
      </c>
      <c r="D1563" t="s">
        <v>48</v>
      </c>
      <c r="E1563" s="17">
        <v>2</v>
      </c>
      <c r="F1563" s="17">
        <v>35.35</v>
      </c>
      <c r="G1563" s="18">
        <v>70.7</v>
      </c>
      <c r="H1563" s="30" t="s">
        <v>2296</v>
      </c>
      <c r="J1563" s="34"/>
    </row>
    <row r="1564" spans="1:10" x14ac:dyDescent="0.25">
      <c r="A1564" s="15">
        <v>40931</v>
      </c>
      <c r="B1564" s="16" t="s">
        <v>865</v>
      </c>
      <c r="C1564" t="s">
        <v>8</v>
      </c>
      <c r="D1564" t="s">
        <v>48</v>
      </c>
      <c r="E1564" s="17">
        <v>2</v>
      </c>
      <c r="F1564" s="17">
        <v>35.35</v>
      </c>
      <c r="G1564" s="18">
        <v>70.7</v>
      </c>
      <c r="H1564" s="30" t="s">
        <v>2296</v>
      </c>
      <c r="J1564" s="34"/>
    </row>
    <row r="1565" spans="1:10" x14ac:dyDescent="0.25">
      <c r="A1565" s="15">
        <v>40931</v>
      </c>
      <c r="B1565" s="16" t="s">
        <v>1012</v>
      </c>
      <c r="C1565" t="s">
        <v>1013</v>
      </c>
      <c r="D1565" t="s">
        <v>48</v>
      </c>
      <c r="E1565" s="17">
        <v>6</v>
      </c>
      <c r="F1565" s="17">
        <v>145</v>
      </c>
      <c r="G1565" s="18">
        <v>870</v>
      </c>
      <c r="H1565" s="30" t="s">
        <v>2296</v>
      </c>
      <c r="J1565" s="34"/>
    </row>
    <row r="1566" spans="1:10" x14ac:dyDescent="0.25">
      <c r="A1566" s="15">
        <v>40932</v>
      </c>
      <c r="B1566" s="16" t="s">
        <v>893</v>
      </c>
      <c r="C1566" t="s">
        <v>934</v>
      </c>
      <c r="D1566" t="s">
        <v>48</v>
      </c>
      <c r="E1566" s="17">
        <v>6</v>
      </c>
      <c r="F1566" s="17">
        <v>113.19</v>
      </c>
      <c r="G1566" s="18">
        <v>679.14</v>
      </c>
      <c r="H1566" s="30" t="s">
        <v>2296</v>
      </c>
      <c r="J1566" s="34"/>
    </row>
    <row r="1567" spans="1:10" x14ac:dyDescent="0.25">
      <c r="A1567" s="15">
        <v>40932</v>
      </c>
      <c r="B1567" s="16" t="s">
        <v>893</v>
      </c>
      <c r="C1567" t="s">
        <v>924</v>
      </c>
      <c r="D1567" t="s">
        <v>48</v>
      </c>
      <c r="E1567" s="17">
        <v>9.5</v>
      </c>
      <c r="F1567" s="17">
        <v>125</v>
      </c>
      <c r="G1567" s="18">
        <v>1187.5</v>
      </c>
      <c r="H1567" s="30" t="s">
        <v>2296</v>
      </c>
      <c r="J1567" s="34"/>
    </row>
    <row r="1568" spans="1:10" x14ac:dyDescent="0.25">
      <c r="A1568" s="15">
        <v>40932</v>
      </c>
      <c r="B1568" s="16" t="s">
        <v>1012</v>
      </c>
      <c r="C1568" t="s">
        <v>1013</v>
      </c>
      <c r="D1568" t="s">
        <v>48</v>
      </c>
      <c r="E1568" s="17">
        <v>7</v>
      </c>
      <c r="F1568" s="17">
        <v>145</v>
      </c>
      <c r="G1568" s="18">
        <v>1015</v>
      </c>
      <c r="H1568" s="30" t="s">
        <v>2296</v>
      </c>
      <c r="J1568" s="34"/>
    </row>
    <row r="1569" spans="1:10" x14ac:dyDescent="0.25">
      <c r="A1569" s="15">
        <v>40932</v>
      </c>
      <c r="B1569" s="16" t="s">
        <v>865</v>
      </c>
      <c r="C1569" t="s">
        <v>8</v>
      </c>
      <c r="D1569" t="s">
        <v>48</v>
      </c>
      <c r="E1569" s="17">
        <v>9.5</v>
      </c>
      <c r="F1569" s="17">
        <v>35.35</v>
      </c>
      <c r="G1569" s="18">
        <v>335.82499999999999</v>
      </c>
      <c r="H1569" s="30" t="s">
        <v>2296</v>
      </c>
      <c r="J1569" s="34"/>
    </row>
    <row r="1570" spans="1:10" x14ac:dyDescent="0.25">
      <c r="A1570" s="15">
        <v>40932</v>
      </c>
      <c r="B1570" s="16" t="s">
        <v>865</v>
      </c>
      <c r="C1570" t="s">
        <v>8</v>
      </c>
      <c r="D1570" t="s">
        <v>48</v>
      </c>
      <c r="E1570" s="17">
        <v>9.5</v>
      </c>
      <c r="F1570" s="17">
        <v>35.35</v>
      </c>
      <c r="G1570" s="18">
        <v>335.82499999999999</v>
      </c>
      <c r="H1570" s="30" t="s">
        <v>2296</v>
      </c>
      <c r="J1570" s="34"/>
    </row>
    <row r="1571" spans="1:10" x14ac:dyDescent="0.25">
      <c r="A1571" s="15">
        <v>40932</v>
      </c>
      <c r="B1571" s="16" t="s">
        <v>954</v>
      </c>
      <c r="C1571" t="s">
        <v>8</v>
      </c>
      <c r="D1571" t="s">
        <v>48</v>
      </c>
      <c r="E1571" s="17">
        <v>9.5</v>
      </c>
      <c r="F1571" s="17">
        <v>40.97</v>
      </c>
      <c r="G1571" s="18">
        <v>389.21499999999997</v>
      </c>
      <c r="H1571" s="30" t="s">
        <v>2296</v>
      </c>
      <c r="J1571" s="34"/>
    </row>
    <row r="1572" spans="1:10" x14ac:dyDescent="0.25">
      <c r="A1572" s="15">
        <v>40942</v>
      </c>
      <c r="B1572" s="16" t="s">
        <v>874</v>
      </c>
      <c r="C1572" t="s">
        <v>875</v>
      </c>
      <c r="D1572" t="s">
        <v>48</v>
      </c>
      <c r="E1572" s="17">
        <v>5.5</v>
      </c>
      <c r="F1572" s="17">
        <v>25.78</v>
      </c>
      <c r="G1572" s="18">
        <v>141.79</v>
      </c>
      <c r="H1572" s="30" t="s">
        <v>2296</v>
      </c>
      <c r="J1572" s="34"/>
    </row>
    <row r="1573" spans="1:10" x14ac:dyDescent="0.25">
      <c r="A1573" s="15">
        <v>40945</v>
      </c>
      <c r="B1573" s="16" t="s">
        <v>867</v>
      </c>
      <c r="C1573" t="s">
        <v>868</v>
      </c>
      <c r="D1573" t="s">
        <v>48</v>
      </c>
      <c r="E1573" s="17">
        <v>3.5</v>
      </c>
      <c r="F1573" s="17">
        <v>90</v>
      </c>
      <c r="G1573" s="18">
        <v>315</v>
      </c>
      <c r="H1573" s="30" t="s">
        <v>2296</v>
      </c>
      <c r="J1573" s="34"/>
    </row>
    <row r="1574" spans="1:10" x14ac:dyDescent="0.25">
      <c r="A1574" s="15">
        <v>40945</v>
      </c>
      <c r="B1574" s="16" t="s">
        <v>865</v>
      </c>
      <c r="C1574" t="s">
        <v>8</v>
      </c>
      <c r="D1574" t="s">
        <v>48</v>
      </c>
      <c r="E1574" s="17">
        <v>3</v>
      </c>
      <c r="F1574" s="17">
        <v>35.35</v>
      </c>
      <c r="G1574" s="18">
        <v>106.05</v>
      </c>
      <c r="H1574" s="30" t="s">
        <v>2296</v>
      </c>
      <c r="J1574" s="34"/>
    </row>
    <row r="1575" spans="1:10" x14ac:dyDescent="0.25">
      <c r="A1575" s="15">
        <v>40945</v>
      </c>
      <c r="B1575" s="16" t="s">
        <v>865</v>
      </c>
      <c r="C1575" t="s">
        <v>8</v>
      </c>
      <c r="D1575" t="s">
        <v>48</v>
      </c>
      <c r="E1575" s="17">
        <v>3</v>
      </c>
      <c r="F1575" s="17">
        <v>35.35</v>
      </c>
      <c r="G1575" s="18">
        <v>106.05</v>
      </c>
      <c r="H1575" s="30" t="s">
        <v>2296</v>
      </c>
      <c r="J1575" s="34"/>
    </row>
    <row r="1576" spans="1:10" x14ac:dyDescent="0.25">
      <c r="A1576" s="15">
        <v>40945</v>
      </c>
      <c r="B1576" s="16" t="s">
        <v>931</v>
      </c>
      <c r="C1576" t="s">
        <v>886</v>
      </c>
      <c r="D1576" t="s">
        <v>48</v>
      </c>
      <c r="E1576" s="17">
        <v>8.5</v>
      </c>
      <c r="F1576" s="17">
        <v>125</v>
      </c>
      <c r="G1576" s="18">
        <v>1062.5</v>
      </c>
      <c r="H1576" s="30" t="s">
        <v>2296</v>
      </c>
      <c r="J1576" s="34"/>
    </row>
    <row r="1577" spans="1:10" x14ac:dyDescent="0.25">
      <c r="A1577" s="15">
        <v>40945</v>
      </c>
      <c r="B1577" s="16" t="s">
        <v>865</v>
      </c>
      <c r="C1577" t="s">
        <v>8</v>
      </c>
      <c r="D1577" t="s">
        <v>48</v>
      </c>
      <c r="E1577" s="17">
        <v>9.5</v>
      </c>
      <c r="F1577" s="17">
        <v>35.35</v>
      </c>
      <c r="G1577" s="18">
        <v>335.82499999999999</v>
      </c>
      <c r="H1577" s="30" t="s">
        <v>2296</v>
      </c>
      <c r="J1577" s="34"/>
    </row>
    <row r="1578" spans="1:10" x14ac:dyDescent="0.25">
      <c r="A1578" s="15">
        <v>40946</v>
      </c>
      <c r="B1578" s="16" t="s">
        <v>931</v>
      </c>
      <c r="C1578" t="s">
        <v>886</v>
      </c>
      <c r="D1578" t="s">
        <v>48</v>
      </c>
      <c r="E1578" s="17">
        <v>9.5</v>
      </c>
      <c r="F1578" s="17">
        <v>125</v>
      </c>
      <c r="G1578" s="18">
        <v>1187.5</v>
      </c>
      <c r="H1578" s="30" t="s">
        <v>2296</v>
      </c>
      <c r="J1578" s="34"/>
    </row>
    <row r="1579" spans="1:10" x14ac:dyDescent="0.25">
      <c r="A1579" s="15">
        <v>40946</v>
      </c>
      <c r="B1579" s="16" t="s">
        <v>867</v>
      </c>
      <c r="C1579" t="s">
        <v>868</v>
      </c>
      <c r="D1579" t="s">
        <v>48</v>
      </c>
      <c r="E1579" s="17">
        <v>4</v>
      </c>
      <c r="F1579" s="17">
        <v>90</v>
      </c>
      <c r="G1579" s="18">
        <v>360</v>
      </c>
      <c r="H1579" s="30" t="s">
        <v>2296</v>
      </c>
      <c r="J1579" s="34"/>
    </row>
    <row r="1580" spans="1:10" x14ac:dyDescent="0.25">
      <c r="A1580" s="15">
        <v>40946</v>
      </c>
      <c r="B1580" s="16" t="s">
        <v>874</v>
      </c>
      <c r="C1580" t="s">
        <v>875</v>
      </c>
      <c r="D1580" t="s">
        <v>48</v>
      </c>
      <c r="E1580" s="17">
        <v>8</v>
      </c>
      <c r="F1580" s="17">
        <v>25.78</v>
      </c>
      <c r="G1580" s="18">
        <v>206.24</v>
      </c>
      <c r="H1580" s="30" t="s">
        <v>2296</v>
      </c>
      <c r="J1580" s="34"/>
    </row>
    <row r="1581" spans="1:10" x14ac:dyDescent="0.25">
      <c r="A1581" s="15">
        <v>40946</v>
      </c>
      <c r="B1581" s="16" t="s">
        <v>865</v>
      </c>
      <c r="C1581" t="s">
        <v>8</v>
      </c>
      <c r="D1581" t="s">
        <v>48</v>
      </c>
      <c r="E1581" s="17">
        <v>3</v>
      </c>
      <c r="F1581" s="17">
        <v>35.35</v>
      </c>
      <c r="G1581" s="18">
        <v>106.05</v>
      </c>
      <c r="H1581" s="30" t="s">
        <v>2296</v>
      </c>
      <c r="J1581" s="34"/>
    </row>
    <row r="1582" spans="1:10" x14ac:dyDescent="0.25">
      <c r="A1582" s="15">
        <v>40946</v>
      </c>
      <c r="B1582" s="16" t="s">
        <v>865</v>
      </c>
      <c r="C1582" t="s">
        <v>8</v>
      </c>
      <c r="D1582" t="s">
        <v>48</v>
      </c>
      <c r="E1582" s="17">
        <v>3</v>
      </c>
      <c r="F1582" s="17">
        <v>35.35</v>
      </c>
      <c r="G1582" s="18">
        <v>106.05</v>
      </c>
      <c r="H1582" s="30" t="s">
        <v>2296</v>
      </c>
      <c r="J1582" s="34"/>
    </row>
    <row r="1583" spans="1:10" x14ac:dyDescent="0.25">
      <c r="A1583" s="15">
        <v>40946</v>
      </c>
      <c r="B1583" s="16" t="s">
        <v>865</v>
      </c>
      <c r="C1583" t="s">
        <v>8</v>
      </c>
      <c r="D1583" t="s">
        <v>48</v>
      </c>
      <c r="E1583" s="17">
        <v>9.5</v>
      </c>
      <c r="F1583" s="17">
        <v>35.35</v>
      </c>
      <c r="G1583" s="18">
        <v>335.82499999999999</v>
      </c>
      <c r="H1583" s="30" t="s">
        <v>2296</v>
      </c>
      <c r="J1583" s="34"/>
    </row>
    <row r="1584" spans="1:10" x14ac:dyDescent="0.25">
      <c r="A1584" s="15">
        <v>40947</v>
      </c>
      <c r="B1584" s="16" t="s">
        <v>869</v>
      </c>
      <c r="C1584" t="s">
        <v>8</v>
      </c>
      <c r="D1584" t="s">
        <v>48</v>
      </c>
      <c r="E1584" s="17">
        <v>3</v>
      </c>
      <c r="F1584" s="17">
        <v>35.35</v>
      </c>
      <c r="G1584" s="18">
        <v>106.05</v>
      </c>
      <c r="H1584" s="30" t="s">
        <v>2296</v>
      </c>
      <c r="J1584" s="34"/>
    </row>
    <row r="1585" spans="1:10" x14ac:dyDescent="0.25">
      <c r="A1585" s="15">
        <v>40947</v>
      </c>
      <c r="B1585" s="16" t="s">
        <v>931</v>
      </c>
      <c r="C1585" t="s">
        <v>886</v>
      </c>
      <c r="D1585" t="s">
        <v>48</v>
      </c>
      <c r="E1585" s="17">
        <v>9</v>
      </c>
      <c r="F1585" s="17">
        <v>125</v>
      </c>
      <c r="G1585" s="18">
        <v>1125</v>
      </c>
      <c r="H1585" s="30" t="s">
        <v>2296</v>
      </c>
      <c r="J1585" s="34"/>
    </row>
    <row r="1586" spans="1:10" x14ac:dyDescent="0.25">
      <c r="A1586" s="15">
        <v>40947</v>
      </c>
      <c r="B1586" s="16" t="s">
        <v>874</v>
      </c>
      <c r="C1586" t="s">
        <v>875</v>
      </c>
      <c r="D1586" t="s">
        <v>48</v>
      </c>
      <c r="E1586" s="17">
        <v>3.5</v>
      </c>
      <c r="F1586" s="17">
        <v>25.78</v>
      </c>
      <c r="G1586" s="18">
        <v>90.23</v>
      </c>
      <c r="H1586" s="30" t="s">
        <v>2296</v>
      </c>
      <c r="J1586" s="34"/>
    </row>
    <row r="1587" spans="1:10" x14ac:dyDescent="0.25">
      <c r="A1587" s="15">
        <v>40947</v>
      </c>
      <c r="B1587" s="16" t="s">
        <v>867</v>
      </c>
      <c r="C1587" t="s">
        <v>868</v>
      </c>
      <c r="D1587" t="s">
        <v>48</v>
      </c>
      <c r="E1587" s="17">
        <v>2.15</v>
      </c>
      <c r="F1587" s="17">
        <v>90</v>
      </c>
      <c r="G1587" s="18">
        <v>193.5</v>
      </c>
      <c r="H1587" s="30" t="s">
        <v>2296</v>
      </c>
      <c r="J1587" s="34"/>
    </row>
    <row r="1588" spans="1:10" x14ac:dyDescent="0.25">
      <c r="A1588" s="15">
        <v>40947</v>
      </c>
      <c r="B1588" s="16" t="s">
        <v>865</v>
      </c>
      <c r="C1588" t="s">
        <v>8</v>
      </c>
      <c r="D1588" t="s">
        <v>48</v>
      </c>
      <c r="E1588" s="17">
        <v>3</v>
      </c>
      <c r="F1588" s="17">
        <v>35.35</v>
      </c>
      <c r="G1588" s="18">
        <v>106.05</v>
      </c>
      <c r="H1588" s="30" t="s">
        <v>2296</v>
      </c>
      <c r="J1588" s="34"/>
    </row>
    <row r="1589" spans="1:10" ht="30" x14ac:dyDescent="0.25">
      <c r="A1589" s="15">
        <v>40949</v>
      </c>
      <c r="B1589" s="16" t="s">
        <v>1014</v>
      </c>
      <c r="C1589" t="s">
        <v>1000</v>
      </c>
      <c r="D1589" t="s">
        <v>783</v>
      </c>
      <c r="E1589" s="17">
        <v>1</v>
      </c>
      <c r="F1589" s="17">
        <v>573.42999999999995</v>
      </c>
      <c r="G1589" s="18">
        <v>573.42999999999995</v>
      </c>
      <c r="H1589" s="30" t="s">
        <v>2296</v>
      </c>
      <c r="J1589" s="34"/>
    </row>
    <row r="1590" spans="1:10" x14ac:dyDescent="0.25">
      <c r="A1590" s="15">
        <v>40952</v>
      </c>
      <c r="B1590" s="16" t="s">
        <v>866</v>
      </c>
      <c r="C1590" t="s">
        <v>886</v>
      </c>
      <c r="D1590" t="s">
        <v>48</v>
      </c>
      <c r="E1590" s="17">
        <v>8</v>
      </c>
      <c r="F1590" s="17">
        <v>125</v>
      </c>
      <c r="G1590" s="18">
        <v>1000</v>
      </c>
      <c r="H1590" s="30" t="s">
        <v>2296</v>
      </c>
      <c r="J1590" s="34"/>
    </row>
    <row r="1591" spans="1:10" x14ac:dyDescent="0.25">
      <c r="A1591" s="15">
        <v>40952</v>
      </c>
      <c r="B1591" s="16" t="s">
        <v>874</v>
      </c>
      <c r="C1591" t="s">
        <v>875</v>
      </c>
      <c r="D1591" t="s">
        <v>48</v>
      </c>
      <c r="E1591" s="17">
        <v>5</v>
      </c>
      <c r="F1591" s="17">
        <v>25.78</v>
      </c>
      <c r="G1591" s="18">
        <v>128.9</v>
      </c>
      <c r="H1591" s="30" t="s">
        <v>2296</v>
      </c>
      <c r="J1591" s="34"/>
    </row>
    <row r="1592" spans="1:10" x14ac:dyDescent="0.25">
      <c r="A1592" s="15">
        <v>40952</v>
      </c>
      <c r="B1592" s="16" t="s">
        <v>869</v>
      </c>
      <c r="C1592" t="s">
        <v>8</v>
      </c>
      <c r="D1592" t="s">
        <v>48</v>
      </c>
      <c r="E1592" s="17">
        <v>3</v>
      </c>
      <c r="F1592" s="17">
        <v>35.35</v>
      </c>
      <c r="G1592" s="18">
        <v>106.05</v>
      </c>
      <c r="H1592" s="30" t="s">
        <v>2296</v>
      </c>
      <c r="J1592" s="34"/>
    </row>
    <row r="1593" spans="1:10" x14ac:dyDescent="0.25">
      <c r="A1593" s="15">
        <v>40955</v>
      </c>
      <c r="B1593" s="16" t="s">
        <v>867</v>
      </c>
      <c r="C1593" t="s">
        <v>868</v>
      </c>
      <c r="D1593" t="s">
        <v>48</v>
      </c>
      <c r="E1593" s="17">
        <v>3</v>
      </c>
      <c r="F1593" s="17">
        <v>90</v>
      </c>
      <c r="G1593" s="18">
        <v>270</v>
      </c>
      <c r="H1593" s="30" t="s">
        <v>2296</v>
      </c>
      <c r="J1593" s="34"/>
    </row>
    <row r="1594" spans="1:10" x14ac:dyDescent="0.25">
      <c r="A1594" s="15">
        <v>40955</v>
      </c>
      <c r="B1594" s="16" t="s">
        <v>1015</v>
      </c>
      <c r="C1594" t="s">
        <v>864</v>
      </c>
      <c r="D1594" t="s">
        <v>48</v>
      </c>
      <c r="E1594" s="17">
        <v>6</v>
      </c>
      <c r="F1594" s="17">
        <v>100</v>
      </c>
      <c r="G1594" s="18">
        <v>600</v>
      </c>
      <c r="H1594" s="30" t="s">
        <v>2296</v>
      </c>
      <c r="J1594" s="34"/>
    </row>
    <row r="1595" spans="1:10" x14ac:dyDescent="0.25">
      <c r="A1595" s="15">
        <v>40956</v>
      </c>
      <c r="B1595" s="16" t="s">
        <v>865</v>
      </c>
      <c r="C1595" t="s">
        <v>8</v>
      </c>
      <c r="D1595" t="s">
        <v>48</v>
      </c>
      <c r="E1595" s="17">
        <v>2</v>
      </c>
      <c r="F1595" s="17">
        <v>35.35</v>
      </c>
      <c r="G1595" s="18">
        <v>70.7</v>
      </c>
      <c r="H1595" s="30" t="s">
        <v>2296</v>
      </c>
      <c r="J1595" s="34"/>
    </row>
    <row r="1596" spans="1:10" x14ac:dyDescent="0.25">
      <c r="A1596" s="15">
        <v>40956</v>
      </c>
      <c r="B1596" s="16" t="s">
        <v>1015</v>
      </c>
      <c r="C1596" t="s">
        <v>864</v>
      </c>
      <c r="D1596" t="s">
        <v>48</v>
      </c>
      <c r="E1596" s="17">
        <v>5.5</v>
      </c>
      <c r="F1596" s="17">
        <v>100</v>
      </c>
      <c r="G1596" s="18">
        <v>550</v>
      </c>
      <c r="H1596" s="30" t="s">
        <v>2296</v>
      </c>
      <c r="J1596" s="34"/>
    </row>
    <row r="1597" spans="1:10" x14ac:dyDescent="0.25">
      <c r="A1597" s="15">
        <v>40959</v>
      </c>
      <c r="B1597" s="16" t="s">
        <v>1015</v>
      </c>
      <c r="C1597" t="s">
        <v>864</v>
      </c>
      <c r="D1597" t="s">
        <v>48</v>
      </c>
      <c r="E1597" s="17">
        <v>5.5</v>
      </c>
      <c r="F1597" s="17">
        <v>100</v>
      </c>
      <c r="G1597" s="18">
        <v>550</v>
      </c>
      <c r="H1597" s="30" t="s">
        <v>2296</v>
      </c>
      <c r="J1597" s="34"/>
    </row>
    <row r="1598" spans="1:10" x14ac:dyDescent="0.25">
      <c r="A1598" s="15">
        <v>40962</v>
      </c>
      <c r="B1598" s="16" t="s">
        <v>885</v>
      </c>
      <c r="C1598" t="s">
        <v>886</v>
      </c>
      <c r="D1598" t="s">
        <v>48</v>
      </c>
      <c r="E1598" s="17">
        <v>3</v>
      </c>
      <c r="F1598" s="17">
        <v>125</v>
      </c>
      <c r="G1598" s="18">
        <v>375</v>
      </c>
      <c r="H1598" s="30" t="s">
        <v>2296</v>
      </c>
      <c r="J1598" s="34"/>
    </row>
    <row r="1599" spans="1:10" x14ac:dyDescent="0.25">
      <c r="A1599" s="15">
        <v>40962</v>
      </c>
      <c r="B1599" s="16" t="s">
        <v>865</v>
      </c>
      <c r="C1599" t="s">
        <v>8</v>
      </c>
      <c r="D1599" t="s">
        <v>48</v>
      </c>
      <c r="E1599" s="17">
        <v>3</v>
      </c>
      <c r="F1599" s="17">
        <v>35.35</v>
      </c>
      <c r="G1599" s="18">
        <v>106.05</v>
      </c>
      <c r="H1599" s="30" t="s">
        <v>2296</v>
      </c>
      <c r="J1599" s="34"/>
    </row>
    <row r="1600" spans="1:10" x14ac:dyDescent="0.25">
      <c r="A1600" s="15">
        <v>40967</v>
      </c>
      <c r="B1600" s="16" t="s">
        <v>865</v>
      </c>
      <c r="C1600" t="s">
        <v>8</v>
      </c>
      <c r="D1600" t="s">
        <v>48</v>
      </c>
      <c r="E1600" s="17">
        <v>5</v>
      </c>
      <c r="F1600" s="17">
        <v>35.35</v>
      </c>
      <c r="G1600" s="18">
        <v>176.75</v>
      </c>
      <c r="H1600" s="30" t="s">
        <v>2296</v>
      </c>
      <c r="J1600" s="34"/>
    </row>
    <row r="1601" spans="1:10" x14ac:dyDescent="0.25">
      <c r="A1601" s="15">
        <v>40967</v>
      </c>
      <c r="B1601" s="16" t="s">
        <v>867</v>
      </c>
      <c r="C1601" t="s">
        <v>868</v>
      </c>
      <c r="D1601" t="s">
        <v>48</v>
      </c>
      <c r="E1601" s="17">
        <v>3</v>
      </c>
      <c r="F1601" s="17">
        <v>90</v>
      </c>
      <c r="G1601" s="18">
        <v>270</v>
      </c>
      <c r="H1601" s="30" t="s">
        <v>2296</v>
      </c>
      <c r="J1601" s="34"/>
    </row>
    <row r="1602" spans="1:10" x14ac:dyDescent="0.25">
      <c r="A1602" s="15">
        <v>40967</v>
      </c>
      <c r="B1602" s="16" t="s">
        <v>869</v>
      </c>
      <c r="C1602" t="s">
        <v>8</v>
      </c>
      <c r="D1602" t="s">
        <v>48</v>
      </c>
      <c r="E1602" s="17">
        <v>3</v>
      </c>
      <c r="F1602" s="17">
        <v>35.35</v>
      </c>
      <c r="G1602" s="18">
        <v>106.05</v>
      </c>
      <c r="H1602" s="30" t="s">
        <v>2296</v>
      </c>
      <c r="J1602" s="34"/>
    </row>
    <row r="1603" spans="1:10" x14ac:dyDescent="0.25">
      <c r="A1603" s="15">
        <v>40968</v>
      </c>
      <c r="B1603" s="16" t="s">
        <v>867</v>
      </c>
      <c r="C1603" t="s">
        <v>868</v>
      </c>
      <c r="D1603" t="s">
        <v>48</v>
      </c>
      <c r="E1603" s="17">
        <v>2</v>
      </c>
      <c r="F1603" s="17">
        <v>90</v>
      </c>
      <c r="G1603" s="18">
        <v>180</v>
      </c>
      <c r="H1603" s="30" t="s">
        <v>2296</v>
      </c>
      <c r="J1603" s="34"/>
    </row>
    <row r="1604" spans="1:10" x14ac:dyDescent="0.25">
      <c r="A1604" s="15">
        <v>40968</v>
      </c>
      <c r="B1604" s="16" t="s">
        <v>865</v>
      </c>
      <c r="C1604" t="s">
        <v>8</v>
      </c>
      <c r="D1604" t="s">
        <v>48</v>
      </c>
      <c r="E1604" s="17">
        <v>2</v>
      </c>
      <c r="F1604" s="17">
        <v>35.35</v>
      </c>
      <c r="G1604" s="18">
        <v>70.7</v>
      </c>
      <c r="H1604" s="30" t="s">
        <v>2296</v>
      </c>
      <c r="J1604" s="34"/>
    </row>
    <row r="1605" spans="1:10" ht="30" x14ac:dyDescent="0.25">
      <c r="A1605" s="15">
        <v>40968</v>
      </c>
      <c r="B1605" s="16" t="s">
        <v>1016</v>
      </c>
      <c r="C1605" t="s">
        <v>1017</v>
      </c>
      <c r="D1605" t="s">
        <v>783</v>
      </c>
      <c r="E1605" s="17">
        <v>1</v>
      </c>
      <c r="F1605" s="17">
        <v>5100</v>
      </c>
      <c r="G1605" s="18">
        <v>5100</v>
      </c>
      <c r="H1605" s="30" t="s">
        <v>2296</v>
      </c>
      <c r="J1605" s="34"/>
    </row>
    <row r="1606" spans="1:10" ht="30" x14ac:dyDescent="0.25">
      <c r="A1606" s="15">
        <v>40968</v>
      </c>
      <c r="B1606" s="16" t="s">
        <v>1018</v>
      </c>
      <c r="C1606" t="s">
        <v>957</v>
      </c>
      <c r="D1606" t="s">
        <v>783</v>
      </c>
      <c r="E1606" s="17">
        <v>1</v>
      </c>
      <c r="F1606" s="17">
        <v>889.91</v>
      </c>
      <c r="G1606" s="18">
        <v>889.91</v>
      </c>
      <c r="H1606" s="30" t="s">
        <v>2296</v>
      </c>
      <c r="J1606" s="34"/>
    </row>
    <row r="1607" spans="1:10" x14ac:dyDescent="0.25">
      <c r="A1607" s="15">
        <v>40968</v>
      </c>
      <c r="B1607" s="16" t="s">
        <v>869</v>
      </c>
      <c r="C1607" t="s">
        <v>8</v>
      </c>
      <c r="D1607" t="s">
        <v>48</v>
      </c>
      <c r="E1607" s="17">
        <v>2</v>
      </c>
      <c r="F1607" s="17">
        <v>35.35</v>
      </c>
      <c r="G1607" s="18">
        <v>70.7</v>
      </c>
      <c r="H1607" s="30" t="s">
        <v>2296</v>
      </c>
      <c r="J1607" s="34"/>
    </row>
    <row r="1608" spans="1:10" x14ac:dyDescent="0.25">
      <c r="A1608" s="15">
        <v>40968</v>
      </c>
      <c r="B1608" s="16" t="s">
        <v>865</v>
      </c>
      <c r="C1608" t="s">
        <v>8</v>
      </c>
      <c r="D1608" t="s">
        <v>48</v>
      </c>
      <c r="E1608" s="17">
        <v>2</v>
      </c>
      <c r="F1608" s="17">
        <v>35.35</v>
      </c>
      <c r="G1608" s="18">
        <v>70.7</v>
      </c>
      <c r="H1608" s="30" t="s">
        <v>2296</v>
      </c>
      <c r="J1608" s="34"/>
    </row>
    <row r="1609" spans="1:10" x14ac:dyDescent="0.25">
      <c r="A1609" s="15">
        <v>40970</v>
      </c>
      <c r="B1609" s="16" t="s">
        <v>935</v>
      </c>
      <c r="C1609" t="s">
        <v>864</v>
      </c>
      <c r="D1609" t="s">
        <v>48</v>
      </c>
      <c r="E1609" s="17">
        <v>9</v>
      </c>
      <c r="F1609" s="17">
        <v>100</v>
      </c>
      <c r="G1609" s="18">
        <v>900</v>
      </c>
      <c r="H1609" s="30" t="s">
        <v>2296</v>
      </c>
      <c r="J1609" s="34"/>
    </row>
    <row r="1610" spans="1:10" x14ac:dyDescent="0.25">
      <c r="A1610" s="15">
        <v>40970</v>
      </c>
      <c r="B1610" s="16" t="s">
        <v>1019</v>
      </c>
      <c r="C1610" t="s">
        <v>934</v>
      </c>
      <c r="D1610" t="s">
        <v>48</v>
      </c>
      <c r="E1610" s="17">
        <v>6</v>
      </c>
      <c r="F1610" s="17">
        <v>100</v>
      </c>
      <c r="G1610" s="18">
        <v>600</v>
      </c>
      <c r="H1610" s="30" t="s">
        <v>2296</v>
      </c>
      <c r="J1610" s="34"/>
    </row>
    <row r="1611" spans="1:10" x14ac:dyDescent="0.25">
      <c r="A1611" s="15">
        <v>40971</v>
      </c>
      <c r="B1611" s="16" t="s">
        <v>969</v>
      </c>
      <c r="C1611" t="s">
        <v>934</v>
      </c>
      <c r="D1611" t="s">
        <v>48</v>
      </c>
      <c r="E1611" s="17">
        <v>6.5</v>
      </c>
      <c r="F1611" s="17">
        <v>100</v>
      </c>
      <c r="G1611" s="18">
        <v>650</v>
      </c>
      <c r="H1611" s="30" t="s">
        <v>2296</v>
      </c>
      <c r="J1611" s="34"/>
    </row>
    <row r="1612" spans="1:10" x14ac:dyDescent="0.25">
      <c r="A1612" s="15">
        <v>40971</v>
      </c>
      <c r="B1612" s="16" t="s">
        <v>872</v>
      </c>
      <c r="C1612" t="s">
        <v>864</v>
      </c>
      <c r="D1612" t="s">
        <v>48</v>
      </c>
      <c r="E1612" s="17">
        <v>7</v>
      </c>
      <c r="F1612" s="17">
        <v>100</v>
      </c>
      <c r="G1612" s="18">
        <v>700</v>
      </c>
      <c r="H1612" s="30" t="s">
        <v>2296</v>
      </c>
      <c r="J1612" s="34"/>
    </row>
    <row r="1613" spans="1:10" x14ac:dyDescent="0.25">
      <c r="A1613" s="15">
        <v>40971</v>
      </c>
      <c r="B1613" s="16" t="s">
        <v>880</v>
      </c>
      <c r="C1613" t="s">
        <v>881</v>
      </c>
      <c r="D1613" t="s">
        <v>48</v>
      </c>
      <c r="E1613" s="17">
        <v>2</v>
      </c>
      <c r="F1613" s="17">
        <v>95</v>
      </c>
      <c r="G1613" s="18">
        <v>190</v>
      </c>
      <c r="H1613" s="30" t="s">
        <v>2296</v>
      </c>
      <c r="J1613" s="34"/>
    </row>
    <row r="1614" spans="1:10" x14ac:dyDescent="0.25">
      <c r="A1614" s="15">
        <v>40971</v>
      </c>
      <c r="B1614" s="16" t="s">
        <v>865</v>
      </c>
      <c r="C1614" t="s">
        <v>8</v>
      </c>
      <c r="D1614" t="s">
        <v>48</v>
      </c>
      <c r="E1614" s="17">
        <v>3</v>
      </c>
      <c r="F1614" s="17">
        <v>35.35</v>
      </c>
      <c r="G1614" s="18">
        <v>106.05</v>
      </c>
      <c r="H1614" s="30" t="s">
        <v>2296</v>
      </c>
      <c r="J1614" s="34"/>
    </row>
    <row r="1615" spans="1:10" x14ac:dyDescent="0.25">
      <c r="A1615" s="15">
        <v>40973</v>
      </c>
      <c r="B1615" s="16" t="s">
        <v>867</v>
      </c>
      <c r="C1615" t="s">
        <v>868</v>
      </c>
      <c r="D1615" t="s">
        <v>48</v>
      </c>
      <c r="E1615" s="17">
        <v>4</v>
      </c>
      <c r="F1615" s="17">
        <v>90</v>
      </c>
      <c r="G1615" s="18">
        <v>360</v>
      </c>
      <c r="H1615" s="30" t="s">
        <v>2296</v>
      </c>
      <c r="J1615" s="34"/>
    </row>
    <row r="1616" spans="1:10" x14ac:dyDescent="0.25">
      <c r="A1616" s="15">
        <v>40973</v>
      </c>
      <c r="B1616" s="16" t="s">
        <v>969</v>
      </c>
      <c r="C1616" t="s">
        <v>934</v>
      </c>
      <c r="D1616" t="s">
        <v>48</v>
      </c>
      <c r="E1616" s="17">
        <v>8.5</v>
      </c>
      <c r="F1616" s="17">
        <v>100</v>
      </c>
      <c r="G1616" s="18">
        <v>850</v>
      </c>
      <c r="H1616" s="30" t="s">
        <v>2296</v>
      </c>
      <c r="J1616" s="34"/>
    </row>
    <row r="1617" spans="1:10" x14ac:dyDescent="0.25">
      <c r="A1617" s="15">
        <v>40973</v>
      </c>
      <c r="B1617" s="16" t="s">
        <v>872</v>
      </c>
      <c r="C1617" t="s">
        <v>864</v>
      </c>
      <c r="D1617" t="s">
        <v>48</v>
      </c>
      <c r="E1617" s="17">
        <v>10</v>
      </c>
      <c r="F1617" s="17">
        <v>100</v>
      </c>
      <c r="G1617" s="18">
        <v>1000</v>
      </c>
      <c r="H1617" s="30" t="s">
        <v>2296</v>
      </c>
      <c r="J1617" s="34"/>
    </row>
    <row r="1618" spans="1:10" x14ac:dyDescent="0.25">
      <c r="A1618" s="15">
        <v>40973</v>
      </c>
      <c r="B1618" s="16" t="s">
        <v>1020</v>
      </c>
      <c r="C1618" t="s">
        <v>934</v>
      </c>
      <c r="D1618" t="s">
        <v>48</v>
      </c>
      <c r="E1618" s="17">
        <v>5.5</v>
      </c>
      <c r="F1618" s="17">
        <v>102.73</v>
      </c>
      <c r="G1618" s="18">
        <v>565.01499999999999</v>
      </c>
      <c r="H1618" s="30" t="s">
        <v>2296</v>
      </c>
      <c r="J1618" s="34"/>
    </row>
    <row r="1619" spans="1:10" x14ac:dyDescent="0.25">
      <c r="A1619" s="15">
        <v>40973</v>
      </c>
      <c r="B1619" s="16" t="s">
        <v>992</v>
      </c>
      <c r="C1619" t="s">
        <v>871</v>
      </c>
      <c r="D1619" t="s">
        <v>48</v>
      </c>
      <c r="E1619" s="17">
        <v>9.5</v>
      </c>
      <c r="F1619" s="17">
        <v>85</v>
      </c>
      <c r="G1619" s="18">
        <v>807.5</v>
      </c>
      <c r="H1619" s="30" t="s">
        <v>2296</v>
      </c>
      <c r="J1619" s="34"/>
    </row>
    <row r="1620" spans="1:10" x14ac:dyDescent="0.25">
      <c r="A1620" s="15">
        <v>40973</v>
      </c>
      <c r="B1620" s="16" t="s">
        <v>865</v>
      </c>
      <c r="C1620" t="s">
        <v>8</v>
      </c>
      <c r="D1620" t="s">
        <v>48</v>
      </c>
      <c r="E1620" s="17">
        <v>6</v>
      </c>
      <c r="F1620" s="17">
        <v>35.35</v>
      </c>
      <c r="G1620" s="18">
        <v>212.1</v>
      </c>
      <c r="H1620" s="30" t="s">
        <v>2296</v>
      </c>
      <c r="J1620" s="34"/>
    </row>
    <row r="1621" spans="1:10" x14ac:dyDescent="0.25">
      <c r="A1621" s="15">
        <v>40973</v>
      </c>
      <c r="B1621" s="16" t="s">
        <v>937</v>
      </c>
      <c r="C1621" t="s">
        <v>934</v>
      </c>
      <c r="D1621" t="s">
        <v>48</v>
      </c>
      <c r="E1621" s="17">
        <v>5</v>
      </c>
      <c r="F1621" s="17">
        <v>92.73</v>
      </c>
      <c r="G1621" s="18">
        <v>463.65</v>
      </c>
      <c r="H1621" s="30" t="s">
        <v>2296</v>
      </c>
      <c r="J1621" s="34"/>
    </row>
    <row r="1622" spans="1:10" x14ac:dyDescent="0.25">
      <c r="A1622" s="15">
        <v>40973</v>
      </c>
      <c r="B1622" s="16" t="s">
        <v>880</v>
      </c>
      <c r="C1622" t="s">
        <v>881</v>
      </c>
      <c r="D1622" t="s">
        <v>48</v>
      </c>
      <c r="E1622" s="17">
        <v>4</v>
      </c>
      <c r="F1622" s="17">
        <v>95</v>
      </c>
      <c r="G1622" s="18">
        <v>380</v>
      </c>
      <c r="H1622" s="30" t="s">
        <v>2296</v>
      </c>
      <c r="J1622" s="34"/>
    </row>
    <row r="1623" spans="1:10" x14ac:dyDescent="0.25">
      <c r="A1623" s="15">
        <v>40974</v>
      </c>
      <c r="B1623" s="16" t="s">
        <v>865</v>
      </c>
      <c r="C1623" t="s">
        <v>8</v>
      </c>
      <c r="D1623" t="s">
        <v>48</v>
      </c>
      <c r="E1623" s="17">
        <v>6</v>
      </c>
      <c r="F1623" s="17">
        <v>35.35</v>
      </c>
      <c r="G1623" s="18">
        <v>212.1</v>
      </c>
      <c r="H1623" s="30" t="s">
        <v>2296</v>
      </c>
      <c r="J1623" s="34"/>
    </row>
    <row r="1624" spans="1:10" x14ac:dyDescent="0.25">
      <c r="A1624" s="15">
        <v>40974</v>
      </c>
      <c r="B1624" s="16" t="s">
        <v>1021</v>
      </c>
      <c r="C1624" t="s">
        <v>871</v>
      </c>
      <c r="D1624" t="s">
        <v>48</v>
      </c>
      <c r="E1624" s="17">
        <v>1.5</v>
      </c>
      <c r="F1624" s="17">
        <v>85</v>
      </c>
      <c r="G1624" s="18">
        <v>127.5</v>
      </c>
      <c r="H1624" s="30" t="s">
        <v>2296</v>
      </c>
      <c r="J1624" s="34"/>
    </row>
    <row r="1625" spans="1:10" x14ac:dyDescent="0.25">
      <c r="A1625" s="15">
        <v>40974</v>
      </c>
      <c r="B1625" s="16" t="s">
        <v>865</v>
      </c>
      <c r="C1625" t="s">
        <v>8</v>
      </c>
      <c r="D1625" t="s">
        <v>48</v>
      </c>
      <c r="E1625" s="17">
        <v>6</v>
      </c>
      <c r="F1625" s="17">
        <v>35.35</v>
      </c>
      <c r="G1625" s="18">
        <v>212.1</v>
      </c>
      <c r="H1625" s="30" t="s">
        <v>2296</v>
      </c>
      <c r="J1625" s="34"/>
    </row>
    <row r="1626" spans="1:10" x14ac:dyDescent="0.25">
      <c r="A1626" s="15">
        <v>40974</v>
      </c>
      <c r="B1626" s="16" t="s">
        <v>865</v>
      </c>
      <c r="C1626" t="s">
        <v>8</v>
      </c>
      <c r="D1626" t="s">
        <v>48</v>
      </c>
      <c r="E1626" s="17">
        <v>6</v>
      </c>
      <c r="F1626" s="17">
        <v>35.35</v>
      </c>
      <c r="G1626" s="18">
        <v>212.1</v>
      </c>
      <c r="H1626" s="30" t="s">
        <v>2296</v>
      </c>
      <c r="J1626" s="34"/>
    </row>
    <row r="1627" spans="1:10" x14ac:dyDescent="0.25">
      <c r="A1627" s="15">
        <v>40974</v>
      </c>
      <c r="B1627" s="16" t="s">
        <v>867</v>
      </c>
      <c r="C1627" t="s">
        <v>868</v>
      </c>
      <c r="D1627" t="s">
        <v>48</v>
      </c>
      <c r="E1627" s="17">
        <v>2</v>
      </c>
      <c r="F1627" s="17">
        <v>90</v>
      </c>
      <c r="G1627" s="18">
        <v>180</v>
      </c>
      <c r="H1627" s="30" t="s">
        <v>2296</v>
      </c>
      <c r="J1627" s="34"/>
    </row>
    <row r="1628" spans="1:10" x14ac:dyDescent="0.25">
      <c r="A1628" s="15">
        <v>40974</v>
      </c>
      <c r="B1628" s="16" t="s">
        <v>872</v>
      </c>
      <c r="C1628" t="s">
        <v>864</v>
      </c>
      <c r="D1628" t="s">
        <v>48</v>
      </c>
      <c r="E1628" s="17">
        <v>10</v>
      </c>
      <c r="F1628" s="17">
        <v>100</v>
      </c>
      <c r="G1628" s="18">
        <v>1000</v>
      </c>
      <c r="H1628" s="30" t="s">
        <v>2296</v>
      </c>
      <c r="J1628" s="34"/>
    </row>
    <row r="1629" spans="1:10" x14ac:dyDescent="0.25">
      <c r="A1629" s="15">
        <v>40974</v>
      </c>
      <c r="B1629" s="16" t="s">
        <v>880</v>
      </c>
      <c r="C1629" t="s">
        <v>881</v>
      </c>
      <c r="D1629" t="s">
        <v>48</v>
      </c>
      <c r="E1629" s="17">
        <v>4</v>
      </c>
      <c r="F1629" s="17">
        <v>95</v>
      </c>
      <c r="G1629" s="18">
        <v>380</v>
      </c>
      <c r="H1629" s="30" t="s">
        <v>2296</v>
      </c>
      <c r="J1629" s="34"/>
    </row>
    <row r="1630" spans="1:10" x14ac:dyDescent="0.25">
      <c r="A1630" s="15">
        <v>40974</v>
      </c>
      <c r="B1630" s="16" t="s">
        <v>39</v>
      </c>
      <c r="C1630" t="s">
        <v>934</v>
      </c>
      <c r="D1630" t="s">
        <v>48</v>
      </c>
      <c r="E1630" s="17">
        <v>6.5</v>
      </c>
      <c r="F1630" s="17">
        <v>100</v>
      </c>
      <c r="G1630" s="18">
        <v>650</v>
      </c>
      <c r="H1630" s="30" t="s">
        <v>2296</v>
      </c>
      <c r="J1630" s="34"/>
    </row>
    <row r="1631" spans="1:10" x14ac:dyDescent="0.25">
      <c r="A1631" s="15">
        <v>40975</v>
      </c>
      <c r="B1631" s="16" t="s">
        <v>865</v>
      </c>
      <c r="C1631" t="s">
        <v>8</v>
      </c>
      <c r="D1631" t="s">
        <v>48</v>
      </c>
      <c r="E1631" s="17">
        <v>3.5</v>
      </c>
      <c r="F1631" s="17">
        <v>35.35</v>
      </c>
      <c r="G1631" s="18">
        <v>123.72499999999999</v>
      </c>
      <c r="H1631" s="30" t="s">
        <v>2296</v>
      </c>
      <c r="J1631" s="34"/>
    </row>
    <row r="1632" spans="1:10" x14ac:dyDescent="0.25">
      <c r="A1632" s="15">
        <v>40975</v>
      </c>
      <c r="B1632" s="16" t="s">
        <v>865</v>
      </c>
      <c r="C1632" t="s">
        <v>8</v>
      </c>
      <c r="D1632" t="s">
        <v>48</v>
      </c>
      <c r="E1632" s="17">
        <v>3.5</v>
      </c>
      <c r="F1632" s="17">
        <v>35.35</v>
      </c>
      <c r="G1632" s="18">
        <v>123.72499999999999</v>
      </c>
      <c r="H1632" s="30" t="s">
        <v>2296</v>
      </c>
      <c r="J1632" s="34"/>
    </row>
    <row r="1633" spans="1:10" x14ac:dyDescent="0.25">
      <c r="A1633" s="15">
        <v>40975</v>
      </c>
      <c r="B1633" s="16" t="s">
        <v>865</v>
      </c>
      <c r="C1633" t="s">
        <v>8</v>
      </c>
      <c r="D1633" t="s">
        <v>48</v>
      </c>
      <c r="E1633" s="17">
        <v>3.5</v>
      </c>
      <c r="F1633" s="17">
        <v>35.35</v>
      </c>
      <c r="G1633" s="18">
        <v>123.72499999999999</v>
      </c>
      <c r="H1633" s="30" t="s">
        <v>2296</v>
      </c>
      <c r="J1633" s="34"/>
    </row>
    <row r="1634" spans="1:10" x14ac:dyDescent="0.25">
      <c r="A1634" s="15">
        <v>40976</v>
      </c>
      <c r="B1634" s="16" t="s">
        <v>877</v>
      </c>
      <c r="C1634" t="s">
        <v>868</v>
      </c>
      <c r="D1634" t="s">
        <v>48</v>
      </c>
      <c r="E1634" s="17">
        <v>2</v>
      </c>
      <c r="F1634" s="17">
        <v>90</v>
      </c>
      <c r="G1634" s="18">
        <v>180</v>
      </c>
      <c r="H1634" s="30" t="s">
        <v>2296</v>
      </c>
      <c r="J1634" s="34"/>
    </row>
    <row r="1635" spans="1:10" x14ac:dyDescent="0.25">
      <c r="A1635" s="15">
        <v>40976</v>
      </c>
      <c r="B1635" s="16" t="s">
        <v>865</v>
      </c>
      <c r="C1635" t="s">
        <v>8</v>
      </c>
      <c r="D1635" t="s">
        <v>48</v>
      </c>
      <c r="E1635" s="17">
        <v>1</v>
      </c>
      <c r="F1635" s="17">
        <v>35.35</v>
      </c>
      <c r="G1635" s="18">
        <v>35.35</v>
      </c>
      <c r="H1635" s="30" t="s">
        <v>2296</v>
      </c>
      <c r="J1635" s="34"/>
    </row>
    <row r="1636" spans="1:10" x14ac:dyDescent="0.25">
      <c r="A1636" s="15">
        <v>40976</v>
      </c>
      <c r="B1636" s="16" t="s">
        <v>865</v>
      </c>
      <c r="C1636" t="s">
        <v>8</v>
      </c>
      <c r="D1636" t="s">
        <v>48</v>
      </c>
      <c r="E1636" s="17">
        <v>3.5</v>
      </c>
      <c r="F1636" s="17">
        <v>35.35</v>
      </c>
      <c r="G1636" s="18">
        <v>123.72499999999999</v>
      </c>
      <c r="H1636" s="30" t="s">
        <v>2296</v>
      </c>
      <c r="J1636" s="34"/>
    </row>
    <row r="1637" spans="1:10" x14ac:dyDescent="0.25">
      <c r="A1637" s="15">
        <v>40976</v>
      </c>
      <c r="B1637" s="16" t="s">
        <v>865</v>
      </c>
      <c r="C1637" t="s">
        <v>8</v>
      </c>
      <c r="D1637" t="s">
        <v>48</v>
      </c>
      <c r="E1637" s="17">
        <v>3.5</v>
      </c>
      <c r="F1637" s="17">
        <v>35.35</v>
      </c>
      <c r="G1637" s="18">
        <v>123.72499999999999</v>
      </c>
      <c r="H1637" s="30" t="s">
        <v>2296</v>
      </c>
      <c r="J1637" s="34"/>
    </row>
    <row r="1638" spans="1:10" x14ac:dyDescent="0.25">
      <c r="A1638" s="15">
        <v>40977</v>
      </c>
      <c r="B1638" s="16" t="s">
        <v>1022</v>
      </c>
      <c r="C1638" t="s">
        <v>934</v>
      </c>
      <c r="D1638" t="s">
        <v>48</v>
      </c>
      <c r="E1638" s="17">
        <v>6.5</v>
      </c>
      <c r="F1638" s="17">
        <v>102.73</v>
      </c>
      <c r="G1638" s="18">
        <v>667.745</v>
      </c>
      <c r="H1638" s="30" t="s">
        <v>2296</v>
      </c>
      <c r="J1638" s="34"/>
    </row>
    <row r="1639" spans="1:10" x14ac:dyDescent="0.25">
      <c r="A1639" s="15">
        <v>40977</v>
      </c>
      <c r="B1639" s="16" t="s">
        <v>931</v>
      </c>
      <c r="C1639" t="s">
        <v>934</v>
      </c>
      <c r="D1639" t="s">
        <v>48</v>
      </c>
      <c r="E1639" s="17">
        <v>6.5</v>
      </c>
      <c r="F1639" s="17">
        <v>102.73</v>
      </c>
      <c r="G1639" s="18">
        <v>667.745</v>
      </c>
      <c r="H1639" s="30" t="s">
        <v>2296</v>
      </c>
      <c r="J1639" s="34"/>
    </row>
    <row r="1640" spans="1:10" x14ac:dyDescent="0.25">
      <c r="A1640" s="15">
        <v>40977</v>
      </c>
      <c r="B1640" s="16" t="s">
        <v>865</v>
      </c>
      <c r="C1640" t="s">
        <v>8</v>
      </c>
      <c r="D1640" t="s">
        <v>48</v>
      </c>
      <c r="E1640" s="17">
        <v>6.5</v>
      </c>
      <c r="F1640" s="17">
        <v>35.35</v>
      </c>
      <c r="G1640" s="18">
        <v>229.77500000000001</v>
      </c>
      <c r="H1640" s="30" t="s">
        <v>2296</v>
      </c>
      <c r="J1640" s="34"/>
    </row>
    <row r="1641" spans="1:10" x14ac:dyDescent="0.25">
      <c r="A1641" s="15">
        <v>40977</v>
      </c>
      <c r="B1641" s="16" t="s">
        <v>865</v>
      </c>
      <c r="C1641" t="s">
        <v>8</v>
      </c>
      <c r="D1641" t="s">
        <v>48</v>
      </c>
      <c r="E1641" s="17">
        <v>10</v>
      </c>
      <c r="F1641" s="17">
        <v>35.35</v>
      </c>
      <c r="G1641" s="18">
        <v>353.5</v>
      </c>
      <c r="H1641" s="30" t="s">
        <v>2296</v>
      </c>
      <c r="J1641" s="34"/>
    </row>
    <row r="1642" spans="1:10" x14ac:dyDescent="0.25">
      <c r="A1642" s="15">
        <v>40977</v>
      </c>
      <c r="B1642" s="16" t="s">
        <v>969</v>
      </c>
      <c r="C1642" t="s">
        <v>934</v>
      </c>
      <c r="D1642" t="s">
        <v>48</v>
      </c>
      <c r="E1642" s="17">
        <v>10</v>
      </c>
      <c r="F1642" s="17">
        <v>100</v>
      </c>
      <c r="G1642" s="18">
        <v>1000</v>
      </c>
      <c r="H1642" s="30" t="s">
        <v>2296</v>
      </c>
      <c r="J1642" s="34"/>
    </row>
    <row r="1643" spans="1:10" x14ac:dyDescent="0.25">
      <c r="A1643" s="15">
        <v>40977</v>
      </c>
      <c r="B1643" s="16" t="s">
        <v>937</v>
      </c>
      <c r="C1643" t="s">
        <v>934</v>
      </c>
      <c r="D1643" t="s">
        <v>48</v>
      </c>
      <c r="E1643" s="17">
        <v>6.5</v>
      </c>
      <c r="F1643" s="17">
        <v>92.73</v>
      </c>
      <c r="G1643" s="18">
        <v>602.745</v>
      </c>
      <c r="H1643" s="30" t="s">
        <v>2296</v>
      </c>
      <c r="J1643" s="34"/>
    </row>
    <row r="1644" spans="1:10" x14ac:dyDescent="0.25">
      <c r="A1644" s="15">
        <v>40978</v>
      </c>
      <c r="B1644" s="16" t="s">
        <v>865</v>
      </c>
      <c r="C1644" t="s">
        <v>8</v>
      </c>
      <c r="D1644" t="s">
        <v>48</v>
      </c>
      <c r="E1644" s="17">
        <v>5</v>
      </c>
      <c r="F1644" s="17">
        <v>35.35</v>
      </c>
      <c r="G1644" s="18">
        <v>176.75</v>
      </c>
      <c r="H1644" s="30" t="s">
        <v>2296</v>
      </c>
      <c r="J1644" s="34"/>
    </row>
    <row r="1645" spans="1:10" x14ac:dyDescent="0.25">
      <c r="A1645" s="15">
        <v>40978</v>
      </c>
      <c r="B1645" s="16" t="s">
        <v>872</v>
      </c>
      <c r="C1645" t="s">
        <v>864</v>
      </c>
      <c r="D1645" t="s">
        <v>48</v>
      </c>
      <c r="E1645" s="17">
        <v>6</v>
      </c>
      <c r="F1645" s="17">
        <v>100</v>
      </c>
      <c r="G1645" s="18">
        <v>600</v>
      </c>
      <c r="H1645" s="30" t="s">
        <v>2296</v>
      </c>
      <c r="J1645" s="34"/>
    </row>
    <row r="1646" spans="1:10" x14ac:dyDescent="0.25">
      <c r="A1646" s="15">
        <v>40978</v>
      </c>
      <c r="B1646" s="16" t="s">
        <v>969</v>
      </c>
      <c r="C1646" t="s">
        <v>934</v>
      </c>
      <c r="D1646" t="s">
        <v>48</v>
      </c>
      <c r="E1646" s="17">
        <v>2.5</v>
      </c>
      <c r="F1646" s="17">
        <v>100</v>
      </c>
      <c r="G1646" s="18">
        <v>250</v>
      </c>
      <c r="H1646" s="30" t="s">
        <v>2296</v>
      </c>
      <c r="J1646" s="34"/>
    </row>
    <row r="1647" spans="1:10" x14ac:dyDescent="0.25">
      <c r="A1647" s="15">
        <v>40980</v>
      </c>
      <c r="B1647" s="16" t="s">
        <v>865</v>
      </c>
      <c r="C1647" t="s">
        <v>8</v>
      </c>
      <c r="D1647" t="s">
        <v>48</v>
      </c>
      <c r="E1647" s="17">
        <v>2</v>
      </c>
      <c r="F1647" s="17">
        <v>35.35</v>
      </c>
      <c r="G1647" s="18">
        <v>70.7</v>
      </c>
      <c r="H1647" s="30" t="s">
        <v>2296</v>
      </c>
      <c r="J1647" s="34"/>
    </row>
    <row r="1648" spans="1:10" x14ac:dyDescent="0.25">
      <c r="A1648" s="15">
        <v>40980</v>
      </c>
      <c r="B1648" s="16" t="s">
        <v>865</v>
      </c>
      <c r="C1648" t="s">
        <v>8</v>
      </c>
      <c r="D1648" t="s">
        <v>48</v>
      </c>
      <c r="E1648" s="17">
        <v>2</v>
      </c>
      <c r="F1648" s="17">
        <v>35.35</v>
      </c>
      <c r="G1648" s="18">
        <v>70.7</v>
      </c>
      <c r="H1648" s="30" t="s">
        <v>2296</v>
      </c>
      <c r="J1648" s="34"/>
    </row>
    <row r="1649" spans="1:10" x14ac:dyDescent="0.25">
      <c r="A1649" s="15">
        <v>40980</v>
      </c>
      <c r="B1649" s="16" t="s">
        <v>865</v>
      </c>
      <c r="C1649" t="s">
        <v>8</v>
      </c>
      <c r="D1649" t="s">
        <v>48</v>
      </c>
      <c r="E1649" s="17">
        <v>4</v>
      </c>
      <c r="F1649" s="17">
        <v>35.35</v>
      </c>
      <c r="G1649" s="18">
        <v>141.4</v>
      </c>
      <c r="H1649" s="30" t="s">
        <v>2296</v>
      </c>
      <c r="J1649" s="34"/>
    </row>
    <row r="1650" spans="1:10" x14ac:dyDescent="0.25">
      <c r="A1650" s="15">
        <v>40981</v>
      </c>
      <c r="B1650" s="16" t="s">
        <v>865</v>
      </c>
      <c r="C1650" t="s">
        <v>8</v>
      </c>
      <c r="D1650" t="s">
        <v>48</v>
      </c>
      <c r="E1650" s="17">
        <v>6</v>
      </c>
      <c r="F1650" s="17">
        <v>35.35</v>
      </c>
      <c r="G1650" s="18">
        <v>212.1</v>
      </c>
      <c r="H1650" s="30" t="s">
        <v>2296</v>
      </c>
      <c r="J1650" s="34"/>
    </row>
    <row r="1651" spans="1:10" x14ac:dyDescent="0.25">
      <c r="A1651" s="15">
        <v>40981</v>
      </c>
      <c r="B1651" s="16" t="s">
        <v>865</v>
      </c>
      <c r="C1651" t="s">
        <v>8</v>
      </c>
      <c r="D1651" t="s">
        <v>48</v>
      </c>
      <c r="E1651" s="17">
        <v>6</v>
      </c>
      <c r="F1651" s="17">
        <v>35.35</v>
      </c>
      <c r="G1651" s="18">
        <v>212.1</v>
      </c>
      <c r="H1651" s="30" t="s">
        <v>2296</v>
      </c>
      <c r="J1651" s="34"/>
    </row>
    <row r="1652" spans="1:10" x14ac:dyDescent="0.25">
      <c r="A1652" s="15">
        <v>40982</v>
      </c>
      <c r="B1652" s="16" t="s">
        <v>1023</v>
      </c>
      <c r="C1652" t="s">
        <v>934</v>
      </c>
      <c r="D1652" t="s">
        <v>48</v>
      </c>
      <c r="E1652" s="17">
        <v>2</v>
      </c>
      <c r="F1652" s="17">
        <v>92.73</v>
      </c>
      <c r="G1652" s="18">
        <v>185.46</v>
      </c>
      <c r="H1652" s="30" t="s">
        <v>2296</v>
      </c>
      <c r="J1652" s="34"/>
    </row>
    <row r="1653" spans="1:10" x14ac:dyDescent="0.25">
      <c r="A1653" s="15">
        <v>40982</v>
      </c>
      <c r="B1653" s="16" t="s">
        <v>1024</v>
      </c>
      <c r="C1653" t="s">
        <v>934</v>
      </c>
      <c r="D1653" t="s">
        <v>48</v>
      </c>
      <c r="E1653" s="17">
        <v>2</v>
      </c>
      <c r="F1653" s="17">
        <v>102.73</v>
      </c>
      <c r="G1653" s="18">
        <v>205.46</v>
      </c>
      <c r="H1653" s="30" t="s">
        <v>2296</v>
      </c>
      <c r="J1653" s="34"/>
    </row>
    <row r="1654" spans="1:10" x14ac:dyDescent="0.25">
      <c r="A1654" s="15">
        <v>40982</v>
      </c>
      <c r="B1654" s="16" t="s">
        <v>865</v>
      </c>
      <c r="C1654" t="s">
        <v>8</v>
      </c>
      <c r="D1654" t="s">
        <v>48</v>
      </c>
      <c r="E1654" s="17">
        <v>4</v>
      </c>
      <c r="F1654" s="17">
        <v>35.35</v>
      </c>
      <c r="G1654" s="18">
        <v>141.4</v>
      </c>
      <c r="H1654" s="30" t="s">
        <v>2296</v>
      </c>
      <c r="J1654" s="34"/>
    </row>
    <row r="1655" spans="1:10" x14ac:dyDescent="0.25">
      <c r="A1655" s="15">
        <v>40982</v>
      </c>
      <c r="B1655" s="16" t="s">
        <v>1025</v>
      </c>
      <c r="C1655" t="s">
        <v>934</v>
      </c>
      <c r="D1655" t="s">
        <v>48</v>
      </c>
      <c r="E1655" s="17">
        <v>2.5</v>
      </c>
      <c r="F1655" s="17">
        <v>100</v>
      </c>
      <c r="G1655" s="18">
        <v>250</v>
      </c>
      <c r="H1655" s="30" t="s">
        <v>2296</v>
      </c>
      <c r="J1655" s="34"/>
    </row>
    <row r="1656" spans="1:10" x14ac:dyDescent="0.25">
      <c r="A1656" s="15">
        <v>40982</v>
      </c>
      <c r="B1656" s="16" t="s">
        <v>865</v>
      </c>
      <c r="C1656" t="s">
        <v>8</v>
      </c>
      <c r="D1656" t="s">
        <v>48</v>
      </c>
      <c r="E1656" s="17">
        <v>4</v>
      </c>
      <c r="F1656" s="17">
        <v>35.35</v>
      </c>
      <c r="G1656" s="18">
        <v>141.4</v>
      </c>
      <c r="H1656" s="30" t="s">
        <v>2296</v>
      </c>
      <c r="J1656" s="34"/>
    </row>
    <row r="1657" spans="1:10" x14ac:dyDescent="0.25">
      <c r="A1657" s="15">
        <v>40982</v>
      </c>
      <c r="B1657" s="16" t="s">
        <v>865</v>
      </c>
      <c r="C1657" t="s">
        <v>8</v>
      </c>
      <c r="D1657" t="s">
        <v>48</v>
      </c>
      <c r="E1657" s="17">
        <v>4</v>
      </c>
      <c r="F1657" s="17">
        <v>35.35</v>
      </c>
      <c r="G1657" s="18">
        <v>141.4</v>
      </c>
      <c r="H1657" s="30" t="s">
        <v>2296</v>
      </c>
      <c r="J1657" s="34"/>
    </row>
    <row r="1658" spans="1:10" x14ac:dyDescent="0.25">
      <c r="A1658" s="15">
        <v>40982</v>
      </c>
      <c r="B1658" s="16" t="s">
        <v>1026</v>
      </c>
      <c r="C1658" t="s">
        <v>934</v>
      </c>
      <c r="D1658" t="s">
        <v>48</v>
      </c>
      <c r="E1658" s="17">
        <v>2</v>
      </c>
      <c r="F1658" s="17">
        <v>82.724999999999994</v>
      </c>
      <c r="G1658" s="18">
        <v>165.45</v>
      </c>
      <c r="H1658" s="30" t="s">
        <v>2296</v>
      </c>
      <c r="J1658" s="34"/>
    </row>
    <row r="1659" spans="1:10" x14ac:dyDescent="0.25">
      <c r="A1659" s="15">
        <v>40982</v>
      </c>
      <c r="B1659" s="16" t="s">
        <v>865</v>
      </c>
      <c r="C1659" t="s">
        <v>8</v>
      </c>
      <c r="D1659" t="s">
        <v>48</v>
      </c>
      <c r="E1659" s="17">
        <v>4</v>
      </c>
      <c r="F1659" s="17">
        <v>35.35</v>
      </c>
      <c r="G1659" s="18">
        <v>141.4</v>
      </c>
      <c r="H1659" s="30" t="s">
        <v>2296</v>
      </c>
      <c r="J1659" s="34"/>
    </row>
    <row r="1660" spans="1:10" x14ac:dyDescent="0.25">
      <c r="A1660" s="15">
        <v>40983</v>
      </c>
      <c r="B1660" s="16" t="s">
        <v>865</v>
      </c>
      <c r="C1660" t="s">
        <v>8</v>
      </c>
      <c r="D1660" t="s">
        <v>48</v>
      </c>
      <c r="E1660" s="17">
        <v>1</v>
      </c>
      <c r="F1660" s="17">
        <v>35.35</v>
      </c>
      <c r="G1660" s="18">
        <v>35.35</v>
      </c>
      <c r="H1660" s="30" t="s">
        <v>2296</v>
      </c>
      <c r="J1660" s="34"/>
    </row>
    <row r="1661" spans="1:10" x14ac:dyDescent="0.25">
      <c r="A1661" s="15">
        <v>40983</v>
      </c>
      <c r="B1661" s="16" t="s">
        <v>865</v>
      </c>
      <c r="C1661" t="s">
        <v>8</v>
      </c>
      <c r="D1661" t="s">
        <v>48</v>
      </c>
      <c r="E1661" s="17">
        <v>1</v>
      </c>
      <c r="F1661" s="17">
        <v>35.35</v>
      </c>
      <c r="G1661" s="18">
        <v>35.35</v>
      </c>
      <c r="H1661" s="30" t="s">
        <v>2296</v>
      </c>
      <c r="J1661" s="34"/>
    </row>
    <row r="1662" spans="1:10" x14ac:dyDescent="0.25">
      <c r="A1662" s="15">
        <v>40983</v>
      </c>
      <c r="B1662" s="16" t="s">
        <v>865</v>
      </c>
      <c r="C1662" t="s">
        <v>8</v>
      </c>
      <c r="D1662" t="s">
        <v>48</v>
      </c>
      <c r="E1662" s="17">
        <v>1</v>
      </c>
      <c r="F1662" s="17">
        <v>35.35</v>
      </c>
      <c r="G1662" s="18">
        <v>35.35</v>
      </c>
      <c r="H1662" s="30" t="s">
        <v>2296</v>
      </c>
      <c r="J1662" s="34"/>
    </row>
    <row r="1663" spans="1:10" x14ac:dyDescent="0.25">
      <c r="A1663" s="15">
        <v>40984</v>
      </c>
      <c r="B1663" s="16" t="s">
        <v>865</v>
      </c>
      <c r="C1663" t="s">
        <v>8</v>
      </c>
      <c r="D1663" t="s">
        <v>48</v>
      </c>
      <c r="E1663" s="17">
        <v>1</v>
      </c>
      <c r="F1663" s="17">
        <v>35.35</v>
      </c>
      <c r="G1663" s="18">
        <v>35.35</v>
      </c>
      <c r="H1663" s="30" t="s">
        <v>2296</v>
      </c>
      <c r="J1663" s="34"/>
    </row>
    <row r="1664" spans="1:10" x14ac:dyDescent="0.25">
      <c r="A1664" s="15">
        <v>40984</v>
      </c>
      <c r="B1664" s="16" t="s">
        <v>865</v>
      </c>
      <c r="C1664" t="s">
        <v>8</v>
      </c>
      <c r="D1664" t="s">
        <v>48</v>
      </c>
      <c r="E1664" s="17">
        <v>1</v>
      </c>
      <c r="F1664" s="17">
        <v>35.35</v>
      </c>
      <c r="G1664" s="18">
        <v>35.35</v>
      </c>
      <c r="H1664" s="30" t="s">
        <v>2296</v>
      </c>
      <c r="J1664" s="34"/>
    </row>
    <row r="1665" spans="1:10" x14ac:dyDescent="0.25">
      <c r="A1665" s="15">
        <v>40984</v>
      </c>
      <c r="B1665" s="16" t="s">
        <v>865</v>
      </c>
      <c r="C1665" t="s">
        <v>8</v>
      </c>
      <c r="D1665" t="s">
        <v>48</v>
      </c>
      <c r="E1665" s="17">
        <v>1</v>
      </c>
      <c r="F1665" s="17">
        <v>35.35</v>
      </c>
      <c r="G1665" s="18">
        <v>35.35</v>
      </c>
      <c r="H1665" s="30" t="s">
        <v>2296</v>
      </c>
      <c r="J1665" s="34"/>
    </row>
    <row r="1666" spans="1:10" x14ac:dyDescent="0.25">
      <c r="A1666" s="15">
        <v>40987</v>
      </c>
      <c r="B1666" s="16" t="s">
        <v>865</v>
      </c>
      <c r="C1666" t="s">
        <v>8</v>
      </c>
      <c r="D1666" t="s">
        <v>48</v>
      </c>
      <c r="E1666" s="17">
        <v>1</v>
      </c>
      <c r="F1666" s="17">
        <v>35.35</v>
      </c>
      <c r="G1666" s="18">
        <v>35.35</v>
      </c>
      <c r="H1666" s="30" t="s">
        <v>2296</v>
      </c>
      <c r="J1666" s="34"/>
    </row>
    <row r="1667" spans="1:10" x14ac:dyDescent="0.25">
      <c r="A1667" s="15">
        <v>40987</v>
      </c>
      <c r="B1667" s="16" t="s">
        <v>865</v>
      </c>
      <c r="C1667" t="s">
        <v>8</v>
      </c>
      <c r="D1667" t="s">
        <v>48</v>
      </c>
      <c r="E1667" s="17">
        <v>1</v>
      </c>
      <c r="F1667" s="17">
        <v>35.35</v>
      </c>
      <c r="G1667" s="18">
        <v>35.35</v>
      </c>
      <c r="H1667" s="30" t="s">
        <v>2296</v>
      </c>
      <c r="J1667" s="34"/>
    </row>
    <row r="1668" spans="1:10" x14ac:dyDescent="0.25">
      <c r="A1668" s="15">
        <v>40987</v>
      </c>
      <c r="B1668" s="16" t="s">
        <v>865</v>
      </c>
      <c r="C1668" t="s">
        <v>8</v>
      </c>
      <c r="D1668" t="s">
        <v>48</v>
      </c>
      <c r="E1668" s="17">
        <v>1</v>
      </c>
      <c r="F1668" s="17">
        <v>35.35</v>
      </c>
      <c r="G1668" s="18">
        <v>35.35</v>
      </c>
      <c r="H1668" s="30" t="s">
        <v>2296</v>
      </c>
      <c r="J1668" s="34"/>
    </row>
    <row r="1669" spans="1:10" x14ac:dyDescent="0.25">
      <c r="A1669" s="15">
        <v>40991</v>
      </c>
      <c r="B1669" s="16" t="s">
        <v>865</v>
      </c>
      <c r="C1669" t="s">
        <v>8</v>
      </c>
      <c r="D1669" t="s">
        <v>48</v>
      </c>
      <c r="E1669" s="17">
        <v>3</v>
      </c>
      <c r="F1669" s="17">
        <v>35.35</v>
      </c>
      <c r="G1669" s="18">
        <v>106.05</v>
      </c>
      <c r="H1669" s="30" t="s">
        <v>2296</v>
      </c>
      <c r="J1669" s="34"/>
    </row>
    <row r="1670" spans="1:10" x14ac:dyDescent="0.25">
      <c r="A1670" s="15">
        <v>40996</v>
      </c>
      <c r="B1670" s="16" t="s">
        <v>865</v>
      </c>
      <c r="C1670" t="s">
        <v>8</v>
      </c>
      <c r="D1670" t="s">
        <v>48</v>
      </c>
      <c r="E1670" s="17">
        <v>2</v>
      </c>
      <c r="F1670" s="17">
        <v>35.35</v>
      </c>
      <c r="G1670" s="18">
        <v>70.7</v>
      </c>
      <c r="H1670" s="30" t="s">
        <v>2296</v>
      </c>
      <c r="J1670" s="34"/>
    </row>
    <row r="1671" spans="1:10" x14ac:dyDescent="0.25">
      <c r="A1671" s="15">
        <v>40996</v>
      </c>
      <c r="B1671" s="16" t="s">
        <v>865</v>
      </c>
      <c r="C1671" t="s">
        <v>8</v>
      </c>
      <c r="D1671" t="s">
        <v>48</v>
      </c>
      <c r="E1671" s="17">
        <v>3</v>
      </c>
      <c r="F1671" s="17">
        <v>35.35</v>
      </c>
      <c r="G1671" s="18">
        <v>106.05</v>
      </c>
      <c r="H1671" s="30" t="s">
        <v>2296</v>
      </c>
      <c r="J1671" s="34"/>
    </row>
    <row r="1672" spans="1:10" x14ac:dyDescent="0.25">
      <c r="A1672" s="15">
        <v>40996</v>
      </c>
      <c r="B1672" s="16" t="s">
        <v>877</v>
      </c>
      <c r="C1672" t="s">
        <v>868</v>
      </c>
      <c r="D1672" t="s">
        <v>48</v>
      </c>
      <c r="E1672" s="17">
        <v>2</v>
      </c>
      <c r="F1672" s="17">
        <v>90</v>
      </c>
      <c r="G1672" s="18">
        <v>180</v>
      </c>
      <c r="H1672" s="30" t="s">
        <v>2296</v>
      </c>
      <c r="J1672" s="34"/>
    </row>
    <row r="1673" spans="1:10" x14ac:dyDescent="0.25">
      <c r="A1673" s="15">
        <v>40996</v>
      </c>
      <c r="B1673" s="16" t="s">
        <v>865</v>
      </c>
      <c r="C1673" t="s">
        <v>8</v>
      </c>
      <c r="D1673" t="s">
        <v>48</v>
      </c>
      <c r="E1673" s="17">
        <v>2</v>
      </c>
      <c r="F1673" s="17">
        <v>35.35</v>
      </c>
      <c r="G1673" s="18">
        <v>70.7</v>
      </c>
      <c r="H1673" s="30" t="s">
        <v>2296</v>
      </c>
      <c r="J1673" s="34"/>
    </row>
    <row r="1674" spans="1:10" ht="30" x14ac:dyDescent="0.25">
      <c r="A1674" s="15">
        <v>40998</v>
      </c>
      <c r="B1674" s="16" t="s">
        <v>1027</v>
      </c>
      <c r="C1674" t="s">
        <v>959</v>
      </c>
      <c r="D1674" t="s">
        <v>783</v>
      </c>
      <c r="E1674" s="17">
        <v>1</v>
      </c>
      <c r="F1674" s="17">
        <v>5700</v>
      </c>
      <c r="G1674" s="18">
        <v>5700</v>
      </c>
      <c r="H1674" s="30" t="s">
        <v>2296</v>
      </c>
      <c r="J1674" s="34"/>
    </row>
    <row r="1675" spans="1:10" x14ac:dyDescent="0.25">
      <c r="A1675" s="15">
        <v>40998</v>
      </c>
      <c r="B1675" s="16" t="s">
        <v>969</v>
      </c>
      <c r="C1675" t="s">
        <v>934</v>
      </c>
      <c r="D1675" t="s">
        <v>48</v>
      </c>
      <c r="E1675" s="17">
        <v>9.5</v>
      </c>
      <c r="F1675" s="17">
        <v>100</v>
      </c>
      <c r="G1675" s="18">
        <v>950</v>
      </c>
      <c r="H1675" s="30" t="s">
        <v>2296</v>
      </c>
      <c r="J1675" s="34"/>
    </row>
    <row r="1676" spans="1:10" x14ac:dyDescent="0.25">
      <c r="A1676" s="15">
        <v>40998</v>
      </c>
      <c r="B1676" s="16" t="s">
        <v>865</v>
      </c>
      <c r="C1676" t="s">
        <v>8</v>
      </c>
      <c r="D1676" t="s">
        <v>48</v>
      </c>
      <c r="E1676" s="17">
        <v>10.5</v>
      </c>
      <c r="F1676" s="17">
        <v>35.35</v>
      </c>
      <c r="G1676" s="18">
        <v>371.17500000000001</v>
      </c>
      <c r="H1676" s="30" t="s">
        <v>2296</v>
      </c>
      <c r="J1676" s="34"/>
    </row>
    <row r="1677" spans="1:10" x14ac:dyDescent="0.25">
      <c r="A1677" s="15">
        <v>40998</v>
      </c>
      <c r="B1677" s="16" t="s">
        <v>935</v>
      </c>
      <c r="C1677" t="s">
        <v>864</v>
      </c>
      <c r="D1677" t="s">
        <v>48</v>
      </c>
      <c r="E1677" s="17">
        <v>3</v>
      </c>
      <c r="F1677" s="17">
        <v>100</v>
      </c>
      <c r="G1677" s="18">
        <v>300</v>
      </c>
      <c r="H1677" s="30" t="s">
        <v>2296</v>
      </c>
      <c r="J1677" s="34"/>
    </row>
    <row r="1678" spans="1:10" ht="30" x14ac:dyDescent="0.25">
      <c r="A1678" s="15">
        <v>40998</v>
      </c>
      <c r="B1678" s="16" t="s">
        <v>1028</v>
      </c>
      <c r="C1678" t="s">
        <v>957</v>
      </c>
      <c r="D1678" t="s">
        <v>783</v>
      </c>
      <c r="E1678" s="17">
        <v>1</v>
      </c>
      <c r="F1678" s="17">
        <v>4693</v>
      </c>
      <c r="G1678" s="18">
        <v>4693</v>
      </c>
      <c r="H1678" s="30" t="s">
        <v>2296</v>
      </c>
      <c r="J1678" s="34"/>
    </row>
    <row r="1679" spans="1:10" x14ac:dyDescent="0.25">
      <c r="A1679" s="15">
        <v>40998</v>
      </c>
      <c r="B1679" s="16" t="s">
        <v>865</v>
      </c>
      <c r="C1679" t="s">
        <v>8</v>
      </c>
      <c r="D1679" t="s">
        <v>48</v>
      </c>
      <c r="E1679" s="17">
        <v>10.5</v>
      </c>
      <c r="F1679" s="17">
        <v>35.35</v>
      </c>
      <c r="G1679" s="18">
        <v>371.17500000000001</v>
      </c>
      <c r="H1679" s="30" t="s">
        <v>2296</v>
      </c>
      <c r="J1679" s="34"/>
    </row>
    <row r="1680" spans="1:10" x14ac:dyDescent="0.25">
      <c r="A1680" s="15">
        <v>40998</v>
      </c>
      <c r="B1680" s="16" t="s">
        <v>937</v>
      </c>
      <c r="C1680" t="s">
        <v>934</v>
      </c>
      <c r="D1680" t="s">
        <v>48</v>
      </c>
      <c r="E1680" s="17">
        <v>7</v>
      </c>
      <c r="F1680" s="17">
        <v>92.73</v>
      </c>
      <c r="G1680" s="18">
        <v>649.11</v>
      </c>
      <c r="H1680" s="30" t="s">
        <v>2296</v>
      </c>
      <c r="J1680" s="34"/>
    </row>
    <row r="1681" spans="1:10" x14ac:dyDescent="0.25">
      <c r="A1681" s="15">
        <v>40998</v>
      </c>
      <c r="B1681" s="16" t="s">
        <v>877</v>
      </c>
      <c r="C1681" t="s">
        <v>868</v>
      </c>
      <c r="D1681" t="s">
        <v>48</v>
      </c>
      <c r="E1681" s="17">
        <v>7.5</v>
      </c>
      <c r="F1681" s="17">
        <v>90</v>
      </c>
      <c r="G1681" s="18">
        <v>675</v>
      </c>
      <c r="H1681" s="30" t="s">
        <v>2296</v>
      </c>
      <c r="J1681" s="34"/>
    </row>
    <row r="1682" spans="1:10" x14ac:dyDescent="0.25">
      <c r="A1682" s="15">
        <v>40998</v>
      </c>
      <c r="B1682" s="16" t="s">
        <v>1029</v>
      </c>
      <c r="C1682" t="s">
        <v>934</v>
      </c>
      <c r="D1682" t="s">
        <v>48</v>
      </c>
      <c r="E1682" s="17">
        <v>6.5</v>
      </c>
      <c r="F1682" s="17">
        <v>92.73</v>
      </c>
      <c r="G1682" s="18">
        <v>602.745</v>
      </c>
      <c r="H1682" s="30" t="s">
        <v>2296</v>
      </c>
      <c r="J1682" s="34"/>
    </row>
    <row r="1683" spans="1:10" x14ac:dyDescent="0.25">
      <c r="A1683" s="15">
        <v>41001</v>
      </c>
      <c r="B1683" s="16" t="s">
        <v>865</v>
      </c>
      <c r="C1683" t="s">
        <v>8</v>
      </c>
      <c r="D1683" t="s">
        <v>48</v>
      </c>
      <c r="E1683" s="17">
        <v>4.5</v>
      </c>
      <c r="F1683" s="17">
        <v>35.35</v>
      </c>
      <c r="G1683" s="18">
        <v>159.07499999999999</v>
      </c>
      <c r="H1683" s="30" t="s">
        <v>2296</v>
      </c>
      <c r="J1683" s="34"/>
    </row>
    <row r="1684" spans="1:10" x14ac:dyDescent="0.25">
      <c r="A1684" s="15">
        <v>41001</v>
      </c>
      <c r="B1684" s="16" t="s">
        <v>877</v>
      </c>
      <c r="C1684" t="s">
        <v>868</v>
      </c>
      <c r="D1684" t="s">
        <v>48</v>
      </c>
      <c r="E1684" s="17">
        <v>4</v>
      </c>
      <c r="F1684" s="17">
        <v>90</v>
      </c>
      <c r="G1684" s="18">
        <v>360</v>
      </c>
      <c r="H1684" s="30" t="s">
        <v>2296</v>
      </c>
      <c r="J1684" s="34"/>
    </row>
    <row r="1685" spans="1:10" x14ac:dyDescent="0.25">
      <c r="A1685" s="15">
        <v>41001</v>
      </c>
      <c r="B1685" s="16" t="s">
        <v>865</v>
      </c>
      <c r="C1685" t="s">
        <v>8</v>
      </c>
      <c r="D1685" t="s">
        <v>48</v>
      </c>
      <c r="E1685" s="17">
        <v>4.5</v>
      </c>
      <c r="F1685" s="17">
        <v>35.35</v>
      </c>
      <c r="G1685" s="18">
        <v>159.07499999999999</v>
      </c>
      <c r="H1685" s="30" t="s">
        <v>2296</v>
      </c>
      <c r="J1685" s="34"/>
    </row>
    <row r="1686" spans="1:10" x14ac:dyDescent="0.25">
      <c r="A1686" s="15">
        <v>41001</v>
      </c>
      <c r="B1686" s="16" t="s">
        <v>865</v>
      </c>
      <c r="C1686" t="s">
        <v>8</v>
      </c>
      <c r="D1686" t="s">
        <v>48</v>
      </c>
      <c r="E1686" s="17">
        <v>4.5</v>
      </c>
      <c r="F1686" s="17">
        <v>35.35</v>
      </c>
      <c r="G1686" s="18">
        <v>159.07499999999999</v>
      </c>
      <c r="H1686" s="30" t="s">
        <v>2296</v>
      </c>
      <c r="J1686" s="34"/>
    </row>
    <row r="1687" spans="1:10" x14ac:dyDescent="0.25">
      <c r="A1687" s="15">
        <v>41002</v>
      </c>
      <c r="B1687" s="16" t="s">
        <v>933</v>
      </c>
      <c r="C1687" t="s">
        <v>934</v>
      </c>
      <c r="D1687" t="s">
        <v>48</v>
      </c>
      <c r="E1687" s="17">
        <v>4</v>
      </c>
      <c r="F1687" s="17">
        <v>92.73</v>
      </c>
      <c r="G1687" s="18">
        <v>370.92</v>
      </c>
      <c r="H1687" s="30" t="s">
        <v>2296</v>
      </c>
      <c r="J1687" s="34"/>
    </row>
    <row r="1688" spans="1:10" x14ac:dyDescent="0.25">
      <c r="A1688" s="15">
        <v>41002</v>
      </c>
      <c r="B1688" s="16" t="s">
        <v>865</v>
      </c>
      <c r="C1688" t="s">
        <v>8</v>
      </c>
      <c r="D1688" t="s">
        <v>48</v>
      </c>
      <c r="E1688" s="17">
        <v>10</v>
      </c>
      <c r="F1688" s="17">
        <v>35.35</v>
      </c>
      <c r="G1688" s="18">
        <v>353.5</v>
      </c>
      <c r="H1688" s="30" t="s">
        <v>2296</v>
      </c>
      <c r="J1688" s="34"/>
    </row>
    <row r="1689" spans="1:10" x14ac:dyDescent="0.25">
      <c r="A1689" s="15">
        <v>41002</v>
      </c>
      <c r="B1689" s="16" t="s">
        <v>933</v>
      </c>
      <c r="C1689" t="s">
        <v>934</v>
      </c>
      <c r="D1689" t="s">
        <v>48</v>
      </c>
      <c r="E1689" s="17">
        <v>4</v>
      </c>
      <c r="F1689" s="17">
        <v>92.73</v>
      </c>
      <c r="G1689" s="18">
        <v>370.92</v>
      </c>
      <c r="H1689" s="30" t="s">
        <v>2296</v>
      </c>
      <c r="J1689" s="34"/>
    </row>
    <row r="1690" spans="1:10" x14ac:dyDescent="0.25">
      <c r="A1690" s="15">
        <v>41002</v>
      </c>
      <c r="B1690" s="16" t="s">
        <v>969</v>
      </c>
      <c r="C1690" t="s">
        <v>934</v>
      </c>
      <c r="D1690" t="s">
        <v>48</v>
      </c>
      <c r="E1690" s="17">
        <v>6</v>
      </c>
      <c r="F1690" s="17">
        <v>100</v>
      </c>
      <c r="G1690" s="18">
        <v>600</v>
      </c>
      <c r="H1690" s="30" t="s">
        <v>2296</v>
      </c>
      <c r="J1690" s="34"/>
    </row>
    <row r="1691" spans="1:10" x14ac:dyDescent="0.25">
      <c r="A1691" s="15">
        <v>41002</v>
      </c>
      <c r="B1691" s="16" t="s">
        <v>877</v>
      </c>
      <c r="C1691" t="s">
        <v>868</v>
      </c>
      <c r="D1691" t="s">
        <v>48</v>
      </c>
      <c r="E1691" s="17">
        <v>3</v>
      </c>
      <c r="F1691" s="17">
        <v>90</v>
      </c>
      <c r="G1691" s="18">
        <v>270</v>
      </c>
      <c r="H1691" s="30" t="s">
        <v>2296</v>
      </c>
      <c r="J1691" s="34"/>
    </row>
    <row r="1692" spans="1:10" x14ac:dyDescent="0.25">
      <c r="A1692" s="15">
        <v>41003</v>
      </c>
      <c r="B1692" s="16" t="s">
        <v>865</v>
      </c>
      <c r="C1692" t="s">
        <v>8</v>
      </c>
      <c r="D1692" t="s">
        <v>48</v>
      </c>
      <c r="E1692" s="17">
        <v>8</v>
      </c>
      <c r="F1692" s="17">
        <v>35.35</v>
      </c>
      <c r="G1692" s="18">
        <v>282.8</v>
      </c>
      <c r="H1692" s="30" t="s">
        <v>2296</v>
      </c>
      <c r="J1692" s="34"/>
    </row>
    <row r="1693" spans="1:10" x14ac:dyDescent="0.25">
      <c r="A1693" s="15">
        <v>41003</v>
      </c>
      <c r="B1693" s="16" t="s">
        <v>865</v>
      </c>
      <c r="C1693" t="s">
        <v>8</v>
      </c>
      <c r="D1693" t="s">
        <v>48</v>
      </c>
      <c r="E1693" s="17">
        <v>8</v>
      </c>
      <c r="F1693" s="17">
        <v>35.35</v>
      </c>
      <c r="G1693" s="18">
        <v>282.8</v>
      </c>
      <c r="H1693" s="30" t="s">
        <v>2296</v>
      </c>
      <c r="J1693" s="34"/>
    </row>
    <row r="1694" spans="1:10" x14ac:dyDescent="0.25">
      <c r="A1694" s="15">
        <v>41003</v>
      </c>
      <c r="B1694" s="16" t="s">
        <v>867</v>
      </c>
      <c r="C1694" t="s">
        <v>868</v>
      </c>
      <c r="D1694" t="s">
        <v>48</v>
      </c>
      <c r="E1694" s="17">
        <v>3.5</v>
      </c>
      <c r="F1694" s="17">
        <v>90</v>
      </c>
      <c r="G1694" s="18">
        <v>315</v>
      </c>
      <c r="H1694" s="30" t="s">
        <v>2296</v>
      </c>
      <c r="J1694" s="34"/>
    </row>
    <row r="1695" spans="1:10" x14ac:dyDescent="0.25">
      <c r="A1695" s="15">
        <v>41003</v>
      </c>
      <c r="B1695" s="16" t="s">
        <v>933</v>
      </c>
      <c r="C1695" t="s">
        <v>934</v>
      </c>
      <c r="D1695" t="s">
        <v>48</v>
      </c>
      <c r="E1695" s="17">
        <v>11</v>
      </c>
      <c r="F1695" s="17">
        <v>92.73</v>
      </c>
      <c r="G1695" s="18">
        <v>1020.03</v>
      </c>
      <c r="H1695" s="30" t="s">
        <v>2296</v>
      </c>
      <c r="J1695" s="34"/>
    </row>
    <row r="1696" spans="1:10" x14ac:dyDescent="0.25">
      <c r="A1696" s="15">
        <v>41003</v>
      </c>
      <c r="B1696" s="16" t="s">
        <v>933</v>
      </c>
      <c r="C1696" t="s">
        <v>934</v>
      </c>
      <c r="D1696" t="s">
        <v>48</v>
      </c>
      <c r="E1696" s="17">
        <v>5.5</v>
      </c>
      <c r="F1696" s="17">
        <v>92.73</v>
      </c>
      <c r="G1696" s="18">
        <v>510.01499999999999</v>
      </c>
      <c r="H1696" s="30" t="s">
        <v>2296</v>
      </c>
      <c r="J1696" s="34"/>
    </row>
    <row r="1697" spans="1:10" x14ac:dyDescent="0.25">
      <c r="A1697" s="15">
        <v>41003</v>
      </c>
      <c r="B1697" s="16" t="s">
        <v>969</v>
      </c>
      <c r="C1697" t="s">
        <v>934</v>
      </c>
      <c r="D1697" t="s">
        <v>48</v>
      </c>
      <c r="E1697" s="17">
        <v>8</v>
      </c>
      <c r="F1697" s="17">
        <v>100</v>
      </c>
      <c r="G1697" s="18">
        <v>800</v>
      </c>
      <c r="H1697" s="30" t="s">
        <v>2296</v>
      </c>
      <c r="J1697" s="34"/>
    </row>
    <row r="1698" spans="1:10" x14ac:dyDescent="0.25">
      <c r="A1698" s="15">
        <v>41003</v>
      </c>
      <c r="B1698" s="16" t="s">
        <v>935</v>
      </c>
      <c r="C1698" t="s">
        <v>864</v>
      </c>
      <c r="D1698" t="s">
        <v>48</v>
      </c>
      <c r="E1698" s="17">
        <v>5</v>
      </c>
      <c r="F1698" s="17">
        <v>100</v>
      </c>
      <c r="G1698" s="18">
        <v>500</v>
      </c>
      <c r="H1698" s="30" t="s">
        <v>2296</v>
      </c>
      <c r="J1698" s="34"/>
    </row>
    <row r="1699" spans="1:10" ht="30" x14ac:dyDescent="0.25">
      <c r="A1699" s="15">
        <v>41003</v>
      </c>
      <c r="B1699" s="16" t="s">
        <v>1030</v>
      </c>
      <c r="C1699" t="s">
        <v>957</v>
      </c>
      <c r="D1699" t="s">
        <v>783</v>
      </c>
      <c r="E1699" s="17">
        <v>1</v>
      </c>
      <c r="F1699" s="17">
        <v>553.28</v>
      </c>
      <c r="G1699" s="18">
        <v>553.28</v>
      </c>
      <c r="H1699" s="30" t="s">
        <v>2296</v>
      </c>
      <c r="J1699" s="34"/>
    </row>
    <row r="1700" spans="1:10" x14ac:dyDescent="0.25">
      <c r="A1700" s="15">
        <v>41003</v>
      </c>
      <c r="B1700" s="16" t="s">
        <v>931</v>
      </c>
      <c r="C1700" t="s">
        <v>963</v>
      </c>
      <c r="D1700" t="s">
        <v>48</v>
      </c>
      <c r="E1700" s="17">
        <v>8</v>
      </c>
      <c r="F1700" s="17">
        <v>145</v>
      </c>
      <c r="G1700" s="18">
        <v>1160</v>
      </c>
      <c r="H1700" s="30" t="s">
        <v>2296</v>
      </c>
      <c r="J1700" s="34"/>
    </row>
    <row r="1701" spans="1:10" x14ac:dyDescent="0.25">
      <c r="A1701" s="15">
        <v>41003</v>
      </c>
      <c r="B1701" s="16" t="s">
        <v>935</v>
      </c>
      <c r="C1701" t="s">
        <v>864</v>
      </c>
      <c r="D1701" t="s">
        <v>48</v>
      </c>
      <c r="E1701" s="17">
        <v>2</v>
      </c>
      <c r="F1701" s="17">
        <v>100</v>
      </c>
      <c r="G1701" s="18">
        <v>200</v>
      </c>
      <c r="H1701" s="30" t="s">
        <v>2296</v>
      </c>
      <c r="J1701" s="34"/>
    </row>
    <row r="1702" spans="1:10" ht="30" x14ac:dyDescent="0.25">
      <c r="A1702" s="15">
        <v>41004</v>
      </c>
      <c r="B1702" s="16" t="s">
        <v>1031</v>
      </c>
      <c r="C1702" t="s">
        <v>1000</v>
      </c>
      <c r="D1702" t="s">
        <v>783</v>
      </c>
      <c r="E1702" s="17">
        <v>1</v>
      </c>
      <c r="F1702" s="17">
        <v>358.4</v>
      </c>
      <c r="G1702" s="18">
        <v>358.4</v>
      </c>
      <c r="H1702" s="30" t="s">
        <v>2296</v>
      </c>
      <c r="J1702" s="34"/>
    </row>
    <row r="1703" spans="1:10" x14ac:dyDescent="0.25">
      <c r="A1703" s="15">
        <v>41009</v>
      </c>
      <c r="B1703" s="16" t="s">
        <v>969</v>
      </c>
      <c r="C1703" t="s">
        <v>934</v>
      </c>
      <c r="D1703" t="s">
        <v>48</v>
      </c>
      <c r="E1703" s="17">
        <v>5</v>
      </c>
      <c r="F1703" s="17">
        <v>100</v>
      </c>
      <c r="G1703" s="18">
        <v>500</v>
      </c>
      <c r="H1703" s="30" t="s">
        <v>2296</v>
      </c>
      <c r="J1703" s="34"/>
    </row>
    <row r="1704" spans="1:10" x14ac:dyDescent="0.25">
      <c r="A1704" s="15">
        <v>41009</v>
      </c>
      <c r="B1704" s="16" t="s">
        <v>867</v>
      </c>
      <c r="C1704" t="s">
        <v>868</v>
      </c>
      <c r="D1704" t="s">
        <v>48</v>
      </c>
      <c r="E1704" s="17">
        <v>3.5</v>
      </c>
      <c r="F1704" s="17">
        <v>90</v>
      </c>
      <c r="G1704" s="18">
        <v>315</v>
      </c>
      <c r="H1704" s="30" t="s">
        <v>2296</v>
      </c>
      <c r="J1704" s="34"/>
    </row>
    <row r="1705" spans="1:10" x14ac:dyDescent="0.25">
      <c r="A1705" s="15">
        <v>41009</v>
      </c>
      <c r="B1705" s="16" t="s">
        <v>872</v>
      </c>
      <c r="C1705" t="s">
        <v>864</v>
      </c>
      <c r="D1705" t="s">
        <v>48</v>
      </c>
      <c r="E1705" s="17">
        <v>3</v>
      </c>
      <c r="F1705" s="17">
        <v>100</v>
      </c>
      <c r="G1705" s="18">
        <v>300</v>
      </c>
      <c r="H1705" s="30" t="s">
        <v>2296</v>
      </c>
      <c r="J1705" s="34"/>
    </row>
    <row r="1706" spans="1:10" x14ac:dyDescent="0.25">
      <c r="A1706" s="15">
        <v>41009</v>
      </c>
      <c r="B1706" s="16" t="s">
        <v>904</v>
      </c>
      <c r="C1706" t="s">
        <v>905</v>
      </c>
      <c r="D1706" t="s">
        <v>48</v>
      </c>
      <c r="E1706" s="17">
        <v>3</v>
      </c>
      <c r="F1706" s="17">
        <v>95</v>
      </c>
      <c r="G1706" s="18">
        <v>285</v>
      </c>
      <c r="H1706" s="30" t="s">
        <v>2296</v>
      </c>
      <c r="J1706" s="34"/>
    </row>
    <row r="1707" spans="1:10" x14ac:dyDescent="0.25">
      <c r="A1707" s="15">
        <v>41009</v>
      </c>
      <c r="B1707" s="16" t="s">
        <v>880</v>
      </c>
      <c r="C1707" t="s">
        <v>881</v>
      </c>
      <c r="D1707" t="s">
        <v>48</v>
      </c>
      <c r="E1707" s="17">
        <v>3.5</v>
      </c>
      <c r="F1707" s="17">
        <v>95</v>
      </c>
      <c r="G1707" s="18">
        <v>332.5</v>
      </c>
      <c r="H1707" s="30" t="s">
        <v>2296</v>
      </c>
      <c r="J1707" s="34"/>
    </row>
    <row r="1708" spans="1:10" x14ac:dyDescent="0.25">
      <c r="A1708" s="15">
        <v>41010</v>
      </c>
      <c r="B1708" s="16" t="s">
        <v>893</v>
      </c>
      <c r="C1708" t="s">
        <v>905</v>
      </c>
      <c r="D1708" t="s">
        <v>48</v>
      </c>
      <c r="E1708" s="17">
        <v>4.5</v>
      </c>
      <c r="F1708" s="17">
        <v>140</v>
      </c>
      <c r="G1708" s="18">
        <v>630</v>
      </c>
      <c r="H1708" s="30" t="s">
        <v>2296</v>
      </c>
      <c r="J1708" s="34"/>
    </row>
    <row r="1709" spans="1:10" x14ac:dyDescent="0.25">
      <c r="A1709" s="15">
        <v>41010</v>
      </c>
      <c r="B1709" s="16" t="s">
        <v>969</v>
      </c>
      <c r="C1709" t="s">
        <v>934</v>
      </c>
      <c r="D1709" t="s">
        <v>48</v>
      </c>
      <c r="E1709" s="17">
        <v>9.5</v>
      </c>
      <c r="F1709" s="17">
        <v>100</v>
      </c>
      <c r="G1709" s="18">
        <v>950</v>
      </c>
      <c r="H1709" s="30" t="s">
        <v>2296</v>
      </c>
      <c r="J1709" s="34"/>
    </row>
    <row r="1710" spans="1:10" x14ac:dyDescent="0.25">
      <c r="A1710" s="15">
        <v>41010</v>
      </c>
      <c r="B1710" s="16" t="s">
        <v>931</v>
      </c>
      <c r="C1710" t="s">
        <v>964</v>
      </c>
      <c r="D1710" t="s">
        <v>783</v>
      </c>
      <c r="E1710" s="17">
        <v>6.5</v>
      </c>
      <c r="F1710" s="17">
        <v>150</v>
      </c>
      <c r="G1710" s="18">
        <v>975</v>
      </c>
      <c r="H1710" s="30" t="s">
        <v>2296</v>
      </c>
      <c r="J1710" s="34"/>
    </row>
    <row r="1711" spans="1:10" x14ac:dyDescent="0.25">
      <c r="A1711" s="15">
        <v>41010</v>
      </c>
      <c r="B1711" s="16" t="s">
        <v>931</v>
      </c>
      <c r="C1711" t="s">
        <v>963</v>
      </c>
      <c r="D1711" t="s">
        <v>48</v>
      </c>
      <c r="E1711" s="17">
        <v>6.5</v>
      </c>
      <c r="F1711" s="17">
        <v>145</v>
      </c>
      <c r="G1711" s="18">
        <v>942.5</v>
      </c>
      <c r="H1711" s="30" t="s">
        <v>2296</v>
      </c>
      <c r="J1711" s="34"/>
    </row>
    <row r="1712" spans="1:10" x14ac:dyDescent="0.25">
      <c r="A1712" s="15">
        <v>41010</v>
      </c>
      <c r="B1712" s="16" t="s">
        <v>1032</v>
      </c>
      <c r="C1712" t="s">
        <v>864</v>
      </c>
      <c r="D1712" t="s">
        <v>48</v>
      </c>
      <c r="E1712" s="17">
        <v>8.5</v>
      </c>
      <c r="F1712" s="17">
        <v>100</v>
      </c>
      <c r="G1712" s="18">
        <v>850</v>
      </c>
      <c r="H1712" s="30" t="s">
        <v>2296</v>
      </c>
      <c r="J1712" s="34"/>
    </row>
    <row r="1713" spans="1:10" x14ac:dyDescent="0.25">
      <c r="A1713" s="15">
        <v>41010</v>
      </c>
      <c r="B1713" s="16" t="s">
        <v>877</v>
      </c>
      <c r="C1713" t="s">
        <v>868</v>
      </c>
      <c r="D1713" t="s">
        <v>48</v>
      </c>
      <c r="E1713" s="17">
        <v>2.5</v>
      </c>
      <c r="F1713" s="17">
        <v>90</v>
      </c>
      <c r="G1713" s="18">
        <v>225</v>
      </c>
      <c r="H1713" s="30" t="s">
        <v>2296</v>
      </c>
      <c r="J1713" s="34"/>
    </row>
    <row r="1714" spans="1:10" x14ac:dyDescent="0.25">
      <c r="A1714" s="15">
        <v>41010</v>
      </c>
      <c r="B1714" s="16" t="s">
        <v>872</v>
      </c>
      <c r="C1714" t="s">
        <v>864</v>
      </c>
      <c r="D1714" t="s">
        <v>48</v>
      </c>
      <c r="E1714" s="17">
        <v>5</v>
      </c>
      <c r="F1714" s="17">
        <v>100</v>
      </c>
      <c r="G1714" s="18">
        <v>500</v>
      </c>
      <c r="H1714" s="30" t="s">
        <v>2296</v>
      </c>
      <c r="J1714" s="34"/>
    </row>
    <row r="1715" spans="1:10" x14ac:dyDescent="0.25">
      <c r="A1715" s="15">
        <v>41010</v>
      </c>
      <c r="B1715" s="16" t="s">
        <v>865</v>
      </c>
      <c r="C1715" t="s">
        <v>8</v>
      </c>
      <c r="D1715" t="s">
        <v>48</v>
      </c>
      <c r="E1715" s="17">
        <v>6.5</v>
      </c>
      <c r="F1715" s="17">
        <v>35.35</v>
      </c>
      <c r="G1715" s="18">
        <v>229.77500000000001</v>
      </c>
      <c r="H1715" s="30" t="s">
        <v>2296</v>
      </c>
      <c r="J1715" s="34"/>
    </row>
    <row r="1716" spans="1:10" x14ac:dyDescent="0.25">
      <c r="A1716" s="15">
        <v>41010</v>
      </c>
      <c r="B1716" s="16" t="s">
        <v>931</v>
      </c>
      <c r="C1716" t="s">
        <v>873</v>
      </c>
      <c r="D1716" t="s">
        <v>48</v>
      </c>
      <c r="E1716" s="17">
        <v>5</v>
      </c>
      <c r="F1716" s="17">
        <v>130</v>
      </c>
      <c r="G1716" s="18">
        <v>650</v>
      </c>
      <c r="H1716" s="30" t="s">
        <v>2296</v>
      </c>
      <c r="J1716" s="34"/>
    </row>
    <row r="1717" spans="1:10" x14ac:dyDescent="0.25">
      <c r="A1717" s="15">
        <v>41011</v>
      </c>
      <c r="B1717" s="16" t="s">
        <v>865</v>
      </c>
      <c r="C1717" t="s">
        <v>8</v>
      </c>
      <c r="D1717" t="s">
        <v>48</v>
      </c>
      <c r="E1717" s="17">
        <v>1</v>
      </c>
      <c r="F1717" s="17">
        <v>35.35</v>
      </c>
      <c r="G1717" s="18">
        <v>35.35</v>
      </c>
      <c r="H1717" s="30" t="s">
        <v>2296</v>
      </c>
      <c r="J1717" s="34"/>
    </row>
    <row r="1718" spans="1:10" x14ac:dyDescent="0.25">
      <c r="A1718" s="15">
        <v>41011</v>
      </c>
      <c r="B1718" s="16" t="s">
        <v>865</v>
      </c>
      <c r="C1718" t="s">
        <v>8</v>
      </c>
      <c r="D1718" t="s">
        <v>48</v>
      </c>
      <c r="E1718" s="17">
        <v>3</v>
      </c>
      <c r="F1718" s="17">
        <v>35.35</v>
      </c>
      <c r="G1718" s="18">
        <v>106.05</v>
      </c>
      <c r="H1718" s="30" t="s">
        <v>2296</v>
      </c>
      <c r="J1718" s="34"/>
    </row>
    <row r="1719" spans="1:10" x14ac:dyDescent="0.25">
      <c r="A1719" s="15">
        <v>41011</v>
      </c>
      <c r="B1719" s="16" t="s">
        <v>865</v>
      </c>
      <c r="C1719" t="s">
        <v>8</v>
      </c>
      <c r="D1719" t="s">
        <v>48</v>
      </c>
      <c r="E1719" s="17">
        <v>2</v>
      </c>
      <c r="F1719" s="17">
        <v>35.35</v>
      </c>
      <c r="G1719" s="18">
        <v>70.7</v>
      </c>
      <c r="H1719" s="30" t="s">
        <v>2296</v>
      </c>
      <c r="J1719" s="34"/>
    </row>
    <row r="1720" spans="1:10" x14ac:dyDescent="0.25">
      <c r="A1720" s="15">
        <v>41011</v>
      </c>
      <c r="B1720" s="16" t="s">
        <v>872</v>
      </c>
      <c r="C1720" t="s">
        <v>864</v>
      </c>
      <c r="D1720" t="s">
        <v>48</v>
      </c>
      <c r="E1720" s="17">
        <v>5</v>
      </c>
      <c r="F1720" s="17">
        <v>100</v>
      </c>
      <c r="G1720" s="18">
        <v>500</v>
      </c>
      <c r="H1720" s="30" t="s">
        <v>2296</v>
      </c>
      <c r="J1720" s="34"/>
    </row>
    <row r="1721" spans="1:10" x14ac:dyDescent="0.25">
      <c r="A1721" s="15">
        <v>41011</v>
      </c>
      <c r="B1721" s="16" t="s">
        <v>969</v>
      </c>
      <c r="C1721" t="s">
        <v>934</v>
      </c>
      <c r="D1721" t="s">
        <v>48</v>
      </c>
      <c r="E1721" s="17">
        <v>4.5</v>
      </c>
      <c r="F1721" s="17">
        <v>100</v>
      </c>
      <c r="G1721" s="18">
        <v>450</v>
      </c>
      <c r="H1721" s="30" t="s">
        <v>2296</v>
      </c>
      <c r="J1721" s="34"/>
    </row>
    <row r="1722" spans="1:10" x14ac:dyDescent="0.25">
      <c r="A1722" s="15">
        <v>41011</v>
      </c>
      <c r="B1722" s="16" t="s">
        <v>877</v>
      </c>
      <c r="C1722" t="s">
        <v>868</v>
      </c>
      <c r="D1722" t="s">
        <v>48</v>
      </c>
      <c r="E1722" s="17">
        <v>2.5</v>
      </c>
      <c r="F1722" s="17">
        <v>90</v>
      </c>
      <c r="G1722" s="18">
        <v>225</v>
      </c>
      <c r="H1722" s="30" t="s">
        <v>2296</v>
      </c>
      <c r="J1722" s="34"/>
    </row>
    <row r="1723" spans="1:10" x14ac:dyDescent="0.25">
      <c r="A1723" s="15">
        <v>41011</v>
      </c>
      <c r="B1723" s="16" t="s">
        <v>880</v>
      </c>
      <c r="C1723" t="s">
        <v>881</v>
      </c>
      <c r="D1723" t="s">
        <v>48</v>
      </c>
      <c r="E1723" s="17">
        <v>2</v>
      </c>
      <c r="F1723" s="17">
        <v>95</v>
      </c>
      <c r="G1723" s="18">
        <v>190</v>
      </c>
      <c r="H1723" s="30" t="s">
        <v>2296</v>
      </c>
      <c r="J1723" s="34"/>
    </row>
    <row r="1724" spans="1:10" x14ac:dyDescent="0.25">
      <c r="A1724" s="15">
        <v>41011</v>
      </c>
      <c r="B1724" s="16" t="s">
        <v>904</v>
      </c>
      <c r="C1724" t="s">
        <v>905</v>
      </c>
      <c r="D1724" t="s">
        <v>48</v>
      </c>
      <c r="E1724" s="17">
        <v>2.5</v>
      </c>
      <c r="F1724" s="17">
        <v>95</v>
      </c>
      <c r="G1724" s="18">
        <v>237.5</v>
      </c>
      <c r="H1724" s="30" t="s">
        <v>2296</v>
      </c>
      <c r="J1724" s="34"/>
    </row>
    <row r="1725" spans="1:10" x14ac:dyDescent="0.25">
      <c r="A1725" s="15">
        <v>41012</v>
      </c>
      <c r="B1725" s="16" t="s">
        <v>865</v>
      </c>
      <c r="C1725" t="s">
        <v>8</v>
      </c>
      <c r="D1725" t="s">
        <v>48</v>
      </c>
      <c r="E1725" s="17">
        <v>2</v>
      </c>
      <c r="F1725" s="17">
        <v>35.35</v>
      </c>
      <c r="G1725" s="18">
        <v>70.7</v>
      </c>
      <c r="H1725" s="30" t="s">
        <v>2296</v>
      </c>
      <c r="J1725" s="34"/>
    </row>
    <row r="1726" spans="1:10" x14ac:dyDescent="0.25">
      <c r="A1726" s="15">
        <v>41012</v>
      </c>
      <c r="B1726" s="16" t="s">
        <v>969</v>
      </c>
      <c r="C1726" t="s">
        <v>934</v>
      </c>
      <c r="D1726" t="s">
        <v>48</v>
      </c>
      <c r="E1726" s="17">
        <v>6.5</v>
      </c>
      <c r="F1726" s="17">
        <v>100</v>
      </c>
      <c r="G1726" s="18">
        <v>650</v>
      </c>
      <c r="H1726" s="30" t="s">
        <v>2296</v>
      </c>
      <c r="J1726" s="34"/>
    </row>
    <row r="1727" spans="1:10" x14ac:dyDescent="0.25">
      <c r="A1727" s="15">
        <v>41012</v>
      </c>
      <c r="B1727" s="16" t="s">
        <v>865</v>
      </c>
      <c r="C1727" t="s">
        <v>8</v>
      </c>
      <c r="D1727" t="s">
        <v>48</v>
      </c>
      <c r="E1727" s="17">
        <v>2</v>
      </c>
      <c r="F1727" s="17">
        <v>35.35</v>
      </c>
      <c r="G1727" s="18">
        <v>70.7</v>
      </c>
      <c r="H1727" s="30" t="s">
        <v>2296</v>
      </c>
      <c r="J1727" s="34"/>
    </row>
    <row r="1728" spans="1:10" x14ac:dyDescent="0.25">
      <c r="A1728" s="15">
        <v>41012</v>
      </c>
      <c r="B1728" s="16" t="s">
        <v>880</v>
      </c>
      <c r="C1728" t="s">
        <v>881</v>
      </c>
      <c r="D1728" t="s">
        <v>48</v>
      </c>
      <c r="E1728" s="17">
        <v>2.5</v>
      </c>
      <c r="F1728" s="17">
        <v>95</v>
      </c>
      <c r="G1728" s="18">
        <v>237.5</v>
      </c>
      <c r="H1728" s="30" t="s">
        <v>2296</v>
      </c>
      <c r="J1728" s="34"/>
    </row>
    <row r="1729" spans="1:10" x14ac:dyDescent="0.25">
      <c r="A1729" s="15">
        <v>41012</v>
      </c>
      <c r="B1729" s="16" t="s">
        <v>904</v>
      </c>
      <c r="C1729" t="s">
        <v>905</v>
      </c>
      <c r="D1729" t="s">
        <v>48</v>
      </c>
      <c r="E1729" s="17">
        <v>2.5</v>
      </c>
      <c r="F1729" s="17">
        <v>95</v>
      </c>
      <c r="G1729" s="18">
        <v>237.5</v>
      </c>
      <c r="H1729" s="30" t="s">
        <v>2296</v>
      </c>
      <c r="J1729" s="34"/>
    </row>
    <row r="1730" spans="1:10" x14ac:dyDescent="0.25">
      <c r="A1730" s="15">
        <v>41012</v>
      </c>
      <c r="B1730" s="16" t="s">
        <v>931</v>
      </c>
      <c r="C1730" t="s">
        <v>873</v>
      </c>
      <c r="D1730" t="s">
        <v>48</v>
      </c>
      <c r="E1730" s="17">
        <v>4</v>
      </c>
      <c r="F1730" s="17">
        <v>130</v>
      </c>
      <c r="G1730" s="18">
        <v>520</v>
      </c>
      <c r="H1730" s="30" t="s">
        <v>2296</v>
      </c>
      <c r="J1730" s="34"/>
    </row>
    <row r="1731" spans="1:10" x14ac:dyDescent="0.25">
      <c r="A1731" s="15">
        <v>41012</v>
      </c>
      <c r="B1731" s="16" t="s">
        <v>931</v>
      </c>
      <c r="C1731" t="s">
        <v>963</v>
      </c>
      <c r="D1731" t="s">
        <v>48</v>
      </c>
      <c r="E1731" s="17">
        <v>4</v>
      </c>
      <c r="F1731" s="17">
        <v>145</v>
      </c>
      <c r="G1731" s="18">
        <v>580</v>
      </c>
      <c r="H1731" s="30" t="s">
        <v>2296</v>
      </c>
      <c r="J1731" s="34"/>
    </row>
    <row r="1732" spans="1:10" x14ac:dyDescent="0.25">
      <c r="A1732" s="15">
        <v>41012</v>
      </c>
      <c r="B1732" s="16" t="s">
        <v>931</v>
      </c>
      <c r="C1732" t="s">
        <v>964</v>
      </c>
      <c r="D1732" t="s">
        <v>783</v>
      </c>
      <c r="E1732" s="17">
        <v>4</v>
      </c>
      <c r="F1732" s="17">
        <v>150</v>
      </c>
      <c r="G1732" s="18">
        <v>600</v>
      </c>
      <c r="H1732" s="30" t="s">
        <v>2296</v>
      </c>
      <c r="J1732" s="34"/>
    </row>
    <row r="1733" spans="1:10" x14ac:dyDescent="0.25">
      <c r="A1733" s="15">
        <v>41012</v>
      </c>
      <c r="B1733" s="16" t="s">
        <v>877</v>
      </c>
      <c r="C1733" t="s">
        <v>868</v>
      </c>
      <c r="D1733" t="s">
        <v>48</v>
      </c>
      <c r="E1733" s="17">
        <v>2.5</v>
      </c>
      <c r="F1733" s="17">
        <v>90</v>
      </c>
      <c r="G1733" s="18">
        <v>225</v>
      </c>
      <c r="H1733" s="30" t="s">
        <v>2296</v>
      </c>
      <c r="J1733" s="34"/>
    </row>
    <row r="1734" spans="1:10" x14ac:dyDescent="0.25">
      <c r="A1734" s="15">
        <v>41012</v>
      </c>
      <c r="B1734" s="16" t="s">
        <v>872</v>
      </c>
      <c r="C1734" t="s">
        <v>864</v>
      </c>
      <c r="D1734" t="s">
        <v>48</v>
      </c>
      <c r="E1734" s="17">
        <v>5.5</v>
      </c>
      <c r="F1734" s="17">
        <v>100</v>
      </c>
      <c r="G1734" s="18">
        <v>550</v>
      </c>
      <c r="H1734" s="30" t="s">
        <v>2296</v>
      </c>
      <c r="J1734" s="34"/>
    </row>
    <row r="1735" spans="1:10" x14ac:dyDescent="0.25">
      <c r="A1735" s="15">
        <v>41013</v>
      </c>
      <c r="B1735" s="16" t="s">
        <v>937</v>
      </c>
      <c r="C1735" t="s">
        <v>934</v>
      </c>
      <c r="D1735" t="s">
        <v>48</v>
      </c>
      <c r="E1735" s="17">
        <v>5.5</v>
      </c>
      <c r="F1735" s="17">
        <v>92.73</v>
      </c>
      <c r="G1735" s="18">
        <v>510.01499999999999</v>
      </c>
      <c r="H1735" s="30" t="s">
        <v>2296</v>
      </c>
      <c r="J1735" s="34"/>
    </row>
    <row r="1736" spans="1:10" x14ac:dyDescent="0.25">
      <c r="A1736" s="15">
        <v>41013</v>
      </c>
      <c r="B1736" s="16" t="s">
        <v>969</v>
      </c>
      <c r="C1736" t="s">
        <v>934</v>
      </c>
      <c r="D1736" t="s">
        <v>48</v>
      </c>
      <c r="E1736" s="17">
        <v>6.5</v>
      </c>
      <c r="F1736" s="17">
        <v>100</v>
      </c>
      <c r="G1736" s="18">
        <v>650</v>
      </c>
      <c r="H1736" s="30" t="s">
        <v>2296</v>
      </c>
      <c r="J1736" s="34"/>
    </row>
    <row r="1737" spans="1:10" x14ac:dyDescent="0.25">
      <c r="A1737" s="15">
        <v>41013</v>
      </c>
      <c r="B1737" s="16" t="s">
        <v>867</v>
      </c>
      <c r="C1737" t="s">
        <v>868</v>
      </c>
      <c r="D1737" t="s">
        <v>48</v>
      </c>
      <c r="E1737" s="17">
        <v>2.5</v>
      </c>
      <c r="F1737" s="17">
        <v>90</v>
      </c>
      <c r="G1737" s="18">
        <v>225</v>
      </c>
      <c r="H1737" s="30" t="s">
        <v>2296</v>
      </c>
      <c r="J1737" s="34"/>
    </row>
    <row r="1738" spans="1:10" x14ac:dyDescent="0.25">
      <c r="A1738" s="15">
        <v>41013</v>
      </c>
      <c r="B1738" s="16" t="s">
        <v>865</v>
      </c>
      <c r="C1738" t="s">
        <v>8</v>
      </c>
      <c r="D1738" t="s">
        <v>48</v>
      </c>
      <c r="E1738" s="17">
        <v>3</v>
      </c>
      <c r="F1738" s="17">
        <v>35.35</v>
      </c>
      <c r="G1738" s="18">
        <v>106.05</v>
      </c>
      <c r="H1738" s="30" t="s">
        <v>2296</v>
      </c>
      <c r="J1738" s="34"/>
    </row>
    <row r="1739" spans="1:10" x14ac:dyDescent="0.25">
      <c r="A1739" s="15">
        <v>41013</v>
      </c>
      <c r="B1739" s="16" t="s">
        <v>865</v>
      </c>
      <c r="C1739" t="s">
        <v>8</v>
      </c>
      <c r="D1739" t="s">
        <v>48</v>
      </c>
      <c r="E1739" s="17">
        <v>3</v>
      </c>
      <c r="F1739" s="17">
        <v>35.35</v>
      </c>
      <c r="G1739" s="18">
        <v>106.05</v>
      </c>
      <c r="H1739" s="30" t="s">
        <v>2296</v>
      </c>
      <c r="J1739" s="34"/>
    </row>
    <row r="1740" spans="1:10" x14ac:dyDescent="0.25">
      <c r="A1740" s="15">
        <v>41013</v>
      </c>
      <c r="B1740" s="16" t="s">
        <v>865</v>
      </c>
      <c r="C1740" t="s">
        <v>8</v>
      </c>
      <c r="D1740" t="s">
        <v>48</v>
      </c>
      <c r="E1740" s="17">
        <v>3</v>
      </c>
      <c r="F1740" s="17">
        <v>35.35</v>
      </c>
      <c r="G1740" s="18">
        <v>106.05</v>
      </c>
      <c r="H1740" s="30" t="s">
        <v>2296</v>
      </c>
      <c r="J1740" s="34"/>
    </row>
    <row r="1741" spans="1:10" x14ac:dyDescent="0.25">
      <c r="A1741" s="15">
        <v>41013</v>
      </c>
      <c r="B1741" s="16" t="s">
        <v>937</v>
      </c>
      <c r="C1741" t="s">
        <v>934</v>
      </c>
      <c r="D1741" t="s">
        <v>48</v>
      </c>
      <c r="E1741" s="17">
        <v>4</v>
      </c>
      <c r="F1741" s="17">
        <v>92.73</v>
      </c>
      <c r="G1741" s="18">
        <v>370.92</v>
      </c>
      <c r="H1741" s="30" t="s">
        <v>2296</v>
      </c>
      <c r="J1741" s="34"/>
    </row>
    <row r="1742" spans="1:10" x14ac:dyDescent="0.25">
      <c r="A1742" s="15">
        <v>41013</v>
      </c>
      <c r="B1742" s="16" t="s">
        <v>865</v>
      </c>
      <c r="C1742" t="s">
        <v>8</v>
      </c>
      <c r="D1742" t="s">
        <v>48</v>
      </c>
      <c r="E1742" s="17">
        <v>3</v>
      </c>
      <c r="F1742" s="17">
        <v>35.35</v>
      </c>
      <c r="G1742" s="18">
        <v>106.05</v>
      </c>
      <c r="H1742" s="30" t="s">
        <v>2296</v>
      </c>
      <c r="J1742" s="34"/>
    </row>
    <row r="1743" spans="1:10" x14ac:dyDescent="0.25">
      <c r="A1743" s="15">
        <v>41015</v>
      </c>
      <c r="B1743" s="16" t="s">
        <v>865</v>
      </c>
      <c r="C1743" t="s">
        <v>8</v>
      </c>
      <c r="D1743" t="s">
        <v>48</v>
      </c>
      <c r="E1743" s="17">
        <v>2</v>
      </c>
      <c r="F1743" s="17">
        <v>35.35</v>
      </c>
      <c r="G1743" s="18">
        <v>70.7</v>
      </c>
      <c r="H1743" s="30" t="s">
        <v>2296</v>
      </c>
      <c r="J1743" s="34"/>
    </row>
    <row r="1744" spans="1:10" x14ac:dyDescent="0.25">
      <c r="A1744" s="15">
        <v>41015</v>
      </c>
      <c r="B1744" s="16" t="s">
        <v>865</v>
      </c>
      <c r="C1744" t="s">
        <v>8</v>
      </c>
      <c r="D1744" t="s">
        <v>48</v>
      </c>
      <c r="E1744" s="17">
        <v>4</v>
      </c>
      <c r="F1744" s="17">
        <v>48</v>
      </c>
      <c r="G1744" s="18">
        <v>192</v>
      </c>
      <c r="H1744" s="30" t="s">
        <v>2296</v>
      </c>
      <c r="J1744" s="34"/>
    </row>
    <row r="1745" spans="1:10" x14ac:dyDescent="0.25">
      <c r="A1745" s="15">
        <v>41015</v>
      </c>
      <c r="B1745" s="16" t="s">
        <v>931</v>
      </c>
      <c r="C1745" t="s">
        <v>963</v>
      </c>
      <c r="D1745" t="s">
        <v>48</v>
      </c>
      <c r="E1745" s="17">
        <v>2.5</v>
      </c>
      <c r="F1745" s="17">
        <v>145</v>
      </c>
      <c r="G1745" s="18">
        <v>362.5</v>
      </c>
      <c r="H1745" s="30" t="s">
        <v>2296</v>
      </c>
      <c r="J1745" s="34"/>
    </row>
    <row r="1746" spans="1:10" x14ac:dyDescent="0.25">
      <c r="A1746" s="15">
        <v>41015</v>
      </c>
      <c r="B1746" s="16" t="s">
        <v>867</v>
      </c>
      <c r="C1746" t="s">
        <v>868</v>
      </c>
      <c r="D1746" t="s">
        <v>48</v>
      </c>
      <c r="E1746" s="17">
        <v>2</v>
      </c>
      <c r="F1746" s="17">
        <v>90</v>
      </c>
      <c r="G1746" s="18">
        <v>180</v>
      </c>
      <c r="H1746" s="30" t="s">
        <v>2296</v>
      </c>
      <c r="J1746" s="34"/>
    </row>
    <row r="1747" spans="1:10" x14ac:dyDescent="0.25">
      <c r="A1747" s="15">
        <v>41015</v>
      </c>
      <c r="B1747" s="16" t="s">
        <v>865</v>
      </c>
      <c r="C1747" t="s">
        <v>8</v>
      </c>
      <c r="D1747" t="s">
        <v>48</v>
      </c>
      <c r="E1747" s="17">
        <v>2</v>
      </c>
      <c r="F1747" s="17">
        <v>35.35</v>
      </c>
      <c r="G1747" s="18">
        <v>70.7</v>
      </c>
      <c r="H1747" s="30" t="s">
        <v>2296</v>
      </c>
      <c r="J1747" s="34"/>
    </row>
    <row r="1748" spans="1:10" x14ac:dyDescent="0.25">
      <c r="A1748" s="15">
        <v>41015</v>
      </c>
      <c r="B1748" s="16" t="s">
        <v>969</v>
      </c>
      <c r="C1748" t="s">
        <v>934</v>
      </c>
      <c r="D1748" t="s">
        <v>48</v>
      </c>
      <c r="E1748" s="17">
        <v>9</v>
      </c>
      <c r="F1748" s="17">
        <v>100</v>
      </c>
      <c r="G1748" s="18">
        <v>900</v>
      </c>
      <c r="H1748" s="30" t="s">
        <v>2296</v>
      </c>
      <c r="J1748" s="34"/>
    </row>
    <row r="1749" spans="1:10" x14ac:dyDescent="0.25">
      <c r="A1749" s="15">
        <v>41017</v>
      </c>
      <c r="B1749" s="16" t="s">
        <v>865</v>
      </c>
      <c r="C1749" t="s">
        <v>8</v>
      </c>
      <c r="D1749" t="s">
        <v>48</v>
      </c>
      <c r="E1749" s="17">
        <v>2</v>
      </c>
      <c r="F1749" s="17">
        <v>35.35</v>
      </c>
      <c r="G1749" s="18">
        <v>70.7</v>
      </c>
      <c r="H1749" s="30" t="s">
        <v>2296</v>
      </c>
      <c r="J1749" s="34"/>
    </row>
    <row r="1750" spans="1:10" x14ac:dyDescent="0.25">
      <c r="A1750" s="15">
        <v>41017</v>
      </c>
      <c r="B1750" s="16" t="s">
        <v>969</v>
      </c>
      <c r="C1750" t="s">
        <v>934</v>
      </c>
      <c r="D1750" t="s">
        <v>48</v>
      </c>
      <c r="E1750" s="17">
        <v>5.5</v>
      </c>
      <c r="F1750" s="17">
        <v>100</v>
      </c>
      <c r="G1750" s="18">
        <v>550</v>
      </c>
      <c r="H1750" s="30" t="s">
        <v>2296</v>
      </c>
      <c r="J1750" s="34"/>
    </row>
    <row r="1751" spans="1:10" x14ac:dyDescent="0.25">
      <c r="A1751" s="15">
        <v>41017</v>
      </c>
      <c r="B1751" s="16" t="s">
        <v>865</v>
      </c>
      <c r="C1751" t="s">
        <v>8</v>
      </c>
      <c r="D1751" t="s">
        <v>48</v>
      </c>
      <c r="E1751" s="17">
        <v>6</v>
      </c>
      <c r="F1751" s="17">
        <v>48</v>
      </c>
      <c r="G1751" s="18">
        <v>288</v>
      </c>
      <c r="H1751" s="30" t="s">
        <v>2296</v>
      </c>
      <c r="J1751" s="34"/>
    </row>
    <row r="1752" spans="1:10" x14ac:dyDescent="0.25">
      <c r="A1752" s="15">
        <v>41017</v>
      </c>
      <c r="B1752" s="16" t="s">
        <v>865</v>
      </c>
      <c r="C1752" t="s">
        <v>8</v>
      </c>
      <c r="D1752" t="s">
        <v>48</v>
      </c>
      <c r="E1752" s="17">
        <v>2</v>
      </c>
      <c r="F1752" s="17">
        <v>35.35</v>
      </c>
      <c r="G1752" s="18">
        <v>70.7</v>
      </c>
      <c r="H1752" s="30" t="s">
        <v>2296</v>
      </c>
      <c r="J1752" s="34"/>
    </row>
    <row r="1753" spans="1:10" x14ac:dyDescent="0.25">
      <c r="A1753" s="15">
        <v>41017</v>
      </c>
      <c r="B1753" s="16" t="s">
        <v>877</v>
      </c>
      <c r="C1753" t="s">
        <v>868</v>
      </c>
      <c r="D1753" t="s">
        <v>48</v>
      </c>
      <c r="E1753" s="17">
        <v>2</v>
      </c>
      <c r="F1753" s="17">
        <v>90</v>
      </c>
      <c r="G1753" s="18">
        <v>180</v>
      </c>
      <c r="H1753" s="30" t="s">
        <v>2296</v>
      </c>
      <c r="J1753" s="34"/>
    </row>
    <row r="1754" spans="1:10" x14ac:dyDescent="0.25">
      <c r="A1754" s="15">
        <v>41017</v>
      </c>
      <c r="B1754" s="16" t="s">
        <v>865</v>
      </c>
      <c r="C1754" t="s">
        <v>8</v>
      </c>
      <c r="D1754" t="s">
        <v>48</v>
      </c>
      <c r="E1754" s="17">
        <v>2</v>
      </c>
      <c r="F1754" s="17">
        <v>35.35</v>
      </c>
      <c r="G1754" s="18">
        <v>70.7</v>
      </c>
      <c r="H1754" s="30" t="s">
        <v>2296</v>
      </c>
      <c r="J1754" s="34"/>
    </row>
    <row r="1755" spans="1:10" x14ac:dyDescent="0.25">
      <c r="A1755" s="15">
        <v>41017</v>
      </c>
      <c r="B1755" s="16" t="s">
        <v>865</v>
      </c>
      <c r="C1755" t="s">
        <v>8</v>
      </c>
      <c r="D1755" t="s">
        <v>48</v>
      </c>
      <c r="E1755" s="17">
        <v>2</v>
      </c>
      <c r="F1755" s="17">
        <v>35.35</v>
      </c>
      <c r="G1755" s="18">
        <v>70.7</v>
      </c>
      <c r="H1755" s="30" t="s">
        <v>2296</v>
      </c>
      <c r="J1755" s="34"/>
    </row>
    <row r="1756" spans="1:10" x14ac:dyDescent="0.25">
      <c r="A1756" s="15">
        <v>41018</v>
      </c>
      <c r="B1756" s="16" t="s">
        <v>865</v>
      </c>
      <c r="C1756" t="s">
        <v>8</v>
      </c>
      <c r="D1756" t="s">
        <v>48</v>
      </c>
      <c r="E1756" s="17">
        <v>1</v>
      </c>
      <c r="F1756" s="17">
        <v>35.35</v>
      </c>
      <c r="G1756" s="18">
        <v>35.35</v>
      </c>
      <c r="H1756" s="30" t="s">
        <v>2296</v>
      </c>
      <c r="J1756" s="34"/>
    </row>
    <row r="1757" spans="1:10" x14ac:dyDescent="0.25">
      <c r="A1757" s="15">
        <v>41018</v>
      </c>
      <c r="B1757" s="16" t="s">
        <v>865</v>
      </c>
      <c r="C1757" t="s">
        <v>8</v>
      </c>
      <c r="D1757" t="s">
        <v>48</v>
      </c>
      <c r="E1757" s="17">
        <v>5</v>
      </c>
      <c r="F1757" s="17">
        <v>35.35</v>
      </c>
      <c r="G1757" s="18">
        <v>176.75</v>
      </c>
      <c r="H1757" s="30" t="s">
        <v>2296</v>
      </c>
      <c r="J1757" s="34"/>
    </row>
    <row r="1758" spans="1:10" x14ac:dyDescent="0.25">
      <c r="A1758" s="15">
        <v>41018</v>
      </c>
      <c r="B1758" s="16" t="s">
        <v>877</v>
      </c>
      <c r="C1758" t="s">
        <v>868</v>
      </c>
      <c r="D1758" t="s">
        <v>48</v>
      </c>
      <c r="E1758" s="17">
        <v>4.5</v>
      </c>
      <c r="F1758" s="17">
        <v>90</v>
      </c>
      <c r="G1758" s="18">
        <v>405</v>
      </c>
      <c r="H1758" s="30" t="s">
        <v>2296</v>
      </c>
      <c r="J1758" s="34"/>
    </row>
    <row r="1759" spans="1:10" x14ac:dyDescent="0.25">
      <c r="A1759" s="15">
        <v>41018</v>
      </c>
      <c r="B1759" s="16" t="s">
        <v>865</v>
      </c>
      <c r="C1759" t="s">
        <v>8</v>
      </c>
      <c r="D1759" t="s">
        <v>48</v>
      </c>
      <c r="E1759" s="17">
        <v>5</v>
      </c>
      <c r="F1759" s="17">
        <v>48</v>
      </c>
      <c r="G1759" s="18">
        <v>240</v>
      </c>
      <c r="H1759" s="30" t="s">
        <v>2296</v>
      </c>
      <c r="J1759" s="34"/>
    </row>
    <row r="1760" spans="1:10" x14ac:dyDescent="0.25">
      <c r="A1760" s="15">
        <v>41018</v>
      </c>
      <c r="B1760" s="16" t="s">
        <v>969</v>
      </c>
      <c r="C1760" t="s">
        <v>934</v>
      </c>
      <c r="D1760" t="s">
        <v>48</v>
      </c>
      <c r="E1760" s="17">
        <v>5</v>
      </c>
      <c r="F1760" s="17">
        <v>100</v>
      </c>
      <c r="G1760" s="18">
        <v>500</v>
      </c>
      <c r="H1760" s="30" t="s">
        <v>2296</v>
      </c>
      <c r="J1760" s="34"/>
    </row>
    <row r="1761" spans="1:10" x14ac:dyDescent="0.25">
      <c r="A1761" s="15">
        <v>41018</v>
      </c>
      <c r="B1761" s="16" t="s">
        <v>872</v>
      </c>
      <c r="C1761" t="s">
        <v>873</v>
      </c>
      <c r="D1761" t="s">
        <v>48</v>
      </c>
      <c r="E1761" s="17">
        <v>5</v>
      </c>
      <c r="F1761" s="17">
        <v>95</v>
      </c>
      <c r="G1761" s="18">
        <v>475</v>
      </c>
      <c r="H1761" s="30" t="s">
        <v>2296</v>
      </c>
      <c r="J1761" s="34"/>
    </row>
    <row r="1762" spans="1:10" x14ac:dyDescent="0.25">
      <c r="A1762" s="15">
        <v>41018</v>
      </c>
      <c r="B1762" s="16" t="s">
        <v>865</v>
      </c>
      <c r="C1762" t="s">
        <v>8</v>
      </c>
      <c r="D1762" t="s">
        <v>48</v>
      </c>
      <c r="E1762" s="17">
        <v>3.5</v>
      </c>
      <c r="F1762" s="17">
        <v>35.35</v>
      </c>
      <c r="G1762" s="18">
        <v>123.72499999999999</v>
      </c>
      <c r="H1762" s="30" t="s">
        <v>2296</v>
      </c>
      <c r="J1762" s="34"/>
    </row>
    <row r="1763" spans="1:10" x14ac:dyDescent="0.25">
      <c r="A1763" s="15">
        <v>41018</v>
      </c>
      <c r="B1763" s="16" t="s">
        <v>865</v>
      </c>
      <c r="C1763" t="s">
        <v>8</v>
      </c>
      <c r="D1763" t="s">
        <v>48</v>
      </c>
      <c r="E1763" s="17">
        <v>5</v>
      </c>
      <c r="F1763" s="17">
        <v>35.35</v>
      </c>
      <c r="G1763" s="18">
        <v>176.75</v>
      </c>
      <c r="H1763" s="30" t="s">
        <v>2296</v>
      </c>
      <c r="J1763" s="34"/>
    </row>
    <row r="1764" spans="1:10" x14ac:dyDescent="0.25">
      <c r="A1764" s="15">
        <v>41019</v>
      </c>
      <c r="B1764" s="16" t="s">
        <v>865</v>
      </c>
      <c r="C1764" t="s">
        <v>8</v>
      </c>
      <c r="D1764" t="s">
        <v>48</v>
      </c>
      <c r="E1764" s="17">
        <v>6</v>
      </c>
      <c r="F1764" s="17">
        <v>35.35</v>
      </c>
      <c r="G1764" s="18">
        <v>212.1</v>
      </c>
      <c r="H1764" s="30" t="s">
        <v>2296</v>
      </c>
      <c r="J1764" s="34"/>
    </row>
    <row r="1765" spans="1:10" x14ac:dyDescent="0.25">
      <c r="A1765" s="15">
        <v>41019</v>
      </c>
      <c r="B1765" s="16" t="s">
        <v>865</v>
      </c>
      <c r="C1765" t="s">
        <v>8</v>
      </c>
      <c r="D1765" t="s">
        <v>48</v>
      </c>
      <c r="E1765" s="17">
        <v>6</v>
      </c>
      <c r="F1765" s="17">
        <v>35.35</v>
      </c>
      <c r="G1765" s="18">
        <v>212.1</v>
      </c>
      <c r="H1765" s="30" t="s">
        <v>2296</v>
      </c>
      <c r="J1765" s="34"/>
    </row>
    <row r="1766" spans="1:10" x14ac:dyDescent="0.25">
      <c r="A1766" s="15">
        <v>41019</v>
      </c>
      <c r="B1766" s="16" t="s">
        <v>865</v>
      </c>
      <c r="C1766" t="s">
        <v>8</v>
      </c>
      <c r="D1766" t="s">
        <v>48</v>
      </c>
      <c r="E1766" s="17">
        <v>6</v>
      </c>
      <c r="F1766" s="17">
        <v>35.35</v>
      </c>
      <c r="G1766" s="18">
        <v>212.1</v>
      </c>
      <c r="H1766" s="30" t="s">
        <v>2296</v>
      </c>
      <c r="J1766" s="34"/>
    </row>
    <row r="1767" spans="1:10" x14ac:dyDescent="0.25">
      <c r="A1767" s="15">
        <v>41019</v>
      </c>
      <c r="B1767" s="16" t="s">
        <v>969</v>
      </c>
      <c r="C1767" t="s">
        <v>934</v>
      </c>
      <c r="D1767" t="s">
        <v>48</v>
      </c>
      <c r="E1767" s="17">
        <v>7</v>
      </c>
      <c r="F1767" s="17">
        <v>100</v>
      </c>
      <c r="G1767" s="18">
        <v>700</v>
      </c>
      <c r="H1767" s="30" t="s">
        <v>2296</v>
      </c>
      <c r="J1767" s="34"/>
    </row>
    <row r="1768" spans="1:10" x14ac:dyDescent="0.25">
      <c r="A1768" s="15">
        <v>41019</v>
      </c>
      <c r="B1768" s="16" t="s">
        <v>872</v>
      </c>
      <c r="C1768" t="s">
        <v>873</v>
      </c>
      <c r="D1768" t="s">
        <v>48</v>
      </c>
      <c r="E1768" s="17">
        <v>8</v>
      </c>
      <c r="F1768" s="17">
        <v>95</v>
      </c>
      <c r="G1768" s="18">
        <v>760</v>
      </c>
      <c r="H1768" s="30" t="s">
        <v>2296</v>
      </c>
      <c r="J1768" s="34"/>
    </row>
    <row r="1769" spans="1:10" x14ac:dyDescent="0.25">
      <c r="A1769" s="15">
        <v>41019</v>
      </c>
      <c r="B1769" s="16" t="s">
        <v>970</v>
      </c>
      <c r="C1769" t="s">
        <v>934</v>
      </c>
      <c r="D1769" t="s">
        <v>48</v>
      </c>
      <c r="E1769" s="17">
        <v>4</v>
      </c>
      <c r="F1769" s="17">
        <v>92.73</v>
      </c>
      <c r="G1769" s="18">
        <v>370.92</v>
      </c>
      <c r="H1769" s="30" t="s">
        <v>2296</v>
      </c>
      <c r="J1769" s="34"/>
    </row>
    <row r="1770" spans="1:10" x14ac:dyDescent="0.25">
      <c r="A1770" s="15">
        <v>41019</v>
      </c>
      <c r="B1770" s="16" t="s">
        <v>865</v>
      </c>
      <c r="C1770" t="s">
        <v>8</v>
      </c>
      <c r="D1770" t="s">
        <v>48</v>
      </c>
      <c r="E1770" s="17">
        <v>6</v>
      </c>
      <c r="F1770" s="17">
        <v>48</v>
      </c>
      <c r="G1770" s="18">
        <v>288</v>
      </c>
      <c r="H1770" s="30" t="s">
        <v>2296</v>
      </c>
      <c r="J1770" s="34"/>
    </row>
    <row r="1771" spans="1:10" x14ac:dyDescent="0.25">
      <c r="A1771" s="15">
        <v>41019</v>
      </c>
      <c r="B1771" s="16" t="s">
        <v>865</v>
      </c>
      <c r="C1771" t="s">
        <v>8</v>
      </c>
      <c r="D1771" t="s">
        <v>48</v>
      </c>
      <c r="E1771" s="17">
        <v>6</v>
      </c>
      <c r="F1771" s="17">
        <v>35.35</v>
      </c>
      <c r="G1771" s="18">
        <v>212.1</v>
      </c>
      <c r="H1771" s="30" t="s">
        <v>2296</v>
      </c>
      <c r="J1771" s="34"/>
    </row>
    <row r="1772" spans="1:10" x14ac:dyDescent="0.25">
      <c r="A1772" s="15">
        <v>41022</v>
      </c>
      <c r="B1772" s="16" t="s">
        <v>865</v>
      </c>
      <c r="C1772" t="s">
        <v>8</v>
      </c>
      <c r="D1772" t="s">
        <v>48</v>
      </c>
      <c r="E1772" s="17">
        <v>6</v>
      </c>
      <c r="F1772" s="17">
        <v>35.35</v>
      </c>
      <c r="G1772" s="18">
        <v>212.1</v>
      </c>
      <c r="H1772" s="30" t="s">
        <v>2296</v>
      </c>
      <c r="J1772" s="34"/>
    </row>
    <row r="1773" spans="1:10" x14ac:dyDescent="0.25">
      <c r="A1773" s="15">
        <v>41022</v>
      </c>
      <c r="B1773" s="16" t="s">
        <v>920</v>
      </c>
      <c r="C1773" t="s">
        <v>871</v>
      </c>
      <c r="D1773" t="s">
        <v>48</v>
      </c>
      <c r="E1773" s="17">
        <v>4</v>
      </c>
      <c r="F1773" s="17">
        <v>130</v>
      </c>
      <c r="G1773" s="18">
        <v>520</v>
      </c>
      <c r="H1773" s="30" t="s">
        <v>2296</v>
      </c>
      <c r="J1773" s="34"/>
    </row>
    <row r="1774" spans="1:10" x14ac:dyDescent="0.25">
      <c r="A1774" s="15">
        <v>41022</v>
      </c>
      <c r="B1774" s="16" t="s">
        <v>865</v>
      </c>
      <c r="C1774" t="s">
        <v>8</v>
      </c>
      <c r="D1774" t="s">
        <v>48</v>
      </c>
      <c r="E1774" s="17">
        <v>2</v>
      </c>
      <c r="F1774" s="17">
        <v>35.35</v>
      </c>
      <c r="G1774" s="18">
        <v>70.7</v>
      </c>
      <c r="H1774" s="30" t="s">
        <v>2296</v>
      </c>
      <c r="J1774" s="34"/>
    </row>
    <row r="1775" spans="1:10" x14ac:dyDescent="0.25">
      <c r="A1775" s="15">
        <v>41022</v>
      </c>
      <c r="B1775" s="16" t="s">
        <v>865</v>
      </c>
      <c r="C1775" t="s">
        <v>8</v>
      </c>
      <c r="D1775" t="s">
        <v>48</v>
      </c>
      <c r="E1775" s="17">
        <v>3.5</v>
      </c>
      <c r="F1775" s="17">
        <v>48</v>
      </c>
      <c r="G1775" s="18">
        <v>168</v>
      </c>
      <c r="H1775" s="30" t="s">
        <v>2296</v>
      </c>
      <c r="J1775" s="34"/>
    </row>
    <row r="1776" spans="1:10" x14ac:dyDescent="0.25">
      <c r="A1776" s="15">
        <v>41022</v>
      </c>
      <c r="B1776" s="16" t="s">
        <v>865</v>
      </c>
      <c r="C1776" t="s">
        <v>8</v>
      </c>
      <c r="D1776" t="s">
        <v>48</v>
      </c>
      <c r="E1776" s="17">
        <v>3</v>
      </c>
      <c r="F1776" s="17">
        <v>35.35</v>
      </c>
      <c r="G1776" s="18">
        <v>106.05</v>
      </c>
      <c r="H1776" s="30" t="s">
        <v>2296</v>
      </c>
      <c r="J1776" s="34"/>
    </row>
    <row r="1777" spans="1:10" x14ac:dyDescent="0.25">
      <c r="A1777" s="15">
        <v>41022</v>
      </c>
      <c r="B1777" s="16" t="s">
        <v>1033</v>
      </c>
      <c r="C1777" t="s">
        <v>1034</v>
      </c>
      <c r="D1777" t="s">
        <v>48</v>
      </c>
      <c r="E1777" s="17">
        <v>2.5</v>
      </c>
      <c r="F1777" s="17">
        <v>150</v>
      </c>
      <c r="G1777" s="18">
        <v>375</v>
      </c>
      <c r="H1777" s="30" t="s">
        <v>2296</v>
      </c>
      <c r="J1777" s="34"/>
    </row>
    <row r="1778" spans="1:10" x14ac:dyDescent="0.25">
      <c r="A1778" s="15">
        <v>41022</v>
      </c>
      <c r="B1778" s="16" t="s">
        <v>872</v>
      </c>
      <c r="C1778" t="s">
        <v>873</v>
      </c>
      <c r="D1778" t="s">
        <v>48</v>
      </c>
      <c r="E1778" s="17">
        <v>5</v>
      </c>
      <c r="F1778" s="17">
        <v>95</v>
      </c>
      <c r="G1778" s="18">
        <v>475</v>
      </c>
      <c r="H1778" s="30" t="s">
        <v>2296</v>
      </c>
      <c r="J1778" s="34"/>
    </row>
    <row r="1779" spans="1:10" x14ac:dyDescent="0.25">
      <c r="A1779" s="15">
        <v>41022</v>
      </c>
      <c r="B1779" s="16" t="s">
        <v>969</v>
      </c>
      <c r="C1779" t="s">
        <v>934</v>
      </c>
      <c r="D1779" t="s">
        <v>48</v>
      </c>
      <c r="E1779" s="17">
        <v>7</v>
      </c>
      <c r="F1779" s="17">
        <v>100</v>
      </c>
      <c r="G1779" s="18">
        <v>700</v>
      </c>
      <c r="H1779" s="30" t="s">
        <v>2296</v>
      </c>
      <c r="J1779" s="34"/>
    </row>
    <row r="1780" spans="1:10" x14ac:dyDescent="0.25">
      <c r="A1780" s="15">
        <v>41022</v>
      </c>
      <c r="B1780" s="16" t="s">
        <v>865</v>
      </c>
      <c r="C1780" t="s">
        <v>8</v>
      </c>
      <c r="D1780" t="s">
        <v>48</v>
      </c>
      <c r="E1780" s="17">
        <v>8</v>
      </c>
      <c r="F1780" s="17">
        <v>35.35</v>
      </c>
      <c r="G1780" s="18">
        <v>282.8</v>
      </c>
      <c r="H1780" s="30" t="s">
        <v>2296</v>
      </c>
      <c r="J1780" s="34"/>
    </row>
    <row r="1781" spans="1:10" x14ac:dyDescent="0.25">
      <c r="A1781" s="15">
        <v>41022</v>
      </c>
      <c r="B1781" s="16" t="s">
        <v>1033</v>
      </c>
      <c r="C1781" t="s">
        <v>1034</v>
      </c>
      <c r="D1781" t="s">
        <v>48</v>
      </c>
      <c r="E1781" s="17">
        <v>2.5</v>
      </c>
      <c r="F1781" s="17">
        <v>150</v>
      </c>
      <c r="G1781" s="18">
        <v>375</v>
      </c>
      <c r="H1781" s="30" t="s">
        <v>2296</v>
      </c>
      <c r="J1781" s="34"/>
    </row>
    <row r="1782" spans="1:10" x14ac:dyDescent="0.25">
      <c r="A1782" s="15">
        <v>41023</v>
      </c>
      <c r="B1782" s="16" t="s">
        <v>872</v>
      </c>
      <c r="C1782" t="s">
        <v>873</v>
      </c>
      <c r="D1782" t="s">
        <v>48</v>
      </c>
      <c r="E1782" s="17">
        <v>2</v>
      </c>
      <c r="F1782" s="17">
        <v>95</v>
      </c>
      <c r="G1782" s="18">
        <v>190</v>
      </c>
      <c r="H1782" s="30" t="s">
        <v>2296</v>
      </c>
      <c r="J1782" s="34"/>
    </row>
    <row r="1783" spans="1:10" x14ac:dyDescent="0.25">
      <c r="A1783" s="15">
        <v>41023</v>
      </c>
      <c r="B1783" s="16" t="s">
        <v>874</v>
      </c>
      <c r="C1783" t="s">
        <v>875</v>
      </c>
      <c r="D1783" t="s">
        <v>48</v>
      </c>
      <c r="E1783" s="17">
        <v>2</v>
      </c>
      <c r="F1783" s="17">
        <v>25.78</v>
      </c>
      <c r="G1783" s="18">
        <v>51.56</v>
      </c>
      <c r="H1783" s="30" t="s">
        <v>2296</v>
      </c>
      <c r="J1783" s="34"/>
    </row>
    <row r="1784" spans="1:10" x14ac:dyDescent="0.25">
      <c r="A1784" s="15">
        <v>41023</v>
      </c>
      <c r="B1784" s="16" t="s">
        <v>877</v>
      </c>
      <c r="C1784" t="s">
        <v>868</v>
      </c>
      <c r="D1784" t="s">
        <v>48</v>
      </c>
      <c r="E1784" s="17">
        <v>4</v>
      </c>
      <c r="F1784" s="17">
        <v>90</v>
      </c>
      <c r="G1784" s="18">
        <v>360</v>
      </c>
      <c r="H1784" s="30" t="s">
        <v>2296</v>
      </c>
      <c r="J1784" s="34"/>
    </row>
    <row r="1785" spans="1:10" x14ac:dyDescent="0.25">
      <c r="A1785" s="15">
        <v>41025</v>
      </c>
      <c r="B1785" s="16" t="s">
        <v>865</v>
      </c>
      <c r="C1785" t="s">
        <v>8</v>
      </c>
      <c r="D1785" t="s">
        <v>48</v>
      </c>
      <c r="E1785" s="17">
        <v>5</v>
      </c>
      <c r="F1785" s="17">
        <v>35.35</v>
      </c>
      <c r="G1785" s="18">
        <v>176.75</v>
      </c>
      <c r="H1785" s="30" t="s">
        <v>2296</v>
      </c>
      <c r="J1785" s="34"/>
    </row>
    <row r="1786" spans="1:10" x14ac:dyDescent="0.25">
      <c r="A1786" s="15">
        <v>41025</v>
      </c>
      <c r="B1786" s="16" t="s">
        <v>869</v>
      </c>
      <c r="C1786" t="s">
        <v>8</v>
      </c>
      <c r="D1786" t="s">
        <v>48</v>
      </c>
      <c r="E1786" s="17">
        <v>4</v>
      </c>
      <c r="F1786" s="17">
        <v>35.35</v>
      </c>
      <c r="G1786" s="18">
        <v>141.4</v>
      </c>
      <c r="H1786" s="30" t="s">
        <v>2296</v>
      </c>
      <c r="J1786" s="34"/>
    </row>
    <row r="1787" spans="1:10" x14ac:dyDescent="0.25">
      <c r="A1787" s="15">
        <v>41025</v>
      </c>
      <c r="B1787" s="16" t="s">
        <v>865</v>
      </c>
      <c r="C1787" t="s">
        <v>8</v>
      </c>
      <c r="D1787" t="s">
        <v>48</v>
      </c>
      <c r="E1787" s="17">
        <v>7</v>
      </c>
      <c r="F1787" s="17">
        <v>35.35</v>
      </c>
      <c r="G1787" s="18">
        <v>247.45</v>
      </c>
      <c r="H1787" s="30" t="s">
        <v>2296</v>
      </c>
      <c r="J1787" s="34"/>
    </row>
    <row r="1788" spans="1:10" x14ac:dyDescent="0.25">
      <c r="A1788" s="15">
        <v>41025</v>
      </c>
      <c r="B1788" s="16" t="s">
        <v>865</v>
      </c>
      <c r="C1788" t="s">
        <v>8</v>
      </c>
      <c r="D1788" t="s">
        <v>48</v>
      </c>
      <c r="E1788" s="17">
        <v>7</v>
      </c>
      <c r="F1788" s="17">
        <v>35.35</v>
      </c>
      <c r="G1788" s="18">
        <v>247.45</v>
      </c>
      <c r="H1788" s="30" t="s">
        <v>2296</v>
      </c>
      <c r="J1788" s="34"/>
    </row>
    <row r="1789" spans="1:10" x14ac:dyDescent="0.25">
      <c r="A1789" s="15">
        <v>41025</v>
      </c>
      <c r="B1789" s="16" t="s">
        <v>877</v>
      </c>
      <c r="C1789" t="s">
        <v>868</v>
      </c>
      <c r="D1789" t="s">
        <v>48</v>
      </c>
      <c r="E1789" s="17">
        <v>4</v>
      </c>
      <c r="F1789" s="17">
        <v>90</v>
      </c>
      <c r="G1789" s="18">
        <v>360</v>
      </c>
      <c r="H1789" s="30" t="s">
        <v>2296</v>
      </c>
      <c r="J1789" s="34"/>
    </row>
    <row r="1790" spans="1:10" x14ac:dyDescent="0.25">
      <c r="A1790" s="15">
        <v>41025</v>
      </c>
      <c r="B1790" s="16" t="s">
        <v>872</v>
      </c>
      <c r="C1790" t="s">
        <v>873</v>
      </c>
      <c r="D1790" t="s">
        <v>48</v>
      </c>
      <c r="E1790" s="17">
        <v>3</v>
      </c>
      <c r="F1790" s="17">
        <v>95</v>
      </c>
      <c r="G1790" s="18">
        <v>285</v>
      </c>
      <c r="H1790" s="30" t="s">
        <v>2296</v>
      </c>
      <c r="J1790" s="34"/>
    </row>
    <row r="1791" spans="1:10" x14ac:dyDescent="0.25">
      <c r="A1791" s="15">
        <v>41025</v>
      </c>
      <c r="B1791" s="16" t="s">
        <v>874</v>
      </c>
      <c r="C1791" t="s">
        <v>875</v>
      </c>
      <c r="D1791" t="s">
        <v>48</v>
      </c>
      <c r="E1791" s="17">
        <v>2</v>
      </c>
      <c r="F1791" s="17">
        <v>25.78</v>
      </c>
      <c r="G1791" s="18">
        <v>51.56</v>
      </c>
      <c r="H1791" s="30" t="s">
        <v>2296</v>
      </c>
      <c r="J1791" s="34"/>
    </row>
    <row r="1792" spans="1:10" x14ac:dyDescent="0.25">
      <c r="A1792" s="15">
        <v>41025</v>
      </c>
      <c r="B1792" s="16" t="s">
        <v>874</v>
      </c>
      <c r="C1792" t="s">
        <v>875</v>
      </c>
      <c r="D1792" t="s">
        <v>48</v>
      </c>
      <c r="E1792" s="17">
        <v>5</v>
      </c>
      <c r="F1792" s="17">
        <v>25.78</v>
      </c>
      <c r="G1792" s="18">
        <v>128.9</v>
      </c>
      <c r="H1792" s="30" t="s">
        <v>2296</v>
      </c>
      <c r="J1792" s="34"/>
    </row>
    <row r="1793" spans="1:10" x14ac:dyDescent="0.25">
      <c r="A1793" s="15">
        <v>41025</v>
      </c>
      <c r="B1793" s="16" t="s">
        <v>865</v>
      </c>
      <c r="C1793" t="s">
        <v>8</v>
      </c>
      <c r="D1793" t="s">
        <v>48</v>
      </c>
      <c r="E1793" s="17">
        <v>7</v>
      </c>
      <c r="F1793" s="17">
        <v>48</v>
      </c>
      <c r="G1793" s="18">
        <v>336</v>
      </c>
      <c r="H1793" s="30" t="s">
        <v>2296</v>
      </c>
      <c r="J1793" s="34"/>
    </row>
    <row r="1794" spans="1:10" x14ac:dyDescent="0.25">
      <c r="A1794" s="15">
        <v>41025</v>
      </c>
      <c r="B1794" s="16" t="s">
        <v>865</v>
      </c>
      <c r="C1794" t="s">
        <v>8</v>
      </c>
      <c r="D1794" t="s">
        <v>48</v>
      </c>
      <c r="E1794" s="17">
        <v>5</v>
      </c>
      <c r="F1794" s="17">
        <v>35.35</v>
      </c>
      <c r="G1794" s="18">
        <v>176.75</v>
      </c>
      <c r="H1794" s="30" t="s">
        <v>2296</v>
      </c>
      <c r="J1794" s="34"/>
    </row>
    <row r="1795" spans="1:10" ht="30" x14ac:dyDescent="0.25">
      <c r="A1795" s="15">
        <v>41029</v>
      </c>
      <c r="B1795" s="16" t="s">
        <v>1035</v>
      </c>
      <c r="C1795" t="s">
        <v>959</v>
      </c>
      <c r="D1795" t="s">
        <v>783</v>
      </c>
      <c r="E1795" s="17">
        <v>1</v>
      </c>
      <c r="F1795" s="17">
        <v>3150</v>
      </c>
      <c r="G1795" s="18">
        <v>3150</v>
      </c>
      <c r="H1795" s="30" t="s">
        <v>2296</v>
      </c>
      <c r="J1795" s="34"/>
    </row>
    <row r="1796" spans="1:10" ht="30" x14ac:dyDescent="0.25">
      <c r="A1796" s="15">
        <v>41029</v>
      </c>
      <c r="B1796" s="16" t="s">
        <v>1036</v>
      </c>
      <c r="C1796" t="s">
        <v>1000</v>
      </c>
      <c r="D1796" t="s">
        <v>783</v>
      </c>
      <c r="E1796" s="17">
        <v>1</v>
      </c>
      <c r="F1796" s="17">
        <v>716.8</v>
      </c>
      <c r="G1796" s="18">
        <v>716.8</v>
      </c>
      <c r="H1796" s="30" t="s">
        <v>2296</v>
      </c>
      <c r="J1796" s="34"/>
    </row>
    <row r="1797" spans="1:10" x14ac:dyDescent="0.25">
      <c r="A1797" s="15">
        <v>41030</v>
      </c>
      <c r="B1797" s="16" t="s">
        <v>865</v>
      </c>
      <c r="C1797" t="s">
        <v>8</v>
      </c>
      <c r="D1797" t="s">
        <v>48</v>
      </c>
      <c r="E1797" s="17">
        <v>3</v>
      </c>
      <c r="F1797" s="17">
        <v>35.35</v>
      </c>
      <c r="G1797" s="18">
        <v>106.05</v>
      </c>
      <c r="H1797" s="30" t="s">
        <v>2296</v>
      </c>
      <c r="J1797" s="34"/>
    </row>
    <row r="1798" spans="1:10" ht="30" x14ac:dyDescent="0.25">
      <c r="A1798" s="15">
        <v>41030</v>
      </c>
      <c r="B1798" s="16" t="s">
        <v>1037</v>
      </c>
      <c r="C1798" t="s">
        <v>1000</v>
      </c>
      <c r="D1798" t="s">
        <v>783</v>
      </c>
      <c r="E1798" s="17">
        <v>1</v>
      </c>
      <c r="F1798" s="17">
        <v>71.680000000000007</v>
      </c>
      <c r="G1798" s="18">
        <v>71.680000000000007</v>
      </c>
      <c r="H1798" s="30" t="s">
        <v>2296</v>
      </c>
      <c r="J1798" s="34"/>
    </row>
    <row r="1799" spans="1:10" x14ac:dyDescent="0.25">
      <c r="A1799" s="15">
        <v>41030</v>
      </c>
      <c r="B1799" s="16" t="s">
        <v>865</v>
      </c>
      <c r="C1799" t="s">
        <v>8</v>
      </c>
      <c r="D1799" t="s">
        <v>48</v>
      </c>
      <c r="E1799" s="17">
        <v>3</v>
      </c>
      <c r="F1799" s="17">
        <v>35.35</v>
      </c>
      <c r="G1799" s="18">
        <v>106.05</v>
      </c>
      <c r="H1799" s="30" t="s">
        <v>2296</v>
      </c>
      <c r="J1799" s="34"/>
    </row>
    <row r="1800" spans="1:10" x14ac:dyDescent="0.25">
      <c r="A1800" s="15">
        <v>41030</v>
      </c>
      <c r="B1800" s="16" t="s">
        <v>872</v>
      </c>
      <c r="C1800" t="s">
        <v>873</v>
      </c>
      <c r="D1800" t="s">
        <v>48</v>
      </c>
      <c r="E1800" s="17">
        <v>5.5</v>
      </c>
      <c r="F1800" s="17">
        <v>95</v>
      </c>
      <c r="G1800" s="18">
        <v>522.5</v>
      </c>
      <c r="H1800" s="30" t="s">
        <v>2296</v>
      </c>
      <c r="J1800" s="34"/>
    </row>
    <row r="1801" spans="1:10" x14ac:dyDescent="0.25">
      <c r="A1801" s="15">
        <v>41030</v>
      </c>
      <c r="B1801" s="16" t="s">
        <v>877</v>
      </c>
      <c r="C1801" t="s">
        <v>868</v>
      </c>
      <c r="D1801" t="s">
        <v>48</v>
      </c>
      <c r="E1801" s="17">
        <v>2</v>
      </c>
      <c r="F1801" s="17">
        <v>90</v>
      </c>
      <c r="G1801" s="18">
        <v>180</v>
      </c>
      <c r="H1801" s="30" t="s">
        <v>2296</v>
      </c>
      <c r="J1801" s="34"/>
    </row>
    <row r="1802" spans="1:10" x14ac:dyDescent="0.25">
      <c r="A1802" s="15">
        <v>41031</v>
      </c>
      <c r="B1802" s="16" t="s">
        <v>920</v>
      </c>
      <c r="C1802" t="s">
        <v>871</v>
      </c>
      <c r="D1802" t="s">
        <v>48</v>
      </c>
      <c r="E1802" s="17">
        <v>9.5</v>
      </c>
      <c r="F1802" s="17">
        <v>130</v>
      </c>
      <c r="G1802" s="18">
        <v>1235</v>
      </c>
      <c r="H1802" s="30" t="s">
        <v>2296</v>
      </c>
      <c r="J1802" s="34"/>
    </row>
    <row r="1803" spans="1:10" x14ac:dyDescent="0.25">
      <c r="A1803" s="15">
        <v>41031</v>
      </c>
      <c r="B1803" s="16" t="s">
        <v>872</v>
      </c>
      <c r="C1803" t="s">
        <v>873</v>
      </c>
      <c r="D1803" t="s">
        <v>48</v>
      </c>
      <c r="E1803" s="17">
        <v>11</v>
      </c>
      <c r="F1803" s="17">
        <v>95</v>
      </c>
      <c r="G1803" s="18">
        <v>1045</v>
      </c>
      <c r="H1803" s="30" t="s">
        <v>2296</v>
      </c>
      <c r="J1803" s="34"/>
    </row>
    <row r="1804" spans="1:10" x14ac:dyDescent="0.25">
      <c r="A1804" s="15">
        <v>41032</v>
      </c>
      <c r="B1804" s="16" t="s">
        <v>969</v>
      </c>
      <c r="C1804" t="s">
        <v>934</v>
      </c>
      <c r="D1804" t="s">
        <v>48</v>
      </c>
      <c r="E1804" s="17">
        <v>9</v>
      </c>
      <c r="F1804" s="17">
        <v>100</v>
      </c>
      <c r="G1804" s="18">
        <v>900</v>
      </c>
      <c r="H1804" s="30" t="s">
        <v>2296</v>
      </c>
      <c r="J1804" s="34"/>
    </row>
    <row r="1805" spans="1:10" x14ac:dyDescent="0.25">
      <c r="A1805" s="15">
        <v>41032</v>
      </c>
      <c r="B1805" s="16" t="s">
        <v>872</v>
      </c>
      <c r="C1805" t="s">
        <v>873</v>
      </c>
      <c r="D1805" t="s">
        <v>48</v>
      </c>
      <c r="E1805" s="17">
        <v>5.5</v>
      </c>
      <c r="F1805" s="17">
        <v>95</v>
      </c>
      <c r="G1805" s="18">
        <v>522.5</v>
      </c>
      <c r="H1805" s="30" t="s">
        <v>2296</v>
      </c>
      <c r="J1805" s="34"/>
    </row>
    <row r="1806" spans="1:10" x14ac:dyDescent="0.25">
      <c r="A1806" s="15">
        <v>41040</v>
      </c>
      <c r="B1806" s="16" t="s">
        <v>937</v>
      </c>
      <c r="C1806" t="s">
        <v>934</v>
      </c>
      <c r="D1806" t="s">
        <v>48</v>
      </c>
      <c r="E1806" s="17">
        <v>8.75</v>
      </c>
      <c r="F1806" s="17">
        <v>92.73</v>
      </c>
      <c r="G1806" s="18">
        <v>811.38750000000005</v>
      </c>
      <c r="H1806" s="30" t="s">
        <v>2296</v>
      </c>
      <c r="J1806" s="34"/>
    </row>
    <row r="1807" spans="1:10" x14ac:dyDescent="0.25">
      <c r="A1807" s="15">
        <v>41040</v>
      </c>
      <c r="B1807" s="16" t="s">
        <v>865</v>
      </c>
      <c r="C1807" t="s">
        <v>8</v>
      </c>
      <c r="D1807" t="s">
        <v>48</v>
      </c>
      <c r="E1807" s="17">
        <v>9.5</v>
      </c>
      <c r="F1807" s="17">
        <v>35.35</v>
      </c>
      <c r="G1807" s="18">
        <v>335.82499999999999</v>
      </c>
      <c r="H1807" s="30" t="s">
        <v>2296</v>
      </c>
      <c r="J1807" s="34"/>
    </row>
    <row r="1808" spans="1:10" x14ac:dyDescent="0.25">
      <c r="A1808" s="15">
        <v>41040</v>
      </c>
      <c r="B1808" s="16" t="s">
        <v>865</v>
      </c>
      <c r="C1808" t="s">
        <v>8</v>
      </c>
      <c r="D1808" t="s">
        <v>48</v>
      </c>
      <c r="E1808" s="17">
        <v>9.5</v>
      </c>
      <c r="F1808" s="17">
        <v>48</v>
      </c>
      <c r="G1808" s="18">
        <v>456</v>
      </c>
      <c r="H1808" s="30" t="s">
        <v>2296</v>
      </c>
      <c r="J1808" s="34"/>
    </row>
    <row r="1809" spans="1:10" x14ac:dyDescent="0.25">
      <c r="A1809" s="15">
        <v>41040</v>
      </c>
      <c r="B1809" s="16" t="s">
        <v>969</v>
      </c>
      <c r="C1809" t="s">
        <v>934</v>
      </c>
      <c r="D1809" t="s">
        <v>48</v>
      </c>
      <c r="E1809" s="17">
        <v>9</v>
      </c>
      <c r="F1809" s="17">
        <v>100</v>
      </c>
      <c r="G1809" s="18">
        <v>900</v>
      </c>
      <c r="H1809" s="30" t="s">
        <v>2296</v>
      </c>
      <c r="J1809" s="34"/>
    </row>
    <row r="1810" spans="1:10" x14ac:dyDescent="0.25">
      <c r="A1810" s="15">
        <v>41040</v>
      </c>
      <c r="B1810" s="16" t="s">
        <v>937</v>
      </c>
      <c r="C1810" t="s">
        <v>934</v>
      </c>
      <c r="D1810" t="s">
        <v>48</v>
      </c>
      <c r="E1810" s="17">
        <v>8.75</v>
      </c>
      <c r="F1810" s="17">
        <v>92.73</v>
      </c>
      <c r="G1810" s="18">
        <v>811.38750000000005</v>
      </c>
      <c r="H1810" s="30" t="s">
        <v>2296</v>
      </c>
      <c r="J1810" s="34"/>
    </row>
    <row r="1811" spans="1:10" x14ac:dyDescent="0.25">
      <c r="A1811" s="15">
        <v>41040</v>
      </c>
      <c r="B1811" s="16" t="s">
        <v>867</v>
      </c>
      <c r="C1811" t="s">
        <v>868</v>
      </c>
      <c r="D1811" t="s">
        <v>48</v>
      </c>
      <c r="E1811" s="17">
        <v>9</v>
      </c>
      <c r="F1811" s="17">
        <v>90</v>
      </c>
      <c r="G1811" s="18">
        <v>810</v>
      </c>
      <c r="H1811" s="30" t="s">
        <v>2296</v>
      </c>
      <c r="J1811" s="34"/>
    </row>
    <row r="1812" spans="1:10" x14ac:dyDescent="0.25">
      <c r="A1812" s="15">
        <v>41040</v>
      </c>
      <c r="B1812" s="16" t="s">
        <v>908</v>
      </c>
      <c r="C1812" t="s">
        <v>873</v>
      </c>
      <c r="D1812" t="s">
        <v>48</v>
      </c>
      <c r="E1812" s="17">
        <v>10</v>
      </c>
      <c r="F1812" s="17">
        <v>95</v>
      </c>
      <c r="G1812" s="18">
        <v>950</v>
      </c>
      <c r="H1812" s="30" t="s">
        <v>2296</v>
      </c>
      <c r="J1812" s="34"/>
    </row>
    <row r="1813" spans="1:10" x14ac:dyDescent="0.25">
      <c r="A1813" s="15">
        <v>41040</v>
      </c>
      <c r="B1813" s="16" t="s">
        <v>865</v>
      </c>
      <c r="C1813" t="s">
        <v>8</v>
      </c>
      <c r="D1813" t="s">
        <v>48</v>
      </c>
      <c r="E1813" s="17">
        <v>9.5</v>
      </c>
      <c r="F1813" s="17">
        <v>35.35</v>
      </c>
      <c r="G1813" s="18">
        <v>335.82499999999999</v>
      </c>
      <c r="H1813" s="30" t="s">
        <v>2296</v>
      </c>
      <c r="J1813" s="34"/>
    </row>
    <row r="1814" spans="1:10" ht="30" x14ac:dyDescent="0.25">
      <c r="A1814" s="15">
        <v>41041</v>
      </c>
      <c r="B1814" s="16" t="s">
        <v>1038</v>
      </c>
      <c r="C1814" t="s">
        <v>1000</v>
      </c>
      <c r="D1814" t="s">
        <v>783</v>
      </c>
      <c r="E1814" s="17">
        <v>1</v>
      </c>
      <c r="F1814" s="17">
        <v>84.71</v>
      </c>
      <c r="G1814" s="18">
        <v>84.71</v>
      </c>
      <c r="H1814" s="30" t="s">
        <v>2296</v>
      </c>
      <c r="J1814" s="34"/>
    </row>
    <row r="1815" spans="1:10" x14ac:dyDescent="0.25">
      <c r="A1815" s="15">
        <v>41043</v>
      </c>
      <c r="B1815" s="16" t="s">
        <v>908</v>
      </c>
      <c r="C1815" t="s">
        <v>873</v>
      </c>
      <c r="D1815" t="s">
        <v>48</v>
      </c>
      <c r="E1815" s="17">
        <v>10</v>
      </c>
      <c r="F1815" s="17">
        <v>95</v>
      </c>
      <c r="G1815" s="18">
        <v>950</v>
      </c>
      <c r="H1815" s="30" t="s">
        <v>2296</v>
      </c>
      <c r="J1815" s="34"/>
    </row>
    <row r="1816" spans="1:10" x14ac:dyDescent="0.25">
      <c r="A1816" s="15">
        <v>41043</v>
      </c>
      <c r="B1816" s="16" t="s">
        <v>865</v>
      </c>
      <c r="C1816" t="s">
        <v>8</v>
      </c>
      <c r="D1816" t="s">
        <v>48</v>
      </c>
      <c r="E1816" s="17">
        <v>3.5</v>
      </c>
      <c r="F1816" s="17">
        <v>48</v>
      </c>
      <c r="G1816" s="18">
        <v>168</v>
      </c>
      <c r="H1816" s="30" t="s">
        <v>2296</v>
      </c>
      <c r="J1816" s="34"/>
    </row>
    <row r="1817" spans="1:10" x14ac:dyDescent="0.25">
      <c r="A1817" s="15">
        <v>41043</v>
      </c>
      <c r="B1817" s="16" t="s">
        <v>865</v>
      </c>
      <c r="C1817" t="s">
        <v>8</v>
      </c>
      <c r="D1817" t="s">
        <v>48</v>
      </c>
      <c r="E1817" s="17">
        <v>3.5</v>
      </c>
      <c r="F1817" s="17">
        <v>35.35</v>
      </c>
      <c r="G1817" s="18">
        <v>123.72499999999999</v>
      </c>
      <c r="H1817" s="30" t="s">
        <v>2296</v>
      </c>
      <c r="J1817" s="34"/>
    </row>
    <row r="1818" spans="1:10" x14ac:dyDescent="0.25">
      <c r="A1818" s="15">
        <v>41044</v>
      </c>
      <c r="B1818" s="16" t="s">
        <v>908</v>
      </c>
      <c r="C1818" t="s">
        <v>873</v>
      </c>
      <c r="D1818" t="s">
        <v>48</v>
      </c>
      <c r="E1818" s="17">
        <v>9.5</v>
      </c>
      <c r="F1818" s="17">
        <v>95</v>
      </c>
      <c r="G1818" s="18">
        <v>902.5</v>
      </c>
      <c r="H1818" s="30" t="s">
        <v>2296</v>
      </c>
      <c r="J1818" s="34"/>
    </row>
    <row r="1819" spans="1:10" x14ac:dyDescent="0.25">
      <c r="A1819" s="15">
        <v>41045</v>
      </c>
      <c r="B1819" s="16" t="s">
        <v>908</v>
      </c>
      <c r="C1819" t="s">
        <v>873</v>
      </c>
      <c r="D1819" t="s">
        <v>48</v>
      </c>
      <c r="E1819" s="17">
        <v>9.5</v>
      </c>
      <c r="F1819" s="17">
        <v>95</v>
      </c>
      <c r="G1819" s="18">
        <v>902.5</v>
      </c>
      <c r="H1819" s="30" t="s">
        <v>2296</v>
      </c>
      <c r="J1819" s="34"/>
    </row>
    <row r="1820" spans="1:10" x14ac:dyDescent="0.25">
      <c r="A1820" s="15">
        <v>41046</v>
      </c>
      <c r="B1820" s="16" t="s">
        <v>874</v>
      </c>
      <c r="C1820" t="s">
        <v>875</v>
      </c>
      <c r="D1820" t="s">
        <v>48</v>
      </c>
      <c r="E1820" s="17">
        <v>2</v>
      </c>
      <c r="F1820" s="17">
        <v>25.78</v>
      </c>
      <c r="G1820" s="18">
        <v>51.56</v>
      </c>
      <c r="H1820" s="30" t="s">
        <v>2296</v>
      </c>
      <c r="J1820" s="34"/>
    </row>
    <row r="1821" spans="1:10" x14ac:dyDescent="0.25">
      <c r="A1821" s="15">
        <v>41046</v>
      </c>
      <c r="B1821" s="16" t="s">
        <v>865</v>
      </c>
      <c r="C1821" t="s">
        <v>8</v>
      </c>
      <c r="D1821" t="s">
        <v>48</v>
      </c>
      <c r="E1821" s="17">
        <v>2</v>
      </c>
      <c r="F1821" s="17">
        <v>48</v>
      </c>
      <c r="G1821" s="18">
        <v>96</v>
      </c>
      <c r="H1821" s="30" t="s">
        <v>2296</v>
      </c>
      <c r="J1821" s="34"/>
    </row>
    <row r="1822" spans="1:10" x14ac:dyDescent="0.25">
      <c r="A1822" s="15">
        <v>41046</v>
      </c>
      <c r="B1822" s="16" t="s">
        <v>867</v>
      </c>
      <c r="C1822" t="s">
        <v>868</v>
      </c>
      <c r="D1822" t="s">
        <v>48</v>
      </c>
      <c r="E1822" s="17">
        <v>2.5</v>
      </c>
      <c r="F1822" s="17">
        <v>90</v>
      </c>
      <c r="G1822" s="18">
        <v>225</v>
      </c>
      <c r="H1822" s="30" t="s">
        <v>2296</v>
      </c>
      <c r="J1822" s="34"/>
    </row>
    <row r="1823" spans="1:10" x14ac:dyDescent="0.25">
      <c r="A1823" s="15">
        <v>41046</v>
      </c>
      <c r="B1823" s="16" t="s">
        <v>908</v>
      </c>
      <c r="C1823" t="s">
        <v>873</v>
      </c>
      <c r="D1823" t="s">
        <v>48</v>
      </c>
      <c r="E1823" s="17">
        <v>9.5</v>
      </c>
      <c r="F1823" s="17">
        <v>95</v>
      </c>
      <c r="G1823" s="18">
        <v>902.5</v>
      </c>
      <c r="H1823" s="30" t="s">
        <v>2296</v>
      </c>
      <c r="J1823" s="34"/>
    </row>
    <row r="1824" spans="1:10" x14ac:dyDescent="0.25">
      <c r="A1824" s="15">
        <v>41047</v>
      </c>
      <c r="B1824" s="16" t="s">
        <v>887</v>
      </c>
      <c r="C1824" t="s">
        <v>873</v>
      </c>
      <c r="D1824" t="s">
        <v>48</v>
      </c>
      <c r="E1824" s="17">
        <v>4</v>
      </c>
      <c r="F1824" s="17">
        <v>95</v>
      </c>
      <c r="G1824" s="18">
        <v>380</v>
      </c>
      <c r="H1824" s="30" t="s">
        <v>2296</v>
      </c>
      <c r="J1824" s="34"/>
    </row>
    <row r="1825" spans="1:10" x14ac:dyDescent="0.25">
      <c r="A1825" s="15">
        <v>41047</v>
      </c>
      <c r="B1825" s="16" t="s">
        <v>865</v>
      </c>
      <c r="C1825" t="s">
        <v>8</v>
      </c>
      <c r="D1825" t="s">
        <v>48</v>
      </c>
      <c r="E1825" s="17">
        <v>3</v>
      </c>
      <c r="F1825" s="17">
        <v>35.35</v>
      </c>
      <c r="G1825" s="18">
        <v>106.05</v>
      </c>
      <c r="H1825" s="30" t="s">
        <v>2296</v>
      </c>
      <c r="J1825" s="34"/>
    </row>
    <row r="1826" spans="1:10" x14ac:dyDescent="0.25">
      <c r="A1826" s="15">
        <v>41047</v>
      </c>
      <c r="B1826" s="16" t="s">
        <v>865</v>
      </c>
      <c r="C1826" t="s">
        <v>8</v>
      </c>
      <c r="D1826" t="s">
        <v>48</v>
      </c>
      <c r="E1826" s="17">
        <v>3</v>
      </c>
      <c r="F1826" s="17">
        <v>35.35</v>
      </c>
      <c r="G1826" s="18">
        <v>106.05</v>
      </c>
      <c r="H1826" s="30" t="s">
        <v>2296</v>
      </c>
      <c r="J1826" s="34"/>
    </row>
    <row r="1827" spans="1:10" x14ac:dyDescent="0.25">
      <c r="A1827" s="15">
        <v>41047</v>
      </c>
      <c r="B1827" s="16" t="s">
        <v>865</v>
      </c>
      <c r="C1827" t="s">
        <v>8</v>
      </c>
      <c r="D1827" t="s">
        <v>48</v>
      </c>
      <c r="E1827" s="17">
        <v>3</v>
      </c>
      <c r="F1827" s="17">
        <v>35.35</v>
      </c>
      <c r="G1827" s="18">
        <v>106.05</v>
      </c>
      <c r="H1827" s="30" t="s">
        <v>2296</v>
      </c>
      <c r="J1827" s="34"/>
    </row>
    <row r="1828" spans="1:10" x14ac:dyDescent="0.25">
      <c r="A1828" s="15">
        <v>41047</v>
      </c>
      <c r="B1828" s="16" t="s">
        <v>874</v>
      </c>
      <c r="C1828" t="s">
        <v>875</v>
      </c>
      <c r="D1828" t="s">
        <v>48</v>
      </c>
      <c r="E1828" s="17">
        <v>2</v>
      </c>
      <c r="F1828" s="17">
        <v>25.78</v>
      </c>
      <c r="G1828" s="18">
        <v>51.56</v>
      </c>
      <c r="H1828" s="30" t="s">
        <v>2296</v>
      </c>
      <c r="J1828" s="34"/>
    </row>
    <row r="1829" spans="1:10" x14ac:dyDescent="0.25">
      <c r="A1829" s="15">
        <v>41047</v>
      </c>
      <c r="B1829" s="16" t="s">
        <v>937</v>
      </c>
      <c r="C1829" t="s">
        <v>934</v>
      </c>
      <c r="D1829" t="s">
        <v>48</v>
      </c>
      <c r="E1829" s="17">
        <v>11.25</v>
      </c>
      <c r="F1829" s="17">
        <v>92.73</v>
      </c>
      <c r="G1829" s="18">
        <v>1043.2125000000001</v>
      </c>
      <c r="H1829" s="30" t="s">
        <v>2296</v>
      </c>
      <c r="J1829" s="34"/>
    </row>
    <row r="1830" spans="1:10" x14ac:dyDescent="0.25">
      <c r="A1830" s="15">
        <v>41047</v>
      </c>
      <c r="B1830" s="16" t="s">
        <v>865</v>
      </c>
      <c r="C1830" t="s">
        <v>8</v>
      </c>
      <c r="D1830" t="s">
        <v>48</v>
      </c>
      <c r="E1830" s="17">
        <v>3</v>
      </c>
      <c r="F1830" s="17">
        <v>35.35</v>
      </c>
      <c r="G1830" s="18">
        <v>106.05</v>
      </c>
      <c r="H1830" s="30" t="s">
        <v>2296</v>
      </c>
      <c r="J1830" s="34"/>
    </row>
    <row r="1831" spans="1:10" x14ac:dyDescent="0.25">
      <c r="A1831" s="15">
        <v>41047</v>
      </c>
      <c r="B1831" s="16" t="s">
        <v>867</v>
      </c>
      <c r="C1831" t="s">
        <v>868</v>
      </c>
      <c r="D1831" t="s">
        <v>48</v>
      </c>
      <c r="E1831" s="17">
        <v>2</v>
      </c>
      <c r="F1831" s="17">
        <v>90</v>
      </c>
      <c r="G1831" s="18">
        <v>180</v>
      </c>
      <c r="H1831" s="30" t="s">
        <v>2296</v>
      </c>
      <c r="J1831" s="34"/>
    </row>
    <row r="1832" spans="1:10" x14ac:dyDescent="0.25">
      <c r="A1832" s="15">
        <v>41047</v>
      </c>
      <c r="B1832" s="16" t="s">
        <v>865</v>
      </c>
      <c r="C1832" t="s">
        <v>8</v>
      </c>
      <c r="D1832" t="s">
        <v>48</v>
      </c>
      <c r="E1832" s="17">
        <v>3</v>
      </c>
      <c r="F1832" s="17">
        <v>48</v>
      </c>
      <c r="G1832" s="18">
        <v>144</v>
      </c>
      <c r="H1832" s="30" t="s">
        <v>2296</v>
      </c>
      <c r="J1832" s="34"/>
    </row>
    <row r="1833" spans="1:10" x14ac:dyDescent="0.25">
      <c r="A1833" s="15">
        <v>41047</v>
      </c>
      <c r="B1833" s="16" t="s">
        <v>937</v>
      </c>
      <c r="C1833" t="s">
        <v>934</v>
      </c>
      <c r="D1833" t="s">
        <v>48</v>
      </c>
      <c r="E1833" s="17">
        <v>11.5</v>
      </c>
      <c r="F1833" s="17">
        <v>92.73</v>
      </c>
      <c r="G1833" s="18">
        <v>1066.395</v>
      </c>
      <c r="H1833" s="30" t="s">
        <v>2296</v>
      </c>
      <c r="J1833" s="34"/>
    </row>
    <row r="1834" spans="1:10" x14ac:dyDescent="0.25">
      <c r="A1834" s="15">
        <v>41048</v>
      </c>
      <c r="B1834" s="16" t="s">
        <v>908</v>
      </c>
      <c r="C1834" t="s">
        <v>873</v>
      </c>
      <c r="D1834" t="s">
        <v>48</v>
      </c>
      <c r="E1834" s="17">
        <v>7.5</v>
      </c>
      <c r="F1834" s="17">
        <v>95</v>
      </c>
      <c r="G1834" s="18">
        <v>712.5</v>
      </c>
      <c r="H1834" s="30" t="s">
        <v>2296</v>
      </c>
      <c r="J1834" s="34"/>
    </row>
    <row r="1835" spans="1:10" x14ac:dyDescent="0.25">
      <c r="A1835" s="15">
        <v>41048</v>
      </c>
      <c r="B1835" s="16" t="s">
        <v>865</v>
      </c>
      <c r="C1835" t="s">
        <v>8</v>
      </c>
      <c r="D1835" t="s">
        <v>48</v>
      </c>
      <c r="E1835" s="17">
        <v>7</v>
      </c>
      <c r="F1835" s="17">
        <v>35.35</v>
      </c>
      <c r="G1835" s="18">
        <v>247.45</v>
      </c>
      <c r="H1835" s="30" t="s">
        <v>2296</v>
      </c>
      <c r="J1835" s="34"/>
    </row>
    <row r="1836" spans="1:10" x14ac:dyDescent="0.25">
      <c r="A1836" s="15">
        <v>41048</v>
      </c>
      <c r="B1836" s="16" t="s">
        <v>877</v>
      </c>
      <c r="C1836" t="s">
        <v>868</v>
      </c>
      <c r="D1836" t="s">
        <v>48</v>
      </c>
      <c r="E1836" s="17">
        <v>2</v>
      </c>
      <c r="F1836" s="17">
        <v>90</v>
      </c>
      <c r="G1836" s="18">
        <v>180</v>
      </c>
      <c r="H1836" s="30" t="s">
        <v>2296</v>
      </c>
      <c r="J1836" s="34"/>
    </row>
    <row r="1837" spans="1:10" x14ac:dyDescent="0.25">
      <c r="A1837" s="15">
        <v>41048</v>
      </c>
      <c r="B1837" s="16" t="s">
        <v>904</v>
      </c>
      <c r="C1837" t="s">
        <v>905</v>
      </c>
      <c r="D1837" t="s">
        <v>48</v>
      </c>
      <c r="E1837" s="17">
        <v>2</v>
      </c>
      <c r="F1837" s="17">
        <v>95</v>
      </c>
      <c r="G1837" s="18"/>
      <c r="H1837" s="30" t="s">
        <v>2296</v>
      </c>
      <c r="J1837" s="34"/>
    </row>
    <row r="1838" spans="1:10" x14ac:dyDescent="0.25">
      <c r="A1838" s="15">
        <v>41050</v>
      </c>
      <c r="B1838" s="16" t="s">
        <v>865</v>
      </c>
      <c r="C1838" t="s">
        <v>8</v>
      </c>
      <c r="D1838" t="s">
        <v>48</v>
      </c>
      <c r="E1838" s="17">
        <v>10</v>
      </c>
      <c r="F1838" s="17">
        <v>35.35</v>
      </c>
      <c r="G1838" s="18">
        <v>353.5</v>
      </c>
      <c r="H1838" s="30" t="s">
        <v>2296</v>
      </c>
      <c r="J1838" s="34"/>
    </row>
    <row r="1839" spans="1:10" x14ac:dyDescent="0.25">
      <c r="A1839" s="15">
        <v>41050</v>
      </c>
      <c r="B1839" s="16" t="s">
        <v>865</v>
      </c>
      <c r="C1839" t="s">
        <v>8</v>
      </c>
      <c r="D1839" t="s">
        <v>48</v>
      </c>
      <c r="E1839" s="17">
        <v>10</v>
      </c>
      <c r="F1839" s="17">
        <v>35.35</v>
      </c>
      <c r="G1839" s="18">
        <v>353.5</v>
      </c>
      <c r="H1839" s="30" t="s">
        <v>2296</v>
      </c>
      <c r="J1839" s="34"/>
    </row>
    <row r="1840" spans="1:10" x14ac:dyDescent="0.25">
      <c r="A1840" s="15">
        <v>41050</v>
      </c>
      <c r="B1840" s="16" t="s">
        <v>908</v>
      </c>
      <c r="C1840" t="s">
        <v>873</v>
      </c>
      <c r="D1840" t="s">
        <v>48</v>
      </c>
      <c r="E1840" s="17">
        <v>10</v>
      </c>
      <c r="F1840" s="17">
        <v>95</v>
      </c>
      <c r="G1840" s="18">
        <v>950</v>
      </c>
      <c r="H1840" s="30" t="s">
        <v>2296</v>
      </c>
      <c r="J1840" s="34"/>
    </row>
    <row r="1841" spans="1:10" x14ac:dyDescent="0.25">
      <c r="A1841" s="15">
        <v>41050</v>
      </c>
      <c r="B1841" s="16" t="s">
        <v>931</v>
      </c>
      <c r="C1841" t="s">
        <v>934</v>
      </c>
      <c r="D1841" t="s">
        <v>48</v>
      </c>
      <c r="E1841" s="17">
        <v>4.5</v>
      </c>
      <c r="F1841" s="17">
        <v>102.73</v>
      </c>
      <c r="G1841" s="18">
        <v>462.28500000000003</v>
      </c>
      <c r="H1841" s="30" t="s">
        <v>2296</v>
      </c>
      <c r="J1841" s="34"/>
    </row>
    <row r="1842" spans="1:10" x14ac:dyDescent="0.25">
      <c r="A1842" s="15">
        <v>41050</v>
      </c>
      <c r="B1842" s="16" t="s">
        <v>969</v>
      </c>
      <c r="C1842" t="s">
        <v>934</v>
      </c>
      <c r="D1842" t="s">
        <v>48</v>
      </c>
      <c r="E1842" s="17">
        <v>8</v>
      </c>
      <c r="F1842" s="17">
        <v>100</v>
      </c>
      <c r="G1842" s="18">
        <v>800</v>
      </c>
      <c r="H1842" s="30" t="s">
        <v>2296</v>
      </c>
      <c r="J1842" s="34"/>
    </row>
    <row r="1843" spans="1:10" x14ac:dyDescent="0.25">
      <c r="A1843" s="15">
        <v>41050</v>
      </c>
      <c r="B1843" s="16" t="s">
        <v>931</v>
      </c>
      <c r="C1843" t="s">
        <v>934</v>
      </c>
      <c r="D1843" t="s">
        <v>48</v>
      </c>
      <c r="E1843" s="17">
        <v>5</v>
      </c>
      <c r="F1843" s="17">
        <v>113.19</v>
      </c>
      <c r="G1843" s="18">
        <v>565.95000000000005</v>
      </c>
      <c r="H1843" s="30" t="s">
        <v>2296</v>
      </c>
      <c r="J1843" s="34"/>
    </row>
    <row r="1844" spans="1:10" x14ac:dyDescent="0.25">
      <c r="A1844" s="15">
        <v>41050</v>
      </c>
      <c r="B1844" s="16" t="s">
        <v>933</v>
      </c>
      <c r="C1844" t="s">
        <v>934</v>
      </c>
      <c r="D1844" t="s">
        <v>48</v>
      </c>
      <c r="E1844" s="17">
        <v>3</v>
      </c>
      <c r="F1844" s="17">
        <v>92.73</v>
      </c>
      <c r="G1844" s="18">
        <v>278.19</v>
      </c>
      <c r="H1844" s="30" t="s">
        <v>2296</v>
      </c>
      <c r="J1844" s="34"/>
    </row>
    <row r="1845" spans="1:10" x14ac:dyDescent="0.25">
      <c r="A1845" s="15">
        <v>41050</v>
      </c>
      <c r="B1845" s="16" t="s">
        <v>933</v>
      </c>
      <c r="C1845" t="s">
        <v>934</v>
      </c>
      <c r="D1845" t="s">
        <v>48</v>
      </c>
      <c r="E1845" s="17">
        <v>4</v>
      </c>
      <c r="F1845" s="17">
        <v>92.73</v>
      </c>
      <c r="G1845" s="18">
        <v>370.92</v>
      </c>
      <c r="H1845" s="30" t="s">
        <v>2296</v>
      </c>
      <c r="J1845" s="34"/>
    </row>
    <row r="1846" spans="1:10" x14ac:dyDescent="0.25">
      <c r="A1846" s="15">
        <v>41050</v>
      </c>
      <c r="B1846" s="16" t="s">
        <v>1039</v>
      </c>
      <c r="C1846" t="s">
        <v>934</v>
      </c>
      <c r="D1846" t="s">
        <v>48</v>
      </c>
      <c r="E1846" s="17">
        <v>1</v>
      </c>
      <c r="F1846" s="17">
        <v>125</v>
      </c>
      <c r="G1846" s="18">
        <v>125</v>
      </c>
      <c r="H1846" s="30" t="s">
        <v>2296</v>
      </c>
      <c r="J1846" s="34"/>
    </row>
    <row r="1847" spans="1:10" x14ac:dyDescent="0.25">
      <c r="A1847" s="15">
        <v>41051</v>
      </c>
      <c r="B1847" s="16" t="s">
        <v>931</v>
      </c>
      <c r="C1847" t="s">
        <v>934</v>
      </c>
      <c r="D1847" t="s">
        <v>48</v>
      </c>
      <c r="E1847" s="17">
        <v>2</v>
      </c>
      <c r="F1847" s="17">
        <v>102.73</v>
      </c>
      <c r="G1847" s="18">
        <v>205.46</v>
      </c>
      <c r="H1847" s="30" t="s">
        <v>2296</v>
      </c>
      <c r="J1847" s="34"/>
    </row>
    <row r="1848" spans="1:10" x14ac:dyDescent="0.25">
      <c r="A1848" s="15">
        <v>41051</v>
      </c>
      <c r="B1848" s="16" t="s">
        <v>933</v>
      </c>
      <c r="C1848" t="s">
        <v>934</v>
      </c>
      <c r="D1848" t="s">
        <v>48</v>
      </c>
      <c r="E1848" s="17">
        <v>5.5</v>
      </c>
      <c r="F1848" s="17">
        <v>92.73</v>
      </c>
      <c r="G1848" s="18">
        <v>510.01499999999999</v>
      </c>
      <c r="H1848" s="30" t="s">
        <v>2296</v>
      </c>
      <c r="J1848" s="34"/>
    </row>
    <row r="1849" spans="1:10" x14ac:dyDescent="0.25">
      <c r="A1849" s="15">
        <v>41051</v>
      </c>
      <c r="B1849" s="16" t="s">
        <v>865</v>
      </c>
      <c r="C1849" t="s">
        <v>8</v>
      </c>
      <c r="D1849" t="s">
        <v>48</v>
      </c>
      <c r="E1849" s="17">
        <v>9.5</v>
      </c>
      <c r="F1849" s="17">
        <v>48</v>
      </c>
      <c r="G1849" s="18">
        <v>456</v>
      </c>
      <c r="H1849" s="30" t="s">
        <v>2296</v>
      </c>
      <c r="J1849" s="34"/>
    </row>
    <row r="1850" spans="1:10" x14ac:dyDescent="0.25">
      <c r="A1850" s="15">
        <v>41051</v>
      </c>
      <c r="B1850" s="16" t="s">
        <v>933</v>
      </c>
      <c r="C1850" t="s">
        <v>934</v>
      </c>
      <c r="D1850" t="s">
        <v>48</v>
      </c>
      <c r="E1850" s="17">
        <v>5.25</v>
      </c>
      <c r="F1850" s="17">
        <v>92.73</v>
      </c>
      <c r="G1850" s="18">
        <v>486.83249999999998</v>
      </c>
      <c r="H1850" s="30" t="s">
        <v>2296</v>
      </c>
      <c r="J1850" s="34"/>
    </row>
    <row r="1851" spans="1:10" x14ac:dyDescent="0.25">
      <c r="A1851" s="15">
        <v>41051</v>
      </c>
      <c r="B1851" s="16" t="s">
        <v>908</v>
      </c>
      <c r="C1851" t="s">
        <v>873</v>
      </c>
      <c r="D1851" t="s">
        <v>48</v>
      </c>
      <c r="E1851" s="17">
        <v>10.5</v>
      </c>
      <c r="F1851" s="17">
        <v>95</v>
      </c>
      <c r="G1851" s="18">
        <v>997.5</v>
      </c>
      <c r="H1851" s="30" t="s">
        <v>2296</v>
      </c>
      <c r="J1851" s="34"/>
    </row>
    <row r="1852" spans="1:10" x14ac:dyDescent="0.25">
      <c r="A1852" s="15">
        <v>41051</v>
      </c>
      <c r="B1852" s="16" t="s">
        <v>933</v>
      </c>
      <c r="C1852" t="s">
        <v>934</v>
      </c>
      <c r="D1852" t="s">
        <v>48</v>
      </c>
      <c r="E1852" s="17">
        <v>1.75</v>
      </c>
      <c r="F1852" s="17">
        <v>92.73</v>
      </c>
      <c r="G1852" s="18">
        <v>162.2775</v>
      </c>
      <c r="H1852" s="30" t="s">
        <v>2296</v>
      </c>
      <c r="J1852" s="34"/>
    </row>
    <row r="1853" spans="1:10" x14ac:dyDescent="0.25">
      <c r="A1853" s="15">
        <v>41051</v>
      </c>
      <c r="B1853" s="16" t="s">
        <v>865</v>
      </c>
      <c r="C1853" t="s">
        <v>8</v>
      </c>
      <c r="D1853" t="s">
        <v>48</v>
      </c>
      <c r="E1853" s="17">
        <v>9.5</v>
      </c>
      <c r="F1853" s="17">
        <v>35.35</v>
      </c>
      <c r="G1853" s="18">
        <v>335.82499999999999</v>
      </c>
      <c r="H1853" s="30" t="s">
        <v>2296</v>
      </c>
      <c r="J1853" s="34"/>
    </row>
    <row r="1854" spans="1:10" x14ac:dyDescent="0.25">
      <c r="A1854" s="15">
        <v>41051</v>
      </c>
      <c r="B1854" s="16" t="s">
        <v>865</v>
      </c>
      <c r="C1854" t="s">
        <v>8</v>
      </c>
      <c r="D1854" t="s">
        <v>48</v>
      </c>
      <c r="E1854" s="17">
        <v>9.5</v>
      </c>
      <c r="F1854" s="17">
        <v>35.35</v>
      </c>
      <c r="G1854" s="18">
        <v>335.82499999999999</v>
      </c>
      <c r="H1854" s="30" t="s">
        <v>2296</v>
      </c>
      <c r="J1854" s="34"/>
    </row>
    <row r="1855" spans="1:10" x14ac:dyDescent="0.25">
      <c r="A1855" s="15">
        <v>41051</v>
      </c>
      <c r="B1855" s="16" t="s">
        <v>867</v>
      </c>
      <c r="C1855" t="s">
        <v>868</v>
      </c>
      <c r="D1855" t="s">
        <v>48</v>
      </c>
      <c r="E1855" s="17">
        <v>3</v>
      </c>
      <c r="F1855" s="17">
        <v>90</v>
      </c>
      <c r="G1855" s="18">
        <v>270</v>
      </c>
      <c r="H1855" s="30" t="s">
        <v>2296</v>
      </c>
      <c r="J1855" s="34"/>
    </row>
    <row r="1856" spans="1:10" x14ac:dyDescent="0.25">
      <c r="A1856" s="15">
        <v>41051</v>
      </c>
      <c r="B1856" s="16" t="s">
        <v>969</v>
      </c>
      <c r="C1856" t="s">
        <v>934</v>
      </c>
      <c r="D1856" t="s">
        <v>48</v>
      </c>
      <c r="E1856" s="17">
        <v>9</v>
      </c>
      <c r="F1856" s="17">
        <v>100</v>
      </c>
      <c r="G1856" s="18">
        <v>900</v>
      </c>
      <c r="H1856" s="30" t="s">
        <v>2296</v>
      </c>
      <c r="J1856" s="34"/>
    </row>
    <row r="1857" spans="1:10" x14ac:dyDescent="0.25">
      <c r="A1857" s="15">
        <v>41052</v>
      </c>
      <c r="B1857" s="16" t="s">
        <v>865</v>
      </c>
      <c r="C1857" t="s">
        <v>8</v>
      </c>
      <c r="D1857" t="s">
        <v>48</v>
      </c>
      <c r="E1857" s="17">
        <v>9.5</v>
      </c>
      <c r="F1857" s="17">
        <v>35.35</v>
      </c>
      <c r="G1857" s="18">
        <v>335.82499999999999</v>
      </c>
      <c r="H1857" s="30" t="s">
        <v>2296</v>
      </c>
      <c r="J1857" s="34"/>
    </row>
    <row r="1858" spans="1:10" x14ac:dyDescent="0.25">
      <c r="A1858" s="15">
        <v>41052</v>
      </c>
      <c r="B1858" s="16" t="s">
        <v>933</v>
      </c>
      <c r="C1858" t="s">
        <v>934</v>
      </c>
      <c r="D1858" t="s">
        <v>48</v>
      </c>
      <c r="E1858" s="17">
        <v>8.25</v>
      </c>
      <c r="F1858" s="17">
        <v>92.73</v>
      </c>
      <c r="G1858" s="18">
        <v>765.02250000000004</v>
      </c>
      <c r="H1858" s="30" t="s">
        <v>2296</v>
      </c>
      <c r="J1858" s="34"/>
    </row>
    <row r="1859" spans="1:10" x14ac:dyDescent="0.25">
      <c r="A1859" s="15">
        <v>41052</v>
      </c>
      <c r="B1859" s="16" t="s">
        <v>969</v>
      </c>
      <c r="C1859" t="s">
        <v>934</v>
      </c>
      <c r="D1859" t="s">
        <v>48</v>
      </c>
      <c r="E1859" s="17">
        <v>9</v>
      </c>
      <c r="F1859" s="17">
        <v>100</v>
      </c>
      <c r="G1859" s="18">
        <v>900</v>
      </c>
      <c r="H1859" s="30" t="s">
        <v>2296</v>
      </c>
      <c r="J1859" s="34"/>
    </row>
    <row r="1860" spans="1:10" x14ac:dyDescent="0.25">
      <c r="A1860" s="15">
        <v>41052</v>
      </c>
      <c r="B1860" s="16" t="s">
        <v>865</v>
      </c>
      <c r="C1860" t="s">
        <v>8</v>
      </c>
      <c r="D1860" t="s">
        <v>48</v>
      </c>
      <c r="E1860" s="17">
        <v>9.5</v>
      </c>
      <c r="F1860" s="17">
        <v>48</v>
      </c>
      <c r="G1860" s="18">
        <v>456</v>
      </c>
      <c r="H1860" s="30" t="s">
        <v>2296</v>
      </c>
      <c r="J1860" s="34"/>
    </row>
    <row r="1861" spans="1:10" x14ac:dyDescent="0.25">
      <c r="A1861" s="15">
        <v>41052</v>
      </c>
      <c r="B1861" s="16" t="s">
        <v>877</v>
      </c>
      <c r="C1861" t="s">
        <v>868</v>
      </c>
      <c r="D1861" t="s">
        <v>48</v>
      </c>
      <c r="E1861" s="17">
        <v>6</v>
      </c>
      <c r="F1861" s="17">
        <v>90</v>
      </c>
      <c r="G1861" s="18">
        <v>540</v>
      </c>
      <c r="H1861" s="30" t="s">
        <v>2296</v>
      </c>
      <c r="J1861" s="34"/>
    </row>
    <row r="1862" spans="1:10" x14ac:dyDescent="0.25">
      <c r="A1862" s="15">
        <v>41052</v>
      </c>
      <c r="B1862" s="16" t="s">
        <v>865</v>
      </c>
      <c r="C1862" t="s">
        <v>8</v>
      </c>
      <c r="D1862" t="s">
        <v>48</v>
      </c>
      <c r="E1862" s="17">
        <v>9.5</v>
      </c>
      <c r="F1862" s="17">
        <v>35.35</v>
      </c>
      <c r="G1862" s="18">
        <v>335.82499999999999</v>
      </c>
      <c r="H1862" s="30" t="s">
        <v>2296</v>
      </c>
      <c r="J1862" s="34"/>
    </row>
    <row r="1863" spans="1:10" x14ac:dyDescent="0.25">
      <c r="A1863" s="15">
        <v>41052</v>
      </c>
      <c r="B1863" s="16" t="s">
        <v>908</v>
      </c>
      <c r="C1863" t="s">
        <v>873</v>
      </c>
      <c r="D1863" t="s">
        <v>48</v>
      </c>
      <c r="E1863" s="17">
        <v>10</v>
      </c>
      <c r="F1863" s="17">
        <v>95</v>
      </c>
      <c r="G1863" s="18">
        <v>950</v>
      </c>
      <c r="H1863" s="30" t="s">
        <v>2296</v>
      </c>
      <c r="J1863" s="34"/>
    </row>
    <row r="1864" spans="1:10" x14ac:dyDescent="0.25">
      <c r="A1864" s="15">
        <v>41053</v>
      </c>
      <c r="B1864" s="16" t="s">
        <v>865</v>
      </c>
      <c r="C1864" t="s">
        <v>8</v>
      </c>
      <c r="D1864" t="s">
        <v>48</v>
      </c>
      <c r="E1864" s="17">
        <v>6</v>
      </c>
      <c r="F1864" s="17">
        <v>35.35</v>
      </c>
      <c r="G1864" s="18">
        <v>212.1</v>
      </c>
      <c r="H1864" s="30" t="s">
        <v>2296</v>
      </c>
      <c r="J1864" s="34"/>
    </row>
    <row r="1865" spans="1:10" x14ac:dyDescent="0.25">
      <c r="A1865" s="15">
        <v>41053</v>
      </c>
      <c r="B1865" s="16" t="s">
        <v>865</v>
      </c>
      <c r="C1865" t="s">
        <v>8</v>
      </c>
      <c r="D1865" t="s">
        <v>48</v>
      </c>
      <c r="E1865" s="17">
        <v>6</v>
      </c>
      <c r="F1865" s="17">
        <v>35.35</v>
      </c>
      <c r="G1865" s="18">
        <v>212.1</v>
      </c>
      <c r="H1865" s="30" t="s">
        <v>2296</v>
      </c>
      <c r="J1865" s="34"/>
    </row>
    <row r="1866" spans="1:10" x14ac:dyDescent="0.25">
      <c r="A1866" s="15">
        <v>41053</v>
      </c>
      <c r="B1866" s="16" t="s">
        <v>865</v>
      </c>
      <c r="C1866" t="s">
        <v>8</v>
      </c>
      <c r="D1866" t="s">
        <v>48</v>
      </c>
      <c r="E1866" s="17">
        <v>6</v>
      </c>
      <c r="F1866" s="17">
        <v>35.35</v>
      </c>
      <c r="G1866" s="18">
        <v>212.1</v>
      </c>
      <c r="H1866" s="30" t="s">
        <v>2296</v>
      </c>
      <c r="J1866" s="34"/>
    </row>
    <row r="1867" spans="1:10" x14ac:dyDescent="0.25">
      <c r="A1867" s="15">
        <v>41053</v>
      </c>
      <c r="B1867" s="16" t="s">
        <v>874</v>
      </c>
      <c r="C1867" t="s">
        <v>875</v>
      </c>
      <c r="D1867" t="s">
        <v>48</v>
      </c>
      <c r="E1867" s="17">
        <v>2</v>
      </c>
      <c r="F1867" s="17">
        <v>25.78</v>
      </c>
      <c r="G1867" s="18">
        <v>51.56</v>
      </c>
      <c r="H1867" s="30" t="s">
        <v>2296</v>
      </c>
      <c r="J1867" s="34"/>
    </row>
    <row r="1868" spans="1:10" x14ac:dyDescent="0.25">
      <c r="A1868" s="15">
        <v>41053</v>
      </c>
      <c r="B1868" s="16" t="s">
        <v>867</v>
      </c>
      <c r="C1868" t="s">
        <v>868</v>
      </c>
      <c r="D1868" t="s">
        <v>48</v>
      </c>
      <c r="E1868" s="17">
        <v>3</v>
      </c>
      <c r="F1868" s="17">
        <v>90</v>
      </c>
      <c r="G1868" s="18">
        <v>270</v>
      </c>
      <c r="H1868" s="30" t="s">
        <v>2296</v>
      </c>
      <c r="J1868" s="34"/>
    </row>
    <row r="1869" spans="1:10" x14ac:dyDescent="0.25">
      <c r="A1869" s="15">
        <v>41053</v>
      </c>
      <c r="B1869" s="16" t="s">
        <v>865</v>
      </c>
      <c r="C1869" t="s">
        <v>8</v>
      </c>
      <c r="D1869" t="s">
        <v>48</v>
      </c>
      <c r="E1869" s="17">
        <v>6</v>
      </c>
      <c r="F1869" s="17">
        <v>48</v>
      </c>
      <c r="G1869" s="18">
        <v>288</v>
      </c>
      <c r="H1869" s="30" t="s">
        <v>2296</v>
      </c>
      <c r="J1869" s="34"/>
    </row>
    <row r="1870" spans="1:10" x14ac:dyDescent="0.25">
      <c r="A1870" s="15">
        <v>41053</v>
      </c>
      <c r="B1870" s="16" t="s">
        <v>920</v>
      </c>
      <c r="C1870" t="s">
        <v>871</v>
      </c>
      <c r="D1870" t="s">
        <v>48</v>
      </c>
      <c r="E1870" s="17">
        <v>3</v>
      </c>
      <c r="F1870" s="17">
        <v>130</v>
      </c>
      <c r="G1870" s="18">
        <v>390</v>
      </c>
      <c r="H1870" s="30" t="s">
        <v>2296</v>
      </c>
      <c r="J1870" s="34"/>
    </row>
    <row r="1871" spans="1:10" x14ac:dyDescent="0.25">
      <c r="A1871" s="15">
        <v>41053</v>
      </c>
      <c r="B1871" s="16" t="s">
        <v>908</v>
      </c>
      <c r="C1871" t="s">
        <v>873</v>
      </c>
      <c r="D1871" t="s">
        <v>48</v>
      </c>
      <c r="E1871" s="17">
        <v>4</v>
      </c>
      <c r="F1871" s="17">
        <v>95</v>
      </c>
      <c r="G1871" s="18">
        <v>380</v>
      </c>
      <c r="H1871" s="30" t="s">
        <v>2296</v>
      </c>
      <c r="J1871" s="34"/>
    </row>
    <row r="1872" spans="1:10" x14ac:dyDescent="0.25">
      <c r="A1872" s="15">
        <v>41053</v>
      </c>
      <c r="B1872" s="16" t="s">
        <v>865</v>
      </c>
      <c r="C1872" t="s">
        <v>8</v>
      </c>
      <c r="D1872" t="s">
        <v>48</v>
      </c>
      <c r="E1872" s="17">
        <v>6</v>
      </c>
      <c r="F1872" s="17">
        <v>35.35</v>
      </c>
      <c r="G1872" s="18">
        <v>212.1</v>
      </c>
      <c r="H1872" s="30" t="s">
        <v>2296</v>
      </c>
      <c r="J1872" s="34"/>
    </row>
    <row r="1873" spans="1:10" x14ac:dyDescent="0.25">
      <c r="A1873" s="15">
        <v>41053</v>
      </c>
      <c r="B1873" s="16" t="s">
        <v>933</v>
      </c>
      <c r="C1873" t="s">
        <v>934</v>
      </c>
      <c r="D1873" t="s">
        <v>48</v>
      </c>
      <c r="E1873" s="17">
        <v>2.25</v>
      </c>
      <c r="F1873" s="17">
        <v>92.73</v>
      </c>
      <c r="G1873" s="18">
        <v>208.64250000000001</v>
      </c>
      <c r="H1873" s="30" t="s">
        <v>2296</v>
      </c>
      <c r="J1873" s="34"/>
    </row>
    <row r="1874" spans="1:10" x14ac:dyDescent="0.25">
      <c r="A1874" s="15">
        <v>41053</v>
      </c>
      <c r="B1874" s="16" t="s">
        <v>933</v>
      </c>
      <c r="C1874" t="s">
        <v>934</v>
      </c>
      <c r="D1874" t="s">
        <v>48</v>
      </c>
      <c r="E1874" s="17">
        <v>2.25</v>
      </c>
      <c r="F1874" s="17">
        <v>92.73</v>
      </c>
      <c r="G1874" s="18">
        <v>208.64250000000001</v>
      </c>
      <c r="H1874" s="30" t="s">
        <v>2296</v>
      </c>
      <c r="J1874" s="34"/>
    </row>
    <row r="1875" spans="1:10" x14ac:dyDescent="0.25">
      <c r="A1875" s="15">
        <v>41058</v>
      </c>
      <c r="B1875" s="16" t="s">
        <v>865</v>
      </c>
      <c r="C1875" t="s">
        <v>8</v>
      </c>
      <c r="D1875" t="s">
        <v>48</v>
      </c>
      <c r="E1875" s="17">
        <v>7</v>
      </c>
      <c r="F1875" s="17">
        <v>35.35</v>
      </c>
      <c r="G1875" s="18">
        <v>247.45</v>
      </c>
      <c r="H1875" s="30" t="s">
        <v>2296</v>
      </c>
      <c r="J1875" s="34"/>
    </row>
    <row r="1876" spans="1:10" x14ac:dyDescent="0.25">
      <c r="A1876" s="15">
        <v>41058</v>
      </c>
      <c r="B1876" s="16" t="s">
        <v>865</v>
      </c>
      <c r="C1876" t="s">
        <v>8</v>
      </c>
      <c r="D1876" t="s">
        <v>48</v>
      </c>
      <c r="E1876" s="17">
        <v>4</v>
      </c>
      <c r="F1876" s="17">
        <v>35.35</v>
      </c>
      <c r="G1876" s="18">
        <v>141.4</v>
      </c>
      <c r="H1876" s="30" t="s">
        <v>2296</v>
      </c>
      <c r="J1876" s="34"/>
    </row>
    <row r="1877" spans="1:10" x14ac:dyDescent="0.25">
      <c r="A1877" s="15">
        <v>41058</v>
      </c>
      <c r="B1877" s="16" t="s">
        <v>874</v>
      </c>
      <c r="C1877" t="s">
        <v>875</v>
      </c>
      <c r="D1877" t="s">
        <v>48</v>
      </c>
      <c r="E1877" s="17">
        <v>2.5</v>
      </c>
      <c r="F1877" s="17">
        <v>25.78</v>
      </c>
      <c r="G1877" s="18">
        <v>64.45</v>
      </c>
      <c r="H1877" s="30" t="s">
        <v>2296</v>
      </c>
      <c r="J1877" s="34"/>
    </row>
    <row r="1878" spans="1:10" x14ac:dyDescent="0.25">
      <c r="A1878" s="15">
        <v>41058</v>
      </c>
      <c r="B1878" s="16" t="s">
        <v>920</v>
      </c>
      <c r="C1878" t="s">
        <v>871</v>
      </c>
      <c r="D1878" t="s">
        <v>48</v>
      </c>
      <c r="E1878" s="17">
        <v>7</v>
      </c>
      <c r="F1878" s="17">
        <v>130</v>
      </c>
      <c r="G1878" s="18">
        <v>910</v>
      </c>
      <c r="H1878" s="30" t="s">
        <v>2296</v>
      </c>
      <c r="J1878" s="34"/>
    </row>
    <row r="1879" spans="1:10" x14ac:dyDescent="0.25">
      <c r="A1879" s="15">
        <v>41058</v>
      </c>
      <c r="B1879" s="16" t="s">
        <v>865</v>
      </c>
      <c r="C1879" t="s">
        <v>8</v>
      </c>
      <c r="D1879" t="s">
        <v>48</v>
      </c>
      <c r="E1879" s="17">
        <v>3</v>
      </c>
      <c r="F1879" s="17">
        <v>48</v>
      </c>
      <c r="G1879" s="18">
        <v>144</v>
      </c>
      <c r="H1879" s="30" t="s">
        <v>2296</v>
      </c>
      <c r="J1879" s="34"/>
    </row>
    <row r="1880" spans="1:10" x14ac:dyDescent="0.25">
      <c r="A1880" s="15">
        <v>41058</v>
      </c>
      <c r="B1880" s="16" t="s">
        <v>880</v>
      </c>
      <c r="C1880" t="s">
        <v>881</v>
      </c>
      <c r="D1880" t="s">
        <v>48</v>
      </c>
      <c r="E1880" s="17">
        <v>6.5</v>
      </c>
      <c r="F1880" s="17">
        <v>95</v>
      </c>
      <c r="G1880" s="18">
        <v>617.5</v>
      </c>
      <c r="H1880" s="30" t="s">
        <v>2296</v>
      </c>
      <c r="J1880" s="34"/>
    </row>
    <row r="1881" spans="1:10" x14ac:dyDescent="0.25">
      <c r="A1881" s="15">
        <v>41058</v>
      </c>
      <c r="B1881" s="16" t="s">
        <v>865</v>
      </c>
      <c r="C1881" t="s">
        <v>8</v>
      </c>
      <c r="D1881" t="s">
        <v>48</v>
      </c>
      <c r="E1881" s="17">
        <v>7</v>
      </c>
      <c r="F1881" s="17">
        <v>35.35</v>
      </c>
      <c r="G1881" s="18">
        <v>247.45</v>
      </c>
      <c r="H1881" s="30" t="s">
        <v>2296</v>
      </c>
      <c r="J1881" s="34"/>
    </row>
    <row r="1882" spans="1:10" x14ac:dyDescent="0.25">
      <c r="A1882" s="15">
        <v>41058</v>
      </c>
      <c r="B1882" s="16" t="s">
        <v>887</v>
      </c>
      <c r="C1882" t="s">
        <v>873</v>
      </c>
      <c r="D1882" t="s">
        <v>48</v>
      </c>
      <c r="E1882" s="17">
        <v>10.5</v>
      </c>
      <c r="F1882" s="17">
        <v>95</v>
      </c>
      <c r="G1882" s="18">
        <v>997.5</v>
      </c>
      <c r="H1882" s="30" t="s">
        <v>2296</v>
      </c>
      <c r="J1882" s="34"/>
    </row>
    <row r="1883" spans="1:10" x14ac:dyDescent="0.25">
      <c r="A1883" s="15">
        <v>41058</v>
      </c>
      <c r="B1883" s="16" t="s">
        <v>867</v>
      </c>
      <c r="C1883" t="s">
        <v>868</v>
      </c>
      <c r="D1883" t="s">
        <v>48</v>
      </c>
      <c r="E1883" s="17">
        <v>2</v>
      </c>
      <c r="F1883" s="17">
        <v>90</v>
      </c>
      <c r="G1883" s="18">
        <v>180</v>
      </c>
      <c r="H1883" s="30" t="s">
        <v>2296</v>
      </c>
      <c r="J1883" s="34"/>
    </row>
    <row r="1884" spans="1:10" x14ac:dyDescent="0.25">
      <c r="A1884" s="15">
        <v>41058</v>
      </c>
      <c r="B1884" s="16" t="s">
        <v>970</v>
      </c>
      <c r="C1884" t="s">
        <v>934</v>
      </c>
      <c r="D1884" t="s">
        <v>48</v>
      </c>
      <c r="E1884" s="17">
        <v>5.25</v>
      </c>
      <c r="F1884" s="17">
        <v>92.73</v>
      </c>
      <c r="G1884" s="18">
        <v>486.83249999999998</v>
      </c>
      <c r="H1884" s="30" t="s">
        <v>2296</v>
      </c>
      <c r="J1884" s="34"/>
    </row>
    <row r="1885" spans="1:10" x14ac:dyDescent="0.25">
      <c r="A1885" s="15">
        <v>41059</v>
      </c>
      <c r="B1885" s="16" t="s">
        <v>865</v>
      </c>
      <c r="C1885" t="s">
        <v>8</v>
      </c>
      <c r="D1885" t="s">
        <v>48</v>
      </c>
      <c r="E1885" s="17">
        <v>3</v>
      </c>
      <c r="F1885" s="17">
        <v>35.35</v>
      </c>
      <c r="G1885" s="18">
        <v>106.05</v>
      </c>
      <c r="H1885" s="30" t="s">
        <v>2296</v>
      </c>
      <c r="J1885" s="34"/>
    </row>
    <row r="1886" spans="1:10" x14ac:dyDescent="0.25">
      <c r="A1886" s="15">
        <v>41059</v>
      </c>
      <c r="B1886" s="16" t="s">
        <v>865</v>
      </c>
      <c r="C1886" t="s">
        <v>8</v>
      </c>
      <c r="D1886" t="s">
        <v>48</v>
      </c>
      <c r="E1886" s="17">
        <v>3</v>
      </c>
      <c r="F1886" s="17">
        <v>35.35</v>
      </c>
      <c r="G1886" s="18">
        <v>106.05</v>
      </c>
      <c r="H1886" s="30" t="s">
        <v>2296</v>
      </c>
      <c r="J1886" s="34"/>
    </row>
    <row r="1887" spans="1:10" x14ac:dyDescent="0.25">
      <c r="A1887" s="15">
        <v>41059</v>
      </c>
      <c r="B1887" s="16" t="s">
        <v>920</v>
      </c>
      <c r="C1887" t="s">
        <v>871</v>
      </c>
      <c r="D1887" t="s">
        <v>48</v>
      </c>
      <c r="E1887" s="17">
        <v>2.5</v>
      </c>
      <c r="F1887" s="17">
        <v>130</v>
      </c>
      <c r="G1887" s="18">
        <v>325</v>
      </c>
      <c r="H1887" s="30" t="s">
        <v>2296</v>
      </c>
      <c r="J1887" s="34"/>
    </row>
    <row r="1888" spans="1:10" x14ac:dyDescent="0.25">
      <c r="A1888" s="15">
        <v>41059</v>
      </c>
      <c r="B1888" s="16" t="s">
        <v>865</v>
      </c>
      <c r="C1888" t="s">
        <v>8</v>
      </c>
      <c r="D1888" t="s">
        <v>48</v>
      </c>
      <c r="E1888" s="17">
        <v>7</v>
      </c>
      <c r="F1888" s="17">
        <v>48</v>
      </c>
      <c r="G1888" s="18">
        <v>336</v>
      </c>
      <c r="H1888" s="30" t="s">
        <v>2296</v>
      </c>
      <c r="J1888" s="34"/>
    </row>
    <row r="1889" spans="1:10" x14ac:dyDescent="0.25">
      <c r="A1889" s="15">
        <v>41059</v>
      </c>
      <c r="B1889" s="16" t="s">
        <v>865</v>
      </c>
      <c r="C1889" t="s">
        <v>8</v>
      </c>
      <c r="D1889" t="s">
        <v>48</v>
      </c>
      <c r="E1889" s="17">
        <v>3</v>
      </c>
      <c r="F1889" s="17">
        <v>35.35</v>
      </c>
      <c r="G1889" s="18">
        <v>106.05</v>
      </c>
      <c r="H1889" s="30" t="s">
        <v>2296</v>
      </c>
      <c r="J1889" s="34"/>
    </row>
    <row r="1890" spans="1:10" x14ac:dyDescent="0.25">
      <c r="A1890" s="15">
        <v>41059</v>
      </c>
      <c r="B1890" s="16" t="s">
        <v>867</v>
      </c>
      <c r="C1890" t="s">
        <v>868</v>
      </c>
      <c r="D1890" t="s">
        <v>48</v>
      </c>
      <c r="E1890" s="17">
        <v>1</v>
      </c>
      <c r="F1890" s="17">
        <v>90</v>
      </c>
      <c r="G1890" s="18">
        <v>90</v>
      </c>
      <c r="H1890" s="30" t="s">
        <v>2296</v>
      </c>
      <c r="J1890" s="34"/>
    </row>
    <row r="1891" spans="1:10" x14ac:dyDescent="0.25">
      <c r="A1891" s="15">
        <v>41059</v>
      </c>
      <c r="B1891" s="16" t="s">
        <v>969</v>
      </c>
      <c r="C1891" t="s">
        <v>934</v>
      </c>
      <c r="D1891" t="s">
        <v>48</v>
      </c>
      <c r="E1891" s="17">
        <v>6.5</v>
      </c>
      <c r="F1891" s="17">
        <v>100</v>
      </c>
      <c r="G1891" s="18">
        <v>650</v>
      </c>
      <c r="H1891" s="30" t="s">
        <v>2296</v>
      </c>
      <c r="J1891" s="34"/>
    </row>
    <row r="1892" spans="1:10" x14ac:dyDescent="0.25">
      <c r="A1892" s="15">
        <v>41059</v>
      </c>
      <c r="B1892" s="16" t="s">
        <v>880</v>
      </c>
      <c r="C1892" t="s">
        <v>881</v>
      </c>
      <c r="D1892" t="s">
        <v>48</v>
      </c>
      <c r="E1892" s="17">
        <v>3</v>
      </c>
      <c r="F1892" s="17">
        <v>95</v>
      </c>
      <c r="G1892" s="18">
        <v>285</v>
      </c>
      <c r="H1892" s="30" t="s">
        <v>2296</v>
      </c>
      <c r="J1892" s="34"/>
    </row>
    <row r="1893" spans="1:10" x14ac:dyDescent="0.25">
      <c r="A1893" s="15">
        <v>41059</v>
      </c>
      <c r="B1893" s="16" t="s">
        <v>887</v>
      </c>
      <c r="C1893" t="s">
        <v>873</v>
      </c>
      <c r="D1893" t="s">
        <v>48</v>
      </c>
      <c r="E1893" s="17">
        <v>10</v>
      </c>
      <c r="F1893" s="17">
        <v>95</v>
      </c>
      <c r="G1893" s="18">
        <v>950</v>
      </c>
      <c r="H1893" s="30" t="s">
        <v>2296</v>
      </c>
      <c r="J1893" s="34"/>
    </row>
    <row r="1894" spans="1:10" x14ac:dyDescent="0.25">
      <c r="A1894" s="15">
        <v>41059</v>
      </c>
      <c r="B1894" s="16" t="s">
        <v>865</v>
      </c>
      <c r="C1894" t="s">
        <v>8</v>
      </c>
      <c r="D1894" t="s">
        <v>48</v>
      </c>
      <c r="E1894" s="17">
        <v>7</v>
      </c>
      <c r="F1894" s="17">
        <v>35.35</v>
      </c>
      <c r="G1894" s="18">
        <v>247.45</v>
      </c>
      <c r="H1894" s="30" t="s">
        <v>2296</v>
      </c>
      <c r="J1894" s="34"/>
    </row>
    <row r="1895" spans="1:10" x14ac:dyDescent="0.25">
      <c r="A1895" s="15">
        <v>41062</v>
      </c>
      <c r="B1895" s="16" t="s">
        <v>865</v>
      </c>
      <c r="C1895" t="s">
        <v>8</v>
      </c>
      <c r="D1895" t="s">
        <v>48</v>
      </c>
      <c r="E1895" s="17">
        <v>4</v>
      </c>
      <c r="F1895" s="17">
        <v>48</v>
      </c>
      <c r="G1895" s="18">
        <v>192</v>
      </c>
      <c r="H1895" s="30" t="s">
        <v>2296</v>
      </c>
      <c r="J1895" s="34"/>
    </row>
    <row r="1896" spans="1:10" x14ac:dyDescent="0.25">
      <c r="A1896" s="15">
        <v>41062</v>
      </c>
      <c r="B1896" s="16" t="s">
        <v>865</v>
      </c>
      <c r="C1896" t="s">
        <v>8</v>
      </c>
      <c r="D1896" t="s">
        <v>48</v>
      </c>
      <c r="E1896" s="17">
        <v>4</v>
      </c>
      <c r="F1896" s="17">
        <v>35.35</v>
      </c>
      <c r="G1896" s="18">
        <v>141.4</v>
      </c>
      <c r="H1896" s="30" t="s">
        <v>2296</v>
      </c>
      <c r="J1896" s="34"/>
    </row>
    <row r="1897" spans="1:10" x14ac:dyDescent="0.25">
      <c r="A1897" s="15">
        <v>41062</v>
      </c>
      <c r="B1897" s="16" t="s">
        <v>865</v>
      </c>
      <c r="C1897" t="s">
        <v>8</v>
      </c>
      <c r="D1897" t="s">
        <v>48</v>
      </c>
      <c r="E1897" s="17">
        <v>4</v>
      </c>
      <c r="F1897" s="17">
        <v>35.35</v>
      </c>
      <c r="G1897" s="18">
        <v>141.4</v>
      </c>
      <c r="H1897" s="30" t="s">
        <v>2296</v>
      </c>
      <c r="J1897" s="34"/>
    </row>
    <row r="1898" spans="1:10" x14ac:dyDescent="0.25">
      <c r="A1898" s="15">
        <v>41062</v>
      </c>
      <c r="B1898" s="16" t="s">
        <v>877</v>
      </c>
      <c r="C1898" t="s">
        <v>868</v>
      </c>
      <c r="D1898" t="s">
        <v>48</v>
      </c>
      <c r="E1898" s="17">
        <v>2</v>
      </c>
      <c r="F1898" s="17">
        <v>90</v>
      </c>
      <c r="G1898" s="18">
        <v>180</v>
      </c>
      <c r="H1898" s="30" t="s">
        <v>2296</v>
      </c>
      <c r="J1898" s="34"/>
    </row>
    <row r="1899" spans="1:10" x14ac:dyDescent="0.25">
      <c r="A1899" s="15">
        <v>41064</v>
      </c>
      <c r="B1899" s="16" t="s">
        <v>880</v>
      </c>
      <c r="C1899" t="s">
        <v>881</v>
      </c>
      <c r="D1899" t="s">
        <v>48</v>
      </c>
      <c r="E1899" s="17">
        <v>2</v>
      </c>
      <c r="F1899" s="17">
        <v>95</v>
      </c>
      <c r="G1899" s="18">
        <v>190</v>
      </c>
      <c r="H1899" s="30" t="s">
        <v>2296</v>
      </c>
      <c r="J1899" s="34"/>
    </row>
    <row r="1900" spans="1:10" x14ac:dyDescent="0.25">
      <c r="A1900" s="15">
        <v>41065</v>
      </c>
      <c r="B1900" s="16" t="s">
        <v>880</v>
      </c>
      <c r="C1900" t="s">
        <v>881</v>
      </c>
      <c r="D1900" t="s">
        <v>48</v>
      </c>
      <c r="E1900" s="17">
        <v>2</v>
      </c>
      <c r="F1900" s="17">
        <v>95</v>
      </c>
      <c r="G1900" s="18">
        <v>190</v>
      </c>
      <c r="H1900" s="30" t="s">
        <v>2296</v>
      </c>
      <c r="J1900" s="34"/>
    </row>
    <row r="1901" spans="1:10" x14ac:dyDescent="0.25">
      <c r="A1901" s="15">
        <v>41065</v>
      </c>
      <c r="B1901" s="16" t="s">
        <v>887</v>
      </c>
      <c r="C1901" t="s">
        <v>873</v>
      </c>
      <c r="D1901" t="s">
        <v>48</v>
      </c>
      <c r="E1901" s="17">
        <v>4</v>
      </c>
      <c r="F1901" s="17">
        <v>95</v>
      </c>
      <c r="G1901" s="18">
        <v>380</v>
      </c>
      <c r="H1901" s="30" t="s">
        <v>2296</v>
      </c>
      <c r="J1901" s="34"/>
    </row>
    <row r="1902" spans="1:10" x14ac:dyDescent="0.25">
      <c r="A1902" s="15">
        <v>41066</v>
      </c>
      <c r="B1902" s="16" t="s">
        <v>969</v>
      </c>
      <c r="C1902" t="s">
        <v>934</v>
      </c>
      <c r="D1902" t="s">
        <v>48</v>
      </c>
      <c r="E1902" s="17">
        <v>6</v>
      </c>
      <c r="F1902" s="17">
        <v>100</v>
      </c>
      <c r="G1902" s="18">
        <v>600</v>
      </c>
      <c r="H1902" s="30" t="s">
        <v>2296</v>
      </c>
      <c r="J1902" s="34"/>
    </row>
    <row r="1903" spans="1:10" x14ac:dyDescent="0.25">
      <c r="A1903" s="15">
        <v>41066</v>
      </c>
      <c r="B1903" s="16" t="s">
        <v>970</v>
      </c>
      <c r="C1903" t="s">
        <v>934</v>
      </c>
      <c r="D1903" t="s">
        <v>48</v>
      </c>
      <c r="E1903" s="17">
        <v>2.75</v>
      </c>
      <c r="F1903" s="17">
        <v>92.73</v>
      </c>
      <c r="G1903" s="18">
        <v>255.00749999999999</v>
      </c>
      <c r="H1903" s="30" t="s">
        <v>2296</v>
      </c>
      <c r="J1903" s="34"/>
    </row>
    <row r="1904" spans="1:10" x14ac:dyDescent="0.25">
      <c r="A1904" s="15">
        <v>41066</v>
      </c>
      <c r="B1904" s="16" t="s">
        <v>865</v>
      </c>
      <c r="C1904" t="s">
        <v>8</v>
      </c>
      <c r="D1904" t="s">
        <v>48</v>
      </c>
      <c r="E1904" s="17">
        <v>6.5</v>
      </c>
      <c r="F1904" s="17">
        <v>35.35</v>
      </c>
      <c r="G1904" s="18">
        <v>229.77500000000001</v>
      </c>
      <c r="H1904" s="30" t="s">
        <v>2296</v>
      </c>
      <c r="J1904" s="34"/>
    </row>
    <row r="1905" spans="1:10" x14ac:dyDescent="0.25">
      <c r="A1905" s="15">
        <v>41066</v>
      </c>
      <c r="B1905" s="16" t="s">
        <v>865</v>
      </c>
      <c r="C1905" t="s">
        <v>8</v>
      </c>
      <c r="D1905" t="s">
        <v>48</v>
      </c>
      <c r="E1905" s="17">
        <v>6.5</v>
      </c>
      <c r="F1905" s="17">
        <v>48</v>
      </c>
      <c r="G1905" s="18">
        <v>312</v>
      </c>
      <c r="H1905" s="30" t="s">
        <v>2296</v>
      </c>
      <c r="J1905" s="34"/>
    </row>
    <row r="1906" spans="1:10" x14ac:dyDescent="0.25">
      <c r="A1906" s="15">
        <v>41066</v>
      </c>
      <c r="B1906" s="16" t="s">
        <v>865</v>
      </c>
      <c r="C1906" t="s">
        <v>8</v>
      </c>
      <c r="D1906" t="s">
        <v>48</v>
      </c>
      <c r="E1906" s="17">
        <v>2</v>
      </c>
      <c r="F1906" s="17">
        <v>35.35</v>
      </c>
      <c r="G1906" s="18">
        <v>70.7</v>
      </c>
      <c r="H1906" s="30" t="s">
        <v>2296</v>
      </c>
      <c r="J1906" s="34"/>
    </row>
    <row r="1907" spans="1:10" x14ac:dyDescent="0.25">
      <c r="A1907" s="15">
        <v>41066</v>
      </c>
      <c r="B1907" s="16" t="s">
        <v>887</v>
      </c>
      <c r="C1907" t="s">
        <v>873</v>
      </c>
      <c r="D1907" t="s">
        <v>48</v>
      </c>
      <c r="E1907" s="17">
        <v>8.5</v>
      </c>
      <c r="F1907" s="17">
        <v>95</v>
      </c>
      <c r="G1907" s="18">
        <v>807.5</v>
      </c>
      <c r="H1907" s="30" t="s">
        <v>2296</v>
      </c>
      <c r="J1907" s="34"/>
    </row>
    <row r="1908" spans="1:10" x14ac:dyDescent="0.25">
      <c r="A1908" s="15">
        <v>41066</v>
      </c>
      <c r="B1908" s="16" t="s">
        <v>877</v>
      </c>
      <c r="C1908" t="s">
        <v>868</v>
      </c>
      <c r="D1908" t="s">
        <v>48</v>
      </c>
      <c r="E1908" s="17">
        <v>5</v>
      </c>
      <c r="F1908" s="17">
        <v>90</v>
      </c>
      <c r="G1908" s="18">
        <v>450</v>
      </c>
      <c r="H1908" s="30" t="s">
        <v>2296</v>
      </c>
      <c r="J1908" s="34"/>
    </row>
    <row r="1909" spans="1:10" x14ac:dyDescent="0.25">
      <c r="A1909" s="15">
        <v>41067</v>
      </c>
      <c r="B1909" s="16" t="s">
        <v>874</v>
      </c>
      <c r="C1909" t="s">
        <v>875</v>
      </c>
      <c r="D1909" t="s">
        <v>48</v>
      </c>
      <c r="E1909" s="17">
        <v>4</v>
      </c>
      <c r="F1909" s="17">
        <v>25.78</v>
      </c>
      <c r="G1909" s="18">
        <v>103.12</v>
      </c>
      <c r="H1909" s="30" t="s">
        <v>2296</v>
      </c>
      <c r="J1909" s="34"/>
    </row>
    <row r="1910" spans="1:10" x14ac:dyDescent="0.25">
      <c r="A1910" s="15">
        <v>41067</v>
      </c>
      <c r="B1910" s="16" t="s">
        <v>865</v>
      </c>
      <c r="C1910" t="s">
        <v>8</v>
      </c>
      <c r="D1910" t="s">
        <v>48</v>
      </c>
      <c r="E1910" s="17">
        <v>3</v>
      </c>
      <c r="F1910" s="17">
        <v>35.35</v>
      </c>
      <c r="G1910" s="18">
        <v>106.05</v>
      </c>
      <c r="H1910" s="30" t="s">
        <v>2296</v>
      </c>
      <c r="J1910" s="34"/>
    </row>
    <row r="1911" spans="1:10" x14ac:dyDescent="0.25">
      <c r="A1911" s="15">
        <v>41067</v>
      </c>
      <c r="B1911" s="16" t="s">
        <v>969</v>
      </c>
      <c r="C1911" t="s">
        <v>934</v>
      </c>
      <c r="D1911" t="s">
        <v>48</v>
      </c>
      <c r="E1911" s="17">
        <v>6</v>
      </c>
      <c r="F1911" s="17">
        <v>100</v>
      </c>
      <c r="G1911" s="18">
        <v>600</v>
      </c>
      <c r="H1911" s="30" t="s">
        <v>2296</v>
      </c>
      <c r="J1911" s="34"/>
    </row>
    <row r="1912" spans="1:10" x14ac:dyDescent="0.25">
      <c r="A1912" s="15">
        <v>41067</v>
      </c>
      <c r="B1912" s="16" t="s">
        <v>887</v>
      </c>
      <c r="C1912" t="s">
        <v>873</v>
      </c>
      <c r="D1912" t="s">
        <v>48</v>
      </c>
      <c r="E1912" s="17">
        <v>5</v>
      </c>
      <c r="F1912" s="17">
        <v>95</v>
      </c>
      <c r="G1912" s="18">
        <v>475</v>
      </c>
      <c r="H1912" s="30" t="s">
        <v>2296</v>
      </c>
      <c r="J1912" s="34"/>
    </row>
    <row r="1913" spans="1:10" x14ac:dyDescent="0.25">
      <c r="A1913" s="15">
        <v>41067</v>
      </c>
      <c r="B1913" s="16" t="s">
        <v>865</v>
      </c>
      <c r="C1913" t="s">
        <v>8</v>
      </c>
      <c r="D1913" t="s">
        <v>48</v>
      </c>
      <c r="E1913" s="17">
        <v>3</v>
      </c>
      <c r="F1913" s="17">
        <v>48</v>
      </c>
      <c r="G1913" s="18">
        <v>144</v>
      </c>
      <c r="H1913" s="30" t="s">
        <v>2296</v>
      </c>
      <c r="J1913" s="34"/>
    </row>
    <row r="1914" spans="1:10" x14ac:dyDescent="0.25">
      <c r="A1914" s="15">
        <v>41068</v>
      </c>
      <c r="B1914" s="16" t="s">
        <v>865</v>
      </c>
      <c r="C1914" t="s">
        <v>8</v>
      </c>
      <c r="D1914" t="s">
        <v>48</v>
      </c>
      <c r="E1914" s="17">
        <v>2</v>
      </c>
      <c r="F1914" s="17">
        <v>35.35</v>
      </c>
      <c r="G1914" s="18">
        <v>70.7</v>
      </c>
      <c r="H1914" s="30" t="s">
        <v>2296</v>
      </c>
      <c r="J1914" s="34"/>
    </row>
    <row r="1915" spans="1:10" x14ac:dyDescent="0.25">
      <c r="A1915" s="15">
        <v>41068</v>
      </c>
      <c r="B1915" s="16" t="s">
        <v>887</v>
      </c>
      <c r="C1915" t="s">
        <v>873</v>
      </c>
      <c r="D1915" t="s">
        <v>48</v>
      </c>
      <c r="E1915" s="17">
        <v>6</v>
      </c>
      <c r="F1915" s="17">
        <v>95</v>
      </c>
      <c r="G1915" s="18">
        <v>570</v>
      </c>
      <c r="H1915" s="30" t="s">
        <v>2296</v>
      </c>
      <c r="J1915" s="34"/>
    </row>
    <row r="1916" spans="1:10" x14ac:dyDescent="0.25">
      <c r="A1916" s="15">
        <v>41072</v>
      </c>
      <c r="B1916" s="16" t="s">
        <v>874</v>
      </c>
      <c r="C1916" t="s">
        <v>875</v>
      </c>
      <c r="D1916" t="s">
        <v>48</v>
      </c>
      <c r="E1916" s="17">
        <v>3</v>
      </c>
      <c r="F1916" s="17">
        <v>25.78</v>
      </c>
      <c r="G1916" s="18">
        <v>77.34</v>
      </c>
      <c r="H1916" s="30" t="s">
        <v>2296</v>
      </c>
      <c r="J1916" s="34"/>
    </row>
    <row r="1917" spans="1:10" x14ac:dyDescent="0.25">
      <c r="A1917" s="15">
        <v>41072</v>
      </c>
      <c r="B1917" s="16" t="s">
        <v>885</v>
      </c>
      <c r="C1917" t="s">
        <v>934</v>
      </c>
      <c r="D1917" t="s">
        <v>48</v>
      </c>
      <c r="E1917" s="17">
        <v>5.5</v>
      </c>
      <c r="F1917" s="17">
        <v>82.727000000000004</v>
      </c>
      <c r="G1917" s="18">
        <v>454.99849999999998</v>
      </c>
      <c r="H1917" s="30" t="s">
        <v>2296</v>
      </c>
      <c r="J1917" s="34"/>
    </row>
    <row r="1918" spans="1:10" x14ac:dyDescent="0.25">
      <c r="A1918" s="15">
        <v>41072</v>
      </c>
      <c r="B1918" s="16" t="s">
        <v>865</v>
      </c>
      <c r="C1918" t="s">
        <v>8</v>
      </c>
      <c r="D1918" t="s">
        <v>48</v>
      </c>
      <c r="E1918" s="17">
        <v>5.5</v>
      </c>
      <c r="F1918" s="17">
        <v>35.35</v>
      </c>
      <c r="G1918" s="18">
        <v>194.42500000000001</v>
      </c>
      <c r="H1918" s="30" t="s">
        <v>2296</v>
      </c>
      <c r="J1918" s="34"/>
    </row>
    <row r="1919" spans="1:10" x14ac:dyDescent="0.25">
      <c r="A1919" s="15">
        <v>41072</v>
      </c>
      <c r="B1919" s="16" t="s">
        <v>865</v>
      </c>
      <c r="C1919" t="s">
        <v>8</v>
      </c>
      <c r="D1919" t="s">
        <v>48</v>
      </c>
      <c r="E1919" s="17">
        <v>5.5</v>
      </c>
      <c r="F1919" s="17">
        <v>35.35</v>
      </c>
      <c r="G1919" s="18">
        <v>194.42500000000001</v>
      </c>
      <c r="H1919" s="30" t="s">
        <v>2296</v>
      </c>
      <c r="J1919" s="34"/>
    </row>
    <row r="1920" spans="1:10" x14ac:dyDescent="0.25">
      <c r="A1920" s="15">
        <v>41072</v>
      </c>
      <c r="B1920" s="16" t="s">
        <v>865</v>
      </c>
      <c r="C1920" t="s">
        <v>8</v>
      </c>
      <c r="D1920" t="s">
        <v>48</v>
      </c>
      <c r="E1920" s="17">
        <v>5.5</v>
      </c>
      <c r="F1920" s="17">
        <v>35.35</v>
      </c>
      <c r="G1920" s="18">
        <v>194.42500000000001</v>
      </c>
      <c r="H1920" s="30" t="s">
        <v>2296</v>
      </c>
      <c r="J1920" s="34"/>
    </row>
    <row r="1921" spans="1:10" x14ac:dyDescent="0.25">
      <c r="A1921" s="15">
        <v>41072</v>
      </c>
      <c r="B1921" s="16" t="s">
        <v>880</v>
      </c>
      <c r="C1921" t="s">
        <v>881</v>
      </c>
      <c r="D1921" t="s">
        <v>48</v>
      </c>
      <c r="E1921" s="17">
        <v>7</v>
      </c>
      <c r="F1921" s="17">
        <v>95</v>
      </c>
      <c r="G1921" s="18">
        <v>665</v>
      </c>
      <c r="H1921" s="30" t="s">
        <v>2296</v>
      </c>
      <c r="J1921" s="34"/>
    </row>
    <row r="1922" spans="1:10" x14ac:dyDescent="0.25">
      <c r="A1922" s="15">
        <v>41072</v>
      </c>
      <c r="B1922" s="16" t="s">
        <v>920</v>
      </c>
      <c r="C1922" t="s">
        <v>871</v>
      </c>
      <c r="D1922" t="s">
        <v>48</v>
      </c>
      <c r="E1922" s="17">
        <v>7.5</v>
      </c>
      <c r="F1922" s="17">
        <v>130</v>
      </c>
      <c r="G1922" s="18">
        <v>975</v>
      </c>
      <c r="H1922" s="30" t="s">
        <v>2296</v>
      </c>
      <c r="J1922" s="34"/>
    </row>
    <row r="1923" spans="1:10" x14ac:dyDescent="0.25">
      <c r="A1923" s="15">
        <v>41072</v>
      </c>
      <c r="B1923" s="16" t="s">
        <v>877</v>
      </c>
      <c r="C1923" t="s">
        <v>868</v>
      </c>
      <c r="D1923" t="s">
        <v>48</v>
      </c>
      <c r="E1923" s="17">
        <v>3</v>
      </c>
      <c r="F1923" s="17">
        <v>90</v>
      </c>
      <c r="G1923" s="18">
        <v>270</v>
      </c>
      <c r="H1923" s="30" t="s">
        <v>2296</v>
      </c>
      <c r="J1923" s="34"/>
    </row>
    <row r="1924" spans="1:10" x14ac:dyDescent="0.25">
      <c r="A1924" s="15">
        <v>41072</v>
      </c>
      <c r="B1924" s="16" t="s">
        <v>887</v>
      </c>
      <c r="C1924" t="s">
        <v>873</v>
      </c>
      <c r="D1924" t="s">
        <v>48</v>
      </c>
      <c r="E1924" s="17">
        <v>10</v>
      </c>
      <c r="F1924" s="17">
        <v>95</v>
      </c>
      <c r="G1924" s="18">
        <v>950</v>
      </c>
      <c r="H1924" s="30" t="s">
        <v>2296</v>
      </c>
      <c r="J1924" s="34"/>
    </row>
    <row r="1925" spans="1:10" x14ac:dyDescent="0.25">
      <c r="A1925" s="15">
        <v>41073</v>
      </c>
      <c r="B1925" s="16" t="s">
        <v>887</v>
      </c>
      <c r="C1925" t="s">
        <v>873</v>
      </c>
      <c r="D1925" t="s">
        <v>48</v>
      </c>
      <c r="E1925" s="17">
        <v>10.5</v>
      </c>
      <c r="F1925" s="17">
        <v>95</v>
      </c>
      <c r="G1925" s="18">
        <v>997.5</v>
      </c>
      <c r="H1925" s="30" t="s">
        <v>2296</v>
      </c>
      <c r="J1925" s="34"/>
    </row>
    <row r="1926" spans="1:10" x14ac:dyDescent="0.25">
      <c r="A1926" s="15">
        <v>41074</v>
      </c>
      <c r="B1926" s="16" t="s">
        <v>865</v>
      </c>
      <c r="C1926" t="s">
        <v>8</v>
      </c>
      <c r="D1926" t="s">
        <v>48</v>
      </c>
      <c r="E1926" s="17">
        <v>6.5</v>
      </c>
      <c r="F1926" s="17">
        <v>35.35</v>
      </c>
      <c r="G1926" s="18">
        <v>229.77500000000001</v>
      </c>
      <c r="H1926" s="30" t="s">
        <v>2296</v>
      </c>
      <c r="J1926" s="34"/>
    </row>
    <row r="1927" spans="1:10" x14ac:dyDescent="0.25">
      <c r="A1927" s="15">
        <v>41074</v>
      </c>
      <c r="B1927" s="16" t="s">
        <v>874</v>
      </c>
      <c r="C1927" t="s">
        <v>875</v>
      </c>
      <c r="D1927" t="s">
        <v>48</v>
      </c>
      <c r="E1927" s="17">
        <v>3</v>
      </c>
      <c r="F1927" s="17">
        <v>25.78</v>
      </c>
      <c r="G1927" s="18">
        <v>77.34</v>
      </c>
      <c r="H1927" s="30" t="s">
        <v>2296</v>
      </c>
      <c r="J1927" s="34"/>
    </row>
    <row r="1928" spans="1:10" x14ac:dyDescent="0.25">
      <c r="A1928" s="15">
        <v>41074</v>
      </c>
      <c r="B1928" s="16" t="s">
        <v>865</v>
      </c>
      <c r="C1928" t="s">
        <v>8</v>
      </c>
      <c r="D1928" t="s">
        <v>48</v>
      </c>
      <c r="E1928" s="17">
        <v>1.5</v>
      </c>
      <c r="F1928" s="17">
        <v>48</v>
      </c>
      <c r="G1928" s="18">
        <v>72</v>
      </c>
      <c r="H1928" s="30" t="s">
        <v>2296</v>
      </c>
      <c r="J1928" s="34"/>
    </row>
    <row r="1929" spans="1:10" x14ac:dyDescent="0.25">
      <c r="A1929" s="15">
        <v>41074</v>
      </c>
      <c r="B1929" s="16" t="s">
        <v>865</v>
      </c>
      <c r="C1929" t="s">
        <v>8</v>
      </c>
      <c r="D1929" t="s">
        <v>48</v>
      </c>
      <c r="E1929" s="17">
        <v>6.5</v>
      </c>
      <c r="F1929" s="17">
        <v>35.35</v>
      </c>
      <c r="G1929" s="18">
        <v>229.77500000000001</v>
      </c>
      <c r="H1929" s="30" t="s">
        <v>2296</v>
      </c>
      <c r="J1929" s="34"/>
    </row>
    <row r="1930" spans="1:10" x14ac:dyDescent="0.25">
      <c r="A1930" s="15">
        <v>41074</v>
      </c>
      <c r="B1930" s="16" t="s">
        <v>865</v>
      </c>
      <c r="C1930" t="s">
        <v>8</v>
      </c>
      <c r="D1930" t="s">
        <v>48</v>
      </c>
      <c r="E1930" s="17">
        <v>6.5</v>
      </c>
      <c r="F1930" s="17">
        <v>35.35</v>
      </c>
      <c r="G1930" s="18">
        <v>229.77500000000001</v>
      </c>
      <c r="H1930" s="30" t="s">
        <v>2296</v>
      </c>
      <c r="J1930" s="34"/>
    </row>
    <row r="1931" spans="1:10" x14ac:dyDescent="0.25">
      <c r="A1931" s="15">
        <v>41074</v>
      </c>
      <c r="B1931" s="16" t="s">
        <v>865</v>
      </c>
      <c r="C1931" t="s">
        <v>8</v>
      </c>
      <c r="D1931" t="s">
        <v>48</v>
      </c>
      <c r="E1931" s="17">
        <v>1.5</v>
      </c>
      <c r="F1931" s="17">
        <v>35.35</v>
      </c>
      <c r="G1931" s="18">
        <v>53.024999999999999</v>
      </c>
      <c r="H1931" s="30" t="s">
        <v>2296</v>
      </c>
      <c r="J1931" s="34"/>
    </row>
    <row r="1932" spans="1:10" x14ac:dyDescent="0.25">
      <c r="A1932" s="15">
        <v>41074</v>
      </c>
      <c r="B1932" s="16" t="s">
        <v>887</v>
      </c>
      <c r="C1932" t="s">
        <v>873</v>
      </c>
      <c r="D1932" t="s">
        <v>48</v>
      </c>
      <c r="E1932" s="17">
        <v>9.5</v>
      </c>
      <c r="F1932" s="17">
        <v>95</v>
      </c>
      <c r="G1932" s="18">
        <v>902.5</v>
      </c>
      <c r="H1932" s="30" t="s">
        <v>2296</v>
      </c>
      <c r="J1932" s="34"/>
    </row>
    <row r="1933" spans="1:10" x14ac:dyDescent="0.25">
      <c r="A1933" s="15">
        <v>41074</v>
      </c>
      <c r="B1933" s="16" t="s">
        <v>885</v>
      </c>
      <c r="C1933" t="s">
        <v>934</v>
      </c>
      <c r="D1933" t="s">
        <v>48</v>
      </c>
      <c r="E1933" s="17">
        <v>5.5</v>
      </c>
      <c r="F1933" s="17">
        <v>82.727000000000004</v>
      </c>
      <c r="G1933" s="18">
        <v>454.99849999999998</v>
      </c>
      <c r="H1933" s="30" t="s">
        <v>2296</v>
      </c>
      <c r="J1933" s="34"/>
    </row>
    <row r="1934" spans="1:10" x14ac:dyDescent="0.25">
      <c r="A1934" s="15">
        <v>41074</v>
      </c>
      <c r="B1934" s="16" t="s">
        <v>920</v>
      </c>
      <c r="C1934" t="s">
        <v>871</v>
      </c>
      <c r="D1934" t="s">
        <v>48</v>
      </c>
      <c r="E1934" s="17">
        <v>5.5</v>
      </c>
      <c r="F1934" s="17">
        <v>130</v>
      </c>
      <c r="G1934" s="18">
        <v>715</v>
      </c>
      <c r="H1934" s="30" t="s">
        <v>2296</v>
      </c>
      <c r="J1934" s="34"/>
    </row>
    <row r="1935" spans="1:10" x14ac:dyDescent="0.25">
      <c r="A1935" s="15">
        <v>41074</v>
      </c>
      <c r="B1935" s="16" t="s">
        <v>880</v>
      </c>
      <c r="C1935" t="s">
        <v>881</v>
      </c>
      <c r="D1935" t="s">
        <v>48</v>
      </c>
      <c r="E1935" s="17">
        <v>4</v>
      </c>
      <c r="F1935" s="17">
        <v>95</v>
      </c>
      <c r="G1935" s="18">
        <v>380</v>
      </c>
      <c r="H1935" s="30" t="s">
        <v>2296</v>
      </c>
      <c r="J1935" s="34"/>
    </row>
    <row r="1936" spans="1:10" x14ac:dyDescent="0.25">
      <c r="A1936" s="15">
        <v>41075</v>
      </c>
      <c r="B1936" s="16" t="s">
        <v>880</v>
      </c>
      <c r="C1936" t="s">
        <v>881</v>
      </c>
      <c r="D1936" t="s">
        <v>48</v>
      </c>
      <c r="E1936" s="17">
        <v>4</v>
      </c>
      <c r="F1936" s="17">
        <v>95</v>
      </c>
      <c r="G1936" s="18">
        <v>380</v>
      </c>
      <c r="H1936" s="30" t="s">
        <v>2296</v>
      </c>
      <c r="J1936" s="34"/>
    </row>
    <row r="1937" spans="1:10" x14ac:dyDescent="0.25">
      <c r="A1937" s="15">
        <v>41075</v>
      </c>
      <c r="B1937" s="16" t="s">
        <v>920</v>
      </c>
      <c r="C1937" t="s">
        <v>871</v>
      </c>
      <c r="D1937" t="s">
        <v>48</v>
      </c>
      <c r="E1937" s="17">
        <v>2</v>
      </c>
      <c r="F1937" s="17">
        <v>130</v>
      </c>
      <c r="G1937" s="18">
        <v>260</v>
      </c>
      <c r="H1937" s="30" t="s">
        <v>2296</v>
      </c>
      <c r="J1937" s="34"/>
    </row>
    <row r="1938" spans="1:10" x14ac:dyDescent="0.25">
      <c r="A1938" s="15">
        <v>41075</v>
      </c>
      <c r="B1938" s="16" t="s">
        <v>885</v>
      </c>
      <c r="C1938" t="s">
        <v>934</v>
      </c>
      <c r="D1938" t="s">
        <v>48</v>
      </c>
      <c r="E1938" s="17">
        <v>4</v>
      </c>
      <c r="F1938" s="17">
        <v>82.727000000000004</v>
      </c>
      <c r="G1938" s="18">
        <v>330.90800000000002</v>
      </c>
      <c r="H1938" s="30" t="s">
        <v>2296</v>
      </c>
      <c r="J1938" s="34"/>
    </row>
    <row r="1939" spans="1:10" x14ac:dyDescent="0.25">
      <c r="A1939" s="15">
        <v>41075</v>
      </c>
      <c r="B1939" s="16" t="s">
        <v>887</v>
      </c>
      <c r="C1939" t="s">
        <v>873</v>
      </c>
      <c r="D1939" t="s">
        <v>48</v>
      </c>
      <c r="E1939" s="17">
        <v>9</v>
      </c>
      <c r="F1939" s="17">
        <v>95</v>
      </c>
      <c r="G1939" s="18">
        <v>855</v>
      </c>
      <c r="H1939" s="30" t="s">
        <v>2296</v>
      </c>
      <c r="J1939" s="34"/>
    </row>
    <row r="1940" spans="1:10" x14ac:dyDescent="0.25">
      <c r="A1940" s="15">
        <v>41075</v>
      </c>
      <c r="B1940" s="16" t="s">
        <v>874</v>
      </c>
      <c r="C1940" t="s">
        <v>875</v>
      </c>
      <c r="D1940" t="s">
        <v>48</v>
      </c>
      <c r="E1940" s="17">
        <v>4</v>
      </c>
      <c r="F1940" s="17">
        <v>25.78</v>
      </c>
      <c r="G1940" s="18">
        <v>103.12</v>
      </c>
      <c r="H1940" s="30" t="s">
        <v>2296</v>
      </c>
      <c r="J1940" s="34"/>
    </row>
    <row r="1941" spans="1:10" x14ac:dyDescent="0.25">
      <c r="A1941" s="15">
        <v>41075</v>
      </c>
      <c r="B1941" s="16" t="s">
        <v>865</v>
      </c>
      <c r="C1941" t="s">
        <v>8</v>
      </c>
      <c r="D1941" t="s">
        <v>48</v>
      </c>
      <c r="E1941" s="17">
        <v>2</v>
      </c>
      <c r="F1941" s="17">
        <v>35.35</v>
      </c>
      <c r="G1941" s="18">
        <v>70.7</v>
      </c>
      <c r="H1941" s="30" t="s">
        <v>2296</v>
      </c>
      <c r="J1941" s="34"/>
    </row>
    <row r="1942" spans="1:10" x14ac:dyDescent="0.25">
      <c r="A1942" s="15">
        <v>41075</v>
      </c>
      <c r="B1942" s="16" t="s">
        <v>865</v>
      </c>
      <c r="C1942" t="s">
        <v>8</v>
      </c>
      <c r="D1942" t="s">
        <v>48</v>
      </c>
      <c r="E1942" s="17">
        <v>4</v>
      </c>
      <c r="F1942" s="17">
        <v>48</v>
      </c>
      <c r="G1942" s="18">
        <v>192</v>
      </c>
      <c r="H1942" s="30" t="s">
        <v>2296</v>
      </c>
      <c r="J1942" s="34"/>
    </row>
    <row r="1943" spans="1:10" x14ac:dyDescent="0.25">
      <c r="A1943" s="15">
        <v>41075</v>
      </c>
      <c r="B1943" s="16" t="s">
        <v>865</v>
      </c>
      <c r="C1943" t="s">
        <v>8</v>
      </c>
      <c r="D1943" t="s">
        <v>48</v>
      </c>
      <c r="E1943" s="17">
        <v>2</v>
      </c>
      <c r="F1943" s="17">
        <v>35.35</v>
      </c>
      <c r="G1943" s="18">
        <v>70.7</v>
      </c>
      <c r="H1943" s="30" t="s">
        <v>2296</v>
      </c>
      <c r="J1943" s="34"/>
    </row>
    <row r="1944" spans="1:10" x14ac:dyDescent="0.25">
      <c r="A1944" s="15">
        <v>41075</v>
      </c>
      <c r="B1944" s="16" t="s">
        <v>865</v>
      </c>
      <c r="C1944" t="s">
        <v>8</v>
      </c>
      <c r="D1944" t="s">
        <v>48</v>
      </c>
      <c r="E1944" s="17">
        <v>4</v>
      </c>
      <c r="F1944" s="17">
        <v>35.35</v>
      </c>
      <c r="G1944" s="18">
        <v>141.4</v>
      </c>
      <c r="H1944" s="30" t="s">
        <v>2296</v>
      </c>
      <c r="J1944" s="34"/>
    </row>
    <row r="1945" spans="1:10" x14ac:dyDescent="0.25">
      <c r="A1945" s="15">
        <v>41076</v>
      </c>
      <c r="B1945" s="16" t="s">
        <v>920</v>
      </c>
      <c r="C1945" t="s">
        <v>871</v>
      </c>
      <c r="D1945" t="s">
        <v>48</v>
      </c>
      <c r="E1945" s="17">
        <v>2</v>
      </c>
      <c r="F1945" s="17">
        <v>130</v>
      </c>
      <c r="G1945" s="18">
        <v>260</v>
      </c>
      <c r="H1945" s="30" t="s">
        <v>2296</v>
      </c>
      <c r="J1945" s="34"/>
    </row>
    <row r="1946" spans="1:10" x14ac:dyDescent="0.25">
      <c r="A1946" s="15">
        <v>41076</v>
      </c>
      <c r="B1946" s="16" t="s">
        <v>874</v>
      </c>
      <c r="C1946" t="s">
        <v>875</v>
      </c>
      <c r="D1946" t="s">
        <v>48</v>
      </c>
      <c r="E1946" s="17">
        <v>2</v>
      </c>
      <c r="F1946" s="17">
        <v>25.78</v>
      </c>
      <c r="G1946" s="18">
        <v>51.56</v>
      </c>
      <c r="H1946" s="30" t="s">
        <v>2296</v>
      </c>
      <c r="J1946" s="34"/>
    </row>
    <row r="1947" spans="1:10" x14ac:dyDescent="0.25">
      <c r="A1947" s="15">
        <v>41076</v>
      </c>
      <c r="B1947" s="16" t="s">
        <v>887</v>
      </c>
      <c r="C1947" t="s">
        <v>873</v>
      </c>
      <c r="D1947" t="s">
        <v>48</v>
      </c>
      <c r="E1947" s="17">
        <v>6</v>
      </c>
      <c r="F1947" s="17">
        <v>95</v>
      </c>
      <c r="G1947" s="18">
        <v>570</v>
      </c>
      <c r="H1947" s="30" t="s">
        <v>2296</v>
      </c>
      <c r="J1947" s="34"/>
    </row>
    <row r="1948" spans="1:10" x14ac:dyDescent="0.25">
      <c r="A1948" s="15">
        <v>41076</v>
      </c>
      <c r="B1948" s="16" t="s">
        <v>880</v>
      </c>
      <c r="C1948" t="s">
        <v>881</v>
      </c>
      <c r="D1948" t="s">
        <v>48</v>
      </c>
      <c r="E1948" s="17">
        <v>2</v>
      </c>
      <c r="F1948" s="17">
        <v>95</v>
      </c>
      <c r="G1948" s="18">
        <v>190</v>
      </c>
      <c r="H1948" s="30" t="s">
        <v>2296</v>
      </c>
      <c r="J1948" s="34"/>
    </row>
    <row r="1949" spans="1:10" x14ac:dyDescent="0.25">
      <c r="A1949" s="15">
        <v>41076</v>
      </c>
      <c r="B1949" s="16" t="s">
        <v>865</v>
      </c>
      <c r="C1949" t="s">
        <v>8</v>
      </c>
      <c r="D1949" t="s">
        <v>48</v>
      </c>
      <c r="E1949" s="17">
        <v>2</v>
      </c>
      <c r="F1949" s="17">
        <v>35.35</v>
      </c>
      <c r="G1949" s="18">
        <v>70.7</v>
      </c>
      <c r="H1949" s="30" t="s">
        <v>2296</v>
      </c>
      <c r="J1949" s="34"/>
    </row>
    <row r="1950" spans="1:10" x14ac:dyDescent="0.25">
      <c r="A1950" s="15">
        <v>41076</v>
      </c>
      <c r="B1950" s="16" t="s">
        <v>865</v>
      </c>
      <c r="C1950" t="s">
        <v>8</v>
      </c>
      <c r="D1950" t="s">
        <v>48</v>
      </c>
      <c r="E1950" s="17">
        <v>5.5</v>
      </c>
      <c r="F1950" s="17">
        <v>48</v>
      </c>
      <c r="G1950" s="18">
        <v>264</v>
      </c>
      <c r="H1950" s="30" t="s">
        <v>2296</v>
      </c>
      <c r="J1950" s="34"/>
    </row>
    <row r="1951" spans="1:10" x14ac:dyDescent="0.25">
      <c r="A1951" s="15">
        <v>41076</v>
      </c>
      <c r="B1951" s="16" t="s">
        <v>865</v>
      </c>
      <c r="C1951" t="s">
        <v>8</v>
      </c>
      <c r="D1951" t="s">
        <v>48</v>
      </c>
      <c r="E1951" s="17">
        <v>2</v>
      </c>
      <c r="F1951" s="17">
        <v>35.35</v>
      </c>
      <c r="G1951" s="18">
        <v>70.7</v>
      </c>
      <c r="H1951" s="30" t="s">
        <v>2296</v>
      </c>
      <c r="J1951" s="34"/>
    </row>
    <row r="1952" spans="1:10" x14ac:dyDescent="0.25">
      <c r="A1952" s="15">
        <v>41076</v>
      </c>
      <c r="B1952" s="16" t="s">
        <v>877</v>
      </c>
      <c r="C1952" t="s">
        <v>868</v>
      </c>
      <c r="D1952" t="s">
        <v>48</v>
      </c>
      <c r="E1952" s="17">
        <v>4.5</v>
      </c>
      <c r="F1952" s="17">
        <v>90</v>
      </c>
      <c r="G1952" s="18">
        <v>405</v>
      </c>
      <c r="H1952" s="30" t="s">
        <v>2296</v>
      </c>
      <c r="J1952" s="34"/>
    </row>
    <row r="1953" spans="1:10" x14ac:dyDescent="0.25">
      <c r="A1953" s="15">
        <v>41078</v>
      </c>
      <c r="B1953" s="16" t="s">
        <v>865</v>
      </c>
      <c r="C1953" t="s">
        <v>8</v>
      </c>
      <c r="D1953" t="s">
        <v>48</v>
      </c>
      <c r="E1953" s="17">
        <v>3.5</v>
      </c>
      <c r="F1953" s="17">
        <v>35.35</v>
      </c>
      <c r="G1953" s="18">
        <v>123.72499999999999</v>
      </c>
      <c r="H1953" s="30" t="s">
        <v>2296</v>
      </c>
      <c r="J1953" s="34"/>
    </row>
    <row r="1954" spans="1:10" x14ac:dyDescent="0.25">
      <c r="A1954" s="15">
        <v>41078</v>
      </c>
      <c r="B1954" s="16" t="s">
        <v>865</v>
      </c>
      <c r="C1954" t="s">
        <v>8</v>
      </c>
      <c r="D1954" t="s">
        <v>48</v>
      </c>
      <c r="E1954" s="17">
        <v>3.5</v>
      </c>
      <c r="F1954" s="17">
        <v>48</v>
      </c>
      <c r="G1954" s="18">
        <v>168</v>
      </c>
      <c r="H1954" s="30" t="s">
        <v>2296</v>
      </c>
      <c r="J1954" s="34"/>
    </row>
    <row r="1955" spans="1:10" x14ac:dyDescent="0.25">
      <c r="A1955" s="15">
        <v>41078</v>
      </c>
      <c r="B1955" s="16" t="s">
        <v>1040</v>
      </c>
      <c r="C1955" t="s">
        <v>873</v>
      </c>
      <c r="D1955" t="s">
        <v>48</v>
      </c>
      <c r="E1955" s="17">
        <v>9</v>
      </c>
      <c r="F1955" s="17">
        <v>95</v>
      </c>
      <c r="G1955" s="18">
        <v>855</v>
      </c>
      <c r="H1955" s="30" t="s">
        <v>2296</v>
      </c>
      <c r="J1955" s="34"/>
    </row>
    <row r="1956" spans="1:10" x14ac:dyDescent="0.25">
      <c r="A1956" s="15">
        <v>41078</v>
      </c>
      <c r="B1956" s="16" t="s">
        <v>969</v>
      </c>
      <c r="C1956" t="s">
        <v>934</v>
      </c>
      <c r="D1956" t="s">
        <v>48</v>
      </c>
      <c r="E1956" s="17">
        <v>9</v>
      </c>
      <c r="F1956" s="17">
        <v>100</v>
      </c>
      <c r="G1956" s="18">
        <v>900</v>
      </c>
      <c r="H1956" s="30" t="s">
        <v>2296</v>
      </c>
      <c r="J1956" s="34"/>
    </row>
    <row r="1957" spans="1:10" x14ac:dyDescent="0.25">
      <c r="A1957" s="15">
        <v>41079</v>
      </c>
      <c r="B1957" s="16" t="s">
        <v>918</v>
      </c>
      <c r="C1957" t="s">
        <v>934</v>
      </c>
      <c r="D1957" t="s">
        <v>48</v>
      </c>
      <c r="E1957" s="17">
        <v>6</v>
      </c>
      <c r="F1957" s="17">
        <v>82.727000000000004</v>
      </c>
      <c r="G1957" s="18">
        <v>496.36200000000002</v>
      </c>
      <c r="H1957" s="30" t="s">
        <v>2296</v>
      </c>
      <c r="J1957" s="34"/>
    </row>
    <row r="1958" spans="1:10" x14ac:dyDescent="0.25">
      <c r="A1958" s="15">
        <v>41079</v>
      </c>
      <c r="B1958" s="16" t="s">
        <v>918</v>
      </c>
      <c r="C1958" t="s">
        <v>934</v>
      </c>
      <c r="D1958" t="s">
        <v>48</v>
      </c>
      <c r="E1958" s="17">
        <v>1.5</v>
      </c>
      <c r="F1958" s="17">
        <v>82.727000000000004</v>
      </c>
      <c r="G1958" s="18">
        <v>124.09050000000001</v>
      </c>
      <c r="H1958" s="30" t="s">
        <v>2296</v>
      </c>
      <c r="J1958" s="34"/>
    </row>
    <row r="1959" spans="1:10" x14ac:dyDescent="0.25">
      <c r="A1959" s="15">
        <v>41079</v>
      </c>
      <c r="B1959" s="16" t="s">
        <v>920</v>
      </c>
      <c r="C1959" t="s">
        <v>871</v>
      </c>
      <c r="D1959" t="s">
        <v>48</v>
      </c>
      <c r="E1959" s="17">
        <v>9</v>
      </c>
      <c r="F1959" s="17">
        <v>130</v>
      </c>
      <c r="G1959" s="18">
        <v>1170</v>
      </c>
      <c r="H1959" s="30" t="s">
        <v>2296</v>
      </c>
      <c r="J1959" s="34"/>
    </row>
    <row r="1960" spans="1:10" x14ac:dyDescent="0.25">
      <c r="A1960" s="15">
        <v>41079</v>
      </c>
      <c r="B1960" s="16" t="s">
        <v>865</v>
      </c>
      <c r="C1960" t="s">
        <v>8</v>
      </c>
      <c r="D1960" t="s">
        <v>48</v>
      </c>
      <c r="E1960" s="17">
        <v>4.5</v>
      </c>
      <c r="F1960" s="17">
        <v>35.35</v>
      </c>
      <c r="G1960" s="18">
        <v>159.07499999999999</v>
      </c>
      <c r="H1960" s="30" t="s">
        <v>2296</v>
      </c>
      <c r="J1960" s="34"/>
    </row>
    <row r="1961" spans="1:10" x14ac:dyDescent="0.25">
      <c r="A1961" s="15">
        <v>41079</v>
      </c>
      <c r="B1961" s="16" t="s">
        <v>865</v>
      </c>
      <c r="C1961" t="s">
        <v>8</v>
      </c>
      <c r="D1961" t="s">
        <v>48</v>
      </c>
      <c r="E1961" s="17">
        <v>7</v>
      </c>
      <c r="F1961" s="17">
        <v>48</v>
      </c>
      <c r="G1961" s="18">
        <v>336</v>
      </c>
      <c r="H1961" s="30" t="s">
        <v>2296</v>
      </c>
      <c r="J1961" s="34"/>
    </row>
    <row r="1962" spans="1:10" x14ac:dyDescent="0.25">
      <c r="A1962" s="15">
        <v>41079</v>
      </c>
      <c r="B1962" s="16" t="s">
        <v>1041</v>
      </c>
      <c r="C1962" t="s">
        <v>873</v>
      </c>
      <c r="D1962" t="s">
        <v>48</v>
      </c>
      <c r="E1962" s="17">
        <v>9.5</v>
      </c>
      <c r="F1962" s="17">
        <v>95</v>
      </c>
      <c r="G1962" s="18">
        <v>902.5</v>
      </c>
      <c r="H1962" s="30" t="s">
        <v>2296</v>
      </c>
      <c r="J1962" s="34"/>
    </row>
    <row r="1963" spans="1:10" x14ac:dyDescent="0.25">
      <c r="A1963" s="15">
        <v>41079</v>
      </c>
      <c r="B1963" s="16" t="s">
        <v>880</v>
      </c>
      <c r="C1963" t="s">
        <v>881</v>
      </c>
      <c r="D1963" t="s">
        <v>48</v>
      </c>
      <c r="E1963" s="17">
        <v>5.5</v>
      </c>
      <c r="F1963" s="17">
        <v>95</v>
      </c>
      <c r="G1963" s="18">
        <v>522.5</v>
      </c>
      <c r="H1963" s="30" t="s">
        <v>2296</v>
      </c>
      <c r="J1963" s="34"/>
    </row>
    <row r="1964" spans="1:10" x14ac:dyDescent="0.25">
      <c r="A1964" s="15">
        <v>41080</v>
      </c>
      <c r="B1964" s="16" t="s">
        <v>865</v>
      </c>
      <c r="C1964" t="s">
        <v>8</v>
      </c>
      <c r="D1964" t="s">
        <v>48</v>
      </c>
      <c r="E1964" s="17">
        <v>3</v>
      </c>
      <c r="F1964" s="17">
        <v>35.35</v>
      </c>
      <c r="G1964" s="18">
        <v>106.05</v>
      </c>
      <c r="H1964" s="30" t="s">
        <v>2296</v>
      </c>
      <c r="J1964" s="34"/>
    </row>
    <row r="1965" spans="1:10" x14ac:dyDescent="0.25">
      <c r="A1965" s="15">
        <v>41080</v>
      </c>
      <c r="B1965" s="16" t="s">
        <v>865</v>
      </c>
      <c r="C1965" t="s">
        <v>8</v>
      </c>
      <c r="D1965" t="s">
        <v>48</v>
      </c>
      <c r="E1965" s="17">
        <v>6.5</v>
      </c>
      <c r="F1965" s="17">
        <v>35.35</v>
      </c>
      <c r="G1965" s="18">
        <v>229.77500000000001</v>
      </c>
      <c r="H1965" s="30" t="s">
        <v>2296</v>
      </c>
      <c r="J1965" s="34"/>
    </row>
    <row r="1966" spans="1:10" x14ac:dyDescent="0.25">
      <c r="A1966" s="15">
        <v>41080</v>
      </c>
      <c r="B1966" s="16" t="s">
        <v>865</v>
      </c>
      <c r="C1966" t="s">
        <v>8</v>
      </c>
      <c r="D1966" t="s">
        <v>48</v>
      </c>
      <c r="E1966" s="17">
        <v>6.5</v>
      </c>
      <c r="F1966" s="17">
        <v>48</v>
      </c>
      <c r="G1966" s="18">
        <v>312</v>
      </c>
      <c r="H1966" s="30" t="s">
        <v>2296</v>
      </c>
      <c r="J1966" s="34"/>
    </row>
    <row r="1967" spans="1:10" x14ac:dyDescent="0.25">
      <c r="A1967" s="15">
        <v>41080</v>
      </c>
      <c r="B1967" s="16" t="s">
        <v>872</v>
      </c>
      <c r="C1967" t="s">
        <v>873</v>
      </c>
      <c r="D1967" t="s">
        <v>48</v>
      </c>
      <c r="E1967" s="17">
        <v>4.5</v>
      </c>
      <c r="F1967" s="17">
        <v>95</v>
      </c>
      <c r="G1967" s="18">
        <v>427.5</v>
      </c>
      <c r="H1967" s="30" t="s">
        <v>2296</v>
      </c>
      <c r="J1967" s="34"/>
    </row>
    <row r="1968" spans="1:10" x14ac:dyDescent="0.25">
      <c r="A1968" s="15">
        <v>41080</v>
      </c>
      <c r="B1968" s="16" t="s">
        <v>969</v>
      </c>
      <c r="C1968" t="s">
        <v>934</v>
      </c>
      <c r="D1968" t="s">
        <v>48</v>
      </c>
      <c r="E1968" s="17">
        <v>9</v>
      </c>
      <c r="F1968" s="17">
        <v>100</v>
      </c>
      <c r="G1968" s="18">
        <v>900</v>
      </c>
      <c r="H1968" s="30" t="s">
        <v>2296</v>
      </c>
      <c r="J1968" s="34"/>
    </row>
    <row r="1969" spans="1:10" x14ac:dyDescent="0.25">
      <c r="A1969" s="15">
        <v>41080</v>
      </c>
      <c r="B1969" s="16" t="s">
        <v>918</v>
      </c>
      <c r="C1969" t="s">
        <v>934</v>
      </c>
      <c r="D1969" t="s">
        <v>48</v>
      </c>
      <c r="E1969" s="17">
        <v>6.5</v>
      </c>
      <c r="F1969" s="17">
        <v>82.727000000000004</v>
      </c>
      <c r="G1969" s="18">
        <v>537.72550000000001</v>
      </c>
      <c r="H1969" s="30" t="s">
        <v>2296</v>
      </c>
      <c r="J1969" s="34"/>
    </row>
    <row r="1970" spans="1:10" x14ac:dyDescent="0.25">
      <c r="A1970" s="15">
        <v>41080</v>
      </c>
      <c r="B1970" s="16" t="s">
        <v>918</v>
      </c>
      <c r="C1970" t="s">
        <v>934</v>
      </c>
      <c r="D1970" t="s">
        <v>48</v>
      </c>
      <c r="E1970" s="17">
        <v>6.5</v>
      </c>
      <c r="F1970" s="17">
        <v>82.727000000000004</v>
      </c>
      <c r="G1970" s="18">
        <v>537.72550000000001</v>
      </c>
      <c r="H1970" s="30" t="s">
        <v>2296</v>
      </c>
      <c r="J1970" s="34"/>
    </row>
    <row r="1971" spans="1:10" x14ac:dyDescent="0.25">
      <c r="A1971" s="15">
        <v>41081</v>
      </c>
      <c r="B1971" s="16" t="s">
        <v>1040</v>
      </c>
      <c r="C1971" t="s">
        <v>873</v>
      </c>
      <c r="D1971" t="s">
        <v>48</v>
      </c>
      <c r="E1971" s="17">
        <v>5.5</v>
      </c>
      <c r="F1971" s="17">
        <v>95</v>
      </c>
      <c r="G1971" s="18">
        <v>522.5</v>
      </c>
      <c r="H1971" s="30" t="s">
        <v>2296</v>
      </c>
      <c r="J1971" s="34"/>
    </row>
    <row r="1972" spans="1:10" x14ac:dyDescent="0.25">
      <c r="A1972" s="15">
        <v>41081</v>
      </c>
      <c r="B1972" s="16" t="s">
        <v>969</v>
      </c>
      <c r="C1972" t="s">
        <v>934</v>
      </c>
      <c r="D1972" t="s">
        <v>48</v>
      </c>
      <c r="E1972" s="17">
        <v>8</v>
      </c>
      <c r="F1972" s="17">
        <v>100</v>
      </c>
      <c r="G1972" s="18">
        <v>800</v>
      </c>
      <c r="H1972" s="30" t="s">
        <v>2296</v>
      </c>
      <c r="J1972" s="34"/>
    </row>
    <row r="1973" spans="1:10" x14ac:dyDescent="0.25">
      <c r="A1973" s="15">
        <v>41085</v>
      </c>
      <c r="B1973" s="16" t="s">
        <v>887</v>
      </c>
      <c r="C1973" t="s">
        <v>873</v>
      </c>
      <c r="D1973" t="s">
        <v>48</v>
      </c>
      <c r="E1973" s="17">
        <v>4</v>
      </c>
      <c r="F1973" s="17">
        <v>95</v>
      </c>
      <c r="G1973" s="18">
        <v>380</v>
      </c>
      <c r="H1973" s="30" t="s">
        <v>2296</v>
      </c>
      <c r="J1973" s="34"/>
    </row>
    <row r="1974" spans="1:10" x14ac:dyDescent="0.25">
      <c r="A1974" s="15">
        <v>41088</v>
      </c>
      <c r="B1974" s="16" t="s">
        <v>887</v>
      </c>
      <c r="C1974" t="s">
        <v>873</v>
      </c>
      <c r="D1974" t="s">
        <v>48</v>
      </c>
      <c r="E1974" s="17">
        <v>1.5</v>
      </c>
      <c r="F1974" s="17">
        <v>95</v>
      </c>
      <c r="G1974" s="18">
        <v>142.5</v>
      </c>
      <c r="H1974" s="30" t="s">
        <v>2296</v>
      </c>
      <c r="J1974" s="34"/>
    </row>
    <row r="1975" spans="1:10" x14ac:dyDescent="0.25">
      <c r="A1975" s="15">
        <v>41089</v>
      </c>
      <c r="B1975" s="16" t="s">
        <v>865</v>
      </c>
      <c r="C1975" t="s">
        <v>8</v>
      </c>
      <c r="D1975" t="s">
        <v>48</v>
      </c>
      <c r="E1975" s="17">
        <v>2</v>
      </c>
      <c r="F1975" s="17">
        <v>35.35</v>
      </c>
      <c r="G1975" s="18">
        <v>70.7</v>
      </c>
      <c r="H1975" s="30" t="s">
        <v>2296</v>
      </c>
      <c r="J1975" s="34"/>
    </row>
    <row r="1976" spans="1:10" x14ac:dyDescent="0.25">
      <c r="A1976" s="15">
        <v>41089</v>
      </c>
      <c r="B1976" s="16" t="s">
        <v>887</v>
      </c>
      <c r="C1976" t="s">
        <v>873</v>
      </c>
      <c r="D1976" t="s">
        <v>48</v>
      </c>
      <c r="E1976" s="17">
        <v>7.5</v>
      </c>
      <c r="F1976" s="17">
        <v>95</v>
      </c>
      <c r="G1976" s="18">
        <v>712.5</v>
      </c>
      <c r="H1976" s="30" t="s">
        <v>2296</v>
      </c>
      <c r="J1976" s="34"/>
    </row>
    <row r="1977" spans="1:10" ht="30" x14ac:dyDescent="0.25">
      <c r="A1977" s="15">
        <v>41089</v>
      </c>
      <c r="B1977" s="16" t="s">
        <v>1042</v>
      </c>
      <c r="C1977" t="s">
        <v>1000</v>
      </c>
      <c r="D1977" t="s">
        <v>783</v>
      </c>
      <c r="E1977" s="17">
        <v>1</v>
      </c>
      <c r="F1977" s="17">
        <v>837.2</v>
      </c>
      <c r="G1977" s="18">
        <v>837.2</v>
      </c>
      <c r="H1977" s="30" t="s">
        <v>2296</v>
      </c>
      <c r="J1977" s="34"/>
    </row>
    <row r="1978" spans="1:10" x14ac:dyDescent="0.25">
      <c r="A1978" s="15">
        <v>41089</v>
      </c>
      <c r="B1978" s="16" t="s">
        <v>865</v>
      </c>
      <c r="C1978" t="s">
        <v>8</v>
      </c>
      <c r="D1978" t="s">
        <v>48</v>
      </c>
      <c r="E1978" s="17">
        <v>3</v>
      </c>
      <c r="F1978" s="17">
        <v>48</v>
      </c>
      <c r="G1978" s="18">
        <v>144</v>
      </c>
      <c r="H1978" s="30" t="s">
        <v>2296</v>
      </c>
      <c r="J1978" s="34"/>
    </row>
    <row r="1979" spans="1:10" x14ac:dyDescent="0.25">
      <c r="A1979" s="15">
        <v>41089</v>
      </c>
      <c r="B1979" s="16" t="s">
        <v>969</v>
      </c>
      <c r="C1979" t="s">
        <v>934</v>
      </c>
      <c r="D1979" t="s">
        <v>48</v>
      </c>
      <c r="E1979" s="17">
        <v>6.5</v>
      </c>
      <c r="F1979" s="17">
        <v>100</v>
      </c>
      <c r="G1979" s="18">
        <v>650</v>
      </c>
      <c r="H1979" s="30" t="s">
        <v>2296</v>
      </c>
      <c r="J1979" s="34"/>
    </row>
    <row r="1980" spans="1:10" x14ac:dyDescent="0.25">
      <c r="A1980" s="15">
        <v>41090</v>
      </c>
      <c r="B1980" s="16" t="s">
        <v>887</v>
      </c>
      <c r="C1980" t="s">
        <v>873</v>
      </c>
      <c r="D1980" t="s">
        <v>48</v>
      </c>
      <c r="E1980" s="17">
        <v>2.5</v>
      </c>
      <c r="F1980" s="17">
        <v>95</v>
      </c>
      <c r="G1980" s="18">
        <v>237.5</v>
      </c>
      <c r="H1980" s="30" t="s">
        <v>2296</v>
      </c>
      <c r="J1980" s="34"/>
    </row>
    <row r="1981" spans="1:10" ht="30" x14ac:dyDescent="0.25">
      <c r="A1981" s="15">
        <v>41090</v>
      </c>
      <c r="B1981" s="16" t="s">
        <v>1043</v>
      </c>
      <c r="C1981" t="s">
        <v>959</v>
      </c>
      <c r="D1981" t="s">
        <v>783</v>
      </c>
      <c r="E1981" s="17">
        <v>1</v>
      </c>
      <c r="F1981" s="17">
        <v>3300</v>
      </c>
      <c r="G1981" s="18">
        <v>3300</v>
      </c>
      <c r="H1981" s="30" t="s">
        <v>2296</v>
      </c>
      <c r="J1981" s="34"/>
    </row>
    <row r="1982" spans="1:10" x14ac:dyDescent="0.25">
      <c r="A1982" s="15">
        <v>41092</v>
      </c>
      <c r="B1982" s="16" t="s">
        <v>887</v>
      </c>
      <c r="C1982" t="s">
        <v>873</v>
      </c>
      <c r="D1982" t="s">
        <v>48</v>
      </c>
      <c r="E1982" s="17">
        <v>7.5</v>
      </c>
      <c r="F1982" s="17">
        <v>95</v>
      </c>
      <c r="G1982" s="18">
        <v>712.5</v>
      </c>
      <c r="H1982" s="30" t="s">
        <v>2296</v>
      </c>
      <c r="J1982" s="34"/>
    </row>
    <row r="1983" spans="1:10" x14ac:dyDescent="0.25">
      <c r="A1983" s="15">
        <v>41093</v>
      </c>
      <c r="B1983" s="16" t="s">
        <v>865</v>
      </c>
      <c r="C1983" t="s">
        <v>8</v>
      </c>
      <c r="D1983" t="s">
        <v>48</v>
      </c>
      <c r="E1983" s="17">
        <v>9.5</v>
      </c>
      <c r="F1983" s="17">
        <v>48</v>
      </c>
      <c r="G1983" s="18">
        <v>456</v>
      </c>
      <c r="H1983" s="30" t="s">
        <v>2296</v>
      </c>
      <c r="J1983" s="34"/>
    </row>
    <row r="1984" spans="1:10" x14ac:dyDescent="0.25">
      <c r="A1984" s="15">
        <v>41093</v>
      </c>
      <c r="B1984" s="16" t="s">
        <v>865</v>
      </c>
      <c r="C1984" t="s">
        <v>8</v>
      </c>
      <c r="D1984" t="s">
        <v>48</v>
      </c>
      <c r="E1984" s="17">
        <v>9.5</v>
      </c>
      <c r="F1984" s="17">
        <v>35.35</v>
      </c>
      <c r="G1984" s="18">
        <v>335.82499999999999</v>
      </c>
      <c r="H1984" s="30" t="s">
        <v>2296</v>
      </c>
      <c r="J1984" s="34"/>
    </row>
    <row r="1985" spans="1:10" x14ac:dyDescent="0.25">
      <c r="A1985" s="15">
        <v>41093</v>
      </c>
      <c r="B1985" s="16" t="s">
        <v>865</v>
      </c>
      <c r="C1985" t="s">
        <v>8</v>
      </c>
      <c r="D1985" t="s">
        <v>48</v>
      </c>
      <c r="E1985" s="17">
        <v>9.5</v>
      </c>
      <c r="F1985" s="17">
        <v>35.35</v>
      </c>
      <c r="G1985" s="18">
        <v>335.82499999999999</v>
      </c>
      <c r="H1985" s="30" t="s">
        <v>2296</v>
      </c>
      <c r="J1985" s="34"/>
    </row>
    <row r="1986" spans="1:10" x14ac:dyDescent="0.25">
      <c r="A1986" s="15">
        <v>41093</v>
      </c>
      <c r="B1986" s="16" t="s">
        <v>880</v>
      </c>
      <c r="C1986" t="s">
        <v>881</v>
      </c>
      <c r="D1986" t="s">
        <v>48</v>
      </c>
      <c r="E1986" s="17">
        <v>8</v>
      </c>
      <c r="F1986" s="17">
        <v>95</v>
      </c>
      <c r="G1986" s="18">
        <v>760</v>
      </c>
      <c r="H1986" s="30" t="s">
        <v>2296</v>
      </c>
      <c r="J1986" s="34"/>
    </row>
    <row r="1987" spans="1:10" x14ac:dyDescent="0.25">
      <c r="A1987" s="15">
        <v>41093</v>
      </c>
      <c r="B1987" s="16" t="s">
        <v>918</v>
      </c>
      <c r="C1987" t="s">
        <v>934</v>
      </c>
      <c r="D1987" t="s">
        <v>48</v>
      </c>
      <c r="E1987" s="17">
        <v>7</v>
      </c>
      <c r="F1987" s="17">
        <v>87.27</v>
      </c>
      <c r="G1987" s="18">
        <v>610.89</v>
      </c>
      <c r="H1987" s="30" t="s">
        <v>2296</v>
      </c>
      <c r="J1987" s="34"/>
    </row>
    <row r="1988" spans="1:10" x14ac:dyDescent="0.25">
      <c r="A1988" s="15">
        <v>41093</v>
      </c>
      <c r="B1988" s="16" t="s">
        <v>887</v>
      </c>
      <c r="C1988" t="s">
        <v>873</v>
      </c>
      <c r="D1988" t="s">
        <v>48</v>
      </c>
      <c r="E1988" s="17">
        <v>9</v>
      </c>
      <c r="F1988" s="17">
        <v>95</v>
      </c>
      <c r="G1988" s="18">
        <v>855</v>
      </c>
      <c r="H1988" s="30" t="s">
        <v>2296</v>
      </c>
      <c r="J1988" s="34"/>
    </row>
    <row r="1989" spans="1:10" x14ac:dyDescent="0.25">
      <c r="A1989" s="15">
        <v>41093</v>
      </c>
      <c r="B1989" s="16" t="s">
        <v>878</v>
      </c>
      <c r="C1989" t="s">
        <v>879</v>
      </c>
      <c r="D1989" t="s">
        <v>48</v>
      </c>
      <c r="E1989" s="17">
        <v>2</v>
      </c>
      <c r="F1989" s="17">
        <v>110</v>
      </c>
      <c r="G1989" s="18">
        <v>220</v>
      </c>
      <c r="H1989" s="30" t="s">
        <v>2296</v>
      </c>
      <c r="J1989" s="34"/>
    </row>
    <row r="1990" spans="1:10" x14ac:dyDescent="0.25">
      <c r="A1990" s="15">
        <v>41093</v>
      </c>
      <c r="B1990" s="16" t="s">
        <v>918</v>
      </c>
      <c r="C1990" t="s">
        <v>934</v>
      </c>
      <c r="D1990" t="s">
        <v>48</v>
      </c>
      <c r="E1990" s="17">
        <v>6</v>
      </c>
      <c r="F1990" s="17">
        <v>87.27</v>
      </c>
      <c r="G1990" s="18">
        <v>523.62</v>
      </c>
      <c r="H1990" s="30" t="s">
        <v>2296</v>
      </c>
      <c r="J1990" s="34"/>
    </row>
    <row r="1991" spans="1:10" x14ac:dyDescent="0.25">
      <c r="A1991" s="15">
        <v>41093</v>
      </c>
      <c r="B1991" s="16" t="s">
        <v>880</v>
      </c>
      <c r="C1991" t="s">
        <v>881</v>
      </c>
      <c r="D1991" t="s">
        <v>48</v>
      </c>
      <c r="E1991" s="17">
        <v>9</v>
      </c>
      <c r="F1991" s="17">
        <v>95</v>
      </c>
      <c r="G1991" s="18">
        <v>855</v>
      </c>
      <c r="H1991" s="30" t="s">
        <v>2296</v>
      </c>
      <c r="J1991" s="34"/>
    </row>
    <row r="1992" spans="1:10" x14ac:dyDescent="0.25">
      <c r="A1992" s="15">
        <v>41093</v>
      </c>
      <c r="B1992" s="16" t="s">
        <v>880</v>
      </c>
      <c r="C1992" t="s">
        <v>881</v>
      </c>
      <c r="D1992" t="s">
        <v>48</v>
      </c>
      <c r="E1992" s="17">
        <v>8</v>
      </c>
      <c r="F1992" s="17">
        <v>95</v>
      </c>
      <c r="G1992" s="18">
        <v>760</v>
      </c>
      <c r="H1992" s="30" t="s">
        <v>2296</v>
      </c>
      <c r="J1992" s="34"/>
    </row>
    <row r="1993" spans="1:10" x14ac:dyDescent="0.25">
      <c r="A1993" s="15">
        <v>41093</v>
      </c>
      <c r="B1993" s="16" t="s">
        <v>969</v>
      </c>
      <c r="C1993" t="s">
        <v>934</v>
      </c>
      <c r="D1993" t="s">
        <v>48</v>
      </c>
      <c r="E1993" s="17">
        <v>9</v>
      </c>
      <c r="F1993" s="17">
        <v>100</v>
      </c>
      <c r="G1993" s="18">
        <v>900</v>
      </c>
      <c r="H1993" s="30" t="s">
        <v>2296</v>
      </c>
      <c r="J1993" s="34"/>
    </row>
    <row r="1994" spans="1:10" x14ac:dyDescent="0.25">
      <c r="A1994" s="15">
        <v>41094</v>
      </c>
      <c r="B1994" s="16" t="s">
        <v>887</v>
      </c>
      <c r="C1994" t="s">
        <v>873</v>
      </c>
      <c r="D1994" t="s">
        <v>48</v>
      </c>
      <c r="E1994" s="17">
        <v>9</v>
      </c>
      <c r="F1994" s="17">
        <v>95</v>
      </c>
      <c r="G1994" s="18">
        <v>855</v>
      </c>
      <c r="H1994" s="30" t="s">
        <v>2296</v>
      </c>
      <c r="J1994" s="34"/>
    </row>
    <row r="1995" spans="1:10" x14ac:dyDescent="0.25">
      <c r="A1995" s="15">
        <v>41095</v>
      </c>
      <c r="B1995" s="16" t="s">
        <v>887</v>
      </c>
      <c r="C1995" t="s">
        <v>873</v>
      </c>
      <c r="D1995" t="s">
        <v>48</v>
      </c>
      <c r="E1995" s="17">
        <v>5.5</v>
      </c>
      <c r="F1995" s="17">
        <v>95</v>
      </c>
      <c r="G1995" s="18">
        <v>522.5</v>
      </c>
      <c r="H1995" s="30" t="s">
        <v>2296</v>
      </c>
      <c r="J1995" s="34"/>
    </row>
    <row r="1996" spans="1:10" x14ac:dyDescent="0.25">
      <c r="A1996" s="15">
        <v>41096</v>
      </c>
      <c r="B1996" s="16" t="s">
        <v>887</v>
      </c>
      <c r="C1996" t="s">
        <v>873</v>
      </c>
      <c r="D1996" t="s">
        <v>48</v>
      </c>
      <c r="E1996" s="17">
        <v>6.5</v>
      </c>
      <c r="F1996" s="17">
        <v>95</v>
      </c>
      <c r="G1996" s="18">
        <v>617.5</v>
      </c>
      <c r="H1996" s="30" t="s">
        <v>2296</v>
      </c>
      <c r="J1996" s="34"/>
    </row>
    <row r="1997" spans="1:10" x14ac:dyDescent="0.25">
      <c r="A1997" s="15">
        <v>41101</v>
      </c>
      <c r="B1997" s="16" t="s">
        <v>865</v>
      </c>
      <c r="C1997" t="s">
        <v>8</v>
      </c>
      <c r="D1997" t="s">
        <v>48</v>
      </c>
      <c r="E1997" s="17">
        <v>2</v>
      </c>
      <c r="F1997" s="17">
        <v>35.35</v>
      </c>
      <c r="G1997" s="18">
        <v>70.7</v>
      </c>
      <c r="H1997" s="30" t="s">
        <v>2296</v>
      </c>
      <c r="J1997" s="34"/>
    </row>
    <row r="1998" spans="1:10" x14ac:dyDescent="0.25">
      <c r="A1998" s="15">
        <v>41101</v>
      </c>
      <c r="B1998" s="16" t="s">
        <v>865</v>
      </c>
      <c r="C1998" t="s">
        <v>8</v>
      </c>
      <c r="D1998" t="s">
        <v>48</v>
      </c>
      <c r="E1998" s="17">
        <v>2</v>
      </c>
      <c r="F1998" s="17">
        <v>35.35</v>
      </c>
      <c r="G1998" s="18">
        <v>70.7</v>
      </c>
      <c r="H1998" s="30" t="s">
        <v>2296</v>
      </c>
      <c r="J1998" s="34"/>
    </row>
    <row r="1999" spans="1:10" x14ac:dyDescent="0.25">
      <c r="A1999" s="15">
        <v>41101</v>
      </c>
      <c r="B1999" s="16" t="s">
        <v>865</v>
      </c>
      <c r="C1999" t="s">
        <v>8</v>
      </c>
      <c r="D1999" t="s">
        <v>48</v>
      </c>
      <c r="E1999" s="17">
        <v>2.5</v>
      </c>
      <c r="F1999" s="17">
        <v>48</v>
      </c>
      <c r="G1999" s="18">
        <v>120</v>
      </c>
      <c r="H1999" s="30" t="s">
        <v>2296</v>
      </c>
      <c r="J1999" s="34"/>
    </row>
    <row r="2000" spans="1:10" x14ac:dyDescent="0.25">
      <c r="A2000" s="15">
        <v>41101</v>
      </c>
      <c r="B2000" s="16" t="s">
        <v>865</v>
      </c>
      <c r="C2000" t="s">
        <v>8</v>
      </c>
      <c r="D2000" t="s">
        <v>48</v>
      </c>
      <c r="E2000" s="17">
        <v>2.5</v>
      </c>
      <c r="F2000" s="17">
        <v>35.35</v>
      </c>
      <c r="G2000" s="18">
        <v>88.375</v>
      </c>
      <c r="H2000" s="30" t="s">
        <v>2296</v>
      </c>
      <c r="J2000" s="34"/>
    </row>
    <row r="2001" spans="1:10" x14ac:dyDescent="0.25">
      <c r="A2001" s="15">
        <v>41101</v>
      </c>
      <c r="B2001" s="16" t="s">
        <v>865</v>
      </c>
      <c r="C2001" t="s">
        <v>8</v>
      </c>
      <c r="D2001" t="s">
        <v>48</v>
      </c>
      <c r="E2001" s="17">
        <v>2.5</v>
      </c>
      <c r="F2001" s="17">
        <v>35.35</v>
      </c>
      <c r="G2001" s="18">
        <v>88.375</v>
      </c>
      <c r="H2001" s="30" t="s">
        <v>2296</v>
      </c>
      <c r="J2001" s="34"/>
    </row>
    <row r="2002" spans="1:10" x14ac:dyDescent="0.25">
      <c r="A2002" s="15">
        <v>41101</v>
      </c>
      <c r="B2002" s="16" t="s">
        <v>896</v>
      </c>
      <c r="C2002" t="s">
        <v>8</v>
      </c>
      <c r="D2002" t="s">
        <v>48</v>
      </c>
      <c r="E2002" s="17">
        <v>2</v>
      </c>
      <c r="F2002" s="17">
        <v>34.81</v>
      </c>
      <c r="G2002" s="18">
        <v>69.62</v>
      </c>
      <c r="H2002" s="30" t="s">
        <v>2296</v>
      </c>
      <c r="J2002" s="34"/>
    </row>
    <row r="2003" spans="1:10" x14ac:dyDescent="0.25">
      <c r="A2003" s="15">
        <v>41103</v>
      </c>
      <c r="B2003" s="16" t="s">
        <v>874</v>
      </c>
      <c r="C2003" t="s">
        <v>875</v>
      </c>
      <c r="D2003" t="s">
        <v>48</v>
      </c>
      <c r="E2003" s="17">
        <v>2.5</v>
      </c>
      <c r="F2003" s="17">
        <v>25.78</v>
      </c>
      <c r="G2003" s="18">
        <v>64.45</v>
      </c>
      <c r="H2003" s="30" t="s">
        <v>2296</v>
      </c>
      <c r="J2003" s="34"/>
    </row>
    <row r="2004" spans="1:10" x14ac:dyDescent="0.25">
      <c r="A2004" s="15">
        <v>41103</v>
      </c>
      <c r="B2004" s="16" t="s">
        <v>865</v>
      </c>
      <c r="C2004" t="s">
        <v>8</v>
      </c>
      <c r="D2004" t="s">
        <v>48</v>
      </c>
      <c r="E2004" s="17">
        <v>3</v>
      </c>
      <c r="F2004" s="17">
        <v>35.35</v>
      </c>
      <c r="G2004" s="18">
        <v>106.05</v>
      </c>
      <c r="H2004" s="30" t="s">
        <v>2296</v>
      </c>
      <c r="J2004" s="34"/>
    </row>
    <row r="2005" spans="1:10" x14ac:dyDescent="0.25">
      <c r="A2005" s="15">
        <v>41103</v>
      </c>
      <c r="B2005" s="16" t="s">
        <v>865</v>
      </c>
      <c r="C2005" t="s">
        <v>8</v>
      </c>
      <c r="D2005" t="s">
        <v>48</v>
      </c>
      <c r="E2005" s="17">
        <v>3</v>
      </c>
      <c r="F2005" s="17">
        <v>35.35</v>
      </c>
      <c r="G2005" s="18">
        <v>106.05</v>
      </c>
      <c r="H2005" s="30" t="s">
        <v>2296</v>
      </c>
      <c r="J2005" s="34"/>
    </row>
    <row r="2006" spans="1:10" x14ac:dyDescent="0.25">
      <c r="A2006" s="15">
        <v>41103</v>
      </c>
      <c r="B2006" s="16" t="s">
        <v>865</v>
      </c>
      <c r="C2006" t="s">
        <v>8</v>
      </c>
      <c r="D2006" t="s">
        <v>48</v>
      </c>
      <c r="E2006" s="17">
        <v>3</v>
      </c>
      <c r="F2006" s="17">
        <v>48</v>
      </c>
      <c r="G2006" s="18">
        <v>144</v>
      </c>
      <c r="H2006" s="30" t="s">
        <v>2296</v>
      </c>
      <c r="J2006" s="34"/>
    </row>
    <row r="2007" spans="1:10" x14ac:dyDescent="0.25">
      <c r="A2007" s="15">
        <v>41106</v>
      </c>
      <c r="B2007" s="16" t="s">
        <v>865</v>
      </c>
      <c r="C2007" t="s">
        <v>8</v>
      </c>
      <c r="D2007" t="s">
        <v>48</v>
      </c>
      <c r="E2007" s="17">
        <v>1.5</v>
      </c>
      <c r="F2007" s="17">
        <v>35.35</v>
      </c>
      <c r="G2007" s="18">
        <v>53.024999999999999</v>
      </c>
      <c r="H2007" s="30" t="s">
        <v>2296</v>
      </c>
      <c r="J2007" s="34"/>
    </row>
    <row r="2008" spans="1:10" x14ac:dyDescent="0.25">
      <c r="A2008" s="15">
        <v>41106</v>
      </c>
      <c r="B2008" s="16" t="s">
        <v>874</v>
      </c>
      <c r="C2008" t="s">
        <v>875</v>
      </c>
      <c r="D2008" t="s">
        <v>48</v>
      </c>
      <c r="E2008" s="17">
        <v>1.5</v>
      </c>
      <c r="F2008" s="17">
        <v>25.78</v>
      </c>
      <c r="G2008" s="18">
        <v>38.67</v>
      </c>
      <c r="H2008" s="30" t="s">
        <v>2296</v>
      </c>
      <c r="J2008" s="34"/>
    </row>
    <row r="2009" spans="1:10" x14ac:dyDescent="0.25">
      <c r="A2009" s="15">
        <v>41107</v>
      </c>
      <c r="B2009" s="16" t="s">
        <v>887</v>
      </c>
      <c r="C2009" t="s">
        <v>873</v>
      </c>
      <c r="D2009" t="s">
        <v>48</v>
      </c>
      <c r="E2009" s="17">
        <v>5</v>
      </c>
      <c r="F2009" s="17">
        <v>95</v>
      </c>
      <c r="G2009" s="18">
        <v>475</v>
      </c>
      <c r="H2009" s="30" t="s">
        <v>2296</v>
      </c>
      <c r="J2009" s="34"/>
    </row>
    <row r="2010" spans="1:10" x14ac:dyDescent="0.25">
      <c r="A2010" s="15">
        <v>41117</v>
      </c>
      <c r="B2010" s="16" t="s">
        <v>943</v>
      </c>
      <c r="C2010" t="s">
        <v>944</v>
      </c>
      <c r="D2010" t="s">
        <v>48</v>
      </c>
      <c r="E2010" s="17">
        <v>6</v>
      </c>
      <c r="F2010" s="17">
        <v>95</v>
      </c>
      <c r="G2010" s="18">
        <v>570</v>
      </c>
      <c r="H2010" s="30" t="s">
        <v>2296</v>
      </c>
      <c r="J2010" s="34"/>
    </row>
    <row r="2011" spans="1:10" x14ac:dyDescent="0.25">
      <c r="A2011" s="15">
        <v>41117</v>
      </c>
      <c r="B2011" s="16" t="s">
        <v>865</v>
      </c>
      <c r="C2011" t="s">
        <v>8</v>
      </c>
      <c r="D2011" t="s">
        <v>48</v>
      </c>
      <c r="E2011" s="17">
        <v>10</v>
      </c>
      <c r="F2011" s="17">
        <v>48</v>
      </c>
      <c r="G2011" s="18">
        <v>480</v>
      </c>
      <c r="H2011" s="30" t="s">
        <v>2296</v>
      </c>
      <c r="J2011" s="34"/>
    </row>
    <row r="2012" spans="1:10" x14ac:dyDescent="0.25">
      <c r="A2012" s="15">
        <v>41117</v>
      </c>
      <c r="B2012" s="16" t="s">
        <v>880</v>
      </c>
      <c r="C2012" t="s">
        <v>881</v>
      </c>
      <c r="D2012" t="s">
        <v>48</v>
      </c>
      <c r="E2012" s="17">
        <v>6</v>
      </c>
      <c r="F2012" s="17">
        <v>95</v>
      </c>
      <c r="G2012" s="18">
        <v>570</v>
      </c>
      <c r="H2012" s="30" t="s">
        <v>2296</v>
      </c>
      <c r="J2012" s="34"/>
    </row>
    <row r="2013" spans="1:10" x14ac:dyDescent="0.25">
      <c r="A2013" s="15">
        <v>41117</v>
      </c>
      <c r="B2013" s="16" t="s">
        <v>865</v>
      </c>
      <c r="C2013" t="s">
        <v>8</v>
      </c>
      <c r="D2013" t="s">
        <v>48</v>
      </c>
      <c r="E2013" s="17">
        <v>9.5</v>
      </c>
      <c r="F2013" s="17">
        <v>35.35</v>
      </c>
      <c r="G2013" s="18">
        <v>335.82499999999999</v>
      </c>
      <c r="H2013" s="30" t="s">
        <v>2296</v>
      </c>
      <c r="J2013" s="34"/>
    </row>
    <row r="2014" spans="1:10" x14ac:dyDescent="0.25">
      <c r="A2014" s="15">
        <v>41117</v>
      </c>
      <c r="B2014" s="16" t="s">
        <v>865</v>
      </c>
      <c r="C2014" t="s">
        <v>8</v>
      </c>
      <c r="D2014" t="s">
        <v>48</v>
      </c>
      <c r="E2014" s="17">
        <v>9.5</v>
      </c>
      <c r="F2014" s="17">
        <v>35.35</v>
      </c>
      <c r="G2014" s="18">
        <v>335.82499999999999</v>
      </c>
      <c r="H2014" s="30" t="s">
        <v>2296</v>
      </c>
      <c r="J2014" s="34"/>
    </row>
    <row r="2015" spans="1:10" x14ac:dyDescent="0.25">
      <c r="A2015" s="15">
        <v>41117</v>
      </c>
      <c r="B2015" s="16" t="s">
        <v>887</v>
      </c>
      <c r="C2015" t="s">
        <v>873</v>
      </c>
      <c r="D2015" t="s">
        <v>48</v>
      </c>
      <c r="E2015" s="17">
        <v>4.75</v>
      </c>
      <c r="F2015" s="17">
        <v>95</v>
      </c>
      <c r="G2015" s="18">
        <v>451.25</v>
      </c>
      <c r="H2015" s="30" t="s">
        <v>2296</v>
      </c>
      <c r="J2015" s="34"/>
    </row>
    <row r="2016" spans="1:10" x14ac:dyDescent="0.25">
      <c r="A2016" s="15">
        <v>41118</v>
      </c>
      <c r="B2016" s="16" t="s">
        <v>865</v>
      </c>
      <c r="C2016" t="s">
        <v>8</v>
      </c>
      <c r="D2016" t="s">
        <v>48</v>
      </c>
      <c r="E2016" s="17">
        <v>4</v>
      </c>
      <c r="F2016" s="17">
        <v>35.35</v>
      </c>
      <c r="G2016" s="18">
        <v>141.4</v>
      </c>
      <c r="H2016" s="30" t="s">
        <v>2296</v>
      </c>
      <c r="J2016" s="34"/>
    </row>
    <row r="2017" spans="1:10" x14ac:dyDescent="0.25">
      <c r="A2017" s="15">
        <v>41118</v>
      </c>
      <c r="B2017" s="16" t="s">
        <v>887</v>
      </c>
      <c r="C2017" t="s">
        <v>873</v>
      </c>
      <c r="D2017" t="s">
        <v>48</v>
      </c>
      <c r="E2017" s="17">
        <v>7.25</v>
      </c>
      <c r="F2017" s="17">
        <v>95</v>
      </c>
      <c r="G2017" s="18">
        <v>688.75</v>
      </c>
      <c r="H2017" s="30" t="s">
        <v>2296</v>
      </c>
      <c r="J2017" s="34"/>
    </row>
    <row r="2018" spans="1:10" x14ac:dyDescent="0.25">
      <c r="A2018" s="15">
        <v>41118</v>
      </c>
      <c r="B2018" s="16" t="s">
        <v>880</v>
      </c>
      <c r="C2018" t="s">
        <v>881</v>
      </c>
      <c r="D2018" t="s">
        <v>48</v>
      </c>
      <c r="E2018" s="17">
        <v>7</v>
      </c>
      <c r="F2018" s="17">
        <v>95</v>
      </c>
      <c r="G2018" s="18">
        <v>665</v>
      </c>
      <c r="H2018" s="30" t="s">
        <v>2296</v>
      </c>
      <c r="J2018" s="34"/>
    </row>
    <row r="2019" spans="1:10" x14ac:dyDescent="0.25">
      <c r="A2019" s="15">
        <v>41118</v>
      </c>
      <c r="B2019" s="16" t="s">
        <v>865</v>
      </c>
      <c r="C2019" t="s">
        <v>8</v>
      </c>
      <c r="D2019" t="s">
        <v>48</v>
      </c>
      <c r="E2019" s="17">
        <v>8</v>
      </c>
      <c r="F2019" s="17">
        <v>48</v>
      </c>
      <c r="G2019" s="18">
        <v>384</v>
      </c>
      <c r="H2019" s="30" t="s">
        <v>2296</v>
      </c>
      <c r="J2019" s="34"/>
    </row>
    <row r="2020" spans="1:10" x14ac:dyDescent="0.25">
      <c r="A2020" s="15">
        <v>41120</v>
      </c>
      <c r="B2020" s="16" t="s">
        <v>865</v>
      </c>
      <c r="C2020" t="s">
        <v>8</v>
      </c>
      <c r="D2020" t="s">
        <v>48</v>
      </c>
      <c r="E2020" s="17">
        <v>5.5</v>
      </c>
      <c r="F2020" s="17">
        <v>35.35</v>
      </c>
      <c r="G2020" s="18">
        <v>194.42500000000001</v>
      </c>
      <c r="H2020" s="30" t="s">
        <v>2296</v>
      </c>
      <c r="J2020" s="34"/>
    </row>
    <row r="2021" spans="1:10" x14ac:dyDescent="0.25">
      <c r="A2021" s="15">
        <v>41120</v>
      </c>
      <c r="B2021" s="16" t="s">
        <v>887</v>
      </c>
      <c r="C2021" t="s">
        <v>873</v>
      </c>
      <c r="D2021" t="s">
        <v>48</v>
      </c>
      <c r="E2021" s="17">
        <v>10</v>
      </c>
      <c r="F2021" s="17">
        <v>95</v>
      </c>
      <c r="G2021" s="18">
        <v>950</v>
      </c>
      <c r="H2021" s="30" t="s">
        <v>2296</v>
      </c>
      <c r="J2021" s="34"/>
    </row>
    <row r="2022" spans="1:10" x14ac:dyDescent="0.25">
      <c r="A2022" s="15">
        <v>41120</v>
      </c>
      <c r="B2022" s="16" t="s">
        <v>880</v>
      </c>
      <c r="C2022" t="s">
        <v>881</v>
      </c>
      <c r="D2022" t="s">
        <v>48</v>
      </c>
      <c r="E2022" s="17">
        <v>5.5</v>
      </c>
      <c r="F2022" s="17">
        <v>95</v>
      </c>
      <c r="G2022" s="18">
        <v>522.5</v>
      </c>
      <c r="H2022" s="30" t="s">
        <v>2296</v>
      </c>
      <c r="J2022" s="34"/>
    </row>
    <row r="2023" spans="1:10" x14ac:dyDescent="0.25">
      <c r="A2023" s="15">
        <v>41120</v>
      </c>
      <c r="B2023" s="16" t="s">
        <v>943</v>
      </c>
      <c r="C2023" t="s">
        <v>944</v>
      </c>
      <c r="D2023" t="s">
        <v>48</v>
      </c>
      <c r="E2023" s="17">
        <v>5.5</v>
      </c>
      <c r="F2023" s="17">
        <v>95</v>
      </c>
      <c r="G2023" s="18">
        <v>522.5</v>
      </c>
      <c r="H2023" s="30" t="s">
        <v>2296</v>
      </c>
      <c r="J2023" s="34"/>
    </row>
    <row r="2024" spans="1:10" x14ac:dyDescent="0.25">
      <c r="A2024" s="15">
        <v>41120</v>
      </c>
      <c r="B2024" s="16" t="s">
        <v>865</v>
      </c>
      <c r="C2024" t="s">
        <v>8</v>
      </c>
      <c r="D2024" t="s">
        <v>48</v>
      </c>
      <c r="E2024" s="17">
        <v>9.5</v>
      </c>
      <c r="F2024" s="17">
        <v>48</v>
      </c>
      <c r="G2024" s="18">
        <v>456</v>
      </c>
      <c r="H2024" s="30" t="s">
        <v>2296</v>
      </c>
      <c r="J2024" s="34"/>
    </row>
    <row r="2025" spans="1:10" x14ac:dyDescent="0.25">
      <c r="A2025" s="15">
        <v>41121</v>
      </c>
      <c r="B2025" s="16" t="s">
        <v>897</v>
      </c>
      <c r="C2025" t="s">
        <v>8</v>
      </c>
      <c r="D2025" t="s">
        <v>48</v>
      </c>
      <c r="E2025" s="17">
        <v>9.5</v>
      </c>
      <c r="F2025" s="17">
        <v>45</v>
      </c>
      <c r="G2025" s="18">
        <v>427.5</v>
      </c>
      <c r="H2025" s="30" t="s">
        <v>2296</v>
      </c>
      <c r="J2025" s="34"/>
    </row>
    <row r="2026" spans="1:10" x14ac:dyDescent="0.25">
      <c r="A2026" s="15">
        <v>41121</v>
      </c>
      <c r="B2026" s="16" t="s">
        <v>865</v>
      </c>
      <c r="C2026" t="s">
        <v>8</v>
      </c>
      <c r="D2026" t="s">
        <v>48</v>
      </c>
      <c r="E2026" s="17">
        <v>10.5</v>
      </c>
      <c r="F2026" s="17">
        <v>48</v>
      </c>
      <c r="G2026" s="18">
        <v>504</v>
      </c>
      <c r="H2026" s="30" t="s">
        <v>2296</v>
      </c>
      <c r="J2026" s="34"/>
    </row>
    <row r="2027" spans="1:10" x14ac:dyDescent="0.25">
      <c r="A2027" s="15">
        <v>41121</v>
      </c>
      <c r="B2027" s="16" t="s">
        <v>880</v>
      </c>
      <c r="C2027" t="s">
        <v>881</v>
      </c>
      <c r="D2027" t="s">
        <v>48</v>
      </c>
      <c r="E2027" s="17">
        <v>5</v>
      </c>
      <c r="F2027" s="17">
        <v>95</v>
      </c>
      <c r="G2027" s="18">
        <v>475</v>
      </c>
      <c r="H2027" s="30" t="s">
        <v>2296</v>
      </c>
      <c r="J2027" s="34"/>
    </row>
    <row r="2028" spans="1:10" ht="30" x14ac:dyDescent="0.25">
      <c r="A2028" s="15">
        <v>41121</v>
      </c>
      <c r="B2028" s="16" t="s">
        <v>1044</v>
      </c>
      <c r="C2028" t="s">
        <v>974</v>
      </c>
      <c r="D2028" t="s">
        <v>783</v>
      </c>
      <c r="E2028" s="17">
        <v>6</v>
      </c>
      <c r="F2028" s="17">
        <v>325</v>
      </c>
      <c r="G2028" s="18">
        <v>1950</v>
      </c>
      <c r="H2028" s="30" t="s">
        <v>2296</v>
      </c>
      <c r="J2028" s="34"/>
    </row>
    <row r="2029" spans="1:10" x14ac:dyDescent="0.25">
      <c r="A2029" s="15">
        <v>41121</v>
      </c>
      <c r="B2029" s="16" t="s">
        <v>982</v>
      </c>
      <c r="C2029" t="s">
        <v>957</v>
      </c>
      <c r="D2029" t="s">
        <v>783</v>
      </c>
      <c r="E2029" s="17">
        <v>9</v>
      </c>
      <c r="F2029" s="17">
        <v>247</v>
      </c>
      <c r="G2029" s="18">
        <v>2223</v>
      </c>
      <c r="H2029" s="30" t="s">
        <v>2296</v>
      </c>
      <c r="J2029" s="34"/>
    </row>
    <row r="2030" spans="1:10" x14ac:dyDescent="0.25">
      <c r="A2030" s="15">
        <v>41121</v>
      </c>
      <c r="B2030" s="16" t="s">
        <v>943</v>
      </c>
      <c r="C2030" t="s">
        <v>944</v>
      </c>
      <c r="D2030" t="s">
        <v>48</v>
      </c>
      <c r="E2030" s="17">
        <v>5</v>
      </c>
      <c r="F2030" s="17">
        <v>95</v>
      </c>
      <c r="G2030" s="18">
        <v>475</v>
      </c>
      <c r="H2030" s="30" t="s">
        <v>2296</v>
      </c>
      <c r="J2030" s="34"/>
    </row>
    <row r="2031" spans="1:10" x14ac:dyDescent="0.25">
      <c r="A2031" s="15">
        <v>41121</v>
      </c>
      <c r="B2031" s="16" t="s">
        <v>887</v>
      </c>
      <c r="C2031" t="s">
        <v>873</v>
      </c>
      <c r="D2031" t="s">
        <v>48</v>
      </c>
      <c r="E2031" s="17">
        <v>9</v>
      </c>
      <c r="F2031" s="17">
        <v>95</v>
      </c>
      <c r="G2031" s="18">
        <v>855</v>
      </c>
      <c r="H2031" s="30" t="s">
        <v>2296</v>
      </c>
      <c r="J2031" s="34"/>
    </row>
    <row r="2032" spans="1:10" x14ac:dyDescent="0.25">
      <c r="A2032" s="15">
        <v>41121</v>
      </c>
      <c r="B2032" s="16" t="s">
        <v>878</v>
      </c>
      <c r="C2032" t="s">
        <v>879</v>
      </c>
      <c r="D2032" t="s">
        <v>48</v>
      </c>
      <c r="E2032" s="17">
        <v>5.75</v>
      </c>
      <c r="F2032" s="17">
        <v>110</v>
      </c>
      <c r="G2032" s="18">
        <v>632.5</v>
      </c>
      <c r="H2032" s="30" t="s">
        <v>2296</v>
      </c>
      <c r="J2032" s="34"/>
    </row>
    <row r="2033" spans="1:10" ht="30" x14ac:dyDescent="0.25">
      <c r="A2033" s="15">
        <v>41121</v>
      </c>
      <c r="B2033" s="16" t="s">
        <v>1045</v>
      </c>
      <c r="C2033" t="s">
        <v>959</v>
      </c>
      <c r="D2033" t="s">
        <v>783</v>
      </c>
      <c r="E2033" s="17">
        <v>17</v>
      </c>
      <c r="F2033" s="17">
        <v>300</v>
      </c>
      <c r="G2033" s="18">
        <v>5100</v>
      </c>
      <c r="H2033" s="30" t="s">
        <v>2296</v>
      </c>
      <c r="J2033" s="34"/>
    </row>
    <row r="2034" spans="1:10" x14ac:dyDescent="0.25">
      <c r="A2034" s="15">
        <v>41121</v>
      </c>
      <c r="B2034" s="16" t="s">
        <v>865</v>
      </c>
      <c r="C2034" t="s">
        <v>8</v>
      </c>
      <c r="D2034" t="s">
        <v>48</v>
      </c>
      <c r="E2034" s="17">
        <v>9.5</v>
      </c>
      <c r="F2034" s="17">
        <v>35.35</v>
      </c>
      <c r="G2034" s="18">
        <v>335.82499999999999</v>
      </c>
      <c r="H2034" s="30" t="s">
        <v>2296</v>
      </c>
      <c r="J2034" s="34"/>
    </row>
    <row r="2035" spans="1:10" x14ac:dyDescent="0.25">
      <c r="A2035" s="15">
        <v>41122</v>
      </c>
      <c r="B2035" s="16" t="s">
        <v>986</v>
      </c>
      <c r="C2035" t="s">
        <v>974</v>
      </c>
      <c r="D2035" t="s">
        <v>774</v>
      </c>
      <c r="E2035" s="17">
        <v>1</v>
      </c>
      <c r="F2035" s="17">
        <v>365</v>
      </c>
      <c r="G2035" s="18">
        <v>365</v>
      </c>
      <c r="H2035" s="30" t="s">
        <v>2296</v>
      </c>
      <c r="J2035" s="34"/>
    </row>
    <row r="2036" spans="1:10" x14ac:dyDescent="0.25">
      <c r="A2036" s="15">
        <v>41123</v>
      </c>
      <c r="B2036" s="16" t="s">
        <v>887</v>
      </c>
      <c r="C2036" t="s">
        <v>873</v>
      </c>
      <c r="D2036" t="s">
        <v>48</v>
      </c>
      <c r="E2036" s="17">
        <v>5</v>
      </c>
      <c r="F2036" s="17">
        <v>95</v>
      </c>
      <c r="G2036" s="18">
        <v>475</v>
      </c>
      <c r="H2036" s="30" t="s">
        <v>2296</v>
      </c>
      <c r="J2036" s="34"/>
    </row>
    <row r="2037" spans="1:10" x14ac:dyDescent="0.25">
      <c r="A2037" s="15">
        <v>41123</v>
      </c>
      <c r="B2037" s="16" t="s">
        <v>1046</v>
      </c>
      <c r="C2037" t="s">
        <v>948</v>
      </c>
      <c r="D2037" t="s">
        <v>48</v>
      </c>
      <c r="E2037" s="17">
        <v>6.5</v>
      </c>
      <c r="F2037" s="17">
        <v>110</v>
      </c>
      <c r="G2037" s="18">
        <v>715</v>
      </c>
      <c r="H2037" s="30" t="s">
        <v>2296</v>
      </c>
      <c r="J2037" s="34"/>
    </row>
    <row r="2038" spans="1:10" x14ac:dyDescent="0.25">
      <c r="A2038" s="15">
        <v>41123</v>
      </c>
      <c r="B2038" s="16" t="s">
        <v>986</v>
      </c>
      <c r="C2038" t="s">
        <v>974</v>
      </c>
      <c r="D2038" t="s">
        <v>774</v>
      </c>
      <c r="E2038" s="17">
        <v>1</v>
      </c>
      <c r="F2038" s="17">
        <v>365</v>
      </c>
      <c r="G2038" s="18">
        <v>365</v>
      </c>
      <c r="H2038" s="30" t="s">
        <v>2296</v>
      </c>
      <c r="J2038" s="34"/>
    </row>
    <row r="2039" spans="1:10" x14ac:dyDescent="0.25">
      <c r="A2039" s="15">
        <v>41123</v>
      </c>
      <c r="B2039" s="16" t="s">
        <v>880</v>
      </c>
      <c r="C2039" t="s">
        <v>881</v>
      </c>
      <c r="D2039" t="s">
        <v>48</v>
      </c>
      <c r="E2039" s="17">
        <v>7</v>
      </c>
      <c r="F2039" s="17">
        <v>95</v>
      </c>
      <c r="G2039" s="18">
        <v>665</v>
      </c>
      <c r="H2039" s="30" t="s">
        <v>2296</v>
      </c>
      <c r="J2039" s="34"/>
    </row>
    <row r="2040" spans="1:10" x14ac:dyDescent="0.25">
      <c r="A2040" s="15">
        <v>41123</v>
      </c>
      <c r="B2040" s="16" t="s">
        <v>865</v>
      </c>
      <c r="C2040" t="s">
        <v>8</v>
      </c>
      <c r="D2040" t="s">
        <v>48</v>
      </c>
      <c r="E2040" s="17">
        <v>7</v>
      </c>
      <c r="F2040" s="17">
        <v>48</v>
      </c>
      <c r="G2040" s="18">
        <v>336</v>
      </c>
      <c r="H2040" s="30" t="s">
        <v>2296</v>
      </c>
      <c r="J2040" s="34"/>
    </row>
    <row r="2041" spans="1:10" x14ac:dyDescent="0.25">
      <c r="A2041" s="15">
        <v>41123</v>
      </c>
      <c r="B2041" s="16" t="s">
        <v>865</v>
      </c>
      <c r="C2041" t="s">
        <v>8</v>
      </c>
      <c r="D2041" t="s">
        <v>48</v>
      </c>
      <c r="E2041" s="17">
        <v>7</v>
      </c>
      <c r="F2041" s="17">
        <v>35.35</v>
      </c>
      <c r="G2041" s="18">
        <v>247.45</v>
      </c>
      <c r="H2041" s="30" t="s">
        <v>2296</v>
      </c>
      <c r="J2041" s="34"/>
    </row>
    <row r="2042" spans="1:10" x14ac:dyDescent="0.25">
      <c r="A2042" s="15">
        <v>41123</v>
      </c>
      <c r="B2042" s="16" t="s">
        <v>904</v>
      </c>
      <c r="C2042" t="s">
        <v>905</v>
      </c>
      <c r="D2042" t="s">
        <v>48</v>
      </c>
      <c r="E2042" s="17">
        <v>7</v>
      </c>
      <c r="F2042" s="17">
        <v>95</v>
      </c>
      <c r="G2042" s="18">
        <v>665</v>
      </c>
      <c r="H2042" s="30" t="s">
        <v>2296</v>
      </c>
      <c r="J2042" s="34"/>
    </row>
    <row r="2043" spans="1:10" x14ac:dyDescent="0.25">
      <c r="A2043" s="15">
        <v>41123</v>
      </c>
      <c r="B2043" s="16" t="s">
        <v>878</v>
      </c>
      <c r="C2043" t="s">
        <v>879</v>
      </c>
      <c r="D2043" t="s">
        <v>48</v>
      </c>
      <c r="E2043" s="17">
        <v>5</v>
      </c>
      <c r="F2043" s="17">
        <v>110</v>
      </c>
      <c r="G2043" s="18">
        <v>550</v>
      </c>
      <c r="H2043" s="30" t="s">
        <v>2296</v>
      </c>
      <c r="J2043" s="34"/>
    </row>
    <row r="2044" spans="1:10" x14ac:dyDescent="0.25">
      <c r="A2044" s="15">
        <v>41124</v>
      </c>
      <c r="B2044" s="16" t="s">
        <v>986</v>
      </c>
      <c r="C2044" t="s">
        <v>974</v>
      </c>
      <c r="D2044" t="s">
        <v>774</v>
      </c>
      <c r="E2044" s="17">
        <v>1</v>
      </c>
      <c r="F2044" s="17">
        <v>365</v>
      </c>
      <c r="G2044" s="18">
        <v>365</v>
      </c>
      <c r="H2044" s="30" t="s">
        <v>2296</v>
      </c>
      <c r="J2044" s="34"/>
    </row>
    <row r="2045" spans="1:10" x14ac:dyDescent="0.25">
      <c r="A2045" s="15">
        <v>41124</v>
      </c>
      <c r="B2045" s="16" t="s">
        <v>969</v>
      </c>
      <c r="C2045" t="s">
        <v>934</v>
      </c>
      <c r="D2045" t="s">
        <v>48</v>
      </c>
      <c r="E2045" s="17">
        <v>9.5</v>
      </c>
      <c r="F2045" s="17">
        <v>100</v>
      </c>
      <c r="G2045" s="18">
        <v>950</v>
      </c>
      <c r="H2045" s="30" t="s">
        <v>2296</v>
      </c>
      <c r="J2045" s="34"/>
    </row>
    <row r="2046" spans="1:10" x14ac:dyDescent="0.25">
      <c r="A2046" s="15">
        <v>41124</v>
      </c>
      <c r="B2046" s="16" t="s">
        <v>865</v>
      </c>
      <c r="C2046" t="s">
        <v>8</v>
      </c>
      <c r="D2046" t="s">
        <v>48</v>
      </c>
      <c r="E2046" s="17">
        <v>2</v>
      </c>
      <c r="F2046" s="17">
        <v>35.35</v>
      </c>
      <c r="G2046" s="18">
        <v>70.7</v>
      </c>
      <c r="H2046" s="30" t="s">
        <v>2296</v>
      </c>
      <c r="J2046" s="34"/>
    </row>
    <row r="2047" spans="1:10" x14ac:dyDescent="0.25">
      <c r="A2047" s="15">
        <v>41124</v>
      </c>
      <c r="B2047" s="16" t="s">
        <v>865</v>
      </c>
      <c r="C2047" t="s">
        <v>8</v>
      </c>
      <c r="D2047" t="s">
        <v>48</v>
      </c>
      <c r="E2047" s="17">
        <v>2</v>
      </c>
      <c r="F2047" s="17">
        <v>35.35</v>
      </c>
      <c r="G2047" s="18">
        <v>70.7</v>
      </c>
      <c r="H2047" s="30" t="s">
        <v>2296</v>
      </c>
      <c r="J2047" s="34"/>
    </row>
    <row r="2048" spans="1:10" x14ac:dyDescent="0.25">
      <c r="A2048" s="15">
        <v>41124</v>
      </c>
      <c r="B2048" s="16" t="s">
        <v>904</v>
      </c>
      <c r="C2048" t="s">
        <v>905</v>
      </c>
      <c r="D2048" t="s">
        <v>48</v>
      </c>
      <c r="E2048" s="17">
        <v>5</v>
      </c>
      <c r="F2048" s="17">
        <v>95</v>
      </c>
      <c r="G2048" s="18">
        <v>475</v>
      </c>
      <c r="H2048" s="30" t="s">
        <v>2296</v>
      </c>
      <c r="J2048" s="34"/>
    </row>
    <row r="2049" spans="1:10" x14ac:dyDescent="0.25">
      <c r="A2049" s="15">
        <v>41124</v>
      </c>
      <c r="B2049" s="16" t="s">
        <v>878</v>
      </c>
      <c r="C2049" t="s">
        <v>879</v>
      </c>
      <c r="D2049" t="s">
        <v>48</v>
      </c>
      <c r="E2049" s="17">
        <v>4.5</v>
      </c>
      <c r="F2049" s="17">
        <v>110</v>
      </c>
      <c r="G2049" s="18">
        <v>495</v>
      </c>
      <c r="H2049" s="30" t="s">
        <v>2296</v>
      </c>
      <c r="J2049" s="34"/>
    </row>
    <row r="2050" spans="1:10" x14ac:dyDescent="0.25">
      <c r="A2050" s="15">
        <v>41124</v>
      </c>
      <c r="B2050" s="16" t="s">
        <v>947</v>
      </c>
      <c r="C2050" t="s">
        <v>948</v>
      </c>
      <c r="D2050" t="s">
        <v>48</v>
      </c>
      <c r="E2050" s="17">
        <v>4.5</v>
      </c>
      <c r="F2050" s="17">
        <v>110</v>
      </c>
      <c r="G2050" s="18">
        <v>495</v>
      </c>
      <c r="H2050" s="30" t="s">
        <v>2296</v>
      </c>
      <c r="J2050" s="34"/>
    </row>
    <row r="2051" spans="1:10" x14ac:dyDescent="0.25">
      <c r="A2051" s="15">
        <v>41124</v>
      </c>
      <c r="B2051" s="16" t="s">
        <v>865</v>
      </c>
      <c r="C2051" t="s">
        <v>8</v>
      </c>
      <c r="D2051" t="s">
        <v>48</v>
      </c>
      <c r="E2051" s="17">
        <v>6.5</v>
      </c>
      <c r="F2051" s="17">
        <v>35.35</v>
      </c>
      <c r="G2051" s="18">
        <v>229.77500000000001</v>
      </c>
      <c r="H2051" s="30" t="s">
        <v>2296</v>
      </c>
      <c r="J2051" s="34"/>
    </row>
    <row r="2052" spans="1:10" x14ac:dyDescent="0.25">
      <c r="A2052" s="15">
        <v>41124</v>
      </c>
      <c r="B2052" s="16" t="s">
        <v>865</v>
      </c>
      <c r="C2052" t="s">
        <v>8</v>
      </c>
      <c r="D2052" t="s">
        <v>48</v>
      </c>
      <c r="E2052" s="17">
        <v>7</v>
      </c>
      <c r="F2052" s="17">
        <v>48</v>
      </c>
      <c r="G2052" s="18">
        <v>336</v>
      </c>
      <c r="H2052" s="30" t="s">
        <v>2296</v>
      </c>
      <c r="J2052" s="34"/>
    </row>
    <row r="2053" spans="1:10" x14ac:dyDescent="0.25">
      <c r="A2053" s="15">
        <v>41124</v>
      </c>
      <c r="B2053" s="16" t="s">
        <v>887</v>
      </c>
      <c r="C2053" t="s">
        <v>873</v>
      </c>
      <c r="D2053" t="s">
        <v>48</v>
      </c>
      <c r="E2053" s="17">
        <v>6.5</v>
      </c>
      <c r="F2053" s="17">
        <v>95</v>
      </c>
      <c r="G2053" s="18">
        <v>617.5</v>
      </c>
      <c r="H2053" s="30" t="s">
        <v>2296</v>
      </c>
      <c r="J2053" s="34"/>
    </row>
    <row r="2054" spans="1:10" x14ac:dyDescent="0.25">
      <c r="A2054" s="15">
        <v>41125</v>
      </c>
      <c r="B2054" s="16" t="s">
        <v>865</v>
      </c>
      <c r="C2054" t="s">
        <v>8</v>
      </c>
      <c r="D2054" t="s">
        <v>48</v>
      </c>
      <c r="E2054" s="17">
        <v>2.5</v>
      </c>
      <c r="F2054" s="17">
        <v>35.35</v>
      </c>
      <c r="G2054" s="18">
        <v>88.375</v>
      </c>
      <c r="H2054" s="30" t="s">
        <v>2296</v>
      </c>
      <c r="J2054" s="34"/>
    </row>
    <row r="2055" spans="1:10" x14ac:dyDescent="0.25">
      <c r="A2055" s="15">
        <v>41125</v>
      </c>
      <c r="B2055" s="16" t="s">
        <v>986</v>
      </c>
      <c r="C2055" t="s">
        <v>974</v>
      </c>
      <c r="D2055" t="s">
        <v>774</v>
      </c>
      <c r="E2055" s="17">
        <v>1</v>
      </c>
      <c r="F2055" s="17">
        <v>365</v>
      </c>
      <c r="G2055" s="18">
        <v>365</v>
      </c>
      <c r="H2055" s="30" t="s">
        <v>2296</v>
      </c>
      <c r="J2055" s="34"/>
    </row>
    <row r="2056" spans="1:10" x14ac:dyDescent="0.25">
      <c r="A2056" s="15">
        <v>41125</v>
      </c>
      <c r="B2056" s="16" t="s">
        <v>865</v>
      </c>
      <c r="C2056" t="s">
        <v>8</v>
      </c>
      <c r="D2056" t="s">
        <v>48</v>
      </c>
      <c r="E2056" s="17">
        <v>7</v>
      </c>
      <c r="F2056" s="17">
        <v>48</v>
      </c>
      <c r="G2056" s="18">
        <v>336</v>
      </c>
      <c r="H2056" s="30" t="s">
        <v>2296</v>
      </c>
      <c r="J2056" s="34"/>
    </row>
    <row r="2057" spans="1:10" x14ac:dyDescent="0.25">
      <c r="A2057" s="15">
        <v>41125</v>
      </c>
      <c r="B2057" s="16" t="s">
        <v>969</v>
      </c>
      <c r="C2057" t="s">
        <v>934</v>
      </c>
      <c r="D2057" t="s">
        <v>48</v>
      </c>
      <c r="E2057" s="17">
        <v>6</v>
      </c>
      <c r="F2057" s="17">
        <v>100</v>
      </c>
      <c r="G2057" s="18">
        <v>600</v>
      </c>
      <c r="H2057" s="30" t="s">
        <v>2296</v>
      </c>
      <c r="J2057" s="34"/>
    </row>
    <row r="2058" spans="1:10" x14ac:dyDescent="0.25">
      <c r="A2058" s="15">
        <v>41125</v>
      </c>
      <c r="B2058" s="16" t="s">
        <v>887</v>
      </c>
      <c r="C2058" t="s">
        <v>873</v>
      </c>
      <c r="D2058" t="s">
        <v>48</v>
      </c>
      <c r="E2058" s="17">
        <v>3.5</v>
      </c>
      <c r="F2058" s="17">
        <v>95</v>
      </c>
      <c r="G2058" s="18">
        <v>332.5</v>
      </c>
      <c r="H2058" s="30" t="s">
        <v>2296</v>
      </c>
      <c r="J2058" s="34"/>
    </row>
    <row r="2059" spans="1:10" x14ac:dyDescent="0.25">
      <c r="A2059" s="15">
        <v>41125</v>
      </c>
      <c r="B2059" s="16" t="s">
        <v>865</v>
      </c>
      <c r="C2059" t="s">
        <v>8</v>
      </c>
      <c r="D2059" t="s">
        <v>48</v>
      </c>
      <c r="E2059" s="17">
        <v>2.5</v>
      </c>
      <c r="F2059" s="17">
        <v>35.35</v>
      </c>
      <c r="G2059" s="18">
        <v>88.375</v>
      </c>
      <c r="H2059" s="30" t="s">
        <v>2296</v>
      </c>
      <c r="J2059" s="34"/>
    </row>
    <row r="2060" spans="1:10" x14ac:dyDescent="0.25">
      <c r="A2060" s="15">
        <v>41125</v>
      </c>
      <c r="B2060" s="16" t="s">
        <v>865</v>
      </c>
      <c r="C2060" t="s">
        <v>8</v>
      </c>
      <c r="D2060" t="s">
        <v>48</v>
      </c>
      <c r="E2060" s="17">
        <v>6.5</v>
      </c>
      <c r="F2060" s="17">
        <v>35.35</v>
      </c>
      <c r="G2060" s="18">
        <v>229.77500000000001</v>
      </c>
      <c r="H2060" s="30" t="s">
        <v>2296</v>
      </c>
      <c r="J2060" s="34"/>
    </row>
    <row r="2061" spans="1:10" x14ac:dyDescent="0.25">
      <c r="A2061" s="15">
        <v>41125</v>
      </c>
      <c r="B2061" s="16" t="s">
        <v>878</v>
      </c>
      <c r="C2061" t="s">
        <v>879</v>
      </c>
      <c r="D2061" t="s">
        <v>48</v>
      </c>
      <c r="E2061" s="17">
        <v>4</v>
      </c>
      <c r="F2061" s="17">
        <v>110</v>
      </c>
      <c r="G2061" s="18">
        <v>440</v>
      </c>
      <c r="H2061" s="30" t="s">
        <v>2296</v>
      </c>
      <c r="J2061" s="34"/>
    </row>
    <row r="2062" spans="1:10" x14ac:dyDescent="0.25">
      <c r="A2062" s="15">
        <v>41125</v>
      </c>
      <c r="B2062" s="16" t="s">
        <v>904</v>
      </c>
      <c r="C2062" t="s">
        <v>905</v>
      </c>
      <c r="D2062" t="s">
        <v>48</v>
      </c>
      <c r="E2062" s="17">
        <v>2.5</v>
      </c>
      <c r="F2062" s="17">
        <v>95</v>
      </c>
      <c r="G2062" s="18">
        <v>237.5</v>
      </c>
      <c r="H2062" s="30" t="s">
        <v>2296</v>
      </c>
      <c r="J2062" s="34"/>
    </row>
    <row r="2063" spans="1:10" x14ac:dyDescent="0.25">
      <c r="A2063" s="15">
        <v>41127</v>
      </c>
      <c r="B2063" s="16" t="s">
        <v>880</v>
      </c>
      <c r="C2063" t="s">
        <v>881</v>
      </c>
      <c r="D2063" t="s">
        <v>48</v>
      </c>
      <c r="E2063" s="17">
        <v>4.5</v>
      </c>
      <c r="F2063" s="17">
        <v>95</v>
      </c>
      <c r="G2063" s="18">
        <v>427.5</v>
      </c>
      <c r="H2063" s="30" t="s">
        <v>2296</v>
      </c>
      <c r="J2063" s="34"/>
    </row>
    <row r="2064" spans="1:10" x14ac:dyDescent="0.25">
      <c r="A2064" s="15">
        <v>41127</v>
      </c>
      <c r="B2064" s="16" t="s">
        <v>880</v>
      </c>
      <c r="C2064" t="s">
        <v>881</v>
      </c>
      <c r="D2064" t="s">
        <v>48</v>
      </c>
      <c r="E2064" s="17">
        <v>4</v>
      </c>
      <c r="F2064" s="17">
        <v>95</v>
      </c>
      <c r="G2064" s="18">
        <v>380</v>
      </c>
      <c r="H2064" s="30" t="s">
        <v>2296</v>
      </c>
      <c r="J2064" s="34"/>
    </row>
    <row r="2065" spans="1:10" x14ac:dyDescent="0.25">
      <c r="A2065" s="15">
        <v>41127</v>
      </c>
      <c r="B2065" s="16" t="s">
        <v>878</v>
      </c>
      <c r="C2065" t="s">
        <v>879</v>
      </c>
      <c r="D2065" t="s">
        <v>48</v>
      </c>
      <c r="E2065" s="17">
        <v>5</v>
      </c>
      <c r="F2065" s="17">
        <v>110</v>
      </c>
      <c r="G2065" s="18">
        <v>550</v>
      </c>
      <c r="H2065" s="30" t="s">
        <v>2296</v>
      </c>
      <c r="J2065" s="34"/>
    </row>
    <row r="2066" spans="1:10" x14ac:dyDescent="0.25">
      <c r="A2066" s="15">
        <v>41127</v>
      </c>
      <c r="B2066" s="16" t="s">
        <v>969</v>
      </c>
      <c r="C2066" t="s">
        <v>934</v>
      </c>
      <c r="D2066" t="s">
        <v>48</v>
      </c>
      <c r="E2066" s="17">
        <v>6.5</v>
      </c>
      <c r="F2066" s="17">
        <v>100</v>
      </c>
      <c r="G2066" s="18">
        <v>650</v>
      </c>
      <c r="H2066" s="30" t="s">
        <v>2296</v>
      </c>
      <c r="J2066" s="34"/>
    </row>
    <row r="2067" spans="1:10" x14ac:dyDescent="0.25">
      <c r="A2067" s="15">
        <v>41127</v>
      </c>
      <c r="B2067" s="16" t="s">
        <v>887</v>
      </c>
      <c r="C2067" t="s">
        <v>873</v>
      </c>
      <c r="D2067" t="s">
        <v>48</v>
      </c>
      <c r="E2067" s="17">
        <v>10.5</v>
      </c>
      <c r="F2067" s="17">
        <v>95</v>
      </c>
      <c r="G2067" s="18">
        <v>997.5</v>
      </c>
      <c r="H2067" s="30" t="s">
        <v>2296</v>
      </c>
      <c r="J2067" s="34"/>
    </row>
    <row r="2068" spans="1:10" x14ac:dyDescent="0.25">
      <c r="A2068" s="15">
        <v>41127</v>
      </c>
      <c r="B2068" s="16" t="s">
        <v>865</v>
      </c>
      <c r="C2068" t="s">
        <v>8</v>
      </c>
      <c r="D2068" t="s">
        <v>48</v>
      </c>
      <c r="E2068" s="17">
        <v>7</v>
      </c>
      <c r="F2068" s="17">
        <v>48</v>
      </c>
      <c r="G2068" s="18">
        <v>336</v>
      </c>
      <c r="H2068" s="30" t="s">
        <v>2296</v>
      </c>
      <c r="J2068" s="34"/>
    </row>
    <row r="2069" spans="1:10" x14ac:dyDescent="0.25">
      <c r="A2069" s="15">
        <v>41127</v>
      </c>
      <c r="B2069" s="16" t="s">
        <v>865</v>
      </c>
      <c r="C2069" t="s">
        <v>8</v>
      </c>
      <c r="D2069" t="s">
        <v>48</v>
      </c>
      <c r="E2069" s="17">
        <v>7</v>
      </c>
      <c r="F2069" s="17">
        <v>35.35</v>
      </c>
      <c r="G2069" s="18">
        <v>247.45</v>
      </c>
      <c r="H2069" s="30" t="s">
        <v>2296</v>
      </c>
      <c r="J2069" s="34"/>
    </row>
    <row r="2070" spans="1:10" x14ac:dyDescent="0.25">
      <c r="A2070" s="15">
        <v>41127</v>
      </c>
      <c r="B2070" s="16" t="s">
        <v>865</v>
      </c>
      <c r="C2070" t="s">
        <v>8</v>
      </c>
      <c r="D2070" t="s">
        <v>48</v>
      </c>
      <c r="E2070" s="17">
        <v>7</v>
      </c>
      <c r="F2070" s="17">
        <v>35.35</v>
      </c>
      <c r="G2070" s="18">
        <v>247.45</v>
      </c>
      <c r="H2070" s="30" t="s">
        <v>2296</v>
      </c>
      <c r="J2070" s="34"/>
    </row>
    <row r="2071" spans="1:10" x14ac:dyDescent="0.25">
      <c r="A2071" s="15">
        <v>41127</v>
      </c>
      <c r="B2071" s="16" t="s">
        <v>865</v>
      </c>
      <c r="C2071" t="s">
        <v>8</v>
      </c>
      <c r="D2071" t="s">
        <v>48</v>
      </c>
      <c r="E2071" s="17">
        <v>7</v>
      </c>
      <c r="F2071" s="17">
        <v>35.35</v>
      </c>
      <c r="G2071" s="18">
        <v>247.45</v>
      </c>
      <c r="H2071" s="30" t="s">
        <v>2296</v>
      </c>
      <c r="J2071" s="34"/>
    </row>
    <row r="2072" spans="1:10" x14ac:dyDescent="0.25">
      <c r="A2072" s="15">
        <v>41127</v>
      </c>
      <c r="B2072" s="16" t="s">
        <v>865</v>
      </c>
      <c r="C2072" t="s">
        <v>8</v>
      </c>
      <c r="D2072" t="s">
        <v>48</v>
      </c>
      <c r="E2072" s="17">
        <v>2</v>
      </c>
      <c r="F2072" s="17">
        <v>35.35</v>
      </c>
      <c r="G2072" s="18">
        <v>70.7</v>
      </c>
      <c r="H2072" s="30" t="s">
        <v>2296</v>
      </c>
      <c r="J2072" s="34"/>
    </row>
    <row r="2073" spans="1:10" x14ac:dyDescent="0.25">
      <c r="A2073" s="15">
        <v>41128</v>
      </c>
      <c r="B2073" s="16" t="s">
        <v>878</v>
      </c>
      <c r="C2073" t="s">
        <v>879</v>
      </c>
      <c r="D2073" t="s">
        <v>48</v>
      </c>
      <c r="E2073" s="17">
        <v>5</v>
      </c>
      <c r="F2073" s="17">
        <v>110</v>
      </c>
      <c r="G2073" s="18">
        <v>550</v>
      </c>
      <c r="H2073" s="30" t="s">
        <v>2296</v>
      </c>
      <c r="J2073" s="34"/>
    </row>
    <row r="2074" spans="1:10" x14ac:dyDescent="0.25">
      <c r="A2074" s="15">
        <v>41128</v>
      </c>
      <c r="B2074" s="16" t="s">
        <v>865</v>
      </c>
      <c r="C2074" t="s">
        <v>8</v>
      </c>
      <c r="D2074" t="s">
        <v>48</v>
      </c>
      <c r="E2074" s="17">
        <v>2.5</v>
      </c>
      <c r="F2074" s="17">
        <v>35.35</v>
      </c>
      <c r="G2074" s="18">
        <v>88.375</v>
      </c>
      <c r="H2074" s="30" t="s">
        <v>2296</v>
      </c>
      <c r="J2074" s="34"/>
    </row>
    <row r="2075" spans="1:10" x14ac:dyDescent="0.25">
      <c r="A2075" s="15">
        <v>41128</v>
      </c>
      <c r="B2075" s="16" t="s">
        <v>880</v>
      </c>
      <c r="C2075" t="s">
        <v>881</v>
      </c>
      <c r="D2075" t="s">
        <v>48</v>
      </c>
      <c r="E2075" s="17">
        <v>4</v>
      </c>
      <c r="F2075" s="17">
        <v>95</v>
      </c>
      <c r="G2075" s="18">
        <v>380</v>
      </c>
      <c r="H2075" s="30" t="s">
        <v>2296</v>
      </c>
      <c r="J2075" s="34"/>
    </row>
    <row r="2076" spans="1:10" x14ac:dyDescent="0.25">
      <c r="A2076" s="15">
        <v>41128</v>
      </c>
      <c r="B2076" s="16" t="s">
        <v>865</v>
      </c>
      <c r="C2076" t="s">
        <v>8</v>
      </c>
      <c r="D2076" t="s">
        <v>48</v>
      </c>
      <c r="E2076" s="17">
        <v>2.5</v>
      </c>
      <c r="F2076" s="17">
        <v>35.35</v>
      </c>
      <c r="G2076" s="18">
        <v>88.375</v>
      </c>
      <c r="H2076" s="30" t="s">
        <v>2296</v>
      </c>
      <c r="J2076" s="34"/>
    </row>
    <row r="2077" spans="1:10" x14ac:dyDescent="0.25">
      <c r="A2077" s="15">
        <v>41128</v>
      </c>
      <c r="B2077" s="16" t="s">
        <v>969</v>
      </c>
      <c r="C2077" t="s">
        <v>934</v>
      </c>
      <c r="D2077" t="s">
        <v>48</v>
      </c>
      <c r="E2077" s="17">
        <v>4</v>
      </c>
      <c r="F2077" s="17">
        <v>100</v>
      </c>
      <c r="G2077" s="18">
        <v>400</v>
      </c>
      <c r="H2077" s="30" t="s">
        <v>2296</v>
      </c>
      <c r="J2077" s="34"/>
    </row>
    <row r="2078" spans="1:10" x14ac:dyDescent="0.25">
      <c r="A2078" s="15">
        <v>41128</v>
      </c>
      <c r="B2078" s="16" t="s">
        <v>865</v>
      </c>
      <c r="C2078" t="s">
        <v>8</v>
      </c>
      <c r="D2078" t="s">
        <v>48</v>
      </c>
      <c r="E2078" s="17">
        <v>2.5</v>
      </c>
      <c r="F2078" s="17">
        <v>35.35</v>
      </c>
      <c r="G2078" s="18">
        <v>88.375</v>
      </c>
      <c r="H2078" s="30" t="s">
        <v>2296</v>
      </c>
      <c r="J2078" s="34"/>
    </row>
    <row r="2079" spans="1:10" x14ac:dyDescent="0.25">
      <c r="A2079" s="15">
        <v>41128</v>
      </c>
      <c r="B2079" s="16" t="s">
        <v>887</v>
      </c>
      <c r="C2079" t="s">
        <v>873</v>
      </c>
      <c r="D2079" t="s">
        <v>48</v>
      </c>
      <c r="E2079" s="17">
        <v>5</v>
      </c>
      <c r="F2079" s="17">
        <v>95</v>
      </c>
      <c r="G2079" s="18">
        <v>475</v>
      </c>
      <c r="H2079" s="30" t="s">
        <v>2296</v>
      </c>
      <c r="J2079" s="34"/>
    </row>
    <row r="2080" spans="1:10" x14ac:dyDescent="0.25">
      <c r="A2080" s="15">
        <v>41128</v>
      </c>
      <c r="B2080" s="16" t="s">
        <v>865</v>
      </c>
      <c r="C2080" t="s">
        <v>8</v>
      </c>
      <c r="D2080" t="s">
        <v>48</v>
      </c>
      <c r="E2080" s="17">
        <v>2.5</v>
      </c>
      <c r="F2080" s="17">
        <v>35.35</v>
      </c>
      <c r="G2080" s="18">
        <v>88.375</v>
      </c>
      <c r="H2080" s="30" t="s">
        <v>2296</v>
      </c>
      <c r="J2080" s="34"/>
    </row>
    <row r="2081" spans="1:10" x14ac:dyDescent="0.25">
      <c r="A2081" s="15">
        <v>41128</v>
      </c>
      <c r="B2081" s="16" t="s">
        <v>865</v>
      </c>
      <c r="C2081" t="s">
        <v>8</v>
      </c>
      <c r="D2081" t="s">
        <v>48</v>
      </c>
      <c r="E2081" s="17">
        <v>3</v>
      </c>
      <c r="F2081" s="17">
        <v>48</v>
      </c>
      <c r="G2081" s="18">
        <v>144</v>
      </c>
      <c r="H2081" s="30" t="s">
        <v>2296</v>
      </c>
      <c r="J2081" s="34"/>
    </row>
    <row r="2082" spans="1:10" x14ac:dyDescent="0.25">
      <c r="A2082" s="15">
        <v>41129</v>
      </c>
      <c r="B2082" s="16" t="s">
        <v>880</v>
      </c>
      <c r="C2082" t="s">
        <v>881</v>
      </c>
      <c r="D2082" t="s">
        <v>48</v>
      </c>
      <c r="E2082" s="17">
        <v>2</v>
      </c>
      <c r="F2082" s="17">
        <v>95</v>
      </c>
      <c r="G2082" s="18">
        <v>190</v>
      </c>
      <c r="H2082" s="30" t="s">
        <v>2296</v>
      </c>
      <c r="J2082" s="34"/>
    </row>
    <row r="2083" spans="1:10" x14ac:dyDescent="0.25">
      <c r="A2083" s="15">
        <v>41129</v>
      </c>
      <c r="B2083" s="16" t="s">
        <v>878</v>
      </c>
      <c r="C2083" t="s">
        <v>879</v>
      </c>
      <c r="D2083" t="s">
        <v>48</v>
      </c>
      <c r="E2083" s="17">
        <v>5</v>
      </c>
      <c r="F2083" s="17">
        <v>110</v>
      </c>
      <c r="G2083" s="18">
        <v>550</v>
      </c>
      <c r="H2083" s="30" t="s">
        <v>2296</v>
      </c>
      <c r="J2083" s="34"/>
    </row>
    <row r="2084" spans="1:10" x14ac:dyDescent="0.25">
      <c r="A2084" s="15">
        <v>41129</v>
      </c>
      <c r="B2084" s="16" t="s">
        <v>904</v>
      </c>
      <c r="C2084" t="s">
        <v>905</v>
      </c>
      <c r="D2084" t="s">
        <v>48</v>
      </c>
      <c r="E2084" s="17">
        <v>2</v>
      </c>
      <c r="F2084" s="17">
        <v>95</v>
      </c>
      <c r="G2084" s="18">
        <v>190</v>
      </c>
      <c r="H2084" s="30" t="s">
        <v>2296</v>
      </c>
      <c r="J2084" s="34"/>
    </row>
    <row r="2085" spans="1:10" x14ac:dyDescent="0.25">
      <c r="A2085" s="15">
        <v>41129</v>
      </c>
      <c r="B2085" s="16" t="s">
        <v>865</v>
      </c>
      <c r="C2085" t="s">
        <v>8</v>
      </c>
      <c r="D2085" t="s">
        <v>48</v>
      </c>
      <c r="E2085" s="17">
        <v>1.5</v>
      </c>
      <c r="F2085" s="17">
        <v>35.35</v>
      </c>
      <c r="G2085" s="18">
        <v>53.024999999999999</v>
      </c>
      <c r="H2085" s="30" t="s">
        <v>2296</v>
      </c>
      <c r="J2085" s="34"/>
    </row>
    <row r="2086" spans="1:10" x14ac:dyDescent="0.25">
      <c r="A2086" s="15">
        <v>41129</v>
      </c>
      <c r="B2086" s="16" t="s">
        <v>969</v>
      </c>
      <c r="C2086" t="s">
        <v>934</v>
      </c>
      <c r="D2086" t="s">
        <v>48</v>
      </c>
      <c r="E2086" s="17">
        <v>2</v>
      </c>
      <c r="F2086" s="17">
        <v>100</v>
      </c>
      <c r="G2086" s="18">
        <v>200</v>
      </c>
      <c r="H2086" s="30" t="s">
        <v>2296</v>
      </c>
      <c r="J2086" s="34"/>
    </row>
    <row r="2087" spans="1:10" x14ac:dyDescent="0.25">
      <c r="A2087" s="15">
        <v>41129</v>
      </c>
      <c r="B2087" s="16" t="s">
        <v>865</v>
      </c>
      <c r="C2087" t="s">
        <v>8</v>
      </c>
      <c r="D2087" t="s">
        <v>48</v>
      </c>
      <c r="E2087" s="17">
        <v>2.5</v>
      </c>
      <c r="F2087" s="17">
        <v>48</v>
      </c>
      <c r="G2087" s="18">
        <v>120</v>
      </c>
      <c r="H2087" s="30" t="s">
        <v>2296</v>
      </c>
      <c r="J2087" s="34"/>
    </row>
    <row r="2088" spans="1:10" x14ac:dyDescent="0.25">
      <c r="A2088" s="15">
        <v>41129</v>
      </c>
      <c r="B2088" s="16" t="s">
        <v>865</v>
      </c>
      <c r="C2088" t="s">
        <v>8</v>
      </c>
      <c r="D2088" t="s">
        <v>48</v>
      </c>
      <c r="E2088" s="17">
        <v>1.5</v>
      </c>
      <c r="F2088" s="17">
        <v>35.35</v>
      </c>
      <c r="G2088" s="18">
        <v>53.024999999999999</v>
      </c>
      <c r="H2088" s="30" t="s">
        <v>2296</v>
      </c>
      <c r="J2088" s="34"/>
    </row>
    <row r="2089" spans="1:10" x14ac:dyDescent="0.25">
      <c r="A2089" s="15">
        <v>41129</v>
      </c>
      <c r="B2089" s="16" t="s">
        <v>865</v>
      </c>
      <c r="C2089" t="s">
        <v>8</v>
      </c>
      <c r="D2089" t="s">
        <v>48</v>
      </c>
      <c r="E2089" s="17">
        <v>7</v>
      </c>
      <c r="F2089" s="17">
        <v>35.35</v>
      </c>
      <c r="G2089" s="18">
        <v>247.45</v>
      </c>
      <c r="H2089" s="30" t="s">
        <v>2296</v>
      </c>
      <c r="J2089" s="34"/>
    </row>
    <row r="2090" spans="1:10" x14ac:dyDescent="0.25">
      <c r="A2090" s="15">
        <v>41129</v>
      </c>
      <c r="B2090" s="16" t="s">
        <v>887</v>
      </c>
      <c r="C2090" t="s">
        <v>873</v>
      </c>
      <c r="D2090" t="s">
        <v>48</v>
      </c>
      <c r="E2090" s="17">
        <v>2</v>
      </c>
      <c r="F2090" s="17">
        <v>95</v>
      </c>
      <c r="G2090" s="18">
        <v>190</v>
      </c>
      <c r="H2090" s="30" t="s">
        <v>2296</v>
      </c>
      <c r="J2090" s="34"/>
    </row>
    <row r="2091" spans="1:10" x14ac:dyDescent="0.25">
      <c r="A2091" s="15">
        <v>41130</v>
      </c>
      <c r="B2091" s="16" t="s">
        <v>878</v>
      </c>
      <c r="C2091" t="s">
        <v>879</v>
      </c>
      <c r="D2091" t="s">
        <v>48</v>
      </c>
      <c r="E2091" s="17">
        <v>3</v>
      </c>
      <c r="F2091" s="17">
        <v>110</v>
      </c>
      <c r="G2091" s="18">
        <v>330</v>
      </c>
      <c r="H2091" s="30" t="s">
        <v>2296</v>
      </c>
      <c r="J2091" s="34"/>
    </row>
    <row r="2092" spans="1:10" x14ac:dyDescent="0.25">
      <c r="A2092" s="15">
        <v>41130</v>
      </c>
      <c r="B2092" s="16" t="s">
        <v>880</v>
      </c>
      <c r="C2092" t="s">
        <v>881</v>
      </c>
      <c r="D2092" t="s">
        <v>48</v>
      </c>
      <c r="E2092" s="17">
        <v>2.5</v>
      </c>
      <c r="F2092" s="17">
        <v>95</v>
      </c>
      <c r="G2092" s="18">
        <v>237.5</v>
      </c>
      <c r="H2092" s="30" t="s">
        <v>2296</v>
      </c>
      <c r="J2092" s="34"/>
    </row>
    <row r="2093" spans="1:10" x14ac:dyDescent="0.25">
      <c r="A2093" s="15">
        <v>41130</v>
      </c>
      <c r="B2093" s="16" t="s">
        <v>887</v>
      </c>
      <c r="C2093" t="s">
        <v>873</v>
      </c>
      <c r="D2093" t="s">
        <v>48</v>
      </c>
      <c r="E2093" s="17">
        <v>2</v>
      </c>
      <c r="F2093" s="17">
        <v>95</v>
      </c>
      <c r="G2093" s="18">
        <v>190</v>
      </c>
      <c r="H2093" s="30" t="s">
        <v>2296</v>
      </c>
      <c r="J2093" s="34"/>
    </row>
    <row r="2094" spans="1:10" x14ac:dyDescent="0.25">
      <c r="A2094" s="15">
        <v>41131</v>
      </c>
      <c r="B2094" s="16" t="s">
        <v>878</v>
      </c>
      <c r="C2094" t="s">
        <v>879</v>
      </c>
      <c r="D2094" t="s">
        <v>48</v>
      </c>
      <c r="E2094" s="17">
        <v>7</v>
      </c>
      <c r="F2094" s="17">
        <v>110</v>
      </c>
      <c r="G2094" s="18">
        <v>770</v>
      </c>
      <c r="H2094" s="30" t="s">
        <v>2296</v>
      </c>
      <c r="J2094" s="34"/>
    </row>
    <row r="2095" spans="1:10" x14ac:dyDescent="0.25">
      <c r="A2095" s="15">
        <v>41131</v>
      </c>
      <c r="B2095" s="16" t="s">
        <v>887</v>
      </c>
      <c r="C2095" t="s">
        <v>873</v>
      </c>
      <c r="D2095" t="s">
        <v>48</v>
      </c>
      <c r="E2095" s="17">
        <v>5</v>
      </c>
      <c r="F2095" s="17">
        <v>95</v>
      </c>
      <c r="G2095" s="18">
        <v>475</v>
      </c>
      <c r="H2095" s="30" t="s">
        <v>2296</v>
      </c>
      <c r="J2095" s="34"/>
    </row>
    <row r="2096" spans="1:10" x14ac:dyDescent="0.25">
      <c r="A2096" s="15">
        <v>41131</v>
      </c>
      <c r="B2096" s="16" t="s">
        <v>865</v>
      </c>
      <c r="C2096" t="s">
        <v>8</v>
      </c>
      <c r="D2096" t="s">
        <v>48</v>
      </c>
      <c r="E2096" s="17">
        <v>7</v>
      </c>
      <c r="F2096" s="17">
        <v>35.35</v>
      </c>
      <c r="G2096" s="18">
        <v>247.45</v>
      </c>
      <c r="H2096" s="30" t="s">
        <v>2296</v>
      </c>
      <c r="J2096" s="34"/>
    </row>
    <row r="2097" spans="1:10" x14ac:dyDescent="0.25">
      <c r="A2097" s="15">
        <v>41131</v>
      </c>
      <c r="B2097" s="16" t="s">
        <v>865</v>
      </c>
      <c r="C2097" t="s">
        <v>8</v>
      </c>
      <c r="D2097" t="s">
        <v>48</v>
      </c>
      <c r="E2097" s="17">
        <v>7</v>
      </c>
      <c r="F2097" s="17">
        <v>35.35</v>
      </c>
      <c r="G2097" s="18">
        <v>247.45</v>
      </c>
      <c r="H2097" s="30" t="s">
        <v>2296</v>
      </c>
      <c r="J2097" s="34"/>
    </row>
    <row r="2098" spans="1:10" x14ac:dyDescent="0.25">
      <c r="A2098" s="15">
        <v>41131</v>
      </c>
      <c r="B2098" s="16" t="s">
        <v>865</v>
      </c>
      <c r="C2098" t="s">
        <v>8</v>
      </c>
      <c r="D2098" t="s">
        <v>48</v>
      </c>
      <c r="E2098" s="17">
        <v>5</v>
      </c>
      <c r="F2098" s="17">
        <v>35.35</v>
      </c>
      <c r="G2098" s="18">
        <v>176.75</v>
      </c>
      <c r="H2098" s="30" t="s">
        <v>2296</v>
      </c>
      <c r="J2098" s="34"/>
    </row>
    <row r="2099" spans="1:10" x14ac:dyDescent="0.25">
      <c r="A2099" s="15">
        <v>41132</v>
      </c>
      <c r="B2099" s="16" t="s">
        <v>878</v>
      </c>
      <c r="C2099" t="s">
        <v>879</v>
      </c>
      <c r="D2099" t="s">
        <v>48</v>
      </c>
      <c r="E2099" s="17">
        <v>4</v>
      </c>
      <c r="F2099" s="17">
        <v>110</v>
      </c>
      <c r="G2099" s="18">
        <v>440</v>
      </c>
      <c r="H2099" s="30" t="s">
        <v>2296</v>
      </c>
      <c r="J2099" s="34"/>
    </row>
    <row r="2100" spans="1:10" x14ac:dyDescent="0.25">
      <c r="A2100" s="15">
        <v>41132</v>
      </c>
      <c r="B2100" s="16" t="s">
        <v>880</v>
      </c>
      <c r="C2100" t="s">
        <v>881</v>
      </c>
      <c r="D2100" t="s">
        <v>48</v>
      </c>
      <c r="E2100" s="17">
        <v>4</v>
      </c>
      <c r="F2100" s="17">
        <v>95</v>
      </c>
      <c r="G2100" s="18">
        <v>380</v>
      </c>
      <c r="H2100" s="30" t="s">
        <v>2296</v>
      </c>
      <c r="J2100" s="34"/>
    </row>
    <row r="2101" spans="1:10" x14ac:dyDescent="0.25">
      <c r="A2101" s="15">
        <v>41132</v>
      </c>
      <c r="B2101" s="16" t="s">
        <v>887</v>
      </c>
      <c r="C2101" t="s">
        <v>873</v>
      </c>
      <c r="D2101" t="s">
        <v>48</v>
      </c>
      <c r="E2101" s="17">
        <v>7.5</v>
      </c>
      <c r="F2101" s="17">
        <v>95</v>
      </c>
      <c r="G2101" s="18">
        <v>712.5</v>
      </c>
      <c r="H2101" s="30" t="s">
        <v>2296</v>
      </c>
      <c r="J2101" s="34"/>
    </row>
    <row r="2102" spans="1:10" x14ac:dyDescent="0.25">
      <c r="A2102" s="15">
        <v>41134</v>
      </c>
      <c r="B2102" s="16" t="s">
        <v>887</v>
      </c>
      <c r="C2102" t="s">
        <v>873</v>
      </c>
      <c r="D2102" t="s">
        <v>48</v>
      </c>
      <c r="E2102" s="17">
        <v>5.5</v>
      </c>
      <c r="F2102" s="17">
        <v>95</v>
      </c>
      <c r="G2102" s="18">
        <v>522.5</v>
      </c>
      <c r="H2102" s="30" t="s">
        <v>2296</v>
      </c>
      <c r="J2102" s="34"/>
    </row>
    <row r="2103" spans="1:10" x14ac:dyDescent="0.25">
      <c r="A2103" s="15">
        <v>41134</v>
      </c>
      <c r="B2103" s="16" t="s">
        <v>986</v>
      </c>
      <c r="C2103" t="s">
        <v>974</v>
      </c>
      <c r="D2103" t="s">
        <v>774</v>
      </c>
      <c r="E2103" s="17">
        <v>1</v>
      </c>
      <c r="F2103" s="17">
        <v>365</v>
      </c>
      <c r="G2103" s="18">
        <v>365</v>
      </c>
      <c r="H2103" s="30" t="s">
        <v>2296</v>
      </c>
      <c r="J2103" s="34"/>
    </row>
    <row r="2104" spans="1:10" x14ac:dyDescent="0.25">
      <c r="A2104" s="15">
        <v>41134</v>
      </c>
      <c r="B2104" s="16" t="s">
        <v>880</v>
      </c>
      <c r="C2104" t="s">
        <v>881</v>
      </c>
      <c r="D2104" t="s">
        <v>48</v>
      </c>
      <c r="E2104" s="17">
        <v>1</v>
      </c>
      <c r="F2104" s="17">
        <v>95</v>
      </c>
      <c r="G2104" s="18">
        <v>95</v>
      </c>
      <c r="H2104" s="30" t="s">
        <v>2296</v>
      </c>
      <c r="J2104" s="34"/>
    </row>
    <row r="2105" spans="1:10" x14ac:dyDescent="0.25">
      <c r="A2105" s="15">
        <v>41134</v>
      </c>
      <c r="B2105" s="16" t="s">
        <v>920</v>
      </c>
      <c r="C2105" t="s">
        <v>871</v>
      </c>
      <c r="D2105" t="s">
        <v>48</v>
      </c>
      <c r="E2105" s="17">
        <v>1</v>
      </c>
      <c r="F2105" s="17">
        <v>130</v>
      </c>
      <c r="G2105" s="18">
        <v>130</v>
      </c>
      <c r="H2105" s="30" t="s">
        <v>2296</v>
      </c>
      <c r="J2105" s="34"/>
    </row>
    <row r="2106" spans="1:10" x14ac:dyDescent="0.25">
      <c r="A2106" s="15">
        <v>41134</v>
      </c>
      <c r="B2106" s="16" t="s">
        <v>865</v>
      </c>
      <c r="C2106" t="s">
        <v>8</v>
      </c>
      <c r="D2106" t="s">
        <v>48</v>
      </c>
      <c r="E2106" s="17">
        <v>1</v>
      </c>
      <c r="F2106" s="17">
        <v>35.35</v>
      </c>
      <c r="G2106" s="18">
        <v>35.35</v>
      </c>
      <c r="H2106" s="30" t="s">
        <v>2296</v>
      </c>
      <c r="J2106" s="34"/>
    </row>
    <row r="2107" spans="1:10" x14ac:dyDescent="0.25">
      <c r="A2107" s="15">
        <v>41134</v>
      </c>
      <c r="B2107" s="16" t="s">
        <v>904</v>
      </c>
      <c r="C2107" t="s">
        <v>905</v>
      </c>
      <c r="D2107" t="s">
        <v>48</v>
      </c>
      <c r="E2107" s="17">
        <v>1.5</v>
      </c>
      <c r="F2107" s="17">
        <v>95</v>
      </c>
      <c r="G2107" s="18">
        <v>142.5</v>
      </c>
      <c r="H2107" s="30" t="s">
        <v>2296</v>
      </c>
      <c r="J2107" s="34"/>
    </row>
    <row r="2108" spans="1:10" x14ac:dyDescent="0.25">
      <c r="A2108" s="15">
        <v>41134</v>
      </c>
      <c r="B2108" s="16" t="s">
        <v>878</v>
      </c>
      <c r="C2108" t="s">
        <v>879</v>
      </c>
      <c r="D2108" t="s">
        <v>48</v>
      </c>
      <c r="E2108" s="17">
        <v>1.5</v>
      </c>
      <c r="F2108" s="17">
        <v>110</v>
      </c>
      <c r="G2108" s="18">
        <v>165</v>
      </c>
      <c r="H2108" s="30" t="s">
        <v>2296</v>
      </c>
      <c r="J2108" s="34"/>
    </row>
    <row r="2109" spans="1:10" x14ac:dyDescent="0.25">
      <c r="A2109" s="15">
        <v>41135</v>
      </c>
      <c r="B2109" s="16" t="s">
        <v>986</v>
      </c>
      <c r="C2109" t="s">
        <v>974</v>
      </c>
      <c r="D2109" t="s">
        <v>774</v>
      </c>
      <c r="E2109" s="17">
        <v>1</v>
      </c>
      <c r="F2109" s="17">
        <v>365</v>
      </c>
      <c r="G2109" s="18">
        <v>365</v>
      </c>
      <c r="H2109" s="30" t="s">
        <v>2296</v>
      </c>
      <c r="J2109" s="34"/>
    </row>
    <row r="2110" spans="1:10" x14ac:dyDescent="0.25">
      <c r="A2110" s="15">
        <v>41135</v>
      </c>
      <c r="B2110" s="16" t="s">
        <v>887</v>
      </c>
      <c r="C2110" t="s">
        <v>873</v>
      </c>
      <c r="D2110" t="s">
        <v>48</v>
      </c>
      <c r="E2110" s="17">
        <v>5.5</v>
      </c>
      <c r="F2110" s="17">
        <v>95</v>
      </c>
      <c r="G2110" s="18">
        <v>522.5</v>
      </c>
      <c r="H2110" s="30" t="s">
        <v>2296</v>
      </c>
      <c r="J2110" s="34"/>
    </row>
    <row r="2111" spans="1:10" x14ac:dyDescent="0.25">
      <c r="A2111" s="15">
        <v>41136</v>
      </c>
      <c r="B2111" s="16" t="s">
        <v>887</v>
      </c>
      <c r="C2111" t="s">
        <v>873</v>
      </c>
      <c r="D2111" t="s">
        <v>48</v>
      </c>
      <c r="E2111" s="17">
        <v>5.5</v>
      </c>
      <c r="F2111" s="17">
        <v>95</v>
      </c>
      <c r="G2111" s="18">
        <v>522.5</v>
      </c>
      <c r="H2111" s="30" t="s">
        <v>2296</v>
      </c>
      <c r="J2111" s="34"/>
    </row>
    <row r="2112" spans="1:10" ht="30" x14ac:dyDescent="0.25">
      <c r="A2112" s="15">
        <v>41136</v>
      </c>
      <c r="B2112" s="16" t="s">
        <v>1047</v>
      </c>
      <c r="C2112" t="s">
        <v>1000</v>
      </c>
      <c r="D2112" t="s">
        <v>783</v>
      </c>
      <c r="E2112" s="17">
        <v>1</v>
      </c>
      <c r="F2112" s="17">
        <v>407.2</v>
      </c>
      <c r="G2112" s="18">
        <v>407.2</v>
      </c>
      <c r="H2112" s="30" t="s">
        <v>2296</v>
      </c>
      <c r="J2112" s="34"/>
    </row>
    <row r="2113" spans="1:10" x14ac:dyDescent="0.25">
      <c r="A2113" s="15">
        <v>41136</v>
      </c>
      <c r="B2113" s="16" t="s">
        <v>986</v>
      </c>
      <c r="C2113" t="s">
        <v>974</v>
      </c>
      <c r="D2113" t="s">
        <v>774</v>
      </c>
      <c r="E2113" s="17">
        <v>1</v>
      </c>
      <c r="F2113" s="17">
        <v>365</v>
      </c>
      <c r="G2113" s="18">
        <v>365</v>
      </c>
      <c r="H2113" s="30" t="s">
        <v>2296</v>
      </c>
      <c r="J2113" s="34"/>
    </row>
    <row r="2114" spans="1:10" x14ac:dyDescent="0.25">
      <c r="A2114" s="15">
        <v>41137</v>
      </c>
      <c r="B2114" s="16" t="s">
        <v>887</v>
      </c>
      <c r="C2114" t="s">
        <v>873</v>
      </c>
      <c r="D2114" t="s">
        <v>48</v>
      </c>
      <c r="E2114" s="17">
        <v>5</v>
      </c>
      <c r="F2114" s="17">
        <v>95</v>
      </c>
      <c r="G2114" s="18">
        <v>475</v>
      </c>
      <c r="H2114" s="30" t="s">
        <v>2296</v>
      </c>
      <c r="J2114" s="34"/>
    </row>
    <row r="2115" spans="1:10" x14ac:dyDescent="0.25">
      <c r="A2115" s="15">
        <v>41138</v>
      </c>
      <c r="B2115" s="16" t="s">
        <v>865</v>
      </c>
      <c r="C2115" t="s">
        <v>8</v>
      </c>
      <c r="D2115" t="s">
        <v>48</v>
      </c>
      <c r="E2115" s="17">
        <v>4</v>
      </c>
      <c r="F2115" s="17">
        <v>35.35</v>
      </c>
      <c r="G2115" s="18">
        <v>141.4</v>
      </c>
      <c r="H2115" s="30" t="s">
        <v>2296</v>
      </c>
      <c r="J2115" s="34"/>
    </row>
    <row r="2116" spans="1:10" x14ac:dyDescent="0.25">
      <c r="A2116" s="15">
        <v>41138</v>
      </c>
      <c r="B2116" s="16" t="s">
        <v>949</v>
      </c>
      <c r="C2116" t="s">
        <v>950</v>
      </c>
      <c r="D2116" t="s">
        <v>48</v>
      </c>
      <c r="E2116" s="17">
        <v>9</v>
      </c>
      <c r="F2116" s="17">
        <v>135</v>
      </c>
      <c r="G2116" s="18">
        <v>1215</v>
      </c>
      <c r="H2116" s="30" t="s">
        <v>2296</v>
      </c>
      <c r="J2116" s="34"/>
    </row>
    <row r="2117" spans="1:10" x14ac:dyDescent="0.25">
      <c r="A2117" s="15">
        <v>41138</v>
      </c>
      <c r="B2117" s="16" t="s">
        <v>865</v>
      </c>
      <c r="C2117" t="s">
        <v>8</v>
      </c>
      <c r="D2117" t="s">
        <v>48</v>
      </c>
      <c r="E2117" s="17">
        <v>4</v>
      </c>
      <c r="F2117" s="17">
        <v>35.35</v>
      </c>
      <c r="G2117" s="18">
        <v>141.4</v>
      </c>
      <c r="H2117" s="30" t="s">
        <v>2296</v>
      </c>
      <c r="J2117" s="34"/>
    </row>
    <row r="2118" spans="1:10" x14ac:dyDescent="0.25">
      <c r="A2118" s="15">
        <v>41138</v>
      </c>
      <c r="B2118" s="16" t="s">
        <v>1048</v>
      </c>
      <c r="C2118" t="s">
        <v>8</v>
      </c>
      <c r="D2118" t="s">
        <v>48</v>
      </c>
      <c r="E2118" s="17">
        <v>7.5</v>
      </c>
      <c r="F2118" s="17">
        <v>48</v>
      </c>
      <c r="G2118" s="18">
        <v>360</v>
      </c>
      <c r="H2118" s="30" t="s">
        <v>2296</v>
      </c>
      <c r="J2118" s="34"/>
    </row>
    <row r="2119" spans="1:10" x14ac:dyDescent="0.25">
      <c r="A2119" s="15">
        <v>41138</v>
      </c>
      <c r="B2119" s="16" t="s">
        <v>865</v>
      </c>
      <c r="C2119" t="s">
        <v>8</v>
      </c>
      <c r="D2119" t="s">
        <v>48</v>
      </c>
      <c r="E2119" s="17">
        <v>7</v>
      </c>
      <c r="F2119" s="17">
        <v>35.35</v>
      </c>
      <c r="G2119" s="18">
        <v>247.45</v>
      </c>
      <c r="H2119" s="30" t="s">
        <v>2296</v>
      </c>
      <c r="J2119" s="34"/>
    </row>
    <row r="2120" spans="1:10" x14ac:dyDescent="0.25">
      <c r="A2120" s="15">
        <v>41138</v>
      </c>
      <c r="B2120" s="16" t="s">
        <v>931</v>
      </c>
      <c r="C2120" t="s">
        <v>934</v>
      </c>
      <c r="D2120" t="s">
        <v>48</v>
      </c>
      <c r="E2120" s="17">
        <v>6</v>
      </c>
      <c r="F2120" s="17">
        <v>125.45</v>
      </c>
      <c r="G2120" s="18">
        <v>752.7</v>
      </c>
      <c r="H2120" s="30" t="s">
        <v>2296</v>
      </c>
      <c r="J2120" s="34"/>
    </row>
    <row r="2121" spans="1:10" x14ac:dyDescent="0.25">
      <c r="A2121" s="15">
        <v>41138</v>
      </c>
      <c r="B2121" s="16" t="s">
        <v>885</v>
      </c>
      <c r="C2121" t="s">
        <v>934</v>
      </c>
      <c r="D2121" t="s">
        <v>48</v>
      </c>
      <c r="E2121" s="17">
        <v>5.5</v>
      </c>
      <c r="F2121" s="17">
        <v>87.272000000000006</v>
      </c>
      <c r="G2121" s="18">
        <v>479.99599999999998</v>
      </c>
      <c r="H2121" s="30" t="s">
        <v>2296</v>
      </c>
      <c r="J2121" s="34"/>
    </row>
    <row r="2122" spans="1:10" x14ac:dyDescent="0.25">
      <c r="A2122" s="15">
        <v>41138</v>
      </c>
      <c r="B2122" s="16" t="s">
        <v>878</v>
      </c>
      <c r="C2122" t="s">
        <v>879</v>
      </c>
      <c r="D2122" t="s">
        <v>48</v>
      </c>
      <c r="E2122" s="17">
        <v>4.25</v>
      </c>
      <c r="F2122" s="17">
        <v>110</v>
      </c>
      <c r="G2122" s="18">
        <v>467.5</v>
      </c>
      <c r="H2122" s="30" t="s">
        <v>2296</v>
      </c>
      <c r="J2122" s="34"/>
    </row>
    <row r="2123" spans="1:10" x14ac:dyDescent="0.25">
      <c r="A2123" s="15">
        <v>41138</v>
      </c>
      <c r="B2123" s="16" t="s">
        <v>887</v>
      </c>
      <c r="C2123" t="s">
        <v>873</v>
      </c>
      <c r="D2123" t="s">
        <v>48</v>
      </c>
      <c r="E2123" s="17">
        <v>9.5</v>
      </c>
      <c r="F2123" s="17">
        <v>95</v>
      </c>
      <c r="G2123" s="18">
        <v>902.5</v>
      </c>
      <c r="H2123" s="30" t="s">
        <v>2296</v>
      </c>
      <c r="J2123" s="34"/>
    </row>
    <row r="2124" spans="1:10" x14ac:dyDescent="0.25">
      <c r="A2124" s="15">
        <v>41139</v>
      </c>
      <c r="B2124" s="16" t="s">
        <v>887</v>
      </c>
      <c r="C2124" t="s">
        <v>873</v>
      </c>
      <c r="D2124" t="s">
        <v>48</v>
      </c>
      <c r="E2124" s="17">
        <v>5.5</v>
      </c>
      <c r="F2124" s="17">
        <v>95</v>
      </c>
      <c r="G2124" s="18">
        <v>522.5</v>
      </c>
      <c r="H2124" s="30" t="s">
        <v>2296</v>
      </c>
      <c r="J2124" s="34"/>
    </row>
    <row r="2125" spans="1:10" x14ac:dyDescent="0.25">
      <c r="A2125" s="15">
        <v>41140</v>
      </c>
      <c r="B2125" s="16" t="s">
        <v>887</v>
      </c>
      <c r="C2125" t="s">
        <v>873</v>
      </c>
      <c r="D2125" t="s">
        <v>48</v>
      </c>
      <c r="E2125" s="17">
        <v>5</v>
      </c>
      <c r="F2125" s="17">
        <v>95</v>
      </c>
      <c r="G2125" s="18">
        <v>475</v>
      </c>
      <c r="H2125" s="30" t="s">
        <v>2296</v>
      </c>
      <c r="J2125" s="34"/>
    </row>
    <row r="2126" spans="1:10" x14ac:dyDescent="0.25">
      <c r="A2126" s="15">
        <v>41141</v>
      </c>
      <c r="B2126" s="16" t="s">
        <v>887</v>
      </c>
      <c r="C2126" t="s">
        <v>873</v>
      </c>
      <c r="D2126" t="s">
        <v>48</v>
      </c>
      <c r="E2126" s="17">
        <v>4</v>
      </c>
      <c r="F2126" s="17">
        <v>95</v>
      </c>
      <c r="G2126" s="18">
        <v>380</v>
      </c>
      <c r="H2126" s="30" t="s">
        <v>2296</v>
      </c>
      <c r="J2126" s="34"/>
    </row>
    <row r="2127" spans="1:10" x14ac:dyDescent="0.25">
      <c r="A2127" s="15">
        <v>41141</v>
      </c>
      <c r="B2127" s="16" t="s">
        <v>865</v>
      </c>
      <c r="C2127" t="s">
        <v>8</v>
      </c>
      <c r="D2127" t="s">
        <v>48</v>
      </c>
      <c r="E2127" s="17">
        <v>5</v>
      </c>
      <c r="F2127" s="17">
        <v>35.35</v>
      </c>
      <c r="G2127" s="18">
        <v>176.75</v>
      </c>
      <c r="H2127" s="30" t="s">
        <v>2296</v>
      </c>
      <c r="J2127" s="34"/>
    </row>
    <row r="2128" spans="1:10" x14ac:dyDescent="0.25">
      <c r="A2128" s="15">
        <v>41141</v>
      </c>
      <c r="B2128" s="16" t="s">
        <v>882</v>
      </c>
      <c r="C2128" t="s">
        <v>8</v>
      </c>
      <c r="D2128" t="s">
        <v>48</v>
      </c>
      <c r="E2128" s="17">
        <v>3</v>
      </c>
      <c r="F2128" s="17">
        <v>48</v>
      </c>
      <c r="G2128" s="18">
        <v>144</v>
      </c>
      <c r="H2128" s="30" t="s">
        <v>2296</v>
      </c>
      <c r="J2128" s="34"/>
    </row>
    <row r="2129" spans="1:10" x14ac:dyDescent="0.25">
      <c r="A2129" s="15">
        <v>41141</v>
      </c>
      <c r="B2129" s="16" t="s">
        <v>865</v>
      </c>
      <c r="C2129" t="s">
        <v>8</v>
      </c>
      <c r="D2129" t="s">
        <v>48</v>
      </c>
      <c r="E2129" s="17">
        <v>5</v>
      </c>
      <c r="F2129" s="17">
        <v>35.35</v>
      </c>
      <c r="G2129" s="18">
        <v>176.75</v>
      </c>
      <c r="H2129" s="30" t="s">
        <v>2296</v>
      </c>
      <c r="J2129" s="34"/>
    </row>
    <row r="2130" spans="1:10" x14ac:dyDescent="0.25">
      <c r="A2130" s="15">
        <v>41141</v>
      </c>
      <c r="B2130" s="16" t="s">
        <v>878</v>
      </c>
      <c r="C2130" t="s">
        <v>879</v>
      </c>
      <c r="D2130" t="s">
        <v>48</v>
      </c>
      <c r="E2130" s="17">
        <v>5</v>
      </c>
      <c r="F2130" s="17">
        <v>110</v>
      </c>
      <c r="G2130" s="18">
        <v>550</v>
      </c>
      <c r="H2130" s="30" t="s">
        <v>2296</v>
      </c>
      <c r="J2130" s="34"/>
    </row>
    <row r="2131" spans="1:10" x14ac:dyDescent="0.25">
      <c r="A2131" s="15">
        <v>41141</v>
      </c>
      <c r="B2131" s="16" t="s">
        <v>865</v>
      </c>
      <c r="C2131" t="s">
        <v>8</v>
      </c>
      <c r="D2131" t="s">
        <v>48</v>
      </c>
      <c r="E2131" s="17">
        <v>3.5</v>
      </c>
      <c r="F2131" s="17">
        <v>35.35</v>
      </c>
      <c r="G2131" s="18">
        <v>123.72499999999999</v>
      </c>
      <c r="H2131" s="30" t="s">
        <v>2296</v>
      </c>
      <c r="J2131" s="34"/>
    </row>
    <row r="2132" spans="1:10" x14ac:dyDescent="0.25">
      <c r="A2132" s="15">
        <v>41142</v>
      </c>
      <c r="B2132" s="16" t="s">
        <v>920</v>
      </c>
      <c r="C2132" t="s">
        <v>871</v>
      </c>
      <c r="D2132" t="s">
        <v>48</v>
      </c>
      <c r="E2132" s="17">
        <v>6.5</v>
      </c>
      <c r="F2132" s="17">
        <v>130</v>
      </c>
      <c r="G2132" s="18">
        <v>845</v>
      </c>
      <c r="H2132" s="30" t="s">
        <v>2296</v>
      </c>
      <c r="J2132" s="34"/>
    </row>
    <row r="2133" spans="1:10" x14ac:dyDescent="0.25">
      <c r="A2133" s="15">
        <v>41142</v>
      </c>
      <c r="B2133" s="16" t="s">
        <v>1049</v>
      </c>
      <c r="C2133" t="s">
        <v>968</v>
      </c>
      <c r="D2133" t="s">
        <v>48</v>
      </c>
      <c r="E2133" s="17">
        <v>5.25</v>
      </c>
      <c r="F2133" s="17">
        <v>150</v>
      </c>
      <c r="G2133" s="18">
        <v>787.5</v>
      </c>
      <c r="H2133" s="30" t="s">
        <v>2296</v>
      </c>
      <c r="J2133" s="34"/>
    </row>
    <row r="2134" spans="1:10" x14ac:dyDescent="0.25">
      <c r="A2134" s="15">
        <v>41142</v>
      </c>
      <c r="B2134" s="16" t="s">
        <v>887</v>
      </c>
      <c r="C2134" t="s">
        <v>873</v>
      </c>
      <c r="D2134" t="s">
        <v>48</v>
      </c>
      <c r="E2134" s="17">
        <v>7.5</v>
      </c>
      <c r="F2134" s="17">
        <v>95</v>
      </c>
      <c r="G2134" s="18">
        <v>712.5</v>
      </c>
      <c r="H2134" s="30" t="s">
        <v>2296</v>
      </c>
      <c r="J2134" s="34"/>
    </row>
    <row r="2135" spans="1:10" x14ac:dyDescent="0.25">
      <c r="A2135" s="15">
        <v>41142</v>
      </c>
      <c r="B2135" s="16" t="s">
        <v>949</v>
      </c>
      <c r="C2135" t="s">
        <v>950</v>
      </c>
      <c r="D2135" t="s">
        <v>48</v>
      </c>
      <c r="E2135" s="17">
        <v>5</v>
      </c>
      <c r="F2135" s="17">
        <v>135</v>
      </c>
      <c r="G2135" s="18">
        <v>675</v>
      </c>
      <c r="H2135" s="30" t="s">
        <v>2296</v>
      </c>
      <c r="J2135" s="34"/>
    </row>
    <row r="2136" spans="1:10" x14ac:dyDescent="0.25">
      <c r="A2136" s="15">
        <v>41142</v>
      </c>
      <c r="B2136" s="16" t="s">
        <v>882</v>
      </c>
      <c r="C2136" t="s">
        <v>8</v>
      </c>
      <c r="D2136" t="s">
        <v>48</v>
      </c>
      <c r="E2136" s="17">
        <v>5</v>
      </c>
      <c r="F2136" s="17">
        <v>48</v>
      </c>
      <c r="G2136" s="18">
        <v>240</v>
      </c>
      <c r="H2136" s="30" t="s">
        <v>2296</v>
      </c>
      <c r="J2136" s="34"/>
    </row>
    <row r="2137" spans="1:10" x14ac:dyDescent="0.25">
      <c r="A2137" s="15">
        <v>41142</v>
      </c>
      <c r="B2137" s="16" t="s">
        <v>865</v>
      </c>
      <c r="C2137" t="s">
        <v>8</v>
      </c>
      <c r="D2137" t="s">
        <v>48</v>
      </c>
      <c r="E2137" s="17">
        <v>5</v>
      </c>
      <c r="F2137" s="17">
        <v>35.35</v>
      </c>
      <c r="G2137" s="18">
        <v>176.75</v>
      </c>
      <c r="H2137" s="30" t="s">
        <v>2296</v>
      </c>
      <c r="J2137" s="34"/>
    </row>
    <row r="2138" spans="1:10" x14ac:dyDescent="0.25">
      <c r="A2138" s="15">
        <v>41143</v>
      </c>
      <c r="B2138" s="16" t="s">
        <v>865</v>
      </c>
      <c r="C2138" t="s">
        <v>8</v>
      </c>
      <c r="D2138" t="s">
        <v>48</v>
      </c>
      <c r="E2138" s="17">
        <v>3</v>
      </c>
      <c r="F2138" s="17">
        <v>35.35</v>
      </c>
      <c r="G2138" s="18">
        <v>106.05</v>
      </c>
      <c r="H2138" s="30" t="s">
        <v>2296</v>
      </c>
      <c r="J2138" s="34"/>
    </row>
    <row r="2139" spans="1:10" x14ac:dyDescent="0.25">
      <c r="A2139" s="15">
        <v>41143</v>
      </c>
      <c r="B2139" s="16" t="s">
        <v>865</v>
      </c>
      <c r="C2139" t="s">
        <v>8</v>
      </c>
      <c r="D2139" t="s">
        <v>48</v>
      </c>
      <c r="E2139" s="17">
        <v>3</v>
      </c>
      <c r="F2139" s="17">
        <v>35.35</v>
      </c>
      <c r="G2139" s="18">
        <v>106.05</v>
      </c>
      <c r="H2139" s="30" t="s">
        <v>2296</v>
      </c>
      <c r="J2139" s="34"/>
    </row>
    <row r="2140" spans="1:10" x14ac:dyDescent="0.25">
      <c r="A2140" s="15">
        <v>41143</v>
      </c>
      <c r="B2140" s="16" t="s">
        <v>878</v>
      </c>
      <c r="C2140" t="s">
        <v>879</v>
      </c>
      <c r="D2140" t="s">
        <v>48</v>
      </c>
      <c r="E2140" s="17">
        <v>4.5</v>
      </c>
      <c r="F2140" s="17">
        <v>110</v>
      </c>
      <c r="G2140" s="18">
        <v>495</v>
      </c>
      <c r="H2140" s="30" t="s">
        <v>2296</v>
      </c>
      <c r="J2140" s="34"/>
    </row>
    <row r="2141" spans="1:10" x14ac:dyDescent="0.25">
      <c r="A2141" s="15">
        <v>41143</v>
      </c>
      <c r="B2141" s="16" t="s">
        <v>1050</v>
      </c>
      <c r="C2141" t="s">
        <v>873</v>
      </c>
      <c r="D2141" t="s">
        <v>48</v>
      </c>
      <c r="E2141" s="17">
        <v>5.5</v>
      </c>
      <c r="F2141" s="17">
        <v>130</v>
      </c>
      <c r="G2141" s="18">
        <v>715</v>
      </c>
      <c r="H2141" s="30" t="s">
        <v>2296</v>
      </c>
      <c r="J2141" s="34"/>
    </row>
    <row r="2142" spans="1:10" x14ac:dyDescent="0.25">
      <c r="A2142" s="15">
        <v>41143</v>
      </c>
      <c r="B2142" s="16" t="s">
        <v>880</v>
      </c>
      <c r="C2142" t="s">
        <v>881</v>
      </c>
      <c r="D2142" t="s">
        <v>48</v>
      </c>
      <c r="E2142" s="17">
        <v>2</v>
      </c>
      <c r="F2142" s="17">
        <v>95</v>
      </c>
      <c r="G2142" s="18">
        <v>190</v>
      </c>
      <c r="H2142" s="30" t="s">
        <v>2296</v>
      </c>
      <c r="J2142" s="34"/>
    </row>
    <row r="2143" spans="1:10" x14ac:dyDescent="0.25">
      <c r="A2143" s="15">
        <v>41143</v>
      </c>
      <c r="B2143" s="16" t="s">
        <v>904</v>
      </c>
      <c r="C2143" t="s">
        <v>905</v>
      </c>
      <c r="D2143" t="s">
        <v>48</v>
      </c>
      <c r="E2143" s="17">
        <v>2.5</v>
      </c>
      <c r="F2143" s="17">
        <v>95</v>
      </c>
      <c r="G2143" s="18">
        <v>237.5</v>
      </c>
      <c r="H2143" s="30" t="s">
        <v>2296</v>
      </c>
      <c r="J2143" s="34"/>
    </row>
    <row r="2144" spans="1:10" x14ac:dyDescent="0.25">
      <c r="A2144" s="15">
        <v>41144</v>
      </c>
      <c r="B2144" s="16" t="s">
        <v>949</v>
      </c>
      <c r="C2144" t="s">
        <v>950</v>
      </c>
      <c r="D2144" t="s">
        <v>48</v>
      </c>
      <c r="E2144" s="17">
        <v>3</v>
      </c>
      <c r="F2144" s="17">
        <v>135</v>
      </c>
      <c r="G2144" s="18">
        <v>405</v>
      </c>
      <c r="H2144" s="30" t="s">
        <v>2296</v>
      </c>
      <c r="J2144" s="34"/>
    </row>
    <row r="2145" spans="1:10" x14ac:dyDescent="0.25">
      <c r="A2145" s="15">
        <v>41144</v>
      </c>
      <c r="B2145" s="16" t="s">
        <v>865</v>
      </c>
      <c r="C2145" t="s">
        <v>8</v>
      </c>
      <c r="D2145" t="s">
        <v>48</v>
      </c>
      <c r="E2145" s="17">
        <v>2</v>
      </c>
      <c r="F2145" s="17">
        <v>35.35</v>
      </c>
      <c r="G2145" s="18">
        <v>70.7</v>
      </c>
      <c r="H2145" s="30" t="s">
        <v>2296</v>
      </c>
      <c r="J2145" s="34"/>
    </row>
    <row r="2146" spans="1:10" x14ac:dyDescent="0.25">
      <c r="A2146" s="15">
        <v>41144</v>
      </c>
      <c r="B2146" s="16" t="s">
        <v>1051</v>
      </c>
      <c r="C2146" t="s">
        <v>873</v>
      </c>
      <c r="D2146" t="s">
        <v>48</v>
      </c>
      <c r="E2146" s="17">
        <v>9.5</v>
      </c>
      <c r="F2146" s="17">
        <v>95</v>
      </c>
      <c r="G2146" s="18">
        <v>902.5</v>
      </c>
      <c r="H2146" s="30" t="s">
        <v>2296</v>
      </c>
      <c r="J2146" s="34"/>
    </row>
    <row r="2147" spans="1:10" x14ac:dyDescent="0.25">
      <c r="A2147" s="15">
        <v>41144</v>
      </c>
      <c r="B2147" s="16" t="s">
        <v>878</v>
      </c>
      <c r="C2147" t="s">
        <v>879</v>
      </c>
      <c r="D2147" t="s">
        <v>48</v>
      </c>
      <c r="E2147" s="17">
        <v>3.75</v>
      </c>
      <c r="F2147" s="17">
        <v>110</v>
      </c>
      <c r="G2147" s="18">
        <v>412.5</v>
      </c>
      <c r="H2147" s="30" t="s">
        <v>2296</v>
      </c>
      <c r="J2147" s="34"/>
    </row>
    <row r="2148" spans="1:10" x14ac:dyDescent="0.25">
      <c r="A2148" s="15">
        <v>41144</v>
      </c>
      <c r="B2148" s="16" t="s">
        <v>904</v>
      </c>
      <c r="C2148" t="s">
        <v>905</v>
      </c>
      <c r="D2148" t="s">
        <v>48</v>
      </c>
      <c r="E2148" s="17">
        <v>3</v>
      </c>
      <c r="F2148" s="17">
        <v>95</v>
      </c>
      <c r="G2148" s="18">
        <v>285</v>
      </c>
      <c r="H2148" s="30" t="s">
        <v>2296</v>
      </c>
      <c r="J2148" s="34"/>
    </row>
    <row r="2149" spans="1:10" x14ac:dyDescent="0.25">
      <c r="A2149" s="15">
        <v>41144</v>
      </c>
      <c r="B2149" s="16" t="s">
        <v>880</v>
      </c>
      <c r="C2149" t="s">
        <v>881</v>
      </c>
      <c r="D2149" t="s">
        <v>48</v>
      </c>
      <c r="E2149" s="17">
        <v>2.5</v>
      </c>
      <c r="F2149" s="17">
        <v>95</v>
      </c>
      <c r="G2149" s="18">
        <v>237.5</v>
      </c>
      <c r="H2149" s="30" t="s">
        <v>2296</v>
      </c>
      <c r="J2149" s="34"/>
    </row>
    <row r="2150" spans="1:10" x14ac:dyDescent="0.25">
      <c r="A2150" s="15">
        <v>41144</v>
      </c>
      <c r="B2150" s="16" t="s">
        <v>882</v>
      </c>
      <c r="C2150" t="s">
        <v>8</v>
      </c>
      <c r="D2150" t="s">
        <v>48</v>
      </c>
      <c r="E2150" s="17">
        <v>3.5</v>
      </c>
      <c r="F2150" s="17">
        <v>48</v>
      </c>
      <c r="G2150" s="18">
        <v>168</v>
      </c>
      <c r="H2150" s="30" t="s">
        <v>2296</v>
      </c>
      <c r="J2150" s="34"/>
    </row>
    <row r="2151" spans="1:10" x14ac:dyDescent="0.25">
      <c r="A2151" s="15">
        <v>41144</v>
      </c>
      <c r="B2151" s="16" t="s">
        <v>865</v>
      </c>
      <c r="C2151" t="s">
        <v>8</v>
      </c>
      <c r="D2151" t="s">
        <v>48</v>
      </c>
      <c r="E2151" s="17">
        <v>3.5</v>
      </c>
      <c r="F2151" s="17">
        <v>35.35</v>
      </c>
      <c r="G2151" s="18">
        <v>123.72499999999999</v>
      </c>
      <c r="H2151" s="30" t="s">
        <v>2296</v>
      </c>
      <c r="J2151" s="34"/>
    </row>
    <row r="2152" spans="1:10" x14ac:dyDescent="0.25">
      <c r="A2152" s="15">
        <v>41144</v>
      </c>
      <c r="B2152" s="16" t="s">
        <v>865</v>
      </c>
      <c r="C2152" t="s">
        <v>8</v>
      </c>
      <c r="D2152" t="s">
        <v>48</v>
      </c>
      <c r="E2152" s="17">
        <v>2</v>
      </c>
      <c r="F2152" s="17">
        <v>35.35</v>
      </c>
      <c r="G2152" s="18">
        <v>70.7</v>
      </c>
      <c r="H2152" s="30" t="s">
        <v>2296</v>
      </c>
      <c r="J2152" s="34"/>
    </row>
    <row r="2153" spans="1:10" x14ac:dyDescent="0.25">
      <c r="A2153" s="15">
        <v>41145</v>
      </c>
      <c r="B2153" s="16" t="s">
        <v>865</v>
      </c>
      <c r="C2153" t="s">
        <v>8</v>
      </c>
      <c r="D2153" t="s">
        <v>48</v>
      </c>
      <c r="E2153" s="17">
        <v>2</v>
      </c>
      <c r="F2153" s="17">
        <v>35.35</v>
      </c>
      <c r="G2153" s="18">
        <v>70.7</v>
      </c>
      <c r="H2153" s="30" t="s">
        <v>2296</v>
      </c>
      <c r="J2153" s="34"/>
    </row>
    <row r="2154" spans="1:10" x14ac:dyDescent="0.25">
      <c r="A2154" s="15">
        <v>41145</v>
      </c>
      <c r="B2154" s="16" t="s">
        <v>878</v>
      </c>
      <c r="C2154" t="s">
        <v>879</v>
      </c>
      <c r="D2154" t="s">
        <v>48</v>
      </c>
      <c r="E2154" s="17">
        <v>2</v>
      </c>
      <c r="F2154" s="17">
        <v>110</v>
      </c>
      <c r="G2154" s="18">
        <v>220</v>
      </c>
      <c r="H2154" s="30" t="s">
        <v>2296</v>
      </c>
      <c r="J2154" s="34"/>
    </row>
    <row r="2155" spans="1:10" x14ac:dyDescent="0.25">
      <c r="A2155" s="15">
        <v>41145</v>
      </c>
      <c r="B2155" s="16" t="s">
        <v>887</v>
      </c>
      <c r="C2155" t="s">
        <v>873</v>
      </c>
      <c r="D2155" t="s">
        <v>48</v>
      </c>
      <c r="E2155" s="17">
        <v>3.5</v>
      </c>
      <c r="F2155" s="17">
        <v>95</v>
      </c>
      <c r="G2155" s="18">
        <v>332.5</v>
      </c>
      <c r="H2155" s="30" t="s">
        <v>2296</v>
      </c>
      <c r="J2155" s="34"/>
    </row>
    <row r="2156" spans="1:10" x14ac:dyDescent="0.25">
      <c r="A2156" s="15">
        <v>41145</v>
      </c>
      <c r="B2156" s="16" t="s">
        <v>865</v>
      </c>
      <c r="C2156" t="s">
        <v>8</v>
      </c>
      <c r="D2156" t="s">
        <v>48</v>
      </c>
      <c r="E2156" s="17">
        <v>2</v>
      </c>
      <c r="F2156" s="17">
        <v>35.35</v>
      </c>
      <c r="G2156" s="18">
        <v>70.7</v>
      </c>
      <c r="H2156" s="30" t="s">
        <v>2296</v>
      </c>
      <c r="J2156" s="34"/>
    </row>
    <row r="2157" spans="1:10" x14ac:dyDescent="0.25">
      <c r="A2157" s="15">
        <v>41145</v>
      </c>
      <c r="B2157" s="16" t="s">
        <v>882</v>
      </c>
      <c r="C2157" t="s">
        <v>8</v>
      </c>
      <c r="D2157" t="s">
        <v>48</v>
      </c>
      <c r="E2157" s="17">
        <v>2</v>
      </c>
      <c r="F2157" s="17">
        <v>48</v>
      </c>
      <c r="G2157" s="18">
        <v>96</v>
      </c>
      <c r="H2157" s="30" t="s">
        <v>2296</v>
      </c>
      <c r="J2157" s="34"/>
    </row>
    <row r="2158" spans="1:10" ht="30" x14ac:dyDescent="0.25">
      <c r="A2158" s="15">
        <v>41145</v>
      </c>
      <c r="B2158" s="16" t="s">
        <v>1052</v>
      </c>
      <c r="C2158" t="s">
        <v>1053</v>
      </c>
      <c r="D2158" t="s">
        <v>783</v>
      </c>
      <c r="E2158" s="17">
        <v>11</v>
      </c>
      <c r="F2158" s="17">
        <v>300</v>
      </c>
      <c r="G2158" s="18">
        <v>3300</v>
      </c>
      <c r="H2158" s="30" t="s">
        <v>2296</v>
      </c>
      <c r="J2158" s="34"/>
    </row>
    <row r="2159" spans="1:10" x14ac:dyDescent="0.25">
      <c r="A2159" s="15">
        <v>41145</v>
      </c>
      <c r="B2159" s="16" t="s">
        <v>865</v>
      </c>
      <c r="C2159" t="s">
        <v>8</v>
      </c>
      <c r="D2159" t="s">
        <v>48</v>
      </c>
      <c r="E2159" s="17">
        <v>2</v>
      </c>
      <c r="F2159" s="17">
        <v>35.35</v>
      </c>
      <c r="G2159" s="18">
        <v>70.7</v>
      </c>
      <c r="H2159" s="30" t="s">
        <v>2296</v>
      </c>
      <c r="J2159" s="34"/>
    </row>
    <row r="2160" spans="1:10" x14ac:dyDescent="0.25">
      <c r="A2160" s="15">
        <v>41145</v>
      </c>
      <c r="B2160" s="16" t="s">
        <v>865</v>
      </c>
      <c r="C2160" t="s">
        <v>8</v>
      </c>
      <c r="D2160" t="s">
        <v>48</v>
      </c>
      <c r="E2160" s="17">
        <v>2</v>
      </c>
      <c r="F2160" s="17">
        <v>35.35</v>
      </c>
      <c r="G2160" s="18">
        <v>70.7</v>
      </c>
      <c r="H2160" s="30" t="s">
        <v>2296</v>
      </c>
      <c r="J2160" s="34"/>
    </row>
    <row r="2161" spans="1:10" x14ac:dyDescent="0.25">
      <c r="A2161" s="15">
        <v>41148</v>
      </c>
      <c r="B2161" s="16" t="s">
        <v>949</v>
      </c>
      <c r="C2161" t="s">
        <v>950</v>
      </c>
      <c r="D2161" t="s">
        <v>48</v>
      </c>
      <c r="E2161" s="17">
        <v>6</v>
      </c>
      <c r="F2161" s="17">
        <v>135</v>
      </c>
      <c r="G2161" s="18">
        <v>810</v>
      </c>
      <c r="H2161" s="30" t="s">
        <v>2296</v>
      </c>
      <c r="J2161" s="34"/>
    </row>
    <row r="2162" spans="1:10" x14ac:dyDescent="0.25">
      <c r="A2162" s="15">
        <v>41148</v>
      </c>
      <c r="B2162" s="16" t="s">
        <v>865</v>
      </c>
      <c r="C2162" t="s">
        <v>8</v>
      </c>
      <c r="D2162" t="s">
        <v>48</v>
      </c>
      <c r="E2162" s="17">
        <v>4</v>
      </c>
      <c r="F2162" s="17">
        <v>35.35</v>
      </c>
      <c r="G2162" s="18">
        <v>141.4</v>
      </c>
      <c r="H2162" s="30" t="s">
        <v>2296</v>
      </c>
      <c r="J2162" s="34"/>
    </row>
    <row r="2163" spans="1:10" x14ac:dyDescent="0.25">
      <c r="A2163" s="15">
        <v>41148</v>
      </c>
      <c r="B2163" s="16" t="s">
        <v>865</v>
      </c>
      <c r="C2163" t="s">
        <v>8</v>
      </c>
      <c r="D2163" t="s">
        <v>48</v>
      </c>
      <c r="E2163" s="17">
        <v>4</v>
      </c>
      <c r="F2163" s="17">
        <v>35.35</v>
      </c>
      <c r="G2163" s="18">
        <v>141.4</v>
      </c>
      <c r="H2163" s="30" t="s">
        <v>2296</v>
      </c>
      <c r="J2163" s="34"/>
    </row>
    <row r="2164" spans="1:10" x14ac:dyDescent="0.25">
      <c r="A2164" s="15">
        <v>41148</v>
      </c>
      <c r="B2164" s="16" t="s">
        <v>878</v>
      </c>
      <c r="C2164" t="s">
        <v>879</v>
      </c>
      <c r="D2164" t="s">
        <v>48</v>
      </c>
      <c r="E2164" s="17">
        <v>3</v>
      </c>
      <c r="F2164" s="17">
        <v>110</v>
      </c>
      <c r="G2164" s="18">
        <v>330</v>
      </c>
      <c r="H2164" s="30" t="s">
        <v>2296</v>
      </c>
      <c r="J2164" s="34"/>
    </row>
    <row r="2165" spans="1:10" x14ac:dyDescent="0.25">
      <c r="A2165" s="15">
        <v>41148</v>
      </c>
      <c r="B2165" s="16" t="s">
        <v>945</v>
      </c>
      <c r="C2165" t="s">
        <v>946</v>
      </c>
      <c r="D2165" t="s">
        <v>48</v>
      </c>
      <c r="E2165" s="17">
        <v>7</v>
      </c>
      <c r="F2165" s="17">
        <v>130</v>
      </c>
      <c r="G2165" s="18">
        <v>910</v>
      </c>
      <c r="H2165" s="30" t="s">
        <v>2296</v>
      </c>
      <c r="J2165" s="34"/>
    </row>
    <row r="2166" spans="1:10" x14ac:dyDescent="0.25">
      <c r="A2166" s="15">
        <v>41148</v>
      </c>
      <c r="B2166" s="16" t="s">
        <v>1054</v>
      </c>
      <c r="C2166" t="s">
        <v>934</v>
      </c>
      <c r="D2166" t="s">
        <v>48</v>
      </c>
      <c r="E2166" s="17">
        <v>5.5</v>
      </c>
      <c r="F2166" s="17">
        <v>107.27</v>
      </c>
      <c r="G2166" s="18">
        <v>589.98500000000001</v>
      </c>
      <c r="H2166" s="30" t="s">
        <v>2296</v>
      </c>
      <c r="J2166" s="34"/>
    </row>
    <row r="2167" spans="1:10" x14ac:dyDescent="0.25">
      <c r="A2167" s="15">
        <v>41148</v>
      </c>
      <c r="B2167" s="16" t="s">
        <v>887</v>
      </c>
      <c r="C2167" t="s">
        <v>873</v>
      </c>
      <c r="D2167" t="s">
        <v>48</v>
      </c>
      <c r="E2167" s="17">
        <v>7</v>
      </c>
      <c r="F2167" s="17">
        <v>95</v>
      </c>
      <c r="G2167" s="18">
        <v>665</v>
      </c>
      <c r="H2167" s="30" t="s">
        <v>2296</v>
      </c>
      <c r="J2167" s="34"/>
    </row>
    <row r="2168" spans="1:10" x14ac:dyDescent="0.25">
      <c r="A2168" s="15">
        <v>41149</v>
      </c>
      <c r="B2168" s="16" t="s">
        <v>874</v>
      </c>
      <c r="C2168" t="s">
        <v>875</v>
      </c>
      <c r="D2168" t="s">
        <v>48</v>
      </c>
      <c r="E2168" s="17">
        <v>3</v>
      </c>
      <c r="F2168" s="17">
        <v>25.78</v>
      </c>
      <c r="G2168" s="18">
        <v>77.34</v>
      </c>
      <c r="H2168" s="30" t="s">
        <v>2296</v>
      </c>
      <c r="J2168" s="34"/>
    </row>
    <row r="2169" spans="1:10" x14ac:dyDescent="0.25">
      <c r="A2169" s="15">
        <v>41149</v>
      </c>
      <c r="B2169" s="16" t="s">
        <v>887</v>
      </c>
      <c r="C2169" t="s">
        <v>873</v>
      </c>
      <c r="D2169" t="s">
        <v>48</v>
      </c>
      <c r="E2169" s="17">
        <v>5.5</v>
      </c>
      <c r="F2169" s="17">
        <v>95</v>
      </c>
      <c r="G2169" s="18">
        <v>522.5</v>
      </c>
      <c r="H2169" s="30" t="s">
        <v>2296</v>
      </c>
      <c r="J2169" s="34"/>
    </row>
    <row r="2170" spans="1:10" x14ac:dyDescent="0.25">
      <c r="A2170" s="15">
        <v>41149</v>
      </c>
      <c r="B2170" s="16" t="s">
        <v>865</v>
      </c>
      <c r="C2170" t="s">
        <v>8</v>
      </c>
      <c r="D2170" t="s">
        <v>48</v>
      </c>
      <c r="E2170" s="17">
        <v>4.5</v>
      </c>
      <c r="F2170" s="17">
        <v>35.35</v>
      </c>
      <c r="G2170" s="18">
        <v>159.07499999999999</v>
      </c>
      <c r="H2170" s="30" t="s">
        <v>2296</v>
      </c>
      <c r="J2170" s="34"/>
    </row>
    <row r="2171" spans="1:10" x14ac:dyDescent="0.25">
      <c r="A2171" s="15">
        <v>41149</v>
      </c>
      <c r="B2171" s="16" t="s">
        <v>949</v>
      </c>
      <c r="C2171" t="s">
        <v>950</v>
      </c>
      <c r="D2171" t="s">
        <v>48</v>
      </c>
      <c r="E2171" s="17">
        <v>4.5</v>
      </c>
      <c r="F2171" s="17">
        <v>135</v>
      </c>
      <c r="G2171" s="18">
        <v>607.5</v>
      </c>
      <c r="H2171" s="30" t="s">
        <v>2296</v>
      </c>
      <c r="J2171" s="34"/>
    </row>
    <row r="2172" spans="1:10" x14ac:dyDescent="0.25">
      <c r="A2172" s="15">
        <v>41149</v>
      </c>
      <c r="B2172" s="16" t="s">
        <v>931</v>
      </c>
      <c r="C2172" t="s">
        <v>886</v>
      </c>
      <c r="D2172" t="s">
        <v>48</v>
      </c>
      <c r="E2172" s="17">
        <v>8.5</v>
      </c>
      <c r="F2172" s="17">
        <v>125</v>
      </c>
      <c r="G2172" s="18">
        <v>1062.5</v>
      </c>
      <c r="H2172" s="30" t="s">
        <v>2296</v>
      </c>
      <c r="J2172" s="34"/>
    </row>
    <row r="2173" spans="1:10" x14ac:dyDescent="0.25">
      <c r="A2173" s="15">
        <v>41150</v>
      </c>
      <c r="B2173" s="16" t="s">
        <v>887</v>
      </c>
      <c r="C2173" t="s">
        <v>873</v>
      </c>
      <c r="D2173" t="s">
        <v>48</v>
      </c>
      <c r="E2173" s="17">
        <v>5.5</v>
      </c>
      <c r="F2173" s="17">
        <v>95</v>
      </c>
      <c r="G2173" s="18">
        <v>522.5</v>
      </c>
      <c r="H2173" s="30" t="s">
        <v>2296</v>
      </c>
      <c r="J2173" s="34"/>
    </row>
    <row r="2174" spans="1:10" ht="30" x14ac:dyDescent="0.25">
      <c r="A2174" s="15">
        <v>41151</v>
      </c>
      <c r="B2174" s="16" t="s">
        <v>989</v>
      </c>
      <c r="C2174" t="s">
        <v>974</v>
      </c>
      <c r="D2174" t="s">
        <v>783</v>
      </c>
      <c r="E2174" s="17">
        <v>1</v>
      </c>
      <c r="F2174" s="17">
        <v>2166.6660000000002</v>
      </c>
      <c r="G2174" s="18">
        <v>2166.6660000000002</v>
      </c>
      <c r="H2174" s="30" t="s">
        <v>2296</v>
      </c>
      <c r="J2174" s="34"/>
    </row>
    <row r="2175" spans="1:10" x14ac:dyDescent="0.25">
      <c r="A2175" s="15">
        <v>41151</v>
      </c>
      <c r="B2175" s="16" t="s">
        <v>887</v>
      </c>
      <c r="C2175" t="s">
        <v>873</v>
      </c>
      <c r="D2175" t="s">
        <v>48</v>
      </c>
      <c r="E2175" s="17">
        <v>6</v>
      </c>
      <c r="F2175" s="17">
        <v>95</v>
      </c>
      <c r="G2175" s="18">
        <v>570</v>
      </c>
      <c r="H2175" s="30" t="s">
        <v>2296</v>
      </c>
      <c r="J2175" s="34"/>
    </row>
    <row r="2176" spans="1:10" x14ac:dyDescent="0.25">
      <c r="A2176" s="15">
        <v>41151</v>
      </c>
      <c r="B2176" s="16" t="s">
        <v>904</v>
      </c>
      <c r="C2176" t="s">
        <v>905</v>
      </c>
      <c r="D2176" t="s">
        <v>48</v>
      </c>
      <c r="E2176" s="17">
        <v>2</v>
      </c>
      <c r="F2176" s="17">
        <v>95</v>
      </c>
      <c r="G2176" s="18">
        <v>190</v>
      </c>
      <c r="H2176" s="30" t="s">
        <v>2296</v>
      </c>
      <c r="J2176" s="34"/>
    </row>
    <row r="2177" spans="1:10" x14ac:dyDescent="0.25">
      <c r="A2177" s="15">
        <v>41152</v>
      </c>
      <c r="B2177" s="16" t="s">
        <v>949</v>
      </c>
      <c r="C2177" t="s">
        <v>950</v>
      </c>
      <c r="D2177" t="s">
        <v>48</v>
      </c>
      <c r="E2177" s="17">
        <v>5</v>
      </c>
      <c r="F2177" s="17">
        <v>135</v>
      </c>
      <c r="G2177" s="18">
        <v>675</v>
      </c>
      <c r="H2177" s="30" t="s">
        <v>2296</v>
      </c>
      <c r="J2177" s="34"/>
    </row>
    <row r="2178" spans="1:10" ht="30" x14ac:dyDescent="0.25">
      <c r="A2178" s="15">
        <v>41152</v>
      </c>
      <c r="B2178" s="16" t="s">
        <v>1055</v>
      </c>
      <c r="C2178" t="s">
        <v>959</v>
      </c>
      <c r="D2178" t="s">
        <v>783</v>
      </c>
      <c r="E2178" s="17">
        <v>26</v>
      </c>
      <c r="F2178" s="17">
        <v>300</v>
      </c>
      <c r="G2178" s="18">
        <v>7800</v>
      </c>
      <c r="H2178" s="30" t="s">
        <v>2296</v>
      </c>
      <c r="J2178" s="34"/>
    </row>
    <row r="2179" spans="1:10" ht="30" x14ac:dyDescent="0.25">
      <c r="A2179" s="15">
        <v>41152</v>
      </c>
      <c r="B2179" s="16" t="s">
        <v>1056</v>
      </c>
      <c r="C2179" t="s">
        <v>957</v>
      </c>
      <c r="D2179" t="s">
        <v>783</v>
      </c>
      <c r="E2179" s="17">
        <v>26</v>
      </c>
      <c r="F2179" s="17">
        <v>247</v>
      </c>
      <c r="G2179" s="18">
        <v>6422</v>
      </c>
      <c r="H2179" s="30" t="s">
        <v>2296</v>
      </c>
      <c r="J2179" s="34"/>
    </row>
    <row r="2180" spans="1:10" x14ac:dyDescent="0.25">
      <c r="A2180" s="15">
        <v>41152</v>
      </c>
      <c r="B2180" s="16" t="s">
        <v>887</v>
      </c>
      <c r="C2180" t="s">
        <v>873</v>
      </c>
      <c r="D2180" t="s">
        <v>48</v>
      </c>
      <c r="E2180" s="17">
        <v>6.5</v>
      </c>
      <c r="F2180" s="17">
        <v>95</v>
      </c>
      <c r="G2180" s="18">
        <v>617.5</v>
      </c>
      <c r="H2180" s="30" t="s">
        <v>2296</v>
      </c>
      <c r="J2180" s="34"/>
    </row>
    <row r="2181" spans="1:10" x14ac:dyDescent="0.25">
      <c r="A2181" s="15">
        <v>41153</v>
      </c>
      <c r="B2181" s="16" t="s">
        <v>882</v>
      </c>
      <c r="C2181" t="s">
        <v>8</v>
      </c>
      <c r="D2181" t="s">
        <v>48</v>
      </c>
      <c r="E2181" s="17">
        <v>7</v>
      </c>
      <c r="F2181" s="17">
        <v>48</v>
      </c>
      <c r="G2181" s="18">
        <v>336</v>
      </c>
      <c r="H2181" s="30" t="s">
        <v>2296</v>
      </c>
      <c r="J2181" s="34"/>
    </row>
    <row r="2182" spans="1:10" x14ac:dyDescent="0.25">
      <c r="A2182" s="15">
        <v>41153</v>
      </c>
      <c r="B2182" s="16" t="s">
        <v>865</v>
      </c>
      <c r="C2182" t="s">
        <v>8</v>
      </c>
      <c r="D2182" t="s">
        <v>48</v>
      </c>
      <c r="E2182" s="17">
        <v>6.5</v>
      </c>
      <c r="F2182" s="17">
        <v>35.35</v>
      </c>
      <c r="G2182" s="18">
        <v>229.77500000000001</v>
      </c>
      <c r="H2182" s="30" t="s">
        <v>2296</v>
      </c>
      <c r="J2182" s="34"/>
    </row>
    <row r="2183" spans="1:10" x14ac:dyDescent="0.25">
      <c r="A2183" s="15">
        <v>41153</v>
      </c>
      <c r="B2183" s="16" t="s">
        <v>887</v>
      </c>
      <c r="C2183" t="s">
        <v>873</v>
      </c>
      <c r="D2183" t="s">
        <v>48</v>
      </c>
      <c r="E2183" s="17">
        <v>7</v>
      </c>
      <c r="F2183" s="17">
        <v>95</v>
      </c>
      <c r="G2183" s="18">
        <v>665</v>
      </c>
      <c r="H2183" s="30" t="s">
        <v>2296</v>
      </c>
      <c r="J2183" s="34"/>
    </row>
    <row r="2184" spans="1:10" x14ac:dyDescent="0.25">
      <c r="A2184" s="15">
        <v>41153</v>
      </c>
      <c r="B2184" s="16" t="s">
        <v>949</v>
      </c>
      <c r="C2184" t="s">
        <v>950</v>
      </c>
      <c r="D2184" t="s">
        <v>48</v>
      </c>
      <c r="E2184" s="17">
        <v>5</v>
      </c>
      <c r="F2184" s="17">
        <v>135</v>
      </c>
      <c r="G2184" s="18">
        <v>675</v>
      </c>
      <c r="H2184" s="30" t="s">
        <v>2296</v>
      </c>
      <c r="J2184" s="34"/>
    </row>
    <row r="2185" spans="1:10" x14ac:dyDescent="0.25">
      <c r="A2185" s="15">
        <v>41155</v>
      </c>
      <c r="B2185" s="16" t="s">
        <v>887</v>
      </c>
      <c r="C2185" t="s">
        <v>873</v>
      </c>
      <c r="D2185" t="s">
        <v>48</v>
      </c>
      <c r="E2185" s="17">
        <v>5</v>
      </c>
      <c r="F2185" s="17">
        <v>95</v>
      </c>
      <c r="G2185" s="18">
        <v>475</v>
      </c>
      <c r="H2185" s="30" t="s">
        <v>2296</v>
      </c>
      <c r="J2185" s="34"/>
    </row>
    <row r="2186" spans="1:10" x14ac:dyDescent="0.25">
      <c r="A2186" s="15">
        <v>41156</v>
      </c>
      <c r="B2186" s="16" t="s">
        <v>882</v>
      </c>
      <c r="C2186" t="s">
        <v>8</v>
      </c>
      <c r="D2186" t="s">
        <v>48</v>
      </c>
      <c r="E2186" s="17">
        <v>2.5</v>
      </c>
      <c r="F2186" s="17">
        <v>48</v>
      </c>
      <c r="G2186" s="18">
        <v>120</v>
      </c>
      <c r="H2186" s="30" t="s">
        <v>2296</v>
      </c>
      <c r="J2186" s="34"/>
    </row>
    <row r="2187" spans="1:10" x14ac:dyDescent="0.25">
      <c r="A2187" s="15">
        <v>41156</v>
      </c>
      <c r="B2187" s="16" t="s">
        <v>887</v>
      </c>
      <c r="C2187" t="s">
        <v>873</v>
      </c>
      <c r="D2187" t="s">
        <v>48</v>
      </c>
      <c r="E2187" s="17">
        <v>8.5</v>
      </c>
      <c r="F2187" s="17">
        <v>95</v>
      </c>
      <c r="G2187" s="18">
        <v>807.5</v>
      </c>
      <c r="H2187" s="30" t="s">
        <v>2296</v>
      </c>
      <c r="J2187" s="34"/>
    </row>
    <row r="2188" spans="1:10" x14ac:dyDescent="0.25">
      <c r="A2188" s="15">
        <v>41156</v>
      </c>
      <c r="B2188" s="16" t="s">
        <v>865</v>
      </c>
      <c r="C2188" t="s">
        <v>8</v>
      </c>
      <c r="D2188" t="s">
        <v>48</v>
      </c>
      <c r="E2188" s="17">
        <v>2.5</v>
      </c>
      <c r="F2188" s="17">
        <v>35.35</v>
      </c>
      <c r="G2188" s="18">
        <v>88.375</v>
      </c>
      <c r="H2188" s="30" t="s">
        <v>2296</v>
      </c>
      <c r="J2188" s="34"/>
    </row>
    <row r="2189" spans="1:10" x14ac:dyDescent="0.25">
      <c r="A2189" s="15">
        <v>41156</v>
      </c>
      <c r="B2189" s="16" t="s">
        <v>878</v>
      </c>
      <c r="C2189" t="s">
        <v>879</v>
      </c>
      <c r="D2189" t="s">
        <v>48</v>
      </c>
      <c r="E2189" s="17">
        <v>2</v>
      </c>
      <c r="F2189" s="17">
        <v>110</v>
      </c>
      <c r="G2189" s="18">
        <v>220</v>
      </c>
      <c r="H2189" s="30" t="s">
        <v>2296</v>
      </c>
      <c r="J2189" s="34"/>
    </row>
    <row r="2190" spans="1:10" x14ac:dyDescent="0.25">
      <c r="A2190" s="15">
        <v>41157</v>
      </c>
      <c r="B2190" s="16" t="s">
        <v>865</v>
      </c>
      <c r="C2190" t="s">
        <v>8</v>
      </c>
      <c r="D2190" t="s">
        <v>48</v>
      </c>
      <c r="E2190" s="17">
        <v>9.5</v>
      </c>
      <c r="F2190" s="17">
        <v>35.35</v>
      </c>
      <c r="G2190" s="18">
        <v>335.82499999999999</v>
      </c>
      <c r="H2190" s="30" t="s">
        <v>2296</v>
      </c>
      <c r="J2190" s="34"/>
    </row>
    <row r="2191" spans="1:10" x14ac:dyDescent="0.25">
      <c r="A2191" s="15">
        <v>41157</v>
      </c>
      <c r="B2191" s="16" t="s">
        <v>882</v>
      </c>
      <c r="C2191" t="s">
        <v>8</v>
      </c>
      <c r="D2191" t="s">
        <v>48</v>
      </c>
      <c r="E2191" s="17">
        <v>10</v>
      </c>
      <c r="F2191" s="17">
        <v>48</v>
      </c>
      <c r="G2191" s="18">
        <v>480</v>
      </c>
      <c r="H2191" s="30" t="s">
        <v>2296</v>
      </c>
      <c r="J2191" s="34"/>
    </row>
    <row r="2192" spans="1:10" x14ac:dyDescent="0.25">
      <c r="A2192" s="15">
        <v>41157</v>
      </c>
      <c r="B2192" s="16" t="s">
        <v>887</v>
      </c>
      <c r="C2192" t="s">
        <v>873</v>
      </c>
      <c r="D2192" t="s">
        <v>48</v>
      </c>
      <c r="E2192" s="17">
        <v>10.5</v>
      </c>
      <c r="F2192" s="17">
        <v>95</v>
      </c>
      <c r="G2192" s="18">
        <v>997.5</v>
      </c>
      <c r="H2192" s="30" t="s">
        <v>2296</v>
      </c>
      <c r="J2192" s="34"/>
    </row>
    <row r="2193" spans="1:10" x14ac:dyDescent="0.25">
      <c r="A2193" s="15">
        <v>41157</v>
      </c>
      <c r="B2193" s="16" t="s">
        <v>1057</v>
      </c>
      <c r="C2193" t="s">
        <v>886</v>
      </c>
      <c r="D2193" t="s">
        <v>48</v>
      </c>
      <c r="E2193" s="17">
        <v>4.5</v>
      </c>
      <c r="F2193" s="17">
        <v>125</v>
      </c>
      <c r="G2193" s="18">
        <v>562.5</v>
      </c>
      <c r="H2193" s="30" t="s">
        <v>2296</v>
      </c>
      <c r="J2193" s="34"/>
    </row>
    <row r="2194" spans="1:10" x14ac:dyDescent="0.25">
      <c r="A2194" s="15">
        <v>41157</v>
      </c>
      <c r="B2194" s="16" t="s">
        <v>878</v>
      </c>
      <c r="C2194" t="s">
        <v>879</v>
      </c>
      <c r="D2194" t="s">
        <v>48</v>
      </c>
      <c r="E2194" s="17">
        <v>4</v>
      </c>
      <c r="F2194" s="17">
        <v>110</v>
      </c>
      <c r="G2194" s="18">
        <v>440</v>
      </c>
      <c r="H2194" s="30" t="s">
        <v>2296</v>
      </c>
      <c r="J2194" s="34"/>
    </row>
    <row r="2195" spans="1:10" x14ac:dyDescent="0.25">
      <c r="A2195" s="15">
        <v>41157</v>
      </c>
      <c r="B2195" s="16" t="s">
        <v>865</v>
      </c>
      <c r="C2195" t="s">
        <v>8</v>
      </c>
      <c r="D2195" t="s">
        <v>48</v>
      </c>
      <c r="E2195" s="17">
        <v>9.5</v>
      </c>
      <c r="F2195" s="17">
        <v>35.35</v>
      </c>
      <c r="G2195" s="18">
        <v>335.82499999999999</v>
      </c>
      <c r="H2195" s="30" t="s">
        <v>2296</v>
      </c>
      <c r="J2195" s="34"/>
    </row>
    <row r="2196" spans="1:10" x14ac:dyDescent="0.25">
      <c r="A2196" s="15">
        <v>41157</v>
      </c>
      <c r="B2196" s="16" t="s">
        <v>865</v>
      </c>
      <c r="C2196" t="s">
        <v>8</v>
      </c>
      <c r="D2196" t="s">
        <v>48</v>
      </c>
      <c r="E2196" s="17">
        <v>4</v>
      </c>
      <c r="F2196" s="17">
        <v>35.35</v>
      </c>
      <c r="G2196" s="18">
        <v>141.4</v>
      </c>
      <c r="H2196" s="30" t="s">
        <v>2296</v>
      </c>
      <c r="J2196" s="34"/>
    </row>
    <row r="2197" spans="1:10" x14ac:dyDescent="0.25">
      <c r="A2197" s="15">
        <v>41158</v>
      </c>
      <c r="B2197" s="16" t="s">
        <v>887</v>
      </c>
      <c r="C2197" t="s">
        <v>873</v>
      </c>
      <c r="D2197" t="s">
        <v>48</v>
      </c>
      <c r="E2197" s="17">
        <v>10.5</v>
      </c>
      <c r="F2197" s="17">
        <v>95</v>
      </c>
      <c r="G2197" s="18">
        <v>997.5</v>
      </c>
      <c r="H2197" s="30" t="s">
        <v>2296</v>
      </c>
      <c r="J2197" s="34"/>
    </row>
    <row r="2198" spans="1:10" x14ac:dyDescent="0.25">
      <c r="A2198" s="15">
        <v>41159</v>
      </c>
      <c r="B2198" s="16" t="s">
        <v>887</v>
      </c>
      <c r="C2198" t="s">
        <v>873</v>
      </c>
      <c r="D2198" t="s">
        <v>48</v>
      </c>
      <c r="E2198" s="17">
        <v>6</v>
      </c>
      <c r="F2198" s="17">
        <v>95</v>
      </c>
      <c r="G2198" s="18">
        <v>570</v>
      </c>
      <c r="H2198" s="30" t="s">
        <v>2296</v>
      </c>
      <c r="J2198" s="34"/>
    </row>
    <row r="2199" spans="1:10" x14ac:dyDescent="0.25">
      <c r="A2199" s="15">
        <v>41162</v>
      </c>
      <c r="B2199" s="16" t="s">
        <v>887</v>
      </c>
      <c r="C2199" t="s">
        <v>873</v>
      </c>
      <c r="D2199" t="s">
        <v>48</v>
      </c>
      <c r="E2199" s="17">
        <v>8</v>
      </c>
      <c r="F2199" s="17">
        <v>95</v>
      </c>
      <c r="G2199" s="18">
        <v>760</v>
      </c>
      <c r="H2199" s="30" t="s">
        <v>2296</v>
      </c>
      <c r="J2199" s="34"/>
    </row>
    <row r="2200" spans="1:10" x14ac:dyDescent="0.25">
      <c r="A2200" s="15">
        <v>41163</v>
      </c>
      <c r="B2200" s="16" t="s">
        <v>922</v>
      </c>
      <c r="C2200" t="s">
        <v>886</v>
      </c>
      <c r="D2200" t="s">
        <v>48</v>
      </c>
      <c r="E2200" s="17">
        <v>9.5</v>
      </c>
      <c r="F2200" s="17">
        <v>95</v>
      </c>
      <c r="G2200" s="18">
        <v>902.5</v>
      </c>
      <c r="H2200" s="30" t="s">
        <v>2296</v>
      </c>
      <c r="J2200" s="34"/>
    </row>
    <row r="2201" spans="1:10" x14ac:dyDescent="0.25">
      <c r="A2201" s="15">
        <v>41163</v>
      </c>
      <c r="B2201" s="16" t="s">
        <v>878</v>
      </c>
      <c r="C2201" t="s">
        <v>879</v>
      </c>
      <c r="D2201" t="s">
        <v>48</v>
      </c>
      <c r="E2201" s="17">
        <v>9.75</v>
      </c>
      <c r="F2201" s="17">
        <v>110</v>
      </c>
      <c r="G2201" s="18">
        <v>1072.5</v>
      </c>
      <c r="H2201" s="30" t="s">
        <v>2296</v>
      </c>
      <c r="J2201" s="34"/>
    </row>
    <row r="2202" spans="1:10" x14ac:dyDescent="0.25">
      <c r="A2202" s="15">
        <v>41163</v>
      </c>
      <c r="B2202" s="16" t="s">
        <v>887</v>
      </c>
      <c r="C2202" t="s">
        <v>873</v>
      </c>
      <c r="D2202" t="s">
        <v>48</v>
      </c>
      <c r="E2202" s="17">
        <v>10</v>
      </c>
      <c r="F2202" s="17">
        <v>95</v>
      </c>
      <c r="G2202" s="18">
        <v>950</v>
      </c>
      <c r="H2202" s="30" t="s">
        <v>2296</v>
      </c>
      <c r="J2202" s="34"/>
    </row>
    <row r="2203" spans="1:10" x14ac:dyDescent="0.25">
      <c r="A2203" s="15">
        <v>41164</v>
      </c>
      <c r="B2203" s="16" t="s">
        <v>883</v>
      </c>
      <c r="C2203" t="s">
        <v>884</v>
      </c>
      <c r="D2203" t="s">
        <v>48</v>
      </c>
      <c r="E2203" s="17">
        <v>9</v>
      </c>
      <c r="F2203" s="17">
        <v>66.069999999999993</v>
      </c>
      <c r="G2203" s="18">
        <v>594.63</v>
      </c>
      <c r="H2203" s="30" t="s">
        <v>2296</v>
      </c>
      <c r="J2203" s="34"/>
    </row>
    <row r="2204" spans="1:10" x14ac:dyDescent="0.25">
      <c r="A2204" s="15">
        <v>41164</v>
      </c>
      <c r="B2204" s="16" t="s">
        <v>887</v>
      </c>
      <c r="C2204" t="s">
        <v>873</v>
      </c>
      <c r="D2204" t="s">
        <v>48</v>
      </c>
      <c r="E2204" s="17">
        <v>10</v>
      </c>
      <c r="F2204" s="17">
        <v>95</v>
      </c>
      <c r="G2204" s="18">
        <v>950</v>
      </c>
      <c r="H2204" s="30" t="s">
        <v>2296</v>
      </c>
      <c r="J2204" s="34"/>
    </row>
    <row r="2205" spans="1:10" x14ac:dyDescent="0.25">
      <c r="A2205" s="15">
        <v>41164</v>
      </c>
      <c r="B2205" s="16" t="s">
        <v>865</v>
      </c>
      <c r="C2205" t="s">
        <v>8</v>
      </c>
      <c r="D2205" t="s">
        <v>48</v>
      </c>
      <c r="E2205" s="17">
        <v>4</v>
      </c>
      <c r="F2205" s="17">
        <v>35.35</v>
      </c>
      <c r="G2205" s="18">
        <v>141.4</v>
      </c>
      <c r="H2205" s="30" t="s">
        <v>2296</v>
      </c>
      <c r="J2205" s="34"/>
    </row>
    <row r="2206" spans="1:10" x14ac:dyDescent="0.25">
      <c r="A2206" s="15">
        <v>41164</v>
      </c>
      <c r="B2206" s="16" t="s">
        <v>882</v>
      </c>
      <c r="C2206" t="s">
        <v>8</v>
      </c>
      <c r="D2206" t="s">
        <v>48</v>
      </c>
      <c r="E2206" s="17">
        <v>6</v>
      </c>
      <c r="F2206" s="17">
        <v>48</v>
      </c>
      <c r="G2206" s="18">
        <v>288</v>
      </c>
      <c r="H2206" s="30" t="s">
        <v>2296</v>
      </c>
      <c r="J2206" s="34"/>
    </row>
    <row r="2207" spans="1:10" x14ac:dyDescent="0.25">
      <c r="A2207" s="15">
        <v>41164</v>
      </c>
      <c r="B2207" s="16" t="s">
        <v>874</v>
      </c>
      <c r="C2207" t="s">
        <v>875</v>
      </c>
      <c r="D2207" t="s">
        <v>48</v>
      </c>
      <c r="E2207" s="17">
        <v>5</v>
      </c>
      <c r="F2207" s="17">
        <v>25.78</v>
      </c>
      <c r="G2207" s="18">
        <v>128.9</v>
      </c>
      <c r="H2207" s="30" t="s">
        <v>2296</v>
      </c>
      <c r="J2207" s="34"/>
    </row>
    <row r="2208" spans="1:10" x14ac:dyDescent="0.25">
      <c r="A2208" s="15">
        <v>41164</v>
      </c>
      <c r="B2208" s="16" t="s">
        <v>922</v>
      </c>
      <c r="C2208" t="s">
        <v>886</v>
      </c>
      <c r="D2208" t="s">
        <v>48</v>
      </c>
      <c r="E2208" s="17">
        <v>10</v>
      </c>
      <c r="F2208" s="17">
        <v>95</v>
      </c>
      <c r="G2208" s="18">
        <v>950</v>
      </c>
      <c r="H2208" s="30" t="s">
        <v>2296</v>
      </c>
      <c r="J2208" s="34"/>
    </row>
    <row r="2209" spans="1:10" x14ac:dyDescent="0.25">
      <c r="A2209" s="15">
        <v>41164</v>
      </c>
      <c r="B2209" s="16" t="s">
        <v>904</v>
      </c>
      <c r="C2209" t="s">
        <v>905</v>
      </c>
      <c r="D2209" t="s">
        <v>48</v>
      </c>
      <c r="E2209" s="17">
        <v>1</v>
      </c>
      <c r="F2209" s="17">
        <v>95</v>
      </c>
      <c r="G2209" s="18">
        <v>95</v>
      </c>
      <c r="H2209" s="30" t="s">
        <v>2296</v>
      </c>
      <c r="J2209" s="34"/>
    </row>
    <row r="2210" spans="1:10" x14ac:dyDescent="0.25">
      <c r="A2210" s="15">
        <v>41164</v>
      </c>
      <c r="B2210" s="16" t="s">
        <v>880</v>
      </c>
      <c r="C2210" t="s">
        <v>881</v>
      </c>
      <c r="D2210" t="s">
        <v>48</v>
      </c>
      <c r="E2210" s="17">
        <v>3</v>
      </c>
      <c r="F2210" s="17">
        <v>95</v>
      </c>
      <c r="G2210" s="18">
        <v>285</v>
      </c>
      <c r="H2210" s="30" t="s">
        <v>2296</v>
      </c>
      <c r="J2210" s="34"/>
    </row>
    <row r="2211" spans="1:10" x14ac:dyDescent="0.25">
      <c r="A2211" s="15">
        <v>41164</v>
      </c>
      <c r="B2211" s="16" t="s">
        <v>878</v>
      </c>
      <c r="C2211" t="s">
        <v>879</v>
      </c>
      <c r="D2211" t="s">
        <v>48</v>
      </c>
      <c r="E2211" s="17">
        <v>9.75</v>
      </c>
      <c r="F2211" s="17">
        <v>110</v>
      </c>
      <c r="G2211" s="18">
        <v>1072.5</v>
      </c>
      <c r="H2211" s="30" t="s">
        <v>2296</v>
      </c>
      <c r="J2211" s="34"/>
    </row>
    <row r="2212" spans="1:10" x14ac:dyDescent="0.25">
      <c r="A2212" s="15">
        <v>41164</v>
      </c>
      <c r="B2212" s="16" t="s">
        <v>865</v>
      </c>
      <c r="C2212" t="s">
        <v>8</v>
      </c>
      <c r="D2212" t="s">
        <v>48</v>
      </c>
      <c r="E2212" s="17">
        <v>10</v>
      </c>
      <c r="F2212" s="17">
        <v>35.35</v>
      </c>
      <c r="G2212" s="18">
        <v>353.5</v>
      </c>
      <c r="H2212" s="30" t="s">
        <v>2296</v>
      </c>
      <c r="J2212" s="34"/>
    </row>
    <row r="2213" spans="1:10" x14ac:dyDescent="0.25">
      <c r="A2213" s="15">
        <v>41164</v>
      </c>
      <c r="B2213" s="16" t="s">
        <v>949</v>
      </c>
      <c r="C2213" t="s">
        <v>950</v>
      </c>
      <c r="D2213" t="s">
        <v>48</v>
      </c>
      <c r="E2213" s="17">
        <v>5</v>
      </c>
      <c r="F2213" s="17">
        <v>135</v>
      </c>
      <c r="G2213" s="18">
        <v>675</v>
      </c>
      <c r="H2213" s="30" t="s">
        <v>2296</v>
      </c>
      <c r="J2213" s="34"/>
    </row>
    <row r="2214" spans="1:10" x14ac:dyDescent="0.25">
      <c r="A2214" s="15">
        <v>41164</v>
      </c>
      <c r="B2214" s="16" t="s">
        <v>865</v>
      </c>
      <c r="C2214" t="s">
        <v>8</v>
      </c>
      <c r="D2214" t="s">
        <v>48</v>
      </c>
      <c r="E2214" s="17">
        <v>10</v>
      </c>
      <c r="F2214" s="17">
        <v>35.35</v>
      </c>
      <c r="G2214" s="18">
        <v>353.5</v>
      </c>
      <c r="H2214" s="30" t="s">
        <v>2296</v>
      </c>
      <c r="J2214" s="34"/>
    </row>
    <row r="2215" spans="1:10" x14ac:dyDescent="0.25">
      <c r="A2215" s="15">
        <v>41165</v>
      </c>
      <c r="B2215" s="16" t="s">
        <v>883</v>
      </c>
      <c r="C2215" t="s">
        <v>884</v>
      </c>
      <c r="D2215" t="s">
        <v>48</v>
      </c>
      <c r="E2215" s="17">
        <v>9</v>
      </c>
      <c r="F2215" s="17">
        <v>66.069999999999993</v>
      </c>
      <c r="G2215" s="18">
        <v>594.63</v>
      </c>
      <c r="H2215" s="30" t="s">
        <v>2296</v>
      </c>
      <c r="J2215" s="34"/>
    </row>
    <row r="2216" spans="1:10" x14ac:dyDescent="0.25">
      <c r="A2216" s="15">
        <v>41165</v>
      </c>
      <c r="B2216" s="16" t="s">
        <v>922</v>
      </c>
      <c r="C2216" t="s">
        <v>886</v>
      </c>
      <c r="D2216" t="s">
        <v>48</v>
      </c>
      <c r="E2216" s="17">
        <v>5.5</v>
      </c>
      <c r="F2216" s="17">
        <v>95</v>
      </c>
      <c r="G2216" s="18">
        <v>522.5</v>
      </c>
      <c r="H2216" s="30" t="s">
        <v>2296</v>
      </c>
      <c r="J2216" s="34"/>
    </row>
    <row r="2217" spans="1:10" x14ac:dyDescent="0.25">
      <c r="A2217" s="15">
        <v>41165</v>
      </c>
      <c r="B2217" s="16" t="s">
        <v>882</v>
      </c>
      <c r="C2217" t="s">
        <v>8</v>
      </c>
      <c r="D2217" t="s">
        <v>48</v>
      </c>
      <c r="E2217" s="17">
        <v>6</v>
      </c>
      <c r="F2217" s="17">
        <v>48</v>
      </c>
      <c r="G2217" s="18">
        <v>288</v>
      </c>
      <c r="H2217" s="30" t="s">
        <v>2296</v>
      </c>
      <c r="J2217" s="34"/>
    </row>
    <row r="2218" spans="1:10" x14ac:dyDescent="0.25">
      <c r="A2218" s="15">
        <v>41165</v>
      </c>
      <c r="B2218" s="16" t="s">
        <v>887</v>
      </c>
      <c r="C2218" t="s">
        <v>873</v>
      </c>
      <c r="D2218" t="s">
        <v>48</v>
      </c>
      <c r="E2218" s="17">
        <v>5.5</v>
      </c>
      <c r="F2218" s="17">
        <v>95</v>
      </c>
      <c r="G2218" s="18">
        <v>522.5</v>
      </c>
      <c r="H2218" s="30" t="s">
        <v>2296</v>
      </c>
      <c r="J2218" s="34"/>
    </row>
    <row r="2219" spans="1:10" x14ac:dyDescent="0.25">
      <c r="A2219" s="15">
        <v>41165</v>
      </c>
      <c r="B2219" s="16" t="s">
        <v>904</v>
      </c>
      <c r="C2219" t="s">
        <v>905</v>
      </c>
      <c r="D2219" t="s">
        <v>48</v>
      </c>
      <c r="E2219" s="17">
        <v>1</v>
      </c>
      <c r="F2219" s="17">
        <v>95</v>
      </c>
      <c r="G2219" s="18">
        <v>95</v>
      </c>
      <c r="H2219" s="30" t="s">
        <v>2296</v>
      </c>
      <c r="J2219" s="34"/>
    </row>
    <row r="2220" spans="1:10" x14ac:dyDescent="0.25">
      <c r="A2220" s="15">
        <v>41165</v>
      </c>
      <c r="B2220" s="16" t="s">
        <v>865</v>
      </c>
      <c r="C2220" t="s">
        <v>8</v>
      </c>
      <c r="D2220" t="s">
        <v>48</v>
      </c>
      <c r="E2220" s="17">
        <v>4</v>
      </c>
      <c r="F2220" s="17">
        <v>35.35</v>
      </c>
      <c r="G2220" s="18">
        <v>141.4</v>
      </c>
      <c r="H2220" s="30" t="s">
        <v>2296</v>
      </c>
      <c r="J2220" s="34"/>
    </row>
    <row r="2221" spans="1:10" x14ac:dyDescent="0.25">
      <c r="A2221" s="15">
        <v>41165</v>
      </c>
      <c r="B2221" s="16" t="s">
        <v>874</v>
      </c>
      <c r="C2221" t="s">
        <v>875</v>
      </c>
      <c r="D2221" t="s">
        <v>48</v>
      </c>
      <c r="E2221" s="17">
        <v>5</v>
      </c>
      <c r="F2221" s="17">
        <v>25.78</v>
      </c>
      <c r="G2221" s="18">
        <v>128.9</v>
      </c>
      <c r="H2221" s="30" t="s">
        <v>2296</v>
      </c>
      <c r="J2221" s="34"/>
    </row>
    <row r="2222" spans="1:10" x14ac:dyDescent="0.25">
      <c r="A2222" s="15">
        <v>41165</v>
      </c>
      <c r="B2222" s="16" t="s">
        <v>949</v>
      </c>
      <c r="C2222" t="s">
        <v>950</v>
      </c>
      <c r="D2222" t="s">
        <v>48</v>
      </c>
      <c r="E2222" s="17">
        <v>5</v>
      </c>
      <c r="F2222" s="17">
        <v>135</v>
      </c>
      <c r="G2222" s="18">
        <v>675</v>
      </c>
      <c r="H2222" s="30" t="s">
        <v>2296</v>
      </c>
      <c r="J2222" s="34"/>
    </row>
    <row r="2223" spans="1:10" x14ac:dyDescent="0.25">
      <c r="A2223" s="15">
        <v>41165</v>
      </c>
      <c r="B2223" s="16" t="s">
        <v>865</v>
      </c>
      <c r="C2223" t="s">
        <v>8</v>
      </c>
      <c r="D2223" t="s">
        <v>48</v>
      </c>
      <c r="E2223" s="17">
        <v>10</v>
      </c>
      <c r="F2223" s="17">
        <v>35.35</v>
      </c>
      <c r="G2223" s="18">
        <v>353.5</v>
      </c>
      <c r="H2223" s="30" t="s">
        <v>2296</v>
      </c>
      <c r="J2223" s="34"/>
    </row>
    <row r="2224" spans="1:10" x14ac:dyDescent="0.25">
      <c r="A2224" s="15">
        <v>41165</v>
      </c>
      <c r="B2224" s="16" t="s">
        <v>865</v>
      </c>
      <c r="C2224" t="s">
        <v>8</v>
      </c>
      <c r="D2224" t="s">
        <v>48</v>
      </c>
      <c r="E2224" s="17">
        <v>10</v>
      </c>
      <c r="F2224" s="17">
        <v>35.35</v>
      </c>
      <c r="G2224" s="18">
        <v>353.5</v>
      </c>
      <c r="H2224" s="30" t="s">
        <v>2296</v>
      </c>
      <c r="J2224" s="34"/>
    </row>
    <row r="2225" spans="1:10" x14ac:dyDescent="0.25">
      <c r="A2225" s="15">
        <v>41165</v>
      </c>
      <c r="B2225" s="16" t="s">
        <v>878</v>
      </c>
      <c r="C2225" t="s">
        <v>879</v>
      </c>
      <c r="D2225" t="s">
        <v>48</v>
      </c>
      <c r="E2225" s="17">
        <v>1.5</v>
      </c>
      <c r="F2225" s="17">
        <v>110</v>
      </c>
      <c r="G2225" s="18">
        <v>165</v>
      </c>
      <c r="H2225" s="30" t="s">
        <v>2296</v>
      </c>
      <c r="J2225" s="34"/>
    </row>
    <row r="2226" spans="1:10" x14ac:dyDescent="0.25">
      <c r="A2226" s="15">
        <v>41166</v>
      </c>
      <c r="B2226" s="16" t="s">
        <v>865</v>
      </c>
      <c r="C2226" t="s">
        <v>8</v>
      </c>
      <c r="D2226" t="s">
        <v>48</v>
      </c>
      <c r="E2226" s="17">
        <v>9</v>
      </c>
      <c r="F2226" s="17">
        <v>35.35</v>
      </c>
      <c r="G2226" s="18">
        <v>318.14999999999998</v>
      </c>
      <c r="H2226" s="30" t="s">
        <v>2296</v>
      </c>
      <c r="J2226" s="34"/>
    </row>
    <row r="2227" spans="1:10" x14ac:dyDescent="0.25">
      <c r="A2227" s="15">
        <v>41166</v>
      </c>
      <c r="B2227" s="16" t="s">
        <v>885</v>
      </c>
      <c r="C2227" t="s">
        <v>886</v>
      </c>
      <c r="D2227" t="s">
        <v>48</v>
      </c>
      <c r="E2227" s="17">
        <v>6</v>
      </c>
      <c r="F2227" s="17">
        <v>95</v>
      </c>
      <c r="G2227" s="18">
        <v>570</v>
      </c>
      <c r="H2227" s="30" t="s">
        <v>2296</v>
      </c>
      <c r="J2227" s="34"/>
    </row>
    <row r="2228" spans="1:10" x14ac:dyDescent="0.25">
      <c r="A2228" s="15">
        <v>41166</v>
      </c>
      <c r="B2228" s="16" t="s">
        <v>865</v>
      </c>
      <c r="C2228" t="s">
        <v>8</v>
      </c>
      <c r="D2228" t="s">
        <v>48</v>
      </c>
      <c r="E2228" s="17">
        <v>9</v>
      </c>
      <c r="F2228" s="17">
        <v>35.35</v>
      </c>
      <c r="G2228" s="18">
        <v>318.14999999999998</v>
      </c>
      <c r="H2228" s="30" t="s">
        <v>2296</v>
      </c>
      <c r="J2228" s="34"/>
    </row>
    <row r="2229" spans="1:10" x14ac:dyDescent="0.25">
      <c r="A2229" s="15">
        <v>41166</v>
      </c>
      <c r="B2229" s="16" t="s">
        <v>865</v>
      </c>
      <c r="C2229" t="s">
        <v>8</v>
      </c>
      <c r="D2229" t="s">
        <v>48</v>
      </c>
      <c r="E2229" s="17">
        <v>9</v>
      </c>
      <c r="F2229" s="17">
        <v>35.35</v>
      </c>
      <c r="G2229" s="18">
        <v>318.14999999999998</v>
      </c>
      <c r="H2229" s="30" t="s">
        <v>2296</v>
      </c>
      <c r="J2229" s="34"/>
    </row>
    <row r="2230" spans="1:10" x14ac:dyDescent="0.25">
      <c r="A2230" s="15">
        <v>41166</v>
      </c>
      <c r="B2230" s="16" t="s">
        <v>904</v>
      </c>
      <c r="C2230" t="s">
        <v>905</v>
      </c>
      <c r="D2230" t="s">
        <v>48</v>
      </c>
      <c r="E2230" s="17">
        <v>6</v>
      </c>
      <c r="F2230" s="17">
        <v>95</v>
      </c>
      <c r="G2230" s="18">
        <v>570</v>
      </c>
      <c r="H2230" s="30" t="s">
        <v>2296</v>
      </c>
      <c r="J2230" s="34"/>
    </row>
    <row r="2231" spans="1:10" x14ac:dyDescent="0.25">
      <c r="A2231" s="15">
        <v>41166</v>
      </c>
      <c r="B2231" s="16" t="s">
        <v>874</v>
      </c>
      <c r="C2231" t="s">
        <v>875</v>
      </c>
      <c r="D2231" t="s">
        <v>48</v>
      </c>
      <c r="E2231" s="17">
        <v>6</v>
      </c>
      <c r="F2231" s="17">
        <v>25.78</v>
      </c>
      <c r="G2231" s="18">
        <v>154.68</v>
      </c>
      <c r="H2231" s="30" t="s">
        <v>2296</v>
      </c>
      <c r="J2231" s="34"/>
    </row>
    <row r="2232" spans="1:10" x14ac:dyDescent="0.25">
      <c r="A2232" s="15">
        <v>41166</v>
      </c>
      <c r="B2232" s="16" t="s">
        <v>887</v>
      </c>
      <c r="C2232" t="s">
        <v>873</v>
      </c>
      <c r="D2232" t="s">
        <v>48</v>
      </c>
      <c r="E2232" s="17">
        <v>9</v>
      </c>
      <c r="F2232" s="17">
        <v>95</v>
      </c>
      <c r="G2232" s="18">
        <v>855</v>
      </c>
      <c r="H2232" s="30" t="s">
        <v>2296</v>
      </c>
      <c r="J2232" s="34"/>
    </row>
    <row r="2233" spans="1:10" x14ac:dyDescent="0.25">
      <c r="A2233" s="15">
        <v>41166</v>
      </c>
      <c r="B2233" s="16" t="s">
        <v>878</v>
      </c>
      <c r="C2233" t="s">
        <v>879</v>
      </c>
      <c r="D2233" t="s">
        <v>48</v>
      </c>
      <c r="E2233" s="17">
        <v>7.5</v>
      </c>
      <c r="F2233" s="17">
        <v>110</v>
      </c>
      <c r="G2233" s="18">
        <v>825</v>
      </c>
      <c r="H2233" s="30" t="s">
        <v>2296</v>
      </c>
      <c r="J2233" s="34"/>
    </row>
    <row r="2234" spans="1:10" x14ac:dyDescent="0.25">
      <c r="A2234" s="15">
        <v>41166</v>
      </c>
      <c r="B2234" s="16" t="s">
        <v>882</v>
      </c>
      <c r="C2234" t="s">
        <v>8</v>
      </c>
      <c r="D2234" t="s">
        <v>48</v>
      </c>
      <c r="E2234" s="17">
        <v>9.5</v>
      </c>
      <c r="F2234" s="17">
        <v>48</v>
      </c>
      <c r="G2234" s="18">
        <v>456</v>
      </c>
      <c r="H2234" s="30" t="s">
        <v>2296</v>
      </c>
      <c r="J2234" s="34"/>
    </row>
    <row r="2235" spans="1:10" x14ac:dyDescent="0.25">
      <c r="A2235" s="15">
        <v>41166</v>
      </c>
      <c r="B2235" s="16" t="s">
        <v>865</v>
      </c>
      <c r="C2235" t="s">
        <v>8</v>
      </c>
      <c r="D2235" t="s">
        <v>48</v>
      </c>
      <c r="E2235" s="17">
        <v>9</v>
      </c>
      <c r="F2235" s="17">
        <v>35.35</v>
      </c>
      <c r="G2235" s="18">
        <v>318.14999999999998</v>
      </c>
      <c r="H2235" s="30" t="s">
        <v>2296</v>
      </c>
      <c r="J2235" s="34"/>
    </row>
    <row r="2236" spans="1:10" x14ac:dyDescent="0.25">
      <c r="A2236" s="15">
        <v>41166</v>
      </c>
      <c r="B2236" s="16" t="s">
        <v>865</v>
      </c>
      <c r="C2236" t="s">
        <v>8</v>
      </c>
      <c r="D2236" t="s">
        <v>48</v>
      </c>
      <c r="E2236" s="17">
        <v>9</v>
      </c>
      <c r="F2236" s="17">
        <v>35.35</v>
      </c>
      <c r="G2236" s="18">
        <v>318.14999999999998</v>
      </c>
      <c r="H2236" s="30" t="s">
        <v>2296</v>
      </c>
      <c r="J2236" s="34"/>
    </row>
    <row r="2237" spans="1:10" x14ac:dyDescent="0.25">
      <c r="A2237" s="15">
        <v>41166</v>
      </c>
      <c r="B2237" s="16" t="s">
        <v>949</v>
      </c>
      <c r="C2237" t="s">
        <v>950</v>
      </c>
      <c r="D2237" t="s">
        <v>48</v>
      </c>
      <c r="E2237" s="17">
        <v>8</v>
      </c>
      <c r="F2237" s="17">
        <v>135</v>
      </c>
      <c r="G2237" s="18">
        <v>1080</v>
      </c>
      <c r="H2237" s="30" t="s">
        <v>2296</v>
      </c>
      <c r="J2237" s="34"/>
    </row>
    <row r="2238" spans="1:10" x14ac:dyDescent="0.25">
      <c r="A2238" s="15">
        <v>41166</v>
      </c>
      <c r="B2238" s="16" t="s">
        <v>47</v>
      </c>
      <c r="C2238" t="s">
        <v>2824</v>
      </c>
      <c r="D2238" t="s">
        <v>48</v>
      </c>
      <c r="E2238" s="17">
        <v>9</v>
      </c>
      <c r="F2238" s="17">
        <v>71.81</v>
      </c>
      <c r="G2238" s="18">
        <v>646.29</v>
      </c>
      <c r="H2238" s="30" t="s">
        <v>2296</v>
      </c>
      <c r="J2238" s="34"/>
    </row>
    <row r="2239" spans="1:10" x14ac:dyDescent="0.25">
      <c r="A2239" s="15">
        <v>41166</v>
      </c>
      <c r="B2239" s="16" t="s">
        <v>883</v>
      </c>
      <c r="C2239" t="s">
        <v>884</v>
      </c>
      <c r="D2239" t="s">
        <v>48</v>
      </c>
      <c r="E2239" s="17">
        <v>8</v>
      </c>
      <c r="F2239" s="17">
        <v>66.069999999999993</v>
      </c>
      <c r="G2239" s="18">
        <v>528.55999999999995</v>
      </c>
      <c r="H2239" s="30" t="s">
        <v>2296</v>
      </c>
      <c r="J2239" s="34"/>
    </row>
    <row r="2240" spans="1:10" x14ac:dyDescent="0.25">
      <c r="A2240" s="15">
        <v>41167</v>
      </c>
      <c r="B2240" s="16" t="s">
        <v>887</v>
      </c>
      <c r="C2240" t="s">
        <v>873</v>
      </c>
      <c r="D2240" t="s">
        <v>48</v>
      </c>
      <c r="E2240" s="17">
        <v>6</v>
      </c>
      <c r="F2240" s="17">
        <v>95</v>
      </c>
      <c r="G2240" s="18">
        <v>570</v>
      </c>
      <c r="H2240" s="30" t="s">
        <v>2296</v>
      </c>
      <c r="J2240" s="34"/>
    </row>
    <row r="2241" spans="1:10" x14ac:dyDescent="0.25">
      <c r="A2241" s="15">
        <v>41169</v>
      </c>
      <c r="B2241" s="16" t="s">
        <v>887</v>
      </c>
      <c r="C2241" t="s">
        <v>873</v>
      </c>
      <c r="D2241" t="s">
        <v>48</v>
      </c>
      <c r="E2241" s="17">
        <v>9.5</v>
      </c>
      <c r="F2241" s="17">
        <v>95</v>
      </c>
      <c r="G2241" s="18">
        <v>902.5</v>
      </c>
      <c r="H2241" s="30" t="s">
        <v>2296</v>
      </c>
      <c r="J2241" s="34"/>
    </row>
    <row r="2242" spans="1:10" x14ac:dyDescent="0.25">
      <c r="A2242" s="15">
        <v>41170</v>
      </c>
      <c r="B2242" s="16" t="s">
        <v>1058</v>
      </c>
      <c r="C2242" t="s">
        <v>934</v>
      </c>
      <c r="D2242" t="s">
        <v>48</v>
      </c>
      <c r="E2242" s="17">
        <v>3.5</v>
      </c>
      <c r="F2242" s="17">
        <v>125.45</v>
      </c>
      <c r="G2242" s="18">
        <v>439.07499999999999</v>
      </c>
      <c r="H2242" s="30" t="s">
        <v>2296</v>
      </c>
      <c r="J2242" s="34"/>
    </row>
    <row r="2243" spans="1:10" x14ac:dyDescent="0.25">
      <c r="A2243" s="15">
        <v>41170</v>
      </c>
      <c r="B2243" s="16" t="s">
        <v>878</v>
      </c>
      <c r="C2243" t="s">
        <v>879</v>
      </c>
      <c r="D2243" t="s">
        <v>48</v>
      </c>
      <c r="E2243" s="17">
        <v>4</v>
      </c>
      <c r="F2243" s="17">
        <v>110</v>
      </c>
      <c r="G2243" s="18">
        <v>440</v>
      </c>
      <c r="H2243" s="30" t="s">
        <v>2296</v>
      </c>
      <c r="J2243" s="34"/>
    </row>
    <row r="2244" spans="1:10" x14ac:dyDescent="0.25">
      <c r="A2244" s="15">
        <v>41170</v>
      </c>
      <c r="B2244" s="16" t="s">
        <v>887</v>
      </c>
      <c r="C2244" t="s">
        <v>873</v>
      </c>
      <c r="D2244" t="s">
        <v>48</v>
      </c>
      <c r="E2244" s="17">
        <v>7</v>
      </c>
      <c r="F2244" s="17">
        <v>95</v>
      </c>
      <c r="G2244" s="18">
        <v>665</v>
      </c>
      <c r="H2244" s="30" t="s">
        <v>2296</v>
      </c>
      <c r="J2244" s="34"/>
    </row>
    <row r="2245" spans="1:10" x14ac:dyDescent="0.25">
      <c r="A2245" s="15">
        <v>41170</v>
      </c>
      <c r="B2245" s="16" t="s">
        <v>865</v>
      </c>
      <c r="C2245" t="s">
        <v>8</v>
      </c>
      <c r="D2245" t="s">
        <v>48</v>
      </c>
      <c r="E2245" s="17">
        <v>5</v>
      </c>
      <c r="F2245" s="17">
        <v>35.35</v>
      </c>
      <c r="G2245" s="18">
        <v>176.75</v>
      </c>
      <c r="H2245" s="30" t="s">
        <v>2296</v>
      </c>
      <c r="J2245" s="34"/>
    </row>
    <row r="2246" spans="1:10" x14ac:dyDescent="0.25">
      <c r="A2246" s="15">
        <v>41170</v>
      </c>
      <c r="B2246" s="16" t="s">
        <v>949</v>
      </c>
      <c r="C2246" t="s">
        <v>950</v>
      </c>
      <c r="D2246" t="s">
        <v>48</v>
      </c>
      <c r="E2246" s="17">
        <v>3</v>
      </c>
      <c r="F2246" s="17">
        <v>135</v>
      </c>
      <c r="G2246" s="18">
        <v>405</v>
      </c>
      <c r="H2246" s="30" t="s">
        <v>2296</v>
      </c>
      <c r="J2246" s="34"/>
    </row>
    <row r="2247" spans="1:10" x14ac:dyDescent="0.25">
      <c r="A2247" s="15">
        <v>41170</v>
      </c>
      <c r="B2247" s="16" t="s">
        <v>882</v>
      </c>
      <c r="C2247" t="s">
        <v>8</v>
      </c>
      <c r="D2247" t="s">
        <v>48</v>
      </c>
      <c r="E2247" s="17">
        <v>5</v>
      </c>
      <c r="F2247" s="17">
        <v>48</v>
      </c>
      <c r="G2247" s="18">
        <v>240</v>
      </c>
      <c r="H2247" s="30" t="s">
        <v>2296</v>
      </c>
      <c r="J2247" s="34"/>
    </row>
    <row r="2248" spans="1:10" x14ac:dyDescent="0.25">
      <c r="A2248" s="15">
        <v>41170</v>
      </c>
      <c r="B2248" s="16" t="s">
        <v>865</v>
      </c>
      <c r="C2248" t="s">
        <v>8</v>
      </c>
      <c r="D2248" t="s">
        <v>48</v>
      </c>
      <c r="E2248" s="17">
        <v>5</v>
      </c>
      <c r="F2248" s="17">
        <v>35.35</v>
      </c>
      <c r="G2248" s="18">
        <v>176.75</v>
      </c>
      <c r="H2248" s="30" t="s">
        <v>2296</v>
      </c>
      <c r="J2248" s="34"/>
    </row>
    <row r="2249" spans="1:10" x14ac:dyDescent="0.25">
      <c r="A2249" s="15">
        <v>41171</v>
      </c>
      <c r="B2249" s="16" t="s">
        <v>865</v>
      </c>
      <c r="C2249" t="s">
        <v>8</v>
      </c>
      <c r="D2249" t="s">
        <v>48</v>
      </c>
      <c r="E2249" s="17">
        <v>3</v>
      </c>
      <c r="F2249" s="17">
        <v>35.35</v>
      </c>
      <c r="G2249" s="18">
        <v>106.05</v>
      </c>
      <c r="H2249" s="30" t="s">
        <v>2296</v>
      </c>
      <c r="J2249" s="34"/>
    </row>
    <row r="2250" spans="1:10" x14ac:dyDescent="0.25">
      <c r="A2250" s="15">
        <v>41171</v>
      </c>
      <c r="B2250" s="16" t="s">
        <v>882</v>
      </c>
      <c r="C2250" t="s">
        <v>8</v>
      </c>
      <c r="D2250" t="s">
        <v>48</v>
      </c>
      <c r="E2250" s="17">
        <v>4</v>
      </c>
      <c r="F2250" s="17">
        <v>48</v>
      </c>
      <c r="G2250" s="18">
        <v>192</v>
      </c>
      <c r="H2250" s="30" t="s">
        <v>2296</v>
      </c>
      <c r="J2250" s="34"/>
    </row>
    <row r="2251" spans="1:10" x14ac:dyDescent="0.25">
      <c r="A2251" s="15">
        <v>41171</v>
      </c>
      <c r="B2251" s="16" t="s">
        <v>865</v>
      </c>
      <c r="C2251" t="s">
        <v>8</v>
      </c>
      <c r="D2251" t="s">
        <v>48</v>
      </c>
      <c r="E2251" s="17">
        <v>2</v>
      </c>
      <c r="F2251" s="17">
        <v>35.35</v>
      </c>
      <c r="G2251" s="18">
        <v>70.7</v>
      </c>
      <c r="H2251" s="30" t="s">
        <v>2296</v>
      </c>
      <c r="J2251" s="34"/>
    </row>
    <row r="2252" spans="1:10" x14ac:dyDescent="0.25">
      <c r="A2252" s="15">
        <v>41171</v>
      </c>
      <c r="B2252" s="16" t="s">
        <v>887</v>
      </c>
      <c r="C2252" t="s">
        <v>873</v>
      </c>
      <c r="D2252" t="s">
        <v>48</v>
      </c>
      <c r="E2252" s="17">
        <v>7.5</v>
      </c>
      <c r="F2252" s="17">
        <v>95</v>
      </c>
      <c r="G2252" s="18">
        <v>712.5</v>
      </c>
      <c r="H2252" s="30" t="s">
        <v>2296</v>
      </c>
      <c r="J2252" s="34"/>
    </row>
    <row r="2253" spans="1:10" x14ac:dyDescent="0.25">
      <c r="A2253" s="15">
        <v>41171</v>
      </c>
      <c r="B2253" s="16" t="s">
        <v>949</v>
      </c>
      <c r="C2253" t="s">
        <v>950</v>
      </c>
      <c r="D2253" t="s">
        <v>48</v>
      </c>
      <c r="E2253" s="17">
        <v>4</v>
      </c>
      <c r="F2253" s="17">
        <v>135</v>
      </c>
      <c r="G2253" s="18">
        <v>540</v>
      </c>
      <c r="H2253" s="30" t="s">
        <v>2296</v>
      </c>
      <c r="J2253" s="34"/>
    </row>
    <row r="2254" spans="1:10" x14ac:dyDescent="0.25">
      <c r="A2254" s="15">
        <v>41172</v>
      </c>
      <c r="B2254" s="16" t="s">
        <v>887</v>
      </c>
      <c r="C2254" t="s">
        <v>873</v>
      </c>
      <c r="D2254" t="s">
        <v>48</v>
      </c>
      <c r="E2254" s="17">
        <v>5</v>
      </c>
      <c r="F2254" s="17">
        <v>95</v>
      </c>
      <c r="G2254" s="18">
        <v>475</v>
      </c>
      <c r="H2254" s="30" t="s">
        <v>2296</v>
      </c>
      <c r="J2254" s="34"/>
    </row>
    <row r="2255" spans="1:10" x14ac:dyDescent="0.25">
      <c r="A2255" s="15">
        <v>41172</v>
      </c>
      <c r="B2255" s="16" t="s">
        <v>865</v>
      </c>
      <c r="C2255" t="s">
        <v>8</v>
      </c>
      <c r="D2255" t="s">
        <v>48</v>
      </c>
      <c r="E2255" s="17">
        <v>3</v>
      </c>
      <c r="F2255" s="17">
        <v>35.35</v>
      </c>
      <c r="G2255" s="18">
        <v>106.05</v>
      </c>
      <c r="H2255" s="30" t="s">
        <v>2296</v>
      </c>
      <c r="J2255" s="34"/>
    </row>
    <row r="2256" spans="1:10" x14ac:dyDescent="0.25">
      <c r="A2256" s="15">
        <v>41172</v>
      </c>
      <c r="B2256" s="16" t="s">
        <v>865</v>
      </c>
      <c r="C2256" t="s">
        <v>8</v>
      </c>
      <c r="D2256" t="s">
        <v>48</v>
      </c>
      <c r="E2256" s="17">
        <v>4</v>
      </c>
      <c r="F2256" s="17">
        <v>35.35</v>
      </c>
      <c r="G2256" s="18">
        <v>141.4</v>
      </c>
      <c r="H2256" s="30" t="s">
        <v>2296</v>
      </c>
      <c r="J2256" s="34"/>
    </row>
    <row r="2257" spans="1:10" x14ac:dyDescent="0.25">
      <c r="A2257" s="15">
        <v>41172</v>
      </c>
      <c r="B2257" s="16" t="s">
        <v>865</v>
      </c>
      <c r="C2257" t="s">
        <v>8</v>
      </c>
      <c r="D2257" t="s">
        <v>48</v>
      </c>
      <c r="E2257" s="17">
        <v>3</v>
      </c>
      <c r="F2257" s="17">
        <v>35.35</v>
      </c>
      <c r="G2257" s="18">
        <v>106.05</v>
      </c>
      <c r="H2257" s="30" t="s">
        <v>2296</v>
      </c>
      <c r="J2257" s="34"/>
    </row>
    <row r="2258" spans="1:10" x14ac:dyDescent="0.25">
      <c r="A2258" s="15">
        <v>41172</v>
      </c>
      <c r="B2258" s="16" t="s">
        <v>882</v>
      </c>
      <c r="C2258" t="s">
        <v>8</v>
      </c>
      <c r="D2258" t="s">
        <v>48</v>
      </c>
      <c r="E2258" s="17">
        <v>10.5</v>
      </c>
      <c r="F2258" s="17">
        <v>48</v>
      </c>
      <c r="G2258" s="18">
        <v>504</v>
      </c>
      <c r="H2258" s="30" t="s">
        <v>2296</v>
      </c>
      <c r="J2258" s="34"/>
    </row>
    <row r="2259" spans="1:10" x14ac:dyDescent="0.25">
      <c r="A2259" s="15">
        <v>41172</v>
      </c>
      <c r="B2259" s="16" t="s">
        <v>949</v>
      </c>
      <c r="C2259" t="s">
        <v>950</v>
      </c>
      <c r="D2259" t="s">
        <v>48</v>
      </c>
      <c r="E2259" s="17">
        <v>3</v>
      </c>
      <c r="F2259" s="17">
        <v>135</v>
      </c>
      <c r="G2259" s="18">
        <v>405</v>
      </c>
      <c r="H2259" s="30" t="s">
        <v>2296</v>
      </c>
      <c r="J2259" s="34"/>
    </row>
    <row r="2260" spans="1:10" x14ac:dyDescent="0.25">
      <c r="A2260" s="15">
        <v>41172</v>
      </c>
      <c r="B2260" s="16" t="s">
        <v>878</v>
      </c>
      <c r="C2260" t="s">
        <v>879</v>
      </c>
      <c r="D2260" t="s">
        <v>48</v>
      </c>
      <c r="E2260" s="17">
        <v>3</v>
      </c>
      <c r="F2260" s="17">
        <v>110</v>
      </c>
      <c r="G2260" s="18">
        <v>330</v>
      </c>
      <c r="H2260" s="30" t="s">
        <v>2296</v>
      </c>
      <c r="J2260" s="34"/>
    </row>
    <row r="2261" spans="1:10" x14ac:dyDescent="0.25">
      <c r="A2261" s="15">
        <v>41173</v>
      </c>
      <c r="B2261" s="16" t="s">
        <v>882</v>
      </c>
      <c r="C2261" t="s">
        <v>8</v>
      </c>
      <c r="D2261" t="s">
        <v>48</v>
      </c>
      <c r="E2261" s="17">
        <v>4</v>
      </c>
      <c r="F2261" s="17">
        <v>48</v>
      </c>
      <c r="G2261" s="18">
        <v>192</v>
      </c>
      <c r="H2261" s="30" t="s">
        <v>2296</v>
      </c>
      <c r="J2261" s="34"/>
    </row>
    <row r="2262" spans="1:10" x14ac:dyDescent="0.25">
      <c r="A2262" s="15">
        <v>41173</v>
      </c>
      <c r="B2262" s="16" t="s">
        <v>887</v>
      </c>
      <c r="C2262" t="s">
        <v>873</v>
      </c>
      <c r="D2262" t="s">
        <v>48</v>
      </c>
      <c r="E2262" s="17">
        <v>9</v>
      </c>
      <c r="F2262" s="17">
        <v>95</v>
      </c>
      <c r="G2262" s="18">
        <v>855</v>
      </c>
      <c r="H2262" s="30" t="s">
        <v>2296</v>
      </c>
      <c r="J2262" s="34"/>
    </row>
    <row r="2263" spans="1:10" x14ac:dyDescent="0.25">
      <c r="A2263" s="15">
        <v>41173</v>
      </c>
      <c r="B2263" s="16" t="s">
        <v>878</v>
      </c>
      <c r="C2263" t="s">
        <v>879</v>
      </c>
      <c r="D2263" t="s">
        <v>48</v>
      </c>
      <c r="E2263" s="17">
        <v>5</v>
      </c>
      <c r="F2263" s="17">
        <v>110</v>
      </c>
      <c r="G2263" s="18">
        <v>550</v>
      </c>
      <c r="H2263" s="30" t="s">
        <v>2296</v>
      </c>
      <c r="J2263" s="34"/>
    </row>
    <row r="2264" spans="1:10" x14ac:dyDescent="0.25">
      <c r="A2264" s="15">
        <v>41173</v>
      </c>
      <c r="B2264" s="16" t="s">
        <v>883</v>
      </c>
      <c r="C2264" t="s">
        <v>884</v>
      </c>
      <c r="D2264" t="s">
        <v>48</v>
      </c>
      <c r="E2264" s="17">
        <v>2</v>
      </c>
      <c r="F2264" s="17">
        <v>66.069999999999993</v>
      </c>
      <c r="G2264" s="18">
        <v>132.13999999999999</v>
      </c>
      <c r="H2264" s="30" t="s">
        <v>2296</v>
      </c>
      <c r="J2264" s="34"/>
    </row>
    <row r="2265" spans="1:10" x14ac:dyDescent="0.25">
      <c r="A2265" s="15">
        <v>41173</v>
      </c>
      <c r="B2265" s="16" t="s">
        <v>865</v>
      </c>
      <c r="C2265" t="s">
        <v>8</v>
      </c>
      <c r="D2265" t="s">
        <v>48</v>
      </c>
      <c r="E2265" s="17">
        <v>8.5</v>
      </c>
      <c r="F2265" s="17">
        <v>35.35</v>
      </c>
      <c r="G2265" s="18">
        <v>300.47500000000002</v>
      </c>
      <c r="H2265" s="30" t="s">
        <v>2296</v>
      </c>
      <c r="J2265" s="34"/>
    </row>
    <row r="2266" spans="1:10" x14ac:dyDescent="0.25">
      <c r="A2266" s="15">
        <v>41173</v>
      </c>
      <c r="B2266" s="16" t="s">
        <v>865</v>
      </c>
      <c r="C2266" t="s">
        <v>8</v>
      </c>
      <c r="D2266" t="s">
        <v>48</v>
      </c>
      <c r="E2266" s="17">
        <v>8.5</v>
      </c>
      <c r="F2266" s="17">
        <v>35.35</v>
      </c>
      <c r="G2266" s="18">
        <v>300.47500000000002</v>
      </c>
      <c r="H2266" s="30" t="s">
        <v>2296</v>
      </c>
      <c r="J2266" s="34"/>
    </row>
    <row r="2267" spans="1:10" x14ac:dyDescent="0.25">
      <c r="A2267" s="15">
        <v>41176</v>
      </c>
      <c r="B2267" s="16" t="s">
        <v>865</v>
      </c>
      <c r="C2267" t="s">
        <v>8</v>
      </c>
      <c r="D2267" t="s">
        <v>48</v>
      </c>
      <c r="E2267" s="17">
        <v>2</v>
      </c>
      <c r="F2267" s="17">
        <v>35.35</v>
      </c>
      <c r="G2267" s="18">
        <v>70.7</v>
      </c>
      <c r="H2267" s="30" t="s">
        <v>2296</v>
      </c>
      <c r="J2267" s="34"/>
    </row>
    <row r="2268" spans="1:10" x14ac:dyDescent="0.25">
      <c r="A2268" s="15">
        <v>41176</v>
      </c>
      <c r="B2268" s="16" t="s">
        <v>887</v>
      </c>
      <c r="C2268" t="s">
        <v>873</v>
      </c>
      <c r="D2268" t="s">
        <v>48</v>
      </c>
      <c r="E2268" s="17">
        <v>9</v>
      </c>
      <c r="F2268" s="17">
        <v>95</v>
      </c>
      <c r="G2268" s="18">
        <v>855</v>
      </c>
      <c r="H2268" s="30" t="s">
        <v>2296</v>
      </c>
      <c r="J2268" s="34"/>
    </row>
    <row r="2269" spans="1:10" x14ac:dyDescent="0.25">
      <c r="A2269" s="15">
        <v>41176</v>
      </c>
      <c r="B2269" s="16" t="s">
        <v>878</v>
      </c>
      <c r="C2269" t="s">
        <v>879</v>
      </c>
      <c r="D2269" t="s">
        <v>48</v>
      </c>
      <c r="E2269" s="17">
        <v>2</v>
      </c>
      <c r="F2269" s="17">
        <v>110</v>
      </c>
      <c r="G2269" s="18">
        <v>220</v>
      </c>
      <c r="H2269" s="30" t="s">
        <v>2296</v>
      </c>
      <c r="J2269" s="34"/>
    </row>
    <row r="2270" spans="1:10" x14ac:dyDescent="0.25">
      <c r="A2270" s="15">
        <v>41176</v>
      </c>
      <c r="B2270" s="16" t="s">
        <v>865</v>
      </c>
      <c r="C2270" t="s">
        <v>8</v>
      </c>
      <c r="D2270" t="s">
        <v>48</v>
      </c>
      <c r="E2270" s="17">
        <v>2</v>
      </c>
      <c r="F2270" s="17">
        <v>35.35</v>
      </c>
      <c r="G2270" s="18">
        <v>70.7</v>
      </c>
      <c r="H2270" s="30" t="s">
        <v>2296</v>
      </c>
      <c r="J2270" s="34"/>
    </row>
    <row r="2271" spans="1:10" x14ac:dyDescent="0.25">
      <c r="A2271" s="15">
        <v>41177</v>
      </c>
      <c r="B2271" s="16" t="s">
        <v>874</v>
      </c>
      <c r="C2271" t="s">
        <v>875</v>
      </c>
      <c r="D2271" t="s">
        <v>48</v>
      </c>
      <c r="E2271" s="17">
        <v>2</v>
      </c>
      <c r="F2271" s="17">
        <v>25.78</v>
      </c>
      <c r="G2271" s="18">
        <v>51.56</v>
      </c>
      <c r="H2271" s="30" t="s">
        <v>2296</v>
      </c>
      <c r="J2271" s="34"/>
    </row>
    <row r="2272" spans="1:10" x14ac:dyDescent="0.25">
      <c r="A2272" s="15">
        <v>41177</v>
      </c>
      <c r="B2272" s="16" t="s">
        <v>865</v>
      </c>
      <c r="C2272" t="s">
        <v>8</v>
      </c>
      <c r="D2272" t="s">
        <v>48</v>
      </c>
      <c r="E2272" s="17">
        <v>8.5</v>
      </c>
      <c r="F2272" s="17">
        <v>35.35</v>
      </c>
      <c r="G2272" s="18">
        <v>300.47500000000002</v>
      </c>
      <c r="H2272" s="30" t="s">
        <v>2296</v>
      </c>
      <c r="J2272" s="34"/>
    </row>
    <row r="2273" spans="1:10" x14ac:dyDescent="0.25">
      <c r="A2273" s="15">
        <v>41177</v>
      </c>
      <c r="B2273" s="16" t="s">
        <v>882</v>
      </c>
      <c r="C2273" t="s">
        <v>8</v>
      </c>
      <c r="D2273" t="s">
        <v>48</v>
      </c>
      <c r="E2273" s="17">
        <v>9</v>
      </c>
      <c r="F2273" s="17">
        <v>48</v>
      </c>
      <c r="G2273" s="18">
        <v>432</v>
      </c>
      <c r="H2273" s="30" t="s">
        <v>2296</v>
      </c>
      <c r="J2273" s="34"/>
    </row>
    <row r="2274" spans="1:10" x14ac:dyDescent="0.25">
      <c r="A2274" s="15">
        <v>41177</v>
      </c>
      <c r="B2274" s="16" t="s">
        <v>865</v>
      </c>
      <c r="C2274" t="s">
        <v>8</v>
      </c>
      <c r="D2274" t="s">
        <v>48</v>
      </c>
      <c r="E2274" s="17">
        <v>8.5</v>
      </c>
      <c r="F2274" s="17">
        <v>35.35</v>
      </c>
      <c r="G2274" s="18">
        <v>300.47500000000002</v>
      </c>
      <c r="H2274" s="30" t="s">
        <v>2296</v>
      </c>
      <c r="J2274" s="34"/>
    </row>
    <row r="2275" spans="1:10" x14ac:dyDescent="0.25">
      <c r="A2275" s="15">
        <v>41177</v>
      </c>
      <c r="B2275" s="16" t="s">
        <v>865</v>
      </c>
      <c r="C2275" t="s">
        <v>8</v>
      </c>
      <c r="D2275" t="s">
        <v>48</v>
      </c>
      <c r="E2275" s="17">
        <v>8.5</v>
      </c>
      <c r="F2275" s="17">
        <v>35.35</v>
      </c>
      <c r="G2275" s="18">
        <v>300.47500000000002</v>
      </c>
      <c r="H2275" s="30" t="s">
        <v>2296</v>
      </c>
      <c r="J2275" s="34"/>
    </row>
    <row r="2276" spans="1:10" x14ac:dyDescent="0.25">
      <c r="A2276" s="15">
        <v>41177</v>
      </c>
      <c r="B2276" s="16" t="s">
        <v>887</v>
      </c>
      <c r="C2276" t="s">
        <v>873</v>
      </c>
      <c r="D2276" t="s">
        <v>48</v>
      </c>
      <c r="E2276" s="17">
        <v>9</v>
      </c>
      <c r="F2276" s="17">
        <v>95</v>
      </c>
      <c r="G2276" s="18">
        <v>855</v>
      </c>
      <c r="H2276" s="30" t="s">
        <v>2296</v>
      </c>
      <c r="J2276" s="34"/>
    </row>
    <row r="2277" spans="1:10" x14ac:dyDescent="0.25">
      <c r="A2277" s="15">
        <v>41177</v>
      </c>
      <c r="B2277" s="16" t="s">
        <v>878</v>
      </c>
      <c r="C2277" t="s">
        <v>879</v>
      </c>
      <c r="D2277" t="s">
        <v>48</v>
      </c>
      <c r="E2277" s="17">
        <v>8.5</v>
      </c>
      <c r="F2277" s="17">
        <v>110</v>
      </c>
      <c r="G2277" s="18">
        <v>935</v>
      </c>
      <c r="H2277" s="30" t="s">
        <v>2296</v>
      </c>
      <c r="J2277" s="34"/>
    </row>
    <row r="2278" spans="1:10" x14ac:dyDescent="0.25">
      <c r="A2278" s="15">
        <v>41178</v>
      </c>
      <c r="B2278" s="16" t="s">
        <v>874</v>
      </c>
      <c r="C2278" t="s">
        <v>875</v>
      </c>
      <c r="D2278" t="s">
        <v>48</v>
      </c>
      <c r="E2278" s="17">
        <v>5</v>
      </c>
      <c r="F2278" s="17">
        <v>25.78</v>
      </c>
      <c r="G2278" s="18">
        <v>128.9</v>
      </c>
      <c r="H2278" s="30" t="s">
        <v>2296</v>
      </c>
      <c r="J2278" s="34"/>
    </row>
    <row r="2279" spans="1:10" x14ac:dyDescent="0.25">
      <c r="A2279" s="15">
        <v>41178</v>
      </c>
      <c r="B2279" s="16" t="s">
        <v>878</v>
      </c>
      <c r="C2279" t="s">
        <v>879</v>
      </c>
      <c r="D2279" t="s">
        <v>48</v>
      </c>
      <c r="E2279" s="17">
        <v>9</v>
      </c>
      <c r="F2279" s="17">
        <v>110</v>
      </c>
      <c r="G2279" s="18">
        <v>990</v>
      </c>
      <c r="H2279" s="30" t="s">
        <v>2296</v>
      </c>
      <c r="J2279" s="34"/>
    </row>
    <row r="2280" spans="1:10" x14ac:dyDescent="0.25">
      <c r="A2280" s="15">
        <v>41178</v>
      </c>
      <c r="B2280" s="16" t="s">
        <v>865</v>
      </c>
      <c r="C2280" t="s">
        <v>8</v>
      </c>
      <c r="D2280" t="s">
        <v>48</v>
      </c>
      <c r="E2280" s="17">
        <v>8</v>
      </c>
      <c r="F2280" s="17">
        <v>35.35</v>
      </c>
      <c r="G2280" s="18">
        <v>282.8</v>
      </c>
      <c r="H2280" s="30" t="s">
        <v>2296</v>
      </c>
      <c r="J2280" s="34"/>
    </row>
    <row r="2281" spans="1:10" x14ac:dyDescent="0.25">
      <c r="A2281" s="15">
        <v>41178</v>
      </c>
      <c r="B2281" s="16" t="s">
        <v>865</v>
      </c>
      <c r="C2281" t="s">
        <v>8</v>
      </c>
      <c r="D2281" t="s">
        <v>48</v>
      </c>
      <c r="E2281" s="17">
        <v>9.5</v>
      </c>
      <c r="F2281" s="17">
        <v>35.35</v>
      </c>
      <c r="G2281" s="18">
        <v>335.82499999999999</v>
      </c>
      <c r="H2281" s="30" t="s">
        <v>2296</v>
      </c>
      <c r="J2281" s="34"/>
    </row>
    <row r="2282" spans="1:10" x14ac:dyDescent="0.25">
      <c r="A2282" s="15">
        <v>41178</v>
      </c>
      <c r="B2282" s="16" t="s">
        <v>882</v>
      </c>
      <c r="C2282" t="s">
        <v>8</v>
      </c>
      <c r="D2282" t="s">
        <v>48</v>
      </c>
      <c r="E2282" s="17">
        <v>10</v>
      </c>
      <c r="F2282" s="17">
        <v>48</v>
      </c>
      <c r="G2282" s="18">
        <v>480</v>
      </c>
      <c r="H2282" s="30" t="s">
        <v>2296</v>
      </c>
      <c r="J2282" s="34"/>
    </row>
    <row r="2283" spans="1:10" x14ac:dyDescent="0.25">
      <c r="A2283" s="15">
        <v>41178</v>
      </c>
      <c r="B2283" s="16" t="s">
        <v>865</v>
      </c>
      <c r="C2283" t="s">
        <v>8</v>
      </c>
      <c r="D2283" t="s">
        <v>48</v>
      </c>
      <c r="E2283" s="17">
        <v>9.5</v>
      </c>
      <c r="F2283" s="17">
        <v>35.35</v>
      </c>
      <c r="G2283" s="18">
        <v>335.82499999999999</v>
      </c>
      <c r="H2283" s="30" t="s">
        <v>2296</v>
      </c>
      <c r="J2283" s="34"/>
    </row>
    <row r="2284" spans="1:10" x14ac:dyDescent="0.25">
      <c r="A2284" s="15">
        <v>41178</v>
      </c>
      <c r="B2284" s="16" t="s">
        <v>865</v>
      </c>
      <c r="C2284" t="s">
        <v>8</v>
      </c>
      <c r="D2284" t="s">
        <v>48</v>
      </c>
      <c r="E2284" s="17">
        <v>8</v>
      </c>
      <c r="F2284" s="17">
        <v>35.35</v>
      </c>
      <c r="G2284" s="18">
        <v>282.8</v>
      </c>
      <c r="H2284" s="30" t="s">
        <v>2296</v>
      </c>
      <c r="J2284" s="34"/>
    </row>
    <row r="2285" spans="1:10" x14ac:dyDescent="0.25">
      <c r="A2285" s="15">
        <v>41178</v>
      </c>
      <c r="B2285" s="16" t="s">
        <v>887</v>
      </c>
      <c r="C2285" t="s">
        <v>873</v>
      </c>
      <c r="D2285" t="s">
        <v>48</v>
      </c>
      <c r="E2285" s="17">
        <v>10</v>
      </c>
      <c r="F2285" s="17">
        <v>95</v>
      </c>
      <c r="G2285" s="18">
        <v>950</v>
      </c>
      <c r="H2285" s="30" t="s">
        <v>2296</v>
      </c>
      <c r="J2285" s="34"/>
    </row>
    <row r="2286" spans="1:10" x14ac:dyDescent="0.25">
      <c r="A2286" s="15">
        <v>41179</v>
      </c>
      <c r="B2286" s="16" t="s">
        <v>887</v>
      </c>
      <c r="C2286" t="s">
        <v>873</v>
      </c>
      <c r="D2286" t="s">
        <v>48</v>
      </c>
      <c r="E2286" s="17">
        <v>6.5</v>
      </c>
      <c r="F2286" s="17">
        <v>95</v>
      </c>
      <c r="G2286" s="18">
        <v>617.5</v>
      </c>
      <c r="H2286" s="30" t="s">
        <v>2296</v>
      </c>
      <c r="J2286" s="34"/>
    </row>
    <row r="2287" spans="1:10" ht="30" x14ac:dyDescent="0.25">
      <c r="A2287" s="15">
        <v>41182</v>
      </c>
      <c r="B2287" s="16" t="s">
        <v>958</v>
      </c>
      <c r="C2287" t="s">
        <v>959</v>
      </c>
      <c r="D2287" t="s">
        <v>783</v>
      </c>
      <c r="E2287" s="17">
        <v>1</v>
      </c>
      <c r="F2287" s="17">
        <v>1700</v>
      </c>
      <c r="G2287" s="18">
        <v>1700</v>
      </c>
      <c r="H2287" s="30" t="s">
        <v>2296</v>
      </c>
      <c r="J2287" s="34"/>
    </row>
    <row r="2288" spans="1:10" x14ac:dyDescent="0.25">
      <c r="A2288" s="19" t="s">
        <v>781</v>
      </c>
      <c r="B2288" s="20" t="s">
        <v>1059</v>
      </c>
      <c r="C2288" s="21" t="s">
        <v>781</v>
      </c>
      <c r="D2288" s="21" t="s">
        <v>781</v>
      </c>
      <c r="E2288" s="22"/>
      <c r="F2288" s="22"/>
      <c r="G2288" s="23">
        <v>382852.62550000002</v>
      </c>
      <c r="H2288" s="31" t="s">
        <v>2285</v>
      </c>
      <c r="J2288" s="34"/>
    </row>
    <row r="2289" spans="1:10" x14ac:dyDescent="0.25">
      <c r="A2289" s="15" t="s">
        <v>781</v>
      </c>
      <c r="B2289" s="16" t="s">
        <v>781</v>
      </c>
      <c r="C2289" t="s">
        <v>781</v>
      </c>
      <c r="D2289" t="s">
        <v>781</v>
      </c>
      <c r="E2289" s="17"/>
      <c r="F2289" s="17"/>
      <c r="G2289" s="18"/>
      <c r="H2289" s="30" t="s">
        <v>2285</v>
      </c>
      <c r="J2289" s="34"/>
    </row>
    <row r="2290" spans="1:10" x14ac:dyDescent="0.25">
      <c r="A2290" s="12" t="s">
        <v>781</v>
      </c>
      <c r="B2290" s="11" t="s">
        <v>1864</v>
      </c>
      <c r="C2290" s="10" t="s">
        <v>781</v>
      </c>
      <c r="D2290" s="10" t="s">
        <v>781</v>
      </c>
      <c r="E2290" s="13"/>
      <c r="F2290" s="13"/>
      <c r="G2290" s="14"/>
      <c r="H2290" s="29" t="s">
        <v>2285</v>
      </c>
      <c r="J2290" s="34"/>
    </row>
    <row r="2291" spans="1:10" x14ac:dyDescent="0.25">
      <c r="A2291" s="15">
        <v>40862</v>
      </c>
      <c r="B2291" s="16" t="s">
        <v>865</v>
      </c>
      <c r="C2291" t="s">
        <v>8</v>
      </c>
      <c r="D2291" t="s">
        <v>48</v>
      </c>
      <c r="E2291" s="17">
        <v>2.5</v>
      </c>
      <c r="F2291" s="17">
        <v>35.35</v>
      </c>
      <c r="G2291" s="18">
        <v>88.375</v>
      </c>
      <c r="H2291" s="30" t="s">
        <v>2297</v>
      </c>
      <c r="J2291" s="34"/>
    </row>
    <row r="2292" spans="1:10" x14ac:dyDescent="0.25">
      <c r="A2292" s="15">
        <v>40862</v>
      </c>
      <c r="B2292" s="16" t="s">
        <v>865</v>
      </c>
      <c r="C2292" t="s">
        <v>8</v>
      </c>
      <c r="D2292" t="s">
        <v>48</v>
      </c>
      <c r="E2292" s="17">
        <v>6.5</v>
      </c>
      <c r="F2292" s="17">
        <v>35.35</v>
      </c>
      <c r="G2292" s="18">
        <v>229.77500000000001</v>
      </c>
      <c r="H2292" s="30" t="s">
        <v>2297</v>
      </c>
      <c r="J2292" s="34"/>
    </row>
    <row r="2293" spans="1:10" x14ac:dyDescent="0.25">
      <c r="A2293" s="15">
        <v>40862</v>
      </c>
      <c r="B2293" s="16" t="s">
        <v>921</v>
      </c>
      <c r="C2293" t="s">
        <v>8</v>
      </c>
      <c r="D2293" t="s">
        <v>48</v>
      </c>
      <c r="E2293" s="17">
        <v>9.5</v>
      </c>
      <c r="F2293" s="17">
        <v>44.2</v>
      </c>
      <c r="G2293" s="18">
        <v>419.9</v>
      </c>
      <c r="H2293" s="30" t="s">
        <v>2297</v>
      </c>
      <c r="J2293" s="34"/>
    </row>
    <row r="2294" spans="1:10" x14ac:dyDescent="0.25">
      <c r="A2294" s="15">
        <v>40862</v>
      </c>
      <c r="B2294" s="16" t="s">
        <v>917</v>
      </c>
      <c r="C2294" t="s">
        <v>913</v>
      </c>
      <c r="D2294" t="s">
        <v>48</v>
      </c>
      <c r="E2294" s="17">
        <v>5</v>
      </c>
      <c r="F2294" s="17">
        <v>95</v>
      </c>
      <c r="G2294" s="18">
        <v>475</v>
      </c>
      <c r="H2294" s="30" t="s">
        <v>2297</v>
      </c>
      <c r="J2294" s="34"/>
    </row>
    <row r="2295" spans="1:10" x14ac:dyDescent="0.25">
      <c r="A2295" s="15">
        <v>40862</v>
      </c>
      <c r="B2295" s="16" t="s">
        <v>889</v>
      </c>
      <c r="C2295" t="s">
        <v>864</v>
      </c>
      <c r="D2295" t="s">
        <v>48</v>
      </c>
      <c r="E2295" s="17">
        <v>5.5</v>
      </c>
      <c r="F2295" s="17">
        <v>110</v>
      </c>
      <c r="G2295" s="18">
        <v>605</v>
      </c>
      <c r="H2295" s="30" t="s">
        <v>2297</v>
      </c>
      <c r="J2295" s="34"/>
    </row>
    <row r="2296" spans="1:10" x14ac:dyDescent="0.25">
      <c r="A2296" s="15">
        <v>40862</v>
      </c>
      <c r="B2296" s="16" t="s">
        <v>885</v>
      </c>
      <c r="C2296" t="s">
        <v>8</v>
      </c>
      <c r="D2296" t="s">
        <v>48</v>
      </c>
      <c r="E2296" s="17">
        <v>4</v>
      </c>
      <c r="F2296" s="17">
        <v>65</v>
      </c>
      <c r="G2296" s="18">
        <v>260</v>
      </c>
      <c r="H2296" s="30" t="s">
        <v>2297</v>
      </c>
      <c r="J2296" s="34"/>
    </row>
    <row r="2297" spans="1:10" x14ac:dyDescent="0.25">
      <c r="A2297" s="15">
        <v>40863</v>
      </c>
      <c r="B2297" s="16" t="s">
        <v>1060</v>
      </c>
      <c r="C2297" t="s">
        <v>864</v>
      </c>
      <c r="D2297" t="s">
        <v>48</v>
      </c>
      <c r="E2297" s="17">
        <v>3</v>
      </c>
      <c r="F2297" s="17">
        <v>140</v>
      </c>
      <c r="G2297" s="18">
        <v>420</v>
      </c>
      <c r="H2297" s="30" t="s">
        <v>2297</v>
      </c>
      <c r="J2297" s="34"/>
    </row>
    <row r="2298" spans="1:10" x14ac:dyDescent="0.25">
      <c r="A2298" s="15">
        <v>40863</v>
      </c>
      <c r="B2298" s="16" t="s">
        <v>876</v>
      </c>
      <c r="C2298" t="s">
        <v>8</v>
      </c>
      <c r="D2298" t="s">
        <v>48</v>
      </c>
      <c r="E2298" s="17">
        <v>2</v>
      </c>
      <c r="F2298" s="17">
        <v>95</v>
      </c>
      <c r="G2298" s="18">
        <v>190</v>
      </c>
      <c r="H2298" s="30" t="s">
        <v>2297</v>
      </c>
      <c r="J2298" s="34"/>
    </row>
    <row r="2299" spans="1:10" x14ac:dyDescent="0.25">
      <c r="A2299" s="15">
        <v>40863</v>
      </c>
      <c r="B2299" s="16" t="s">
        <v>869</v>
      </c>
      <c r="C2299" t="s">
        <v>8</v>
      </c>
      <c r="D2299" t="s">
        <v>48</v>
      </c>
      <c r="E2299" s="17">
        <v>1</v>
      </c>
      <c r="F2299" s="17">
        <v>40</v>
      </c>
      <c r="G2299" s="18">
        <v>40</v>
      </c>
      <c r="H2299" s="30" t="s">
        <v>2297</v>
      </c>
      <c r="J2299" s="34"/>
    </row>
    <row r="2300" spans="1:10" x14ac:dyDescent="0.25">
      <c r="A2300" s="15">
        <v>40864</v>
      </c>
      <c r="B2300" s="16" t="s">
        <v>874</v>
      </c>
      <c r="C2300" t="s">
        <v>875</v>
      </c>
      <c r="D2300" t="s">
        <v>48</v>
      </c>
      <c r="E2300" s="17">
        <v>2</v>
      </c>
      <c r="F2300" s="17">
        <v>25.78</v>
      </c>
      <c r="G2300" s="18">
        <v>51.56</v>
      </c>
      <c r="H2300" s="30" t="s">
        <v>2297</v>
      </c>
      <c r="J2300" s="34"/>
    </row>
    <row r="2301" spans="1:10" x14ac:dyDescent="0.25">
      <c r="A2301" s="15">
        <v>40871</v>
      </c>
      <c r="B2301" s="16" t="s">
        <v>865</v>
      </c>
      <c r="C2301" t="s">
        <v>8</v>
      </c>
      <c r="D2301" t="s">
        <v>48</v>
      </c>
      <c r="E2301" s="17">
        <v>3</v>
      </c>
      <c r="F2301" s="17">
        <v>35.35</v>
      </c>
      <c r="G2301" s="18">
        <v>106.05</v>
      </c>
      <c r="H2301" s="30" t="s">
        <v>2297</v>
      </c>
      <c r="J2301" s="34"/>
    </row>
    <row r="2302" spans="1:10" x14ac:dyDescent="0.25">
      <c r="A2302" s="15">
        <v>40871</v>
      </c>
      <c r="B2302" s="16" t="s">
        <v>865</v>
      </c>
      <c r="C2302" t="s">
        <v>8</v>
      </c>
      <c r="D2302" t="s">
        <v>48</v>
      </c>
      <c r="E2302" s="17">
        <v>3</v>
      </c>
      <c r="F2302" s="17">
        <v>35.35</v>
      </c>
      <c r="G2302" s="18">
        <v>106.05</v>
      </c>
      <c r="H2302" s="30" t="s">
        <v>2297</v>
      </c>
      <c r="J2302" s="34"/>
    </row>
    <row r="2303" spans="1:10" x14ac:dyDescent="0.25">
      <c r="A2303" s="15">
        <v>40871</v>
      </c>
      <c r="B2303" s="16" t="s">
        <v>917</v>
      </c>
      <c r="C2303" t="s">
        <v>913</v>
      </c>
      <c r="D2303" t="s">
        <v>48</v>
      </c>
      <c r="E2303" s="17">
        <v>10</v>
      </c>
      <c r="F2303" s="17">
        <v>95</v>
      </c>
      <c r="G2303" s="18">
        <v>950</v>
      </c>
      <c r="H2303" s="30" t="s">
        <v>2297</v>
      </c>
      <c r="J2303" s="34"/>
    </row>
    <row r="2304" spans="1:10" x14ac:dyDescent="0.25">
      <c r="A2304" s="15">
        <v>40871</v>
      </c>
      <c r="B2304" s="16" t="s">
        <v>45</v>
      </c>
      <c r="C2304" t="s">
        <v>8</v>
      </c>
      <c r="D2304" t="s">
        <v>48</v>
      </c>
      <c r="E2304" s="17">
        <v>3</v>
      </c>
      <c r="F2304" s="17">
        <v>95</v>
      </c>
      <c r="G2304" s="18">
        <v>285</v>
      </c>
      <c r="H2304" s="30" t="s">
        <v>2297</v>
      </c>
      <c r="J2304" s="34"/>
    </row>
    <row r="2305" spans="1:10" x14ac:dyDescent="0.25">
      <c r="A2305" s="15">
        <v>40955</v>
      </c>
      <c r="B2305" s="16" t="s">
        <v>1015</v>
      </c>
      <c r="C2305" t="s">
        <v>864</v>
      </c>
      <c r="D2305" t="s">
        <v>48</v>
      </c>
      <c r="E2305" s="17">
        <v>3</v>
      </c>
      <c r="F2305" s="17">
        <v>100</v>
      </c>
      <c r="G2305" s="18">
        <v>300</v>
      </c>
      <c r="H2305" s="30" t="s">
        <v>2297</v>
      </c>
      <c r="J2305" s="34"/>
    </row>
    <row r="2306" spans="1:10" x14ac:dyDescent="0.25">
      <c r="A2306" s="15">
        <v>40955</v>
      </c>
      <c r="B2306" s="16" t="s">
        <v>865</v>
      </c>
      <c r="C2306" t="s">
        <v>8</v>
      </c>
      <c r="D2306" t="s">
        <v>48</v>
      </c>
      <c r="E2306" s="17">
        <v>4</v>
      </c>
      <c r="F2306" s="17">
        <v>35.35</v>
      </c>
      <c r="G2306" s="18">
        <v>141.4</v>
      </c>
      <c r="H2306" s="30" t="s">
        <v>2297</v>
      </c>
      <c r="J2306" s="34"/>
    </row>
    <row r="2307" spans="1:10" x14ac:dyDescent="0.25">
      <c r="A2307" s="15">
        <v>40955</v>
      </c>
      <c r="B2307" s="16" t="s">
        <v>867</v>
      </c>
      <c r="C2307" t="s">
        <v>868</v>
      </c>
      <c r="D2307" t="s">
        <v>48</v>
      </c>
      <c r="E2307" s="17">
        <v>3</v>
      </c>
      <c r="F2307" s="17">
        <v>90</v>
      </c>
      <c r="G2307" s="18">
        <v>270</v>
      </c>
      <c r="H2307" s="30" t="s">
        <v>2297</v>
      </c>
      <c r="J2307" s="34"/>
    </row>
    <row r="2308" spans="1:10" x14ac:dyDescent="0.25">
      <c r="A2308" s="15">
        <v>40955</v>
      </c>
      <c r="B2308" s="16" t="s">
        <v>865</v>
      </c>
      <c r="C2308" t="s">
        <v>8</v>
      </c>
      <c r="D2308" t="s">
        <v>48</v>
      </c>
      <c r="E2308" s="17">
        <v>3</v>
      </c>
      <c r="F2308" s="17">
        <v>35.35</v>
      </c>
      <c r="G2308" s="18">
        <v>106.05</v>
      </c>
      <c r="H2308" s="30" t="s">
        <v>2297</v>
      </c>
      <c r="J2308" s="34"/>
    </row>
    <row r="2309" spans="1:10" x14ac:dyDescent="0.25">
      <c r="A2309" s="15">
        <v>40956</v>
      </c>
      <c r="B2309" s="16" t="s">
        <v>1015</v>
      </c>
      <c r="C2309" t="s">
        <v>864</v>
      </c>
      <c r="D2309" t="s">
        <v>48</v>
      </c>
      <c r="E2309" s="17">
        <v>3.5</v>
      </c>
      <c r="F2309" s="17">
        <v>100</v>
      </c>
      <c r="G2309" s="18">
        <v>350</v>
      </c>
      <c r="H2309" s="30" t="s">
        <v>2297</v>
      </c>
      <c r="J2309" s="34"/>
    </row>
    <row r="2310" spans="1:10" x14ac:dyDescent="0.25">
      <c r="A2310" s="15">
        <v>40959</v>
      </c>
      <c r="B2310" s="16" t="s">
        <v>1015</v>
      </c>
      <c r="C2310" t="s">
        <v>864</v>
      </c>
      <c r="D2310" t="s">
        <v>48</v>
      </c>
      <c r="E2310" s="17">
        <v>3.5</v>
      </c>
      <c r="F2310" s="17">
        <v>100</v>
      </c>
      <c r="G2310" s="18">
        <v>350</v>
      </c>
      <c r="H2310" s="30" t="s">
        <v>2297</v>
      </c>
      <c r="J2310" s="34"/>
    </row>
    <row r="2311" spans="1:10" x14ac:dyDescent="0.25">
      <c r="A2311" s="15">
        <v>40968</v>
      </c>
      <c r="B2311" s="16" t="s">
        <v>869</v>
      </c>
      <c r="C2311" t="s">
        <v>8</v>
      </c>
      <c r="D2311" t="s">
        <v>48</v>
      </c>
      <c r="E2311" s="17">
        <v>1</v>
      </c>
      <c r="F2311" s="17">
        <v>35.35</v>
      </c>
      <c r="G2311" s="18">
        <v>35.35</v>
      </c>
      <c r="H2311" s="30" t="s">
        <v>2297</v>
      </c>
      <c r="J2311" s="34"/>
    </row>
    <row r="2312" spans="1:10" x14ac:dyDescent="0.25">
      <c r="A2312" s="15">
        <v>40968</v>
      </c>
      <c r="B2312" s="16" t="s">
        <v>867</v>
      </c>
      <c r="C2312" t="s">
        <v>868</v>
      </c>
      <c r="D2312" t="s">
        <v>48</v>
      </c>
      <c r="E2312" s="17">
        <v>5</v>
      </c>
      <c r="F2312" s="17">
        <v>90</v>
      </c>
      <c r="G2312" s="18">
        <v>450</v>
      </c>
      <c r="H2312" s="30" t="s">
        <v>2297</v>
      </c>
      <c r="J2312" s="34"/>
    </row>
    <row r="2313" spans="1:10" x14ac:dyDescent="0.25">
      <c r="A2313" s="15">
        <v>40968</v>
      </c>
      <c r="B2313" s="16" t="s">
        <v>969</v>
      </c>
      <c r="C2313" t="s">
        <v>934</v>
      </c>
      <c r="D2313" t="s">
        <v>48</v>
      </c>
      <c r="E2313" s="17">
        <v>8.5</v>
      </c>
      <c r="F2313" s="17">
        <v>100</v>
      </c>
      <c r="G2313" s="18">
        <v>850</v>
      </c>
      <c r="H2313" s="30" t="s">
        <v>2297</v>
      </c>
      <c r="J2313" s="34"/>
    </row>
    <row r="2314" spans="1:10" x14ac:dyDescent="0.25">
      <c r="A2314" s="15">
        <v>40968</v>
      </c>
      <c r="B2314" s="16" t="s">
        <v>869</v>
      </c>
      <c r="C2314" t="s">
        <v>8</v>
      </c>
      <c r="D2314" t="s">
        <v>48</v>
      </c>
      <c r="E2314" s="17">
        <v>6</v>
      </c>
      <c r="F2314" s="17">
        <v>35.35</v>
      </c>
      <c r="G2314" s="18">
        <v>212.1</v>
      </c>
      <c r="H2314" s="30" t="s">
        <v>2297</v>
      </c>
      <c r="J2314" s="34"/>
    </row>
    <row r="2315" spans="1:10" x14ac:dyDescent="0.25">
      <c r="A2315" s="15">
        <v>40968</v>
      </c>
      <c r="B2315" s="16" t="s">
        <v>865</v>
      </c>
      <c r="C2315" t="s">
        <v>8</v>
      </c>
      <c r="D2315" t="s">
        <v>48</v>
      </c>
      <c r="E2315" s="17">
        <v>6</v>
      </c>
      <c r="F2315" s="17">
        <v>35.35</v>
      </c>
      <c r="G2315" s="18">
        <v>212.1</v>
      </c>
      <c r="H2315" s="30" t="s">
        <v>2297</v>
      </c>
      <c r="J2315" s="34"/>
    </row>
    <row r="2316" spans="1:10" x14ac:dyDescent="0.25">
      <c r="A2316" s="15">
        <v>40968</v>
      </c>
      <c r="B2316" s="16" t="s">
        <v>865</v>
      </c>
      <c r="C2316" t="s">
        <v>8</v>
      </c>
      <c r="D2316" t="s">
        <v>48</v>
      </c>
      <c r="E2316" s="17">
        <v>6</v>
      </c>
      <c r="F2316" s="17">
        <v>35.35</v>
      </c>
      <c r="G2316" s="18">
        <v>212.1</v>
      </c>
      <c r="H2316" s="30" t="s">
        <v>2297</v>
      </c>
      <c r="J2316" s="34"/>
    </row>
    <row r="2317" spans="1:10" x14ac:dyDescent="0.25">
      <c r="A2317" s="15">
        <v>40968</v>
      </c>
      <c r="B2317" s="16" t="s">
        <v>865</v>
      </c>
      <c r="C2317" t="s">
        <v>8</v>
      </c>
      <c r="D2317" t="s">
        <v>48</v>
      </c>
      <c r="E2317" s="17">
        <v>6</v>
      </c>
      <c r="F2317" s="17">
        <v>35.35</v>
      </c>
      <c r="G2317" s="18">
        <v>212.1</v>
      </c>
      <c r="H2317" s="30" t="s">
        <v>2297</v>
      </c>
      <c r="J2317" s="34"/>
    </row>
    <row r="2318" spans="1:10" ht="30" x14ac:dyDescent="0.25">
      <c r="A2318" s="15">
        <v>40975</v>
      </c>
      <c r="B2318" s="16" t="s">
        <v>1061</v>
      </c>
      <c r="C2318" t="s">
        <v>1062</v>
      </c>
      <c r="D2318" t="s">
        <v>783</v>
      </c>
      <c r="E2318" s="17">
        <v>1</v>
      </c>
      <c r="F2318" s="17">
        <v>245.12</v>
      </c>
      <c r="G2318" s="18">
        <v>245.12</v>
      </c>
      <c r="H2318" s="30" t="s">
        <v>2297</v>
      </c>
      <c r="J2318" s="34"/>
    </row>
    <row r="2319" spans="1:10" x14ac:dyDescent="0.25">
      <c r="A2319" s="15">
        <v>40978</v>
      </c>
      <c r="B2319" s="16" t="s">
        <v>969</v>
      </c>
      <c r="C2319" t="s">
        <v>934</v>
      </c>
      <c r="D2319" t="s">
        <v>48</v>
      </c>
      <c r="E2319" s="17">
        <v>2</v>
      </c>
      <c r="F2319" s="17">
        <v>100</v>
      </c>
      <c r="G2319" s="18">
        <v>200</v>
      </c>
      <c r="H2319" s="30" t="s">
        <v>2297</v>
      </c>
      <c r="J2319" s="34"/>
    </row>
    <row r="2320" spans="1:10" x14ac:dyDescent="0.25">
      <c r="A2320" s="15">
        <v>40978</v>
      </c>
      <c r="B2320" s="16" t="s">
        <v>870</v>
      </c>
      <c r="C2320" t="s">
        <v>871</v>
      </c>
      <c r="D2320" t="s">
        <v>48</v>
      </c>
      <c r="E2320" s="17">
        <v>5</v>
      </c>
      <c r="F2320" s="17">
        <v>85</v>
      </c>
      <c r="G2320" s="18">
        <v>425</v>
      </c>
      <c r="H2320" s="30" t="s">
        <v>2297</v>
      </c>
      <c r="J2320" s="34"/>
    </row>
    <row r="2321" spans="1:10" x14ac:dyDescent="0.25">
      <c r="A2321" s="15">
        <v>40978</v>
      </c>
      <c r="B2321" s="16" t="s">
        <v>865</v>
      </c>
      <c r="C2321" t="s">
        <v>8</v>
      </c>
      <c r="D2321" t="s">
        <v>48</v>
      </c>
      <c r="E2321" s="17">
        <v>5</v>
      </c>
      <c r="F2321" s="17">
        <v>35.35</v>
      </c>
      <c r="G2321" s="18">
        <v>176.75</v>
      </c>
      <c r="H2321" s="30" t="s">
        <v>2297</v>
      </c>
      <c r="J2321" s="34"/>
    </row>
    <row r="2322" spans="1:10" x14ac:dyDescent="0.25">
      <c r="A2322" s="15">
        <v>40998</v>
      </c>
      <c r="B2322" s="16" t="s">
        <v>969</v>
      </c>
      <c r="C2322" t="s">
        <v>934</v>
      </c>
      <c r="D2322" t="s">
        <v>48</v>
      </c>
      <c r="E2322" s="17">
        <v>6.5</v>
      </c>
      <c r="F2322" s="17">
        <v>100</v>
      </c>
      <c r="G2322" s="18">
        <v>650</v>
      </c>
      <c r="H2322" s="30" t="s">
        <v>2297</v>
      </c>
      <c r="J2322" s="34"/>
    </row>
    <row r="2323" spans="1:10" x14ac:dyDescent="0.25">
      <c r="A2323" s="15">
        <v>40998</v>
      </c>
      <c r="B2323" s="16" t="s">
        <v>935</v>
      </c>
      <c r="C2323" t="s">
        <v>864</v>
      </c>
      <c r="D2323" t="s">
        <v>48</v>
      </c>
      <c r="E2323" s="17">
        <v>7</v>
      </c>
      <c r="F2323" s="17">
        <v>100</v>
      </c>
      <c r="G2323" s="18">
        <v>700</v>
      </c>
      <c r="H2323" s="30" t="s">
        <v>2297</v>
      </c>
      <c r="J2323" s="34"/>
    </row>
    <row r="2324" spans="1:10" x14ac:dyDescent="0.25">
      <c r="A2324" s="15">
        <v>40998</v>
      </c>
      <c r="B2324" s="16" t="s">
        <v>865</v>
      </c>
      <c r="C2324" t="s">
        <v>8</v>
      </c>
      <c r="D2324" t="s">
        <v>48</v>
      </c>
      <c r="E2324" s="17">
        <v>10.5</v>
      </c>
      <c r="F2324" s="17">
        <v>35.35</v>
      </c>
      <c r="G2324" s="18">
        <v>371.17500000000001</v>
      </c>
      <c r="H2324" s="30" t="s">
        <v>2297</v>
      </c>
      <c r="J2324" s="34"/>
    </row>
    <row r="2325" spans="1:10" x14ac:dyDescent="0.25">
      <c r="A2325" s="15">
        <v>40998</v>
      </c>
      <c r="B2325" s="16" t="s">
        <v>865</v>
      </c>
      <c r="C2325" t="s">
        <v>8</v>
      </c>
      <c r="D2325" t="s">
        <v>48</v>
      </c>
      <c r="E2325" s="17">
        <v>10.5</v>
      </c>
      <c r="F2325" s="17">
        <v>35.35</v>
      </c>
      <c r="G2325" s="18">
        <v>371.17500000000001</v>
      </c>
      <c r="H2325" s="30" t="s">
        <v>2297</v>
      </c>
      <c r="J2325" s="34"/>
    </row>
    <row r="2326" spans="1:10" x14ac:dyDescent="0.25">
      <c r="A2326" s="15">
        <v>40998</v>
      </c>
      <c r="B2326" s="16" t="s">
        <v>931</v>
      </c>
      <c r="C2326" t="s">
        <v>934</v>
      </c>
      <c r="D2326" t="s">
        <v>48</v>
      </c>
      <c r="E2326" s="17">
        <v>1</v>
      </c>
      <c r="F2326" s="17">
        <v>113.19</v>
      </c>
      <c r="G2326" s="18">
        <v>113.19</v>
      </c>
      <c r="H2326" s="30" t="s">
        <v>2297</v>
      </c>
      <c r="J2326" s="34"/>
    </row>
    <row r="2327" spans="1:10" x14ac:dyDescent="0.25">
      <c r="A2327" s="15">
        <v>40998</v>
      </c>
      <c r="B2327" s="16" t="s">
        <v>877</v>
      </c>
      <c r="C2327" t="s">
        <v>868</v>
      </c>
      <c r="D2327" t="s">
        <v>48</v>
      </c>
      <c r="E2327" s="17">
        <v>2</v>
      </c>
      <c r="F2327" s="17">
        <v>90</v>
      </c>
      <c r="G2327" s="18">
        <v>180</v>
      </c>
      <c r="H2327" s="30" t="s">
        <v>2297</v>
      </c>
      <c r="J2327" s="34"/>
    </row>
    <row r="2328" spans="1:10" x14ac:dyDescent="0.25">
      <c r="A2328" s="15">
        <v>40999</v>
      </c>
      <c r="B2328" s="16" t="s">
        <v>865</v>
      </c>
      <c r="C2328" t="s">
        <v>8</v>
      </c>
      <c r="D2328" t="s">
        <v>48</v>
      </c>
      <c r="E2328" s="17">
        <v>6</v>
      </c>
      <c r="F2328" s="17">
        <v>35.35</v>
      </c>
      <c r="G2328" s="18">
        <v>212.1</v>
      </c>
      <c r="H2328" s="30" t="s">
        <v>2297</v>
      </c>
      <c r="J2328" s="34"/>
    </row>
    <row r="2329" spans="1:10" x14ac:dyDescent="0.25">
      <c r="A2329" s="15">
        <v>40999</v>
      </c>
      <c r="B2329" s="16" t="s">
        <v>865</v>
      </c>
      <c r="C2329" t="s">
        <v>8</v>
      </c>
      <c r="D2329" t="s">
        <v>48</v>
      </c>
      <c r="E2329" s="17">
        <v>6</v>
      </c>
      <c r="F2329" s="17">
        <v>35.35</v>
      </c>
      <c r="G2329" s="18">
        <v>212.1</v>
      </c>
      <c r="H2329" s="30" t="s">
        <v>2297</v>
      </c>
      <c r="J2329" s="34"/>
    </row>
    <row r="2330" spans="1:10" x14ac:dyDescent="0.25">
      <c r="A2330" s="15">
        <v>40999</v>
      </c>
      <c r="B2330" s="16" t="s">
        <v>865</v>
      </c>
      <c r="C2330" t="s">
        <v>8</v>
      </c>
      <c r="D2330" t="s">
        <v>48</v>
      </c>
      <c r="E2330" s="17">
        <v>6</v>
      </c>
      <c r="F2330" s="17">
        <v>35.35</v>
      </c>
      <c r="G2330" s="18">
        <v>212.1</v>
      </c>
      <c r="H2330" s="30" t="s">
        <v>2297</v>
      </c>
      <c r="J2330" s="34"/>
    </row>
    <row r="2331" spans="1:10" x14ac:dyDescent="0.25">
      <c r="A2331" s="15">
        <v>40999</v>
      </c>
      <c r="B2331" s="16" t="s">
        <v>969</v>
      </c>
      <c r="C2331" t="s">
        <v>934</v>
      </c>
      <c r="D2331" t="s">
        <v>48</v>
      </c>
      <c r="E2331" s="17">
        <v>9.5</v>
      </c>
      <c r="F2331" s="17">
        <v>100</v>
      </c>
      <c r="G2331" s="18">
        <v>950</v>
      </c>
      <c r="H2331" s="30" t="s">
        <v>2297</v>
      </c>
      <c r="J2331" s="34"/>
    </row>
    <row r="2332" spans="1:10" x14ac:dyDescent="0.25">
      <c r="A2332" s="15">
        <v>40999</v>
      </c>
      <c r="B2332" s="16" t="s">
        <v>935</v>
      </c>
      <c r="C2332" t="s">
        <v>864</v>
      </c>
      <c r="D2332" t="s">
        <v>48</v>
      </c>
      <c r="E2332" s="17">
        <v>10</v>
      </c>
      <c r="F2332" s="17">
        <v>100</v>
      </c>
      <c r="G2332" s="18">
        <v>1000</v>
      </c>
      <c r="H2332" s="30" t="s">
        <v>2297</v>
      </c>
      <c r="J2332" s="34"/>
    </row>
    <row r="2333" spans="1:10" x14ac:dyDescent="0.25">
      <c r="A2333" s="15">
        <v>40999</v>
      </c>
      <c r="B2333" s="16" t="s">
        <v>867</v>
      </c>
      <c r="C2333" t="s">
        <v>868</v>
      </c>
      <c r="D2333" t="s">
        <v>48</v>
      </c>
      <c r="E2333" s="17">
        <v>9</v>
      </c>
      <c r="F2333" s="17">
        <v>90</v>
      </c>
      <c r="G2333" s="18">
        <v>810</v>
      </c>
      <c r="H2333" s="30" t="s">
        <v>2297</v>
      </c>
      <c r="J2333" s="34"/>
    </row>
    <row r="2334" spans="1:10" x14ac:dyDescent="0.25">
      <c r="A2334" s="15">
        <v>41009</v>
      </c>
      <c r="B2334" s="16" t="s">
        <v>865</v>
      </c>
      <c r="C2334" t="s">
        <v>8</v>
      </c>
      <c r="D2334" t="s">
        <v>48</v>
      </c>
      <c r="E2334" s="17">
        <v>3</v>
      </c>
      <c r="F2334" s="17">
        <v>35.35</v>
      </c>
      <c r="G2334" s="18">
        <v>106.05</v>
      </c>
      <c r="H2334" s="30" t="s">
        <v>2297</v>
      </c>
      <c r="J2334" s="34"/>
    </row>
    <row r="2335" spans="1:10" x14ac:dyDescent="0.25">
      <c r="A2335" s="15">
        <v>41009</v>
      </c>
      <c r="B2335" s="16" t="s">
        <v>1063</v>
      </c>
      <c r="C2335" t="s">
        <v>934</v>
      </c>
      <c r="D2335" t="s">
        <v>48</v>
      </c>
      <c r="E2335" s="17">
        <v>4</v>
      </c>
      <c r="F2335" s="17">
        <v>100</v>
      </c>
      <c r="G2335" s="18">
        <v>400</v>
      </c>
      <c r="H2335" s="30" t="s">
        <v>2297</v>
      </c>
      <c r="J2335" s="34"/>
    </row>
    <row r="2336" spans="1:10" x14ac:dyDescent="0.25">
      <c r="A2336" s="15">
        <v>41009</v>
      </c>
      <c r="B2336" s="16" t="s">
        <v>872</v>
      </c>
      <c r="C2336" t="s">
        <v>864</v>
      </c>
      <c r="D2336" t="s">
        <v>48</v>
      </c>
      <c r="E2336" s="17">
        <v>2</v>
      </c>
      <c r="F2336" s="17">
        <v>100</v>
      </c>
      <c r="G2336" s="18">
        <v>200</v>
      </c>
      <c r="H2336" s="30" t="s">
        <v>2297</v>
      </c>
      <c r="J2336" s="34"/>
    </row>
    <row r="2337" spans="1:10" x14ac:dyDescent="0.25">
      <c r="A2337" s="15">
        <v>41010</v>
      </c>
      <c r="B2337" s="16" t="s">
        <v>865</v>
      </c>
      <c r="C2337" t="s">
        <v>8</v>
      </c>
      <c r="D2337" t="s">
        <v>48</v>
      </c>
      <c r="E2337" s="17">
        <v>3</v>
      </c>
      <c r="F2337" s="17">
        <v>35.35</v>
      </c>
      <c r="G2337" s="18">
        <v>106.05</v>
      </c>
      <c r="H2337" s="30" t="s">
        <v>2297</v>
      </c>
      <c r="J2337" s="34"/>
    </row>
    <row r="2338" spans="1:10" x14ac:dyDescent="0.25">
      <c r="A2338" s="15">
        <v>41017</v>
      </c>
      <c r="B2338" s="16" t="s">
        <v>865</v>
      </c>
      <c r="C2338" t="s">
        <v>8</v>
      </c>
      <c r="D2338" t="s">
        <v>48</v>
      </c>
      <c r="E2338" s="17">
        <v>2.5</v>
      </c>
      <c r="F2338" s="17">
        <v>35.35</v>
      </c>
      <c r="G2338" s="18">
        <v>88.375</v>
      </c>
      <c r="H2338" s="30" t="s">
        <v>2297</v>
      </c>
      <c r="J2338" s="34"/>
    </row>
    <row r="2339" spans="1:10" x14ac:dyDescent="0.25">
      <c r="A2339" s="15">
        <v>41017</v>
      </c>
      <c r="B2339" s="16" t="s">
        <v>865</v>
      </c>
      <c r="C2339" t="s">
        <v>8</v>
      </c>
      <c r="D2339" t="s">
        <v>48</v>
      </c>
      <c r="E2339" s="17">
        <v>2.5</v>
      </c>
      <c r="F2339" s="17">
        <v>35.35</v>
      </c>
      <c r="G2339" s="18">
        <v>88.375</v>
      </c>
      <c r="H2339" s="30" t="s">
        <v>2297</v>
      </c>
      <c r="J2339" s="34"/>
    </row>
    <row r="2340" spans="1:10" x14ac:dyDescent="0.25">
      <c r="A2340" s="15">
        <v>41017</v>
      </c>
      <c r="B2340" s="16" t="s">
        <v>865</v>
      </c>
      <c r="C2340" t="s">
        <v>8</v>
      </c>
      <c r="D2340" t="s">
        <v>48</v>
      </c>
      <c r="E2340" s="17">
        <v>2.5</v>
      </c>
      <c r="F2340" s="17">
        <v>35.35</v>
      </c>
      <c r="G2340" s="18">
        <v>88.375</v>
      </c>
      <c r="H2340" s="30" t="s">
        <v>2297</v>
      </c>
      <c r="J2340" s="34"/>
    </row>
    <row r="2341" spans="1:10" x14ac:dyDescent="0.25">
      <c r="A2341" s="15">
        <v>41017</v>
      </c>
      <c r="B2341" s="16" t="s">
        <v>865</v>
      </c>
      <c r="C2341" t="s">
        <v>8</v>
      </c>
      <c r="D2341" t="s">
        <v>48</v>
      </c>
      <c r="E2341" s="17">
        <v>4.5</v>
      </c>
      <c r="F2341" s="17">
        <v>48</v>
      </c>
      <c r="G2341" s="18">
        <v>216</v>
      </c>
      <c r="H2341" s="30" t="s">
        <v>2297</v>
      </c>
      <c r="J2341" s="34"/>
    </row>
    <row r="2342" spans="1:10" x14ac:dyDescent="0.25">
      <c r="A2342" s="15">
        <v>41017</v>
      </c>
      <c r="B2342" s="16" t="s">
        <v>865</v>
      </c>
      <c r="C2342" t="s">
        <v>8</v>
      </c>
      <c r="D2342" t="s">
        <v>48</v>
      </c>
      <c r="E2342" s="17">
        <v>2.5</v>
      </c>
      <c r="F2342" s="17">
        <v>35.35</v>
      </c>
      <c r="G2342" s="18">
        <v>88.375</v>
      </c>
      <c r="H2342" s="30" t="s">
        <v>2297</v>
      </c>
      <c r="J2342" s="34"/>
    </row>
    <row r="2343" spans="1:10" x14ac:dyDescent="0.25">
      <c r="A2343" s="15">
        <v>41017</v>
      </c>
      <c r="B2343" s="16" t="s">
        <v>877</v>
      </c>
      <c r="C2343" t="s">
        <v>868</v>
      </c>
      <c r="D2343" t="s">
        <v>48</v>
      </c>
      <c r="E2343" s="17">
        <v>4</v>
      </c>
      <c r="F2343" s="17">
        <v>90</v>
      </c>
      <c r="G2343" s="18">
        <v>360</v>
      </c>
      <c r="H2343" s="30" t="s">
        <v>2297</v>
      </c>
      <c r="J2343" s="34"/>
    </row>
    <row r="2344" spans="1:10" x14ac:dyDescent="0.25">
      <c r="A2344" s="15">
        <v>41017</v>
      </c>
      <c r="B2344" s="16" t="s">
        <v>969</v>
      </c>
      <c r="C2344" t="s">
        <v>934</v>
      </c>
      <c r="D2344" t="s">
        <v>48</v>
      </c>
      <c r="E2344" s="17">
        <v>4</v>
      </c>
      <c r="F2344" s="17">
        <v>100</v>
      </c>
      <c r="G2344" s="18">
        <v>400</v>
      </c>
      <c r="H2344" s="30" t="s">
        <v>2297</v>
      </c>
      <c r="J2344" s="34"/>
    </row>
    <row r="2345" spans="1:10" x14ac:dyDescent="0.25">
      <c r="A2345" s="15">
        <v>41018</v>
      </c>
      <c r="B2345" s="16" t="s">
        <v>865</v>
      </c>
      <c r="C2345" t="s">
        <v>8</v>
      </c>
      <c r="D2345" t="s">
        <v>48</v>
      </c>
      <c r="E2345" s="17">
        <v>4.5</v>
      </c>
      <c r="F2345" s="17">
        <v>35.35</v>
      </c>
      <c r="G2345" s="18">
        <v>159.07499999999999</v>
      </c>
      <c r="H2345" s="30" t="s">
        <v>2297</v>
      </c>
      <c r="J2345" s="34"/>
    </row>
    <row r="2346" spans="1:10" x14ac:dyDescent="0.25">
      <c r="A2346" s="15">
        <v>41018</v>
      </c>
      <c r="B2346" s="16" t="s">
        <v>865</v>
      </c>
      <c r="C2346" t="s">
        <v>8</v>
      </c>
      <c r="D2346" t="s">
        <v>48</v>
      </c>
      <c r="E2346" s="17">
        <v>4.5</v>
      </c>
      <c r="F2346" s="17">
        <v>35.35</v>
      </c>
      <c r="G2346" s="18">
        <v>159.07499999999999</v>
      </c>
      <c r="H2346" s="30" t="s">
        <v>2297</v>
      </c>
      <c r="J2346" s="34"/>
    </row>
    <row r="2347" spans="1:10" x14ac:dyDescent="0.25">
      <c r="A2347" s="15">
        <v>41018</v>
      </c>
      <c r="B2347" s="16" t="s">
        <v>865</v>
      </c>
      <c r="C2347" t="s">
        <v>8</v>
      </c>
      <c r="D2347" t="s">
        <v>48</v>
      </c>
      <c r="E2347" s="17">
        <v>4.5</v>
      </c>
      <c r="F2347" s="17">
        <v>48</v>
      </c>
      <c r="G2347" s="18">
        <v>216</v>
      </c>
      <c r="H2347" s="30" t="s">
        <v>2297</v>
      </c>
      <c r="J2347" s="34"/>
    </row>
    <row r="2348" spans="1:10" x14ac:dyDescent="0.25">
      <c r="A2348" s="15">
        <v>41018</v>
      </c>
      <c r="B2348" s="16" t="s">
        <v>969</v>
      </c>
      <c r="C2348" t="s">
        <v>934</v>
      </c>
      <c r="D2348" t="s">
        <v>48</v>
      </c>
      <c r="E2348" s="17">
        <v>4</v>
      </c>
      <c r="F2348" s="17">
        <v>100</v>
      </c>
      <c r="G2348" s="18">
        <v>400</v>
      </c>
      <c r="H2348" s="30" t="s">
        <v>2297</v>
      </c>
      <c r="J2348" s="34"/>
    </row>
    <row r="2349" spans="1:10" x14ac:dyDescent="0.25">
      <c r="A2349" s="15">
        <v>41018</v>
      </c>
      <c r="B2349" s="16" t="s">
        <v>865</v>
      </c>
      <c r="C2349" t="s">
        <v>8</v>
      </c>
      <c r="D2349" t="s">
        <v>48</v>
      </c>
      <c r="E2349" s="17">
        <v>4.5</v>
      </c>
      <c r="F2349" s="17">
        <v>35.35</v>
      </c>
      <c r="G2349" s="18">
        <v>159.07499999999999</v>
      </c>
      <c r="H2349" s="30" t="s">
        <v>2297</v>
      </c>
      <c r="J2349" s="34"/>
    </row>
    <row r="2350" spans="1:10" x14ac:dyDescent="0.25">
      <c r="A2350" s="15">
        <v>41018</v>
      </c>
      <c r="B2350" s="16" t="s">
        <v>872</v>
      </c>
      <c r="C2350" t="s">
        <v>873</v>
      </c>
      <c r="D2350" t="s">
        <v>48</v>
      </c>
      <c r="E2350" s="17">
        <v>4.5</v>
      </c>
      <c r="F2350" s="17">
        <v>95</v>
      </c>
      <c r="G2350" s="18">
        <v>427.5</v>
      </c>
      <c r="H2350" s="30" t="s">
        <v>2297</v>
      </c>
      <c r="J2350" s="34"/>
    </row>
    <row r="2351" spans="1:10" x14ac:dyDescent="0.25">
      <c r="A2351" s="15">
        <v>41018</v>
      </c>
      <c r="B2351" s="16" t="s">
        <v>877</v>
      </c>
      <c r="C2351" t="s">
        <v>868</v>
      </c>
      <c r="D2351" t="s">
        <v>48</v>
      </c>
      <c r="E2351" s="17">
        <v>4</v>
      </c>
      <c r="F2351" s="17">
        <v>90</v>
      </c>
      <c r="G2351" s="18">
        <v>360</v>
      </c>
      <c r="H2351" s="30" t="s">
        <v>2297</v>
      </c>
      <c r="J2351" s="34"/>
    </row>
    <row r="2352" spans="1:10" x14ac:dyDescent="0.25">
      <c r="A2352" s="15">
        <v>41019</v>
      </c>
      <c r="B2352" s="16" t="s">
        <v>865</v>
      </c>
      <c r="C2352" t="s">
        <v>8</v>
      </c>
      <c r="D2352" t="s">
        <v>48</v>
      </c>
      <c r="E2352" s="17">
        <v>2</v>
      </c>
      <c r="F2352" s="17">
        <v>35.35</v>
      </c>
      <c r="G2352" s="18">
        <v>70.7</v>
      </c>
      <c r="H2352" s="30" t="s">
        <v>2297</v>
      </c>
      <c r="J2352" s="34"/>
    </row>
    <row r="2353" spans="1:10" x14ac:dyDescent="0.25">
      <c r="A2353" s="15">
        <v>41019</v>
      </c>
      <c r="B2353" s="16" t="s">
        <v>865</v>
      </c>
      <c r="C2353" t="s">
        <v>8</v>
      </c>
      <c r="D2353" t="s">
        <v>48</v>
      </c>
      <c r="E2353" s="17">
        <v>2</v>
      </c>
      <c r="F2353" s="17">
        <v>35.35</v>
      </c>
      <c r="G2353" s="18">
        <v>70.7</v>
      </c>
      <c r="H2353" s="30" t="s">
        <v>2297</v>
      </c>
      <c r="J2353" s="34"/>
    </row>
    <row r="2354" spans="1:10" x14ac:dyDescent="0.25">
      <c r="A2354" s="15">
        <v>41022</v>
      </c>
      <c r="B2354" s="16" t="s">
        <v>865</v>
      </c>
      <c r="C2354" t="s">
        <v>8</v>
      </c>
      <c r="D2354" t="s">
        <v>48</v>
      </c>
      <c r="E2354" s="17">
        <v>6</v>
      </c>
      <c r="F2354" s="17">
        <v>48</v>
      </c>
      <c r="G2354" s="18">
        <v>288</v>
      </c>
      <c r="H2354" s="30" t="s">
        <v>2297</v>
      </c>
      <c r="J2354" s="34"/>
    </row>
    <row r="2355" spans="1:10" x14ac:dyDescent="0.25">
      <c r="A2355" s="15">
        <v>41022</v>
      </c>
      <c r="B2355" s="16" t="s">
        <v>877</v>
      </c>
      <c r="C2355" t="s">
        <v>868</v>
      </c>
      <c r="D2355" t="s">
        <v>48</v>
      </c>
      <c r="E2355" s="17">
        <v>6</v>
      </c>
      <c r="F2355" s="17">
        <v>90</v>
      </c>
      <c r="G2355" s="18">
        <v>540</v>
      </c>
      <c r="H2355" s="30" t="s">
        <v>2297</v>
      </c>
      <c r="J2355" s="34"/>
    </row>
    <row r="2356" spans="1:10" x14ac:dyDescent="0.25">
      <c r="A2356" s="15">
        <v>41022</v>
      </c>
      <c r="B2356" s="16" t="s">
        <v>865</v>
      </c>
      <c r="C2356" t="s">
        <v>8</v>
      </c>
      <c r="D2356" t="s">
        <v>48</v>
      </c>
      <c r="E2356" s="17">
        <v>4</v>
      </c>
      <c r="F2356" s="17">
        <v>35.35</v>
      </c>
      <c r="G2356" s="18">
        <v>141.4</v>
      </c>
      <c r="H2356" s="30" t="s">
        <v>2297</v>
      </c>
      <c r="J2356" s="34"/>
    </row>
    <row r="2357" spans="1:10" x14ac:dyDescent="0.25">
      <c r="A2357" s="15">
        <v>41022</v>
      </c>
      <c r="B2357" s="16" t="s">
        <v>865</v>
      </c>
      <c r="C2357" t="s">
        <v>8</v>
      </c>
      <c r="D2357" t="s">
        <v>48</v>
      </c>
      <c r="E2357" s="17">
        <v>3</v>
      </c>
      <c r="F2357" s="17">
        <v>35.35</v>
      </c>
      <c r="G2357" s="18">
        <v>106.05</v>
      </c>
      <c r="H2357" s="30" t="s">
        <v>2297</v>
      </c>
      <c r="J2357" s="34"/>
    </row>
    <row r="2358" spans="1:10" x14ac:dyDescent="0.25">
      <c r="A2358" s="15">
        <v>41022</v>
      </c>
      <c r="B2358" s="16" t="s">
        <v>865</v>
      </c>
      <c r="C2358" t="s">
        <v>8</v>
      </c>
      <c r="D2358" t="s">
        <v>48</v>
      </c>
      <c r="E2358" s="17">
        <v>2</v>
      </c>
      <c r="F2358" s="17">
        <v>35.35</v>
      </c>
      <c r="G2358" s="18">
        <v>70.7</v>
      </c>
      <c r="H2358" s="30" t="s">
        <v>2297</v>
      </c>
      <c r="J2358" s="34"/>
    </row>
    <row r="2359" spans="1:10" x14ac:dyDescent="0.25">
      <c r="A2359" s="15">
        <v>41022</v>
      </c>
      <c r="B2359" s="16" t="s">
        <v>1064</v>
      </c>
      <c r="C2359" t="s">
        <v>1065</v>
      </c>
      <c r="D2359" t="s">
        <v>48</v>
      </c>
      <c r="E2359" s="17">
        <v>1</v>
      </c>
      <c r="F2359" s="17">
        <v>2500</v>
      </c>
      <c r="G2359" s="18">
        <v>2500</v>
      </c>
      <c r="H2359" s="30" t="s">
        <v>2297</v>
      </c>
      <c r="J2359" s="34"/>
    </row>
    <row r="2360" spans="1:10" x14ac:dyDescent="0.25">
      <c r="A2360" s="15">
        <v>41023</v>
      </c>
      <c r="B2360" s="16" t="s">
        <v>969</v>
      </c>
      <c r="C2360" t="s">
        <v>934</v>
      </c>
      <c r="D2360" t="s">
        <v>48</v>
      </c>
      <c r="E2360" s="17">
        <v>9.5</v>
      </c>
      <c r="F2360" s="17">
        <v>100</v>
      </c>
      <c r="G2360" s="18">
        <v>950</v>
      </c>
      <c r="H2360" s="30" t="s">
        <v>2297</v>
      </c>
      <c r="J2360" s="34"/>
    </row>
    <row r="2361" spans="1:10" x14ac:dyDescent="0.25">
      <c r="A2361" s="15">
        <v>41023</v>
      </c>
      <c r="B2361" s="16" t="s">
        <v>877</v>
      </c>
      <c r="C2361" t="s">
        <v>868</v>
      </c>
      <c r="D2361" t="s">
        <v>48</v>
      </c>
      <c r="E2361" s="17">
        <v>5</v>
      </c>
      <c r="F2361" s="17">
        <v>90</v>
      </c>
      <c r="G2361" s="18">
        <v>450</v>
      </c>
      <c r="H2361" s="30" t="s">
        <v>2297</v>
      </c>
      <c r="J2361" s="34"/>
    </row>
    <row r="2362" spans="1:10" x14ac:dyDescent="0.25">
      <c r="A2362" s="15">
        <v>41023</v>
      </c>
      <c r="B2362" s="16" t="s">
        <v>865</v>
      </c>
      <c r="C2362" t="s">
        <v>8</v>
      </c>
      <c r="D2362" t="s">
        <v>48</v>
      </c>
      <c r="E2362" s="17">
        <v>9.5</v>
      </c>
      <c r="F2362" s="17">
        <v>35.35</v>
      </c>
      <c r="G2362" s="18">
        <v>335.82499999999999</v>
      </c>
      <c r="H2362" s="30" t="s">
        <v>2297</v>
      </c>
      <c r="J2362" s="34"/>
    </row>
    <row r="2363" spans="1:10" x14ac:dyDescent="0.25">
      <c r="A2363" s="15">
        <v>41023</v>
      </c>
      <c r="B2363" s="16" t="s">
        <v>865</v>
      </c>
      <c r="C2363" t="s">
        <v>8</v>
      </c>
      <c r="D2363" t="s">
        <v>48</v>
      </c>
      <c r="E2363" s="17">
        <v>7</v>
      </c>
      <c r="F2363" s="17">
        <v>48</v>
      </c>
      <c r="G2363" s="18">
        <v>336</v>
      </c>
      <c r="H2363" s="30" t="s">
        <v>2297</v>
      </c>
      <c r="J2363" s="34"/>
    </row>
    <row r="2364" spans="1:10" x14ac:dyDescent="0.25">
      <c r="A2364" s="15">
        <v>41023</v>
      </c>
      <c r="B2364" s="16" t="s">
        <v>865</v>
      </c>
      <c r="C2364" t="s">
        <v>8</v>
      </c>
      <c r="D2364" t="s">
        <v>48</v>
      </c>
      <c r="E2364" s="17">
        <v>9.5</v>
      </c>
      <c r="F2364" s="17">
        <v>35.35</v>
      </c>
      <c r="G2364" s="18">
        <v>335.82499999999999</v>
      </c>
      <c r="H2364" s="30" t="s">
        <v>2297</v>
      </c>
      <c r="J2364" s="34"/>
    </row>
    <row r="2365" spans="1:10" x14ac:dyDescent="0.25">
      <c r="A2365" s="15">
        <v>41023</v>
      </c>
      <c r="B2365" s="16" t="s">
        <v>872</v>
      </c>
      <c r="C2365" t="s">
        <v>873</v>
      </c>
      <c r="D2365" t="s">
        <v>48</v>
      </c>
      <c r="E2365" s="17">
        <v>3</v>
      </c>
      <c r="F2365" s="17">
        <v>95</v>
      </c>
      <c r="G2365" s="18">
        <v>285</v>
      </c>
      <c r="H2365" s="30" t="s">
        <v>2297</v>
      </c>
      <c r="J2365" s="34"/>
    </row>
    <row r="2366" spans="1:10" x14ac:dyDescent="0.25">
      <c r="A2366" s="15">
        <v>41023</v>
      </c>
      <c r="B2366" s="16" t="s">
        <v>869</v>
      </c>
      <c r="C2366" t="s">
        <v>8</v>
      </c>
      <c r="D2366" t="s">
        <v>48</v>
      </c>
      <c r="E2366" s="17">
        <v>1.5</v>
      </c>
      <c r="F2366" s="17">
        <v>35.35</v>
      </c>
      <c r="G2366" s="18">
        <v>53.024999999999999</v>
      </c>
      <c r="H2366" s="30" t="s">
        <v>2297</v>
      </c>
      <c r="J2366" s="34"/>
    </row>
    <row r="2367" spans="1:10" x14ac:dyDescent="0.25">
      <c r="A2367" s="15">
        <v>41025</v>
      </c>
      <c r="B2367" s="16" t="s">
        <v>877</v>
      </c>
      <c r="C2367" t="s">
        <v>868</v>
      </c>
      <c r="D2367" t="s">
        <v>48</v>
      </c>
      <c r="E2367" s="17">
        <v>5</v>
      </c>
      <c r="F2367" s="17">
        <v>90</v>
      </c>
      <c r="G2367" s="18">
        <v>450</v>
      </c>
      <c r="H2367" s="30" t="s">
        <v>2297</v>
      </c>
      <c r="J2367" s="34"/>
    </row>
    <row r="2368" spans="1:10" x14ac:dyDescent="0.25">
      <c r="A2368" s="15">
        <v>41025</v>
      </c>
      <c r="B2368" s="16" t="s">
        <v>872</v>
      </c>
      <c r="C2368" t="s">
        <v>873</v>
      </c>
      <c r="D2368" t="s">
        <v>48</v>
      </c>
      <c r="E2368" s="17">
        <v>3</v>
      </c>
      <c r="F2368" s="17">
        <v>95</v>
      </c>
      <c r="G2368" s="18">
        <v>285</v>
      </c>
      <c r="H2368" s="30" t="s">
        <v>2297</v>
      </c>
      <c r="J2368" s="34"/>
    </row>
    <row r="2369" spans="1:10" ht="30" x14ac:dyDescent="0.25">
      <c r="A2369" s="15">
        <v>41026</v>
      </c>
      <c r="B2369" s="16" t="s">
        <v>1066</v>
      </c>
      <c r="C2369" t="s">
        <v>957</v>
      </c>
      <c r="D2369" t="s">
        <v>783</v>
      </c>
      <c r="E2369" s="17">
        <v>1</v>
      </c>
      <c r="F2369" s="17">
        <v>1576.4</v>
      </c>
      <c r="G2369" s="18">
        <v>1576.4</v>
      </c>
      <c r="H2369" s="30" t="s">
        <v>2297</v>
      </c>
      <c r="J2369" s="34"/>
    </row>
    <row r="2370" spans="1:10" ht="30" x14ac:dyDescent="0.25">
      <c r="A2370" s="15">
        <v>41029</v>
      </c>
      <c r="B2370" s="16" t="s">
        <v>1035</v>
      </c>
      <c r="C2370" t="s">
        <v>959</v>
      </c>
      <c r="D2370" t="s">
        <v>783</v>
      </c>
      <c r="E2370" s="17">
        <v>1</v>
      </c>
      <c r="F2370" s="17">
        <v>3150</v>
      </c>
      <c r="G2370" s="18">
        <v>3150</v>
      </c>
      <c r="H2370" s="30" t="s">
        <v>2297</v>
      </c>
      <c r="J2370" s="34"/>
    </row>
    <row r="2371" spans="1:10" x14ac:dyDescent="0.25">
      <c r="A2371" s="15">
        <v>41038</v>
      </c>
      <c r="B2371" s="16" t="s">
        <v>908</v>
      </c>
      <c r="C2371" t="s">
        <v>873</v>
      </c>
      <c r="D2371" t="s">
        <v>48</v>
      </c>
      <c r="E2371" s="17">
        <v>5</v>
      </c>
      <c r="F2371" s="17">
        <v>95</v>
      </c>
      <c r="G2371" s="18">
        <v>475</v>
      </c>
      <c r="H2371" s="30" t="s">
        <v>2297</v>
      </c>
      <c r="J2371" s="34"/>
    </row>
    <row r="2372" spans="1:10" x14ac:dyDescent="0.25">
      <c r="A2372" s="15">
        <v>41038</v>
      </c>
      <c r="B2372" s="16" t="s">
        <v>865</v>
      </c>
      <c r="C2372" t="s">
        <v>8</v>
      </c>
      <c r="D2372" t="s">
        <v>48</v>
      </c>
      <c r="E2372" s="17">
        <v>5</v>
      </c>
      <c r="F2372" s="17">
        <v>35.35</v>
      </c>
      <c r="G2372" s="18">
        <v>176.75</v>
      </c>
      <c r="H2372" s="30" t="s">
        <v>2297</v>
      </c>
      <c r="J2372" s="34"/>
    </row>
    <row r="2373" spans="1:10" x14ac:dyDescent="0.25">
      <c r="A2373" s="15">
        <v>41038</v>
      </c>
      <c r="B2373" s="16" t="s">
        <v>865</v>
      </c>
      <c r="C2373" t="s">
        <v>8</v>
      </c>
      <c r="D2373" t="s">
        <v>48</v>
      </c>
      <c r="E2373" s="17">
        <v>9</v>
      </c>
      <c r="F2373" s="17">
        <v>35.35</v>
      </c>
      <c r="G2373" s="18">
        <v>318.14999999999998</v>
      </c>
      <c r="H2373" s="30" t="s">
        <v>2297</v>
      </c>
      <c r="J2373" s="34"/>
    </row>
    <row r="2374" spans="1:10" x14ac:dyDescent="0.25">
      <c r="A2374" s="15">
        <v>41038</v>
      </c>
      <c r="B2374" s="16" t="s">
        <v>880</v>
      </c>
      <c r="C2374" t="s">
        <v>881</v>
      </c>
      <c r="D2374" t="s">
        <v>48</v>
      </c>
      <c r="E2374" s="17">
        <v>4</v>
      </c>
      <c r="F2374" s="17">
        <v>95</v>
      </c>
      <c r="G2374" s="18">
        <v>380</v>
      </c>
      <c r="H2374" s="30" t="s">
        <v>2297</v>
      </c>
      <c r="J2374" s="34"/>
    </row>
    <row r="2375" spans="1:10" x14ac:dyDescent="0.25">
      <c r="A2375" s="15">
        <v>41038</v>
      </c>
      <c r="B2375" s="16" t="s">
        <v>877</v>
      </c>
      <c r="C2375" t="s">
        <v>868</v>
      </c>
      <c r="D2375" t="s">
        <v>48</v>
      </c>
      <c r="E2375" s="17">
        <v>4</v>
      </c>
      <c r="F2375" s="17">
        <v>90</v>
      </c>
      <c r="G2375" s="18">
        <v>360</v>
      </c>
      <c r="H2375" s="30" t="s">
        <v>2297</v>
      </c>
      <c r="J2375" s="34"/>
    </row>
    <row r="2376" spans="1:10" x14ac:dyDescent="0.25">
      <c r="A2376" s="15">
        <v>41038</v>
      </c>
      <c r="B2376" s="16" t="s">
        <v>865</v>
      </c>
      <c r="C2376" t="s">
        <v>8</v>
      </c>
      <c r="D2376" t="s">
        <v>48</v>
      </c>
      <c r="E2376" s="17">
        <v>8</v>
      </c>
      <c r="F2376" s="17">
        <v>48</v>
      </c>
      <c r="G2376" s="18">
        <v>384</v>
      </c>
      <c r="H2376" s="30" t="s">
        <v>2297</v>
      </c>
      <c r="J2376" s="34"/>
    </row>
    <row r="2377" spans="1:10" x14ac:dyDescent="0.25">
      <c r="A2377" s="15">
        <v>41038</v>
      </c>
      <c r="B2377" s="16" t="s">
        <v>969</v>
      </c>
      <c r="C2377" t="s">
        <v>934</v>
      </c>
      <c r="D2377" t="s">
        <v>48</v>
      </c>
      <c r="E2377" s="17">
        <v>9</v>
      </c>
      <c r="F2377" s="17">
        <v>100</v>
      </c>
      <c r="G2377" s="18">
        <v>900</v>
      </c>
      <c r="H2377" s="30" t="s">
        <v>2297</v>
      </c>
      <c r="J2377" s="34"/>
    </row>
    <row r="2378" spans="1:10" x14ac:dyDescent="0.25">
      <c r="A2378" s="15">
        <v>41039</v>
      </c>
      <c r="B2378" s="16" t="s">
        <v>908</v>
      </c>
      <c r="C2378" t="s">
        <v>873</v>
      </c>
      <c r="D2378" t="s">
        <v>48</v>
      </c>
      <c r="E2378" s="17">
        <v>5</v>
      </c>
      <c r="F2378" s="17">
        <v>95</v>
      </c>
      <c r="G2378" s="18">
        <v>475</v>
      </c>
      <c r="H2378" s="30" t="s">
        <v>2297</v>
      </c>
      <c r="J2378" s="34"/>
    </row>
    <row r="2379" spans="1:10" x14ac:dyDescent="0.25">
      <c r="A2379" s="15">
        <v>41039</v>
      </c>
      <c r="B2379" s="16" t="s">
        <v>969</v>
      </c>
      <c r="C2379" t="s">
        <v>934</v>
      </c>
      <c r="D2379" t="s">
        <v>48</v>
      </c>
      <c r="E2379" s="17">
        <v>6.5</v>
      </c>
      <c r="F2379" s="17">
        <v>100</v>
      </c>
      <c r="G2379" s="18">
        <v>650</v>
      </c>
      <c r="H2379" s="30" t="s">
        <v>2297</v>
      </c>
      <c r="J2379" s="34"/>
    </row>
    <row r="2380" spans="1:10" x14ac:dyDescent="0.25">
      <c r="A2380" s="15">
        <v>41039</v>
      </c>
      <c r="B2380" s="16" t="s">
        <v>865</v>
      </c>
      <c r="C2380" t="s">
        <v>8</v>
      </c>
      <c r="D2380" t="s">
        <v>48</v>
      </c>
      <c r="E2380" s="17">
        <v>3</v>
      </c>
      <c r="F2380" s="17">
        <v>35.35</v>
      </c>
      <c r="G2380" s="18">
        <v>106.05</v>
      </c>
      <c r="H2380" s="30" t="s">
        <v>2297</v>
      </c>
      <c r="J2380" s="34"/>
    </row>
    <row r="2381" spans="1:10" x14ac:dyDescent="0.25">
      <c r="A2381" s="15">
        <v>41039</v>
      </c>
      <c r="B2381" s="16" t="s">
        <v>865</v>
      </c>
      <c r="C2381" t="s">
        <v>8</v>
      </c>
      <c r="D2381" t="s">
        <v>48</v>
      </c>
      <c r="E2381" s="17">
        <v>3</v>
      </c>
      <c r="F2381" s="17">
        <v>35.35</v>
      </c>
      <c r="G2381" s="18">
        <v>106.05</v>
      </c>
      <c r="H2381" s="30" t="s">
        <v>2297</v>
      </c>
      <c r="J2381" s="34"/>
    </row>
    <row r="2382" spans="1:10" x14ac:dyDescent="0.25">
      <c r="A2382" s="15">
        <v>41039</v>
      </c>
      <c r="B2382" s="16" t="s">
        <v>865</v>
      </c>
      <c r="C2382" t="s">
        <v>8</v>
      </c>
      <c r="D2382" t="s">
        <v>48</v>
      </c>
      <c r="E2382" s="17">
        <v>8</v>
      </c>
      <c r="F2382" s="17">
        <v>48</v>
      </c>
      <c r="G2382" s="18">
        <v>384</v>
      </c>
      <c r="H2382" s="30" t="s">
        <v>2297</v>
      </c>
      <c r="J2382" s="34"/>
    </row>
    <row r="2383" spans="1:10" x14ac:dyDescent="0.25">
      <c r="A2383" s="15">
        <v>41039</v>
      </c>
      <c r="B2383" s="16" t="s">
        <v>865</v>
      </c>
      <c r="C2383" t="s">
        <v>8</v>
      </c>
      <c r="D2383" t="s">
        <v>48</v>
      </c>
      <c r="E2383" s="17">
        <v>2</v>
      </c>
      <c r="F2383" s="17">
        <v>35.35</v>
      </c>
      <c r="G2383" s="18">
        <v>70.7</v>
      </c>
      <c r="H2383" s="30" t="s">
        <v>2297</v>
      </c>
      <c r="J2383" s="34"/>
    </row>
    <row r="2384" spans="1:10" x14ac:dyDescent="0.25">
      <c r="A2384" s="15">
        <v>41039</v>
      </c>
      <c r="B2384" s="16" t="s">
        <v>908</v>
      </c>
      <c r="C2384" t="s">
        <v>873</v>
      </c>
      <c r="D2384" t="s">
        <v>48</v>
      </c>
      <c r="E2384" s="17">
        <v>5.5</v>
      </c>
      <c r="F2384" s="17">
        <v>95</v>
      </c>
      <c r="G2384" s="18">
        <v>522.5</v>
      </c>
      <c r="H2384" s="30" t="s">
        <v>2297</v>
      </c>
      <c r="J2384" s="34"/>
    </row>
    <row r="2385" spans="1:10" x14ac:dyDescent="0.25">
      <c r="A2385" s="15">
        <v>41039</v>
      </c>
      <c r="B2385" s="16" t="s">
        <v>867</v>
      </c>
      <c r="C2385" t="s">
        <v>868</v>
      </c>
      <c r="D2385" t="s">
        <v>48</v>
      </c>
      <c r="E2385" s="17">
        <v>5</v>
      </c>
      <c r="F2385" s="17">
        <v>90</v>
      </c>
      <c r="G2385" s="18">
        <v>450</v>
      </c>
      <c r="H2385" s="30" t="s">
        <v>2297</v>
      </c>
      <c r="J2385" s="34"/>
    </row>
    <row r="2386" spans="1:10" x14ac:dyDescent="0.25">
      <c r="A2386" s="15">
        <v>41039</v>
      </c>
      <c r="B2386" s="16" t="s">
        <v>865</v>
      </c>
      <c r="C2386" t="s">
        <v>8</v>
      </c>
      <c r="D2386" t="s">
        <v>48</v>
      </c>
      <c r="E2386" s="17">
        <v>2</v>
      </c>
      <c r="F2386" s="17">
        <v>35.35</v>
      </c>
      <c r="G2386" s="18">
        <v>70.7</v>
      </c>
      <c r="H2386" s="30" t="s">
        <v>2297</v>
      </c>
      <c r="J2386" s="34"/>
    </row>
    <row r="2387" spans="1:10" x14ac:dyDescent="0.25">
      <c r="A2387" s="15">
        <v>41046</v>
      </c>
      <c r="B2387" s="16" t="s">
        <v>1067</v>
      </c>
      <c r="C2387" t="s">
        <v>1068</v>
      </c>
      <c r="D2387" t="s">
        <v>783</v>
      </c>
      <c r="E2387" s="17">
        <v>4</v>
      </c>
      <c r="F2387" s="17">
        <v>25</v>
      </c>
      <c r="G2387" s="18">
        <v>100</v>
      </c>
      <c r="H2387" s="30" t="s">
        <v>2297</v>
      </c>
      <c r="J2387" s="34"/>
    </row>
    <row r="2388" spans="1:10" x14ac:dyDescent="0.25">
      <c r="A2388" s="15">
        <v>41064</v>
      </c>
      <c r="B2388" s="16" t="s">
        <v>865</v>
      </c>
      <c r="C2388" t="s">
        <v>8</v>
      </c>
      <c r="D2388" t="s">
        <v>48</v>
      </c>
      <c r="E2388" s="17">
        <v>3</v>
      </c>
      <c r="F2388" s="17">
        <v>35.35</v>
      </c>
      <c r="G2388" s="18">
        <v>106.05</v>
      </c>
      <c r="H2388" s="30" t="s">
        <v>2297</v>
      </c>
      <c r="J2388" s="34"/>
    </row>
    <row r="2389" spans="1:10" x14ac:dyDescent="0.25">
      <c r="A2389" s="15">
        <v>41064</v>
      </c>
      <c r="B2389" s="16" t="s">
        <v>969</v>
      </c>
      <c r="C2389" t="s">
        <v>934</v>
      </c>
      <c r="D2389" t="s">
        <v>48</v>
      </c>
      <c r="E2389" s="17">
        <v>2</v>
      </c>
      <c r="F2389" s="17">
        <v>100</v>
      </c>
      <c r="G2389" s="18">
        <v>200</v>
      </c>
      <c r="H2389" s="30" t="s">
        <v>2297</v>
      </c>
      <c r="J2389" s="34"/>
    </row>
    <row r="2390" spans="1:10" x14ac:dyDescent="0.25">
      <c r="A2390" s="15">
        <v>41064</v>
      </c>
      <c r="B2390" s="16" t="s">
        <v>865</v>
      </c>
      <c r="C2390" t="s">
        <v>8</v>
      </c>
      <c r="D2390" t="s">
        <v>48</v>
      </c>
      <c r="E2390" s="17">
        <v>2</v>
      </c>
      <c r="F2390" s="17">
        <v>48</v>
      </c>
      <c r="G2390" s="18">
        <v>96</v>
      </c>
      <c r="H2390" s="30" t="s">
        <v>2297</v>
      </c>
      <c r="J2390" s="34"/>
    </row>
    <row r="2391" spans="1:10" x14ac:dyDescent="0.25">
      <c r="A2391" s="15">
        <v>41065</v>
      </c>
      <c r="B2391" s="16" t="s">
        <v>865</v>
      </c>
      <c r="C2391" t="s">
        <v>8</v>
      </c>
      <c r="D2391" t="s">
        <v>48</v>
      </c>
      <c r="E2391" s="17">
        <v>3</v>
      </c>
      <c r="F2391" s="17">
        <v>48</v>
      </c>
      <c r="G2391" s="18">
        <v>144</v>
      </c>
      <c r="H2391" s="30" t="s">
        <v>2297</v>
      </c>
      <c r="J2391" s="34"/>
    </row>
    <row r="2392" spans="1:10" x14ac:dyDescent="0.25">
      <c r="A2392" s="15">
        <v>41065</v>
      </c>
      <c r="B2392" s="16" t="s">
        <v>969</v>
      </c>
      <c r="C2392" t="s">
        <v>934</v>
      </c>
      <c r="D2392" t="s">
        <v>48</v>
      </c>
      <c r="E2392" s="17">
        <v>2</v>
      </c>
      <c r="F2392" s="17">
        <v>100</v>
      </c>
      <c r="G2392" s="18">
        <v>200</v>
      </c>
      <c r="H2392" s="30" t="s">
        <v>2297</v>
      </c>
      <c r="J2392" s="34"/>
    </row>
    <row r="2393" spans="1:10" x14ac:dyDescent="0.25">
      <c r="A2393" s="15">
        <v>41065</v>
      </c>
      <c r="B2393" s="16" t="s">
        <v>865</v>
      </c>
      <c r="C2393" t="s">
        <v>8</v>
      </c>
      <c r="D2393" t="s">
        <v>48</v>
      </c>
      <c r="E2393" s="17">
        <v>3</v>
      </c>
      <c r="F2393" s="17">
        <v>35.35</v>
      </c>
      <c r="G2393" s="18">
        <v>106.05</v>
      </c>
      <c r="H2393" s="30" t="s">
        <v>2297</v>
      </c>
      <c r="J2393" s="34"/>
    </row>
    <row r="2394" spans="1:10" x14ac:dyDescent="0.25">
      <c r="A2394" s="15">
        <v>41065</v>
      </c>
      <c r="B2394" s="16" t="s">
        <v>865</v>
      </c>
      <c r="C2394" t="s">
        <v>8</v>
      </c>
      <c r="D2394" t="s">
        <v>48</v>
      </c>
      <c r="E2394" s="17">
        <v>3</v>
      </c>
      <c r="F2394" s="17">
        <v>35.35</v>
      </c>
      <c r="G2394" s="18">
        <v>106.05</v>
      </c>
      <c r="H2394" s="30" t="s">
        <v>2297</v>
      </c>
      <c r="J2394" s="34"/>
    </row>
    <row r="2395" spans="1:10" x14ac:dyDescent="0.25">
      <c r="A2395" s="15">
        <v>41066</v>
      </c>
      <c r="B2395" s="16" t="s">
        <v>865</v>
      </c>
      <c r="C2395" t="s">
        <v>8</v>
      </c>
      <c r="D2395" t="s">
        <v>48</v>
      </c>
      <c r="E2395" s="17">
        <v>3</v>
      </c>
      <c r="F2395" s="17">
        <v>35.35</v>
      </c>
      <c r="G2395" s="18">
        <v>106.05</v>
      </c>
      <c r="H2395" s="30" t="s">
        <v>2297</v>
      </c>
      <c r="J2395" s="34"/>
    </row>
    <row r="2396" spans="1:10" x14ac:dyDescent="0.25">
      <c r="A2396" s="15">
        <v>41066</v>
      </c>
      <c r="B2396" s="16" t="s">
        <v>887</v>
      </c>
      <c r="C2396" t="s">
        <v>873</v>
      </c>
      <c r="D2396" t="s">
        <v>48</v>
      </c>
      <c r="E2396" s="17">
        <v>2</v>
      </c>
      <c r="F2396" s="17">
        <v>95</v>
      </c>
      <c r="G2396" s="18">
        <v>190</v>
      </c>
      <c r="H2396" s="30" t="s">
        <v>2297</v>
      </c>
      <c r="J2396" s="34"/>
    </row>
    <row r="2397" spans="1:10" x14ac:dyDescent="0.25">
      <c r="A2397" s="15">
        <v>41066</v>
      </c>
      <c r="B2397" s="16" t="s">
        <v>969</v>
      </c>
      <c r="C2397" t="s">
        <v>934</v>
      </c>
      <c r="D2397" t="s">
        <v>48</v>
      </c>
      <c r="E2397" s="17">
        <v>3</v>
      </c>
      <c r="F2397" s="17">
        <v>100</v>
      </c>
      <c r="G2397" s="18">
        <v>300</v>
      </c>
      <c r="H2397" s="30" t="s">
        <v>2297</v>
      </c>
      <c r="J2397" s="34"/>
    </row>
    <row r="2398" spans="1:10" x14ac:dyDescent="0.25">
      <c r="A2398" s="15">
        <v>41066</v>
      </c>
      <c r="B2398" s="16" t="s">
        <v>865</v>
      </c>
      <c r="C2398" t="s">
        <v>8</v>
      </c>
      <c r="D2398" t="s">
        <v>48</v>
      </c>
      <c r="E2398" s="17">
        <v>3</v>
      </c>
      <c r="F2398" s="17">
        <v>48</v>
      </c>
      <c r="G2398" s="18">
        <v>144</v>
      </c>
      <c r="H2398" s="30" t="s">
        <v>2297</v>
      </c>
      <c r="J2398" s="34"/>
    </row>
    <row r="2399" spans="1:10" x14ac:dyDescent="0.25">
      <c r="A2399" s="15">
        <v>41066</v>
      </c>
      <c r="B2399" s="16" t="s">
        <v>865</v>
      </c>
      <c r="C2399" t="s">
        <v>8</v>
      </c>
      <c r="D2399" t="s">
        <v>48</v>
      </c>
      <c r="E2399" s="17">
        <v>2</v>
      </c>
      <c r="F2399" s="17">
        <v>35.35</v>
      </c>
      <c r="G2399" s="18">
        <v>70.7</v>
      </c>
      <c r="H2399" s="30" t="s">
        <v>2297</v>
      </c>
      <c r="J2399" s="34"/>
    </row>
    <row r="2400" spans="1:10" x14ac:dyDescent="0.25">
      <c r="A2400" s="15">
        <v>41067</v>
      </c>
      <c r="B2400" s="16" t="s">
        <v>865</v>
      </c>
      <c r="C2400" t="s">
        <v>8</v>
      </c>
      <c r="D2400" t="s">
        <v>48</v>
      </c>
      <c r="E2400" s="17">
        <v>6.5</v>
      </c>
      <c r="F2400" s="17">
        <v>35.35</v>
      </c>
      <c r="G2400" s="18">
        <v>229.77500000000001</v>
      </c>
      <c r="H2400" s="30" t="s">
        <v>2297</v>
      </c>
      <c r="J2400" s="34"/>
    </row>
    <row r="2401" spans="1:10" x14ac:dyDescent="0.25">
      <c r="A2401" s="15">
        <v>41067</v>
      </c>
      <c r="B2401" s="16" t="s">
        <v>969</v>
      </c>
      <c r="C2401" t="s">
        <v>934</v>
      </c>
      <c r="D2401" t="s">
        <v>48</v>
      </c>
      <c r="E2401" s="17">
        <v>3</v>
      </c>
      <c r="F2401" s="17">
        <v>100</v>
      </c>
      <c r="G2401" s="18">
        <v>300</v>
      </c>
      <c r="H2401" s="30" t="s">
        <v>2297</v>
      </c>
      <c r="J2401" s="34"/>
    </row>
    <row r="2402" spans="1:10" x14ac:dyDescent="0.25">
      <c r="A2402" s="15">
        <v>41067</v>
      </c>
      <c r="B2402" s="16" t="s">
        <v>865</v>
      </c>
      <c r="C2402" t="s">
        <v>8</v>
      </c>
      <c r="D2402" t="s">
        <v>48</v>
      </c>
      <c r="E2402" s="17">
        <v>6.5</v>
      </c>
      <c r="F2402" s="17">
        <v>48</v>
      </c>
      <c r="G2402" s="18">
        <v>312</v>
      </c>
      <c r="H2402" s="30" t="s">
        <v>2297</v>
      </c>
      <c r="J2402" s="34"/>
    </row>
    <row r="2403" spans="1:10" x14ac:dyDescent="0.25">
      <c r="A2403" s="15">
        <v>41067</v>
      </c>
      <c r="B2403" s="16" t="s">
        <v>887</v>
      </c>
      <c r="C2403" t="s">
        <v>873</v>
      </c>
      <c r="D2403" t="s">
        <v>48</v>
      </c>
      <c r="E2403" s="17">
        <v>5.5</v>
      </c>
      <c r="F2403" s="17">
        <v>95</v>
      </c>
      <c r="G2403" s="18">
        <v>522.5</v>
      </c>
      <c r="H2403" s="30" t="s">
        <v>2297</v>
      </c>
      <c r="J2403" s="34"/>
    </row>
    <row r="2404" spans="1:10" x14ac:dyDescent="0.25">
      <c r="A2404" s="15">
        <v>41067</v>
      </c>
      <c r="B2404" s="16" t="s">
        <v>877</v>
      </c>
      <c r="C2404" t="s">
        <v>868</v>
      </c>
      <c r="D2404" t="s">
        <v>48</v>
      </c>
      <c r="E2404" s="17">
        <v>4</v>
      </c>
      <c r="F2404" s="17">
        <v>90</v>
      </c>
      <c r="G2404" s="18">
        <v>360</v>
      </c>
      <c r="H2404" s="30" t="s">
        <v>2297</v>
      </c>
      <c r="J2404" s="34"/>
    </row>
    <row r="2405" spans="1:10" x14ac:dyDescent="0.25">
      <c r="A2405" s="15">
        <v>41068</v>
      </c>
      <c r="B2405" s="16" t="s">
        <v>865</v>
      </c>
      <c r="C2405" t="s">
        <v>8</v>
      </c>
      <c r="D2405" t="s">
        <v>48</v>
      </c>
      <c r="E2405" s="17">
        <v>5</v>
      </c>
      <c r="F2405" s="17">
        <v>35.35</v>
      </c>
      <c r="G2405" s="18">
        <v>176.75</v>
      </c>
      <c r="H2405" s="30" t="s">
        <v>2297</v>
      </c>
      <c r="J2405" s="34"/>
    </row>
    <row r="2406" spans="1:10" x14ac:dyDescent="0.25">
      <c r="A2406" s="15">
        <v>41068</v>
      </c>
      <c r="B2406" s="16" t="s">
        <v>867</v>
      </c>
      <c r="C2406" t="s">
        <v>868</v>
      </c>
      <c r="D2406" t="s">
        <v>48</v>
      </c>
      <c r="E2406" s="17">
        <v>4</v>
      </c>
      <c r="F2406" s="17">
        <v>90</v>
      </c>
      <c r="G2406" s="18">
        <v>360</v>
      </c>
      <c r="H2406" s="30" t="s">
        <v>2297</v>
      </c>
      <c r="J2406" s="34"/>
    </row>
    <row r="2407" spans="1:10" x14ac:dyDescent="0.25">
      <c r="A2407" s="15">
        <v>41068</v>
      </c>
      <c r="B2407" s="16" t="s">
        <v>865</v>
      </c>
      <c r="C2407" t="s">
        <v>8</v>
      </c>
      <c r="D2407" t="s">
        <v>48</v>
      </c>
      <c r="E2407" s="17">
        <v>2</v>
      </c>
      <c r="F2407" s="17">
        <v>35.35</v>
      </c>
      <c r="G2407" s="18">
        <v>70.7</v>
      </c>
      <c r="H2407" s="30" t="s">
        <v>2297</v>
      </c>
      <c r="J2407" s="34"/>
    </row>
    <row r="2408" spans="1:10" x14ac:dyDescent="0.25">
      <c r="A2408" s="15">
        <v>41068</v>
      </c>
      <c r="B2408" s="16" t="s">
        <v>865</v>
      </c>
      <c r="C2408" t="s">
        <v>8</v>
      </c>
      <c r="D2408" t="s">
        <v>48</v>
      </c>
      <c r="E2408" s="17">
        <v>5</v>
      </c>
      <c r="F2408" s="17">
        <v>48</v>
      </c>
      <c r="G2408" s="18">
        <v>240</v>
      </c>
      <c r="H2408" s="30" t="s">
        <v>2297</v>
      </c>
      <c r="J2408" s="34"/>
    </row>
    <row r="2409" spans="1:10" x14ac:dyDescent="0.25">
      <c r="A2409" s="15">
        <v>41068</v>
      </c>
      <c r="B2409" s="16" t="s">
        <v>969</v>
      </c>
      <c r="C2409" t="s">
        <v>934</v>
      </c>
      <c r="D2409" t="s">
        <v>48</v>
      </c>
      <c r="E2409" s="17">
        <v>5.5</v>
      </c>
      <c r="F2409" s="17">
        <v>100</v>
      </c>
      <c r="G2409" s="18">
        <v>550</v>
      </c>
      <c r="H2409" s="30" t="s">
        <v>2297</v>
      </c>
      <c r="J2409" s="34"/>
    </row>
    <row r="2410" spans="1:10" x14ac:dyDescent="0.25">
      <c r="A2410" s="15">
        <v>41068</v>
      </c>
      <c r="B2410" s="16" t="s">
        <v>887</v>
      </c>
      <c r="C2410" t="s">
        <v>873</v>
      </c>
      <c r="D2410" t="s">
        <v>48</v>
      </c>
      <c r="E2410" s="17">
        <v>3.5</v>
      </c>
      <c r="F2410" s="17">
        <v>95</v>
      </c>
      <c r="G2410" s="18">
        <v>332.5</v>
      </c>
      <c r="H2410" s="30" t="s">
        <v>2297</v>
      </c>
      <c r="J2410" s="34"/>
    </row>
    <row r="2411" spans="1:10" x14ac:dyDescent="0.25">
      <c r="A2411" s="15">
        <v>41079</v>
      </c>
      <c r="B2411" s="16" t="s">
        <v>969</v>
      </c>
      <c r="C2411" t="s">
        <v>934</v>
      </c>
      <c r="D2411" t="s">
        <v>48</v>
      </c>
      <c r="E2411" s="17">
        <v>2</v>
      </c>
      <c r="F2411" s="17">
        <v>100</v>
      </c>
      <c r="G2411" s="18">
        <v>200</v>
      </c>
      <c r="H2411" s="30" t="s">
        <v>2297</v>
      </c>
      <c r="J2411" s="34"/>
    </row>
    <row r="2412" spans="1:10" x14ac:dyDescent="0.25">
      <c r="A2412" s="15">
        <v>41079</v>
      </c>
      <c r="B2412" s="16" t="s">
        <v>865</v>
      </c>
      <c r="C2412" t="s">
        <v>8</v>
      </c>
      <c r="D2412" t="s">
        <v>48</v>
      </c>
      <c r="E2412" s="17">
        <v>6.5</v>
      </c>
      <c r="F2412" s="17">
        <v>35.35</v>
      </c>
      <c r="G2412" s="18">
        <v>229.77500000000001</v>
      </c>
      <c r="H2412" s="30" t="s">
        <v>2297</v>
      </c>
      <c r="J2412" s="34"/>
    </row>
    <row r="2413" spans="1:10" x14ac:dyDescent="0.25">
      <c r="A2413" s="15">
        <v>41079</v>
      </c>
      <c r="B2413" s="16" t="s">
        <v>865</v>
      </c>
      <c r="C2413" t="s">
        <v>8</v>
      </c>
      <c r="D2413" t="s">
        <v>48</v>
      </c>
      <c r="E2413" s="17">
        <v>2.5</v>
      </c>
      <c r="F2413" s="17">
        <v>48</v>
      </c>
      <c r="G2413" s="18">
        <v>120</v>
      </c>
      <c r="H2413" s="30" t="s">
        <v>2297</v>
      </c>
      <c r="J2413" s="34"/>
    </row>
    <row r="2414" spans="1:10" x14ac:dyDescent="0.25">
      <c r="A2414" s="15">
        <v>41079</v>
      </c>
      <c r="B2414" s="16" t="s">
        <v>865</v>
      </c>
      <c r="C2414" t="s">
        <v>8</v>
      </c>
      <c r="D2414" t="s">
        <v>48</v>
      </c>
      <c r="E2414" s="17">
        <v>5.5</v>
      </c>
      <c r="F2414" s="17">
        <v>35.35</v>
      </c>
      <c r="G2414" s="18">
        <v>194.42500000000001</v>
      </c>
      <c r="H2414" s="30" t="s">
        <v>2297</v>
      </c>
      <c r="J2414" s="34"/>
    </row>
    <row r="2415" spans="1:10" x14ac:dyDescent="0.25">
      <c r="A2415" s="15">
        <v>41079</v>
      </c>
      <c r="B2415" s="16" t="s">
        <v>878</v>
      </c>
      <c r="C2415" t="s">
        <v>879</v>
      </c>
      <c r="D2415" t="s">
        <v>48</v>
      </c>
      <c r="E2415" s="17">
        <v>6</v>
      </c>
      <c r="F2415" s="17">
        <v>110</v>
      </c>
      <c r="G2415" s="18">
        <v>660</v>
      </c>
      <c r="H2415" s="30" t="s">
        <v>2297</v>
      </c>
      <c r="J2415" s="34"/>
    </row>
    <row r="2416" spans="1:10" x14ac:dyDescent="0.25">
      <c r="A2416" s="15">
        <v>41081</v>
      </c>
      <c r="B2416" s="16" t="s">
        <v>865</v>
      </c>
      <c r="C2416" t="s">
        <v>8</v>
      </c>
      <c r="D2416" t="s">
        <v>48</v>
      </c>
      <c r="E2416" s="17">
        <v>3</v>
      </c>
      <c r="F2416" s="17">
        <v>48</v>
      </c>
      <c r="G2416" s="18">
        <v>144</v>
      </c>
      <c r="H2416" s="30" t="s">
        <v>2297</v>
      </c>
      <c r="J2416" s="34"/>
    </row>
    <row r="2417" spans="1:10" x14ac:dyDescent="0.25">
      <c r="A2417" s="15">
        <v>41081</v>
      </c>
      <c r="B2417" s="16" t="s">
        <v>865</v>
      </c>
      <c r="C2417" t="s">
        <v>8</v>
      </c>
      <c r="D2417" t="s">
        <v>48</v>
      </c>
      <c r="E2417" s="17">
        <v>3</v>
      </c>
      <c r="F2417" s="17">
        <v>35.35</v>
      </c>
      <c r="G2417" s="18">
        <v>106.05</v>
      </c>
      <c r="H2417" s="30" t="s">
        <v>2297</v>
      </c>
      <c r="J2417" s="34"/>
    </row>
    <row r="2418" spans="1:10" ht="30" x14ac:dyDescent="0.25">
      <c r="A2418" s="15">
        <v>41090</v>
      </c>
      <c r="B2418" s="16" t="s">
        <v>1043</v>
      </c>
      <c r="C2418" t="s">
        <v>959</v>
      </c>
      <c r="D2418" t="s">
        <v>783</v>
      </c>
      <c r="E2418" s="17">
        <v>1</v>
      </c>
      <c r="F2418" s="17">
        <v>3300</v>
      </c>
      <c r="G2418" s="18">
        <v>3300</v>
      </c>
      <c r="H2418" s="30" t="s">
        <v>2297</v>
      </c>
      <c r="J2418" s="34"/>
    </row>
    <row r="2419" spans="1:10" x14ac:dyDescent="0.25">
      <c r="A2419" s="15">
        <v>41092</v>
      </c>
      <c r="B2419" s="16" t="s">
        <v>865</v>
      </c>
      <c r="C2419" t="s">
        <v>8</v>
      </c>
      <c r="D2419" t="s">
        <v>48</v>
      </c>
      <c r="E2419" s="17">
        <v>4.5</v>
      </c>
      <c r="F2419" s="17">
        <v>35.35</v>
      </c>
      <c r="G2419" s="18">
        <v>159.07499999999999</v>
      </c>
      <c r="H2419" s="30" t="s">
        <v>2297</v>
      </c>
      <c r="J2419" s="34"/>
    </row>
    <row r="2420" spans="1:10" x14ac:dyDescent="0.25">
      <c r="A2420" s="15">
        <v>41092</v>
      </c>
      <c r="B2420" s="16" t="s">
        <v>865</v>
      </c>
      <c r="C2420" t="s">
        <v>8</v>
      </c>
      <c r="D2420" t="s">
        <v>48</v>
      </c>
      <c r="E2420" s="17">
        <v>4.5</v>
      </c>
      <c r="F2420" s="17">
        <v>48</v>
      </c>
      <c r="G2420" s="18">
        <v>216</v>
      </c>
      <c r="H2420" s="30" t="s">
        <v>2297</v>
      </c>
      <c r="J2420" s="34"/>
    </row>
    <row r="2421" spans="1:10" x14ac:dyDescent="0.25">
      <c r="A2421" s="15">
        <v>41114</v>
      </c>
      <c r="B2421" s="16" t="s">
        <v>865</v>
      </c>
      <c r="C2421" t="s">
        <v>8</v>
      </c>
      <c r="D2421" t="s">
        <v>48</v>
      </c>
      <c r="E2421" s="17">
        <v>4.5</v>
      </c>
      <c r="F2421" s="17">
        <v>35.35</v>
      </c>
      <c r="G2421" s="18">
        <v>159.07499999999999</v>
      </c>
      <c r="H2421" s="30" t="s">
        <v>2297</v>
      </c>
      <c r="J2421" s="34"/>
    </row>
    <row r="2422" spans="1:10" x14ac:dyDescent="0.25">
      <c r="A2422" s="15">
        <v>41115</v>
      </c>
      <c r="B2422" s="16" t="s">
        <v>887</v>
      </c>
      <c r="C2422" t="s">
        <v>873</v>
      </c>
      <c r="D2422" t="s">
        <v>48</v>
      </c>
      <c r="E2422" s="17">
        <v>3</v>
      </c>
      <c r="F2422" s="17">
        <v>95</v>
      </c>
      <c r="G2422" s="18">
        <v>285</v>
      </c>
      <c r="H2422" s="30" t="s">
        <v>2297</v>
      </c>
      <c r="J2422" s="34"/>
    </row>
    <row r="2423" spans="1:10" x14ac:dyDescent="0.25">
      <c r="A2423" s="15">
        <v>41127</v>
      </c>
      <c r="B2423" s="16" t="s">
        <v>865</v>
      </c>
      <c r="C2423" t="s">
        <v>8</v>
      </c>
      <c r="D2423" t="s">
        <v>48</v>
      </c>
      <c r="E2423" s="17">
        <v>3.5</v>
      </c>
      <c r="F2423" s="17">
        <v>35.35</v>
      </c>
      <c r="G2423" s="18">
        <v>123.72499999999999</v>
      </c>
      <c r="H2423" s="30" t="s">
        <v>2297</v>
      </c>
      <c r="J2423" s="34"/>
    </row>
    <row r="2424" spans="1:10" x14ac:dyDescent="0.25">
      <c r="A2424" s="15">
        <v>41127</v>
      </c>
      <c r="B2424" s="16" t="s">
        <v>865</v>
      </c>
      <c r="C2424" t="s">
        <v>8</v>
      </c>
      <c r="D2424" t="s">
        <v>48</v>
      </c>
      <c r="E2424" s="17">
        <v>3.5</v>
      </c>
      <c r="F2424" s="17">
        <v>35.35</v>
      </c>
      <c r="G2424" s="18">
        <v>123.72499999999999</v>
      </c>
      <c r="H2424" s="30" t="s">
        <v>2297</v>
      </c>
      <c r="J2424" s="34"/>
    </row>
    <row r="2425" spans="1:10" x14ac:dyDescent="0.25">
      <c r="A2425" s="15">
        <v>41127</v>
      </c>
      <c r="B2425" s="16" t="s">
        <v>865</v>
      </c>
      <c r="C2425" t="s">
        <v>8</v>
      </c>
      <c r="D2425" t="s">
        <v>48</v>
      </c>
      <c r="E2425" s="17">
        <v>3.5</v>
      </c>
      <c r="F2425" s="17">
        <v>48</v>
      </c>
      <c r="G2425" s="18">
        <v>168</v>
      </c>
      <c r="H2425" s="30" t="s">
        <v>2297</v>
      </c>
      <c r="J2425" s="34"/>
    </row>
    <row r="2426" spans="1:10" x14ac:dyDescent="0.25">
      <c r="A2426" s="15">
        <v>41127</v>
      </c>
      <c r="B2426" s="16" t="s">
        <v>865</v>
      </c>
      <c r="C2426" t="s">
        <v>8</v>
      </c>
      <c r="D2426" t="s">
        <v>48</v>
      </c>
      <c r="E2426" s="17">
        <v>2.5</v>
      </c>
      <c r="F2426" s="17">
        <v>35.35</v>
      </c>
      <c r="G2426" s="18">
        <v>88.375</v>
      </c>
      <c r="H2426" s="30" t="s">
        <v>2297</v>
      </c>
      <c r="J2426" s="34"/>
    </row>
    <row r="2427" spans="1:10" x14ac:dyDescent="0.25">
      <c r="A2427" s="15">
        <v>41127</v>
      </c>
      <c r="B2427" s="16" t="s">
        <v>865</v>
      </c>
      <c r="C2427" t="s">
        <v>8</v>
      </c>
      <c r="D2427" t="s">
        <v>48</v>
      </c>
      <c r="E2427" s="17">
        <v>3.5</v>
      </c>
      <c r="F2427" s="17">
        <v>35.35</v>
      </c>
      <c r="G2427" s="18">
        <v>123.72499999999999</v>
      </c>
      <c r="H2427" s="30" t="s">
        <v>2297</v>
      </c>
      <c r="J2427" s="34"/>
    </row>
    <row r="2428" spans="1:10" x14ac:dyDescent="0.25">
      <c r="A2428" s="15">
        <v>41127</v>
      </c>
      <c r="B2428" s="16" t="s">
        <v>878</v>
      </c>
      <c r="C2428" t="s">
        <v>879</v>
      </c>
      <c r="D2428" t="s">
        <v>48</v>
      </c>
      <c r="E2428" s="17">
        <v>4.75</v>
      </c>
      <c r="F2428" s="17">
        <v>110</v>
      </c>
      <c r="G2428" s="18">
        <v>522.5</v>
      </c>
      <c r="H2428" s="30" t="s">
        <v>2297</v>
      </c>
      <c r="J2428" s="34"/>
    </row>
    <row r="2429" spans="1:10" x14ac:dyDescent="0.25">
      <c r="A2429" s="15">
        <v>41127</v>
      </c>
      <c r="B2429" s="16" t="s">
        <v>969</v>
      </c>
      <c r="C2429" t="s">
        <v>934</v>
      </c>
      <c r="D2429" t="s">
        <v>48</v>
      </c>
      <c r="E2429" s="17">
        <v>3</v>
      </c>
      <c r="F2429" s="17">
        <v>100</v>
      </c>
      <c r="G2429" s="18">
        <v>300</v>
      </c>
      <c r="H2429" s="30" t="s">
        <v>2297</v>
      </c>
      <c r="J2429" s="34"/>
    </row>
    <row r="2430" spans="1:10" x14ac:dyDescent="0.25">
      <c r="A2430" s="15">
        <v>41128</v>
      </c>
      <c r="B2430" s="16" t="s">
        <v>865</v>
      </c>
      <c r="C2430" t="s">
        <v>8</v>
      </c>
      <c r="D2430" t="s">
        <v>48</v>
      </c>
      <c r="E2430" s="17">
        <v>7</v>
      </c>
      <c r="F2430" s="17">
        <v>35.35</v>
      </c>
      <c r="G2430" s="18">
        <v>247.45</v>
      </c>
      <c r="H2430" s="30" t="s">
        <v>2297</v>
      </c>
      <c r="J2430" s="34"/>
    </row>
    <row r="2431" spans="1:10" x14ac:dyDescent="0.25">
      <c r="A2431" s="15">
        <v>41128</v>
      </c>
      <c r="B2431" s="16" t="s">
        <v>969</v>
      </c>
      <c r="C2431" t="s">
        <v>934</v>
      </c>
      <c r="D2431" t="s">
        <v>48</v>
      </c>
      <c r="E2431" s="17">
        <v>5</v>
      </c>
      <c r="F2431" s="17">
        <v>100</v>
      </c>
      <c r="G2431" s="18">
        <v>500</v>
      </c>
      <c r="H2431" s="30" t="s">
        <v>2297</v>
      </c>
      <c r="J2431" s="34"/>
    </row>
    <row r="2432" spans="1:10" x14ac:dyDescent="0.25">
      <c r="A2432" s="15">
        <v>41128</v>
      </c>
      <c r="B2432" s="16" t="s">
        <v>865</v>
      </c>
      <c r="C2432" t="s">
        <v>8</v>
      </c>
      <c r="D2432" t="s">
        <v>48</v>
      </c>
      <c r="E2432" s="17">
        <v>7</v>
      </c>
      <c r="F2432" s="17">
        <v>35.35</v>
      </c>
      <c r="G2432" s="18">
        <v>247.45</v>
      </c>
      <c r="H2432" s="30" t="s">
        <v>2297</v>
      </c>
      <c r="J2432" s="34"/>
    </row>
    <row r="2433" spans="1:10" x14ac:dyDescent="0.25">
      <c r="A2433" s="15">
        <v>41128</v>
      </c>
      <c r="B2433" s="16" t="s">
        <v>865</v>
      </c>
      <c r="C2433" t="s">
        <v>8</v>
      </c>
      <c r="D2433" t="s">
        <v>48</v>
      </c>
      <c r="E2433" s="17">
        <v>7</v>
      </c>
      <c r="F2433" s="17">
        <v>35.35</v>
      </c>
      <c r="G2433" s="18">
        <v>247.45</v>
      </c>
      <c r="H2433" s="30" t="s">
        <v>2297</v>
      </c>
      <c r="J2433" s="34"/>
    </row>
    <row r="2434" spans="1:10" x14ac:dyDescent="0.25">
      <c r="A2434" s="15">
        <v>41128</v>
      </c>
      <c r="B2434" s="16" t="s">
        <v>878</v>
      </c>
      <c r="C2434" t="s">
        <v>879</v>
      </c>
      <c r="D2434" t="s">
        <v>48</v>
      </c>
      <c r="E2434" s="17">
        <v>4.5</v>
      </c>
      <c r="F2434" s="17">
        <v>110</v>
      </c>
      <c r="G2434" s="18">
        <v>495</v>
      </c>
      <c r="H2434" s="30" t="s">
        <v>2297</v>
      </c>
      <c r="J2434" s="34"/>
    </row>
    <row r="2435" spans="1:10" x14ac:dyDescent="0.25">
      <c r="A2435" s="15">
        <v>41128</v>
      </c>
      <c r="B2435" s="16" t="s">
        <v>920</v>
      </c>
      <c r="C2435" t="s">
        <v>871</v>
      </c>
      <c r="D2435" t="s">
        <v>48</v>
      </c>
      <c r="E2435" s="17">
        <v>6.5</v>
      </c>
      <c r="F2435" s="17">
        <v>130</v>
      </c>
      <c r="G2435" s="18">
        <v>845</v>
      </c>
      <c r="H2435" s="30" t="s">
        <v>2297</v>
      </c>
      <c r="J2435" s="34"/>
    </row>
    <row r="2436" spans="1:10" x14ac:dyDescent="0.25">
      <c r="A2436" s="15">
        <v>41128</v>
      </c>
      <c r="B2436" s="16" t="s">
        <v>865</v>
      </c>
      <c r="C2436" t="s">
        <v>8</v>
      </c>
      <c r="D2436" t="s">
        <v>48</v>
      </c>
      <c r="E2436" s="17">
        <v>7</v>
      </c>
      <c r="F2436" s="17">
        <v>48</v>
      </c>
      <c r="G2436" s="18">
        <v>336</v>
      </c>
      <c r="H2436" s="30" t="s">
        <v>2297</v>
      </c>
      <c r="J2436" s="34"/>
    </row>
    <row r="2437" spans="1:10" x14ac:dyDescent="0.25">
      <c r="A2437" s="15">
        <v>41129</v>
      </c>
      <c r="B2437" s="16" t="s">
        <v>878</v>
      </c>
      <c r="C2437" t="s">
        <v>879</v>
      </c>
      <c r="D2437" t="s">
        <v>48</v>
      </c>
      <c r="E2437" s="17">
        <v>4.75</v>
      </c>
      <c r="F2437" s="17">
        <v>110</v>
      </c>
      <c r="G2437" s="18">
        <v>522.5</v>
      </c>
      <c r="H2437" s="30" t="s">
        <v>2297</v>
      </c>
      <c r="J2437" s="34"/>
    </row>
    <row r="2438" spans="1:10" x14ac:dyDescent="0.25">
      <c r="A2438" s="15">
        <v>41129</v>
      </c>
      <c r="B2438" s="16" t="s">
        <v>865</v>
      </c>
      <c r="C2438" t="s">
        <v>8</v>
      </c>
      <c r="D2438" t="s">
        <v>48</v>
      </c>
      <c r="E2438" s="17">
        <v>8</v>
      </c>
      <c r="F2438" s="17">
        <v>35.35</v>
      </c>
      <c r="G2438" s="18">
        <v>282.8</v>
      </c>
      <c r="H2438" s="30" t="s">
        <v>2297</v>
      </c>
      <c r="J2438" s="34"/>
    </row>
    <row r="2439" spans="1:10" x14ac:dyDescent="0.25">
      <c r="A2439" s="15">
        <v>41129</v>
      </c>
      <c r="B2439" s="16" t="s">
        <v>865</v>
      </c>
      <c r="C2439" t="s">
        <v>8</v>
      </c>
      <c r="D2439" t="s">
        <v>48</v>
      </c>
      <c r="E2439" s="17">
        <v>2.5</v>
      </c>
      <c r="F2439" s="17">
        <v>35.35</v>
      </c>
      <c r="G2439" s="18">
        <v>88.375</v>
      </c>
      <c r="H2439" s="30" t="s">
        <v>2297</v>
      </c>
      <c r="J2439" s="34"/>
    </row>
    <row r="2440" spans="1:10" x14ac:dyDescent="0.25">
      <c r="A2440" s="15">
        <v>41129</v>
      </c>
      <c r="B2440" s="16" t="s">
        <v>969</v>
      </c>
      <c r="C2440" t="s">
        <v>934</v>
      </c>
      <c r="D2440" t="s">
        <v>48</v>
      </c>
      <c r="E2440" s="17">
        <v>7.5</v>
      </c>
      <c r="F2440" s="17">
        <v>100</v>
      </c>
      <c r="G2440" s="18">
        <v>750</v>
      </c>
      <c r="H2440" s="30" t="s">
        <v>2297</v>
      </c>
      <c r="J2440" s="34"/>
    </row>
    <row r="2441" spans="1:10" x14ac:dyDescent="0.25">
      <c r="A2441" s="15">
        <v>41129</v>
      </c>
      <c r="B2441" s="16" t="s">
        <v>865</v>
      </c>
      <c r="C2441" t="s">
        <v>8</v>
      </c>
      <c r="D2441" t="s">
        <v>48</v>
      </c>
      <c r="E2441" s="17">
        <v>8</v>
      </c>
      <c r="F2441" s="17">
        <v>35.35</v>
      </c>
      <c r="G2441" s="18">
        <v>282.8</v>
      </c>
      <c r="H2441" s="30" t="s">
        <v>2297</v>
      </c>
      <c r="J2441" s="34"/>
    </row>
    <row r="2442" spans="1:10" x14ac:dyDescent="0.25">
      <c r="A2442" s="15">
        <v>41129</v>
      </c>
      <c r="B2442" s="16" t="s">
        <v>887</v>
      </c>
      <c r="C2442" t="s">
        <v>873</v>
      </c>
      <c r="D2442" t="s">
        <v>48</v>
      </c>
      <c r="E2442" s="17">
        <v>7</v>
      </c>
      <c r="F2442" s="17">
        <v>95</v>
      </c>
      <c r="G2442" s="18">
        <v>665</v>
      </c>
      <c r="H2442" s="30" t="s">
        <v>2297</v>
      </c>
      <c r="J2442" s="34"/>
    </row>
    <row r="2443" spans="1:10" x14ac:dyDescent="0.25">
      <c r="A2443" s="15">
        <v>41129</v>
      </c>
      <c r="B2443" s="16" t="s">
        <v>865</v>
      </c>
      <c r="C2443" t="s">
        <v>8</v>
      </c>
      <c r="D2443" t="s">
        <v>48</v>
      </c>
      <c r="E2443" s="17">
        <v>8</v>
      </c>
      <c r="F2443" s="17">
        <v>48</v>
      </c>
      <c r="G2443" s="18">
        <v>384</v>
      </c>
      <c r="H2443" s="30" t="s">
        <v>2297</v>
      </c>
      <c r="J2443" s="34"/>
    </row>
    <row r="2444" spans="1:10" x14ac:dyDescent="0.25">
      <c r="A2444" s="15">
        <v>41130</v>
      </c>
      <c r="B2444" s="16" t="s">
        <v>969</v>
      </c>
      <c r="C2444" t="s">
        <v>934</v>
      </c>
      <c r="D2444" t="s">
        <v>48</v>
      </c>
      <c r="E2444" s="17">
        <v>7</v>
      </c>
      <c r="F2444" s="17">
        <v>100</v>
      </c>
      <c r="G2444" s="18">
        <v>700</v>
      </c>
      <c r="H2444" s="30" t="s">
        <v>2297</v>
      </c>
      <c r="J2444" s="34"/>
    </row>
    <row r="2445" spans="1:10" x14ac:dyDescent="0.25">
      <c r="A2445" s="15">
        <v>41130</v>
      </c>
      <c r="B2445" s="16" t="s">
        <v>865</v>
      </c>
      <c r="C2445" t="s">
        <v>8</v>
      </c>
      <c r="D2445" t="s">
        <v>48</v>
      </c>
      <c r="E2445" s="17">
        <v>7.5</v>
      </c>
      <c r="F2445" s="17">
        <v>35.35</v>
      </c>
      <c r="G2445" s="18">
        <v>265.125</v>
      </c>
      <c r="H2445" s="30" t="s">
        <v>2297</v>
      </c>
      <c r="J2445" s="34"/>
    </row>
    <row r="2446" spans="1:10" x14ac:dyDescent="0.25">
      <c r="A2446" s="15">
        <v>41130</v>
      </c>
      <c r="B2446" s="16" t="s">
        <v>878</v>
      </c>
      <c r="C2446" t="s">
        <v>879</v>
      </c>
      <c r="D2446" t="s">
        <v>48</v>
      </c>
      <c r="E2446" s="17">
        <v>6.5</v>
      </c>
      <c r="F2446" s="17">
        <v>110</v>
      </c>
      <c r="G2446" s="18">
        <v>715</v>
      </c>
      <c r="H2446" s="30" t="s">
        <v>2297</v>
      </c>
      <c r="J2446" s="34"/>
    </row>
    <row r="2447" spans="1:10" x14ac:dyDescent="0.25">
      <c r="A2447" s="15">
        <v>41130</v>
      </c>
      <c r="B2447" s="16" t="s">
        <v>887</v>
      </c>
      <c r="C2447" t="s">
        <v>873</v>
      </c>
      <c r="D2447" t="s">
        <v>48</v>
      </c>
      <c r="E2447" s="17">
        <v>8</v>
      </c>
      <c r="F2447" s="17">
        <v>95</v>
      </c>
      <c r="G2447" s="18">
        <v>760</v>
      </c>
      <c r="H2447" s="30" t="s">
        <v>2297</v>
      </c>
      <c r="J2447" s="34"/>
    </row>
    <row r="2448" spans="1:10" x14ac:dyDescent="0.25">
      <c r="A2448" s="15">
        <v>41130</v>
      </c>
      <c r="B2448" s="16" t="s">
        <v>865</v>
      </c>
      <c r="C2448" t="s">
        <v>8</v>
      </c>
      <c r="D2448" t="s">
        <v>48</v>
      </c>
      <c r="E2448" s="17">
        <v>10</v>
      </c>
      <c r="F2448" s="17">
        <v>48</v>
      </c>
      <c r="G2448" s="18">
        <v>480</v>
      </c>
      <c r="H2448" s="30" t="s">
        <v>2297</v>
      </c>
      <c r="J2448" s="34"/>
    </row>
    <row r="2449" spans="1:10" x14ac:dyDescent="0.25">
      <c r="A2449" s="15">
        <v>41130</v>
      </c>
      <c r="B2449" s="16" t="s">
        <v>865</v>
      </c>
      <c r="C2449" t="s">
        <v>8</v>
      </c>
      <c r="D2449" t="s">
        <v>48</v>
      </c>
      <c r="E2449" s="17">
        <v>9.5</v>
      </c>
      <c r="F2449" s="17">
        <v>35.35</v>
      </c>
      <c r="G2449" s="18">
        <v>335.82499999999999</v>
      </c>
      <c r="H2449" s="30" t="s">
        <v>2297</v>
      </c>
      <c r="J2449" s="34"/>
    </row>
    <row r="2450" spans="1:10" x14ac:dyDescent="0.25">
      <c r="A2450" s="15">
        <v>41130</v>
      </c>
      <c r="B2450" s="16" t="s">
        <v>865</v>
      </c>
      <c r="C2450" t="s">
        <v>8</v>
      </c>
      <c r="D2450" t="s">
        <v>48</v>
      </c>
      <c r="E2450" s="17">
        <v>9.5</v>
      </c>
      <c r="F2450" s="17">
        <v>35.35</v>
      </c>
      <c r="G2450" s="18">
        <v>335.82499999999999</v>
      </c>
      <c r="H2450" s="30" t="s">
        <v>2297</v>
      </c>
      <c r="J2450" s="34"/>
    </row>
    <row r="2451" spans="1:10" x14ac:dyDescent="0.25">
      <c r="A2451" s="15">
        <v>41130</v>
      </c>
      <c r="B2451" s="16" t="s">
        <v>876</v>
      </c>
      <c r="C2451" t="s">
        <v>8</v>
      </c>
      <c r="D2451" t="s">
        <v>48</v>
      </c>
      <c r="E2451" s="17">
        <v>3</v>
      </c>
      <c r="F2451" s="17">
        <v>95</v>
      </c>
      <c r="G2451" s="18">
        <v>285</v>
      </c>
      <c r="H2451" s="30" t="s">
        <v>2297</v>
      </c>
      <c r="J2451" s="34"/>
    </row>
    <row r="2452" spans="1:10" x14ac:dyDescent="0.25">
      <c r="A2452" s="15">
        <v>41131</v>
      </c>
      <c r="B2452" s="16" t="s">
        <v>896</v>
      </c>
      <c r="C2452" t="s">
        <v>8</v>
      </c>
      <c r="D2452" t="s">
        <v>48</v>
      </c>
      <c r="E2452" s="17">
        <v>6</v>
      </c>
      <c r="F2452" s="17">
        <v>34.81</v>
      </c>
      <c r="G2452" s="18">
        <v>208.86</v>
      </c>
      <c r="H2452" s="30" t="s">
        <v>2297</v>
      </c>
      <c r="J2452" s="34"/>
    </row>
    <row r="2453" spans="1:10" x14ac:dyDescent="0.25">
      <c r="A2453" s="15">
        <v>41131</v>
      </c>
      <c r="B2453" s="16" t="s">
        <v>865</v>
      </c>
      <c r="C2453" t="s">
        <v>8</v>
      </c>
      <c r="D2453" t="s">
        <v>48</v>
      </c>
      <c r="E2453" s="17">
        <v>3</v>
      </c>
      <c r="F2453" s="17">
        <v>35.35</v>
      </c>
      <c r="G2453" s="18">
        <v>106.05</v>
      </c>
      <c r="H2453" s="30" t="s">
        <v>2297</v>
      </c>
      <c r="J2453" s="34"/>
    </row>
    <row r="2454" spans="1:10" x14ac:dyDescent="0.25">
      <c r="A2454" s="15">
        <v>41131</v>
      </c>
      <c r="B2454" s="16" t="s">
        <v>986</v>
      </c>
      <c r="C2454" t="s">
        <v>974</v>
      </c>
      <c r="D2454" t="s">
        <v>774</v>
      </c>
      <c r="E2454" s="17">
        <v>1</v>
      </c>
      <c r="F2454" s="17">
        <v>365</v>
      </c>
      <c r="G2454" s="18">
        <v>365</v>
      </c>
      <c r="H2454" s="30" t="s">
        <v>2297</v>
      </c>
      <c r="J2454" s="34"/>
    </row>
    <row r="2455" spans="1:10" x14ac:dyDescent="0.25">
      <c r="A2455" s="15">
        <v>41131</v>
      </c>
      <c r="B2455" s="16" t="s">
        <v>878</v>
      </c>
      <c r="C2455" t="s">
        <v>879</v>
      </c>
      <c r="D2455" t="s">
        <v>48</v>
      </c>
      <c r="E2455" s="17">
        <v>3</v>
      </c>
      <c r="F2455" s="17">
        <v>110</v>
      </c>
      <c r="G2455" s="18">
        <v>330</v>
      </c>
      <c r="H2455" s="30" t="s">
        <v>2297</v>
      </c>
      <c r="J2455" s="34"/>
    </row>
    <row r="2456" spans="1:10" x14ac:dyDescent="0.25">
      <c r="A2456" s="15">
        <v>41131</v>
      </c>
      <c r="B2456" s="16" t="s">
        <v>865</v>
      </c>
      <c r="C2456" t="s">
        <v>8</v>
      </c>
      <c r="D2456" t="s">
        <v>48</v>
      </c>
      <c r="E2456" s="17">
        <v>1.5</v>
      </c>
      <c r="F2456" s="17">
        <v>35.35</v>
      </c>
      <c r="G2456" s="18">
        <v>53.024999999999999</v>
      </c>
      <c r="H2456" s="30" t="s">
        <v>2297</v>
      </c>
      <c r="J2456" s="34"/>
    </row>
    <row r="2457" spans="1:10" x14ac:dyDescent="0.25">
      <c r="A2457" s="15">
        <v>41131</v>
      </c>
      <c r="B2457" s="16" t="s">
        <v>865</v>
      </c>
      <c r="C2457" t="s">
        <v>8</v>
      </c>
      <c r="D2457" t="s">
        <v>48</v>
      </c>
      <c r="E2457" s="17">
        <v>3</v>
      </c>
      <c r="F2457" s="17">
        <v>35.35</v>
      </c>
      <c r="G2457" s="18">
        <v>106.05</v>
      </c>
      <c r="H2457" s="30" t="s">
        <v>2297</v>
      </c>
      <c r="J2457" s="34"/>
    </row>
    <row r="2458" spans="1:10" x14ac:dyDescent="0.25">
      <c r="A2458" s="15">
        <v>41131</v>
      </c>
      <c r="B2458" s="16" t="s">
        <v>887</v>
      </c>
      <c r="C2458" t="s">
        <v>873</v>
      </c>
      <c r="D2458" t="s">
        <v>48</v>
      </c>
      <c r="E2458" s="17">
        <v>2</v>
      </c>
      <c r="F2458" s="17">
        <v>95</v>
      </c>
      <c r="G2458" s="18">
        <v>190</v>
      </c>
      <c r="H2458" s="30" t="s">
        <v>2297</v>
      </c>
      <c r="J2458" s="34"/>
    </row>
    <row r="2459" spans="1:10" x14ac:dyDescent="0.25">
      <c r="A2459" s="15">
        <v>41132</v>
      </c>
      <c r="B2459" s="16" t="s">
        <v>865</v>
      </c>
      <c r="C2459" t="s">
        <v>8</v>
      </c>
      <c r="D2459" t="s">
        <v>48</v>
      </c>
      <c r="E2459" s="17">
        <v>2.5</v>
      </c>
      <c r="F2459" s="17">
        <v>35.35</v>
      </c>
      <c r="G2459" s="18">
        <v>88.375</v>
      </c>
      <c r="H2459" s="30" t="s">
        <v>2297</v>
      </c>
      <c r="J2459" s="34"/>
    </row>
    <row r="2460" spans="1:10" x14ac:dyDescent="0.25">
      <c r="A2460" s="15">
        <v>41132</v>
      </c>
      <c r="B2460" s="16" t="s">
        <v>986</v>
      </c>
      <c r="C2460" t="s">
        <v>974</v>
      </c>
      <c r="D2460" t="s">
        <v>774</v>
      </c>
      <c r="E2460" s="17">
        <v>1</v>
      </c>
      <c r="F2460" s="17">
        <v>365</v>
      </c>
      <c r="G2460" s="18">
        <v>365</v>
      </c>
      <c r="H2460" s="30" t="s">
        <v>2297</v>
      </c>
      <c r="J2460" s="34"/>
    </row>
    <row r="2461" spans="1:10" x14ac:dyDescent="0.25">
      <c r="A2461" s="15">
        <v>41132</v>
      </c>
      <c r="B2461" s="16" t="s">
        <v>865</v>
      </c>
      <c r="C2461" t="s">
        <v>8</v>
      </c>
      <c r="D2461" t="s">
        <v>48</v>
      </c>
      <c r="E2461" s="17">
        <v>2.5</v>
      </c>
      <c r="F2461" s="17">
        <v>35.35</v>
      </c>
      <c r="G2461" s="18">
        <v>88.375</v>
      </c>
      <c r="H2461" s="30" t="s">
        <v>2297</v>
      </c>
      <c r="J2461" s="34"/>
    </row>
    <row r="2462" spans="1:10" x14ac:dyDescent="0.25">
      <c r="A2462" s="15">
        <v>41132</v>
      </c>
      <c r="B2462" s="16" t="s">
        <v>865</v>
      </c>
      <c r="C2462" t="s">
        <v>8</v>
      </c>
      <c r="D2462" t="s">
        <v>48</v>
      </c>
      <c r="E2462" s="17">
        <v>2.5</v>
      </c>
      <c r="F2462" s="17">
        <v>35.35</v>
      </c>
      <c r="G2462" s="18">
        <v>88.375</v>
      </c>
      <c r="H2462" s="30" t="s">
        <v>2297</v>
      </c>
      <c r="J2462" s="34"/>
    </row>
    <row r="2463" spans="1:10" x14ac:dyDescent="0.25">
      <c r="A2463" s="15">
        <v>41137</v>
      </c>
      <c r="B2463" s="16" t="s">
        <v>878</v>
      </c>
      <c r="C2463" t="s">
        <v>879</v>
      </c>
      <c r="D2463" t="s">
        <v>48</v>
      </c>
      <c r="E2463" s="17">
        <v>3</v>
      </c>
      <c r="F2463" s="17">
        <v>110</v>
      </c>
      <c r="G2463" s="18">
        <v>330</v>
      </c>
      <c r="H2463" s="30" t="s">
        <v>2297</v>
      </c>
      <c r="J2463" s="34"/>
    </row>
    <row r="2464" spans="1:10" x14ac:dyDescent="0.25">
      <c r="A2464" s="15">
        <v>41137</v>
      </c>
      <c r="B2464" s="16" t="s">
        <v>949</v>
      </c>
      <c r="C2464" t="s">
        <v>950</v>
      </c>
      <c r="D2464" t="s">
        <v>48</v>
      </c>
      <c r="E2464" s="17">
        <v>4</v>
      </c>
      <c r="F2464" s="17">
        <v>135</v>
      </c>
      <c r="G2464" s="18">
        <v>540</v>
      </c>
      <c r="H2464" s="30" t="s">
        <v>2297</v>
      </c>
      <c r="J2464" s="34"/>
    </row>
    <row r="2465" spans="1:10" x14ac:dyDescent="0.25">
      <c r="A2465" s="15">
        <v>41137</v>
      </c>
      <c r="B2465" s="16" t="s">
        <v>1048</v>
      </c>
      <c r="C2465" t="s">
        <v>8</v>
      </c>
      <c r="D2465" t="s">
        <v>48</v>
      </c>
      <c r="E2465" s="17">
        <v>4</v>
      </c>
      <c r="F2465" s="17">
        <v>48</v>
      </c>
      <c r="G2465" s="18">
        <v>192</v>
      </c>
      <c r="H2465" s="30" t="s">
        <v>2297</v>
      </c>
      <c r="J2465" s="34"/>
    </row>
    <row r="2466" spans="1:10" x14ac:dyDescent="0.25">
      <c r="A2466" s="15">
        <v>41137</v>
      </c>
      <c r="B2466" s="16" t="s">
        <v>865</v>
      </c>
      <c r="C2466" t="s">
        <v>8</v>
      </c>
      <c r="D2466" t="s">
        <v>48</v>
      </c>
      <c r="E2466" s="17">
        <v>6.5</v>
      </c>
      <c r="F2466" s="17">
        <v>35.35</v>
      </c>
      <c r="G2466" s="18">
        <v>229.77500000000001</v>
      </c>
      <c r="H2466" s="30" t="s">
        <v>2297</v>
      </c>
      <c r="J2466" s="34"/>
    </row>
    <row r="2467" spans="1:10" x14ac:dyDescent="0.25">
      <c r="A2467" s="15">
        <v>41145</v>
      </c>
      <c r="B2467" s="16" t="s">
        <v>865</v>
      </c>
      <c r="C2467" t="s">
        <v>8</v>
      </c>
      <c r="D2467" t="s">
        <v>48</v>
      </c>
      <c r="E2467" s="17">
        <v>2</v>
      </c>
      <c r="F2467" s="17">
        <v>35.35</v>
      </c>
      <c r="G2467" s="18">
        <v>70.7</v>
      </c>
      <c r="H2467" s="30" t="s">
        <v>2297</v>
      </c>
      <c r="J2467" s="34"/>
    </row>
    <row r="2468" spans="1:10" x14ac:dyDescent="0.25">
      <c r="A2468" s="15">
        <v>41145</v>
      </c>
      <c r="B2468" s="16" t="s">
        <v>949</v>
      </c>
      <c r="C2468" t="s">
        <v>950</v>
      </c>
      <c r="D2468" t="s">
        <v>48</v>
      </c>
      <c r="E2468" s="17">
        <v>5</v>
      </c>
      <c r="F2468" s="17">
        <v>135</v>
      </c>
      <c r="G2468" s="18">
        <v>675</v>
      </c>
      <c r="H2468" s="30" t="s">
        <v>2297</v>
      </c>
      <c r="J2468" s="34"/>
    </row>
    <row r="2469" spans="1:10" x14ac:dyDescent="0.25">
      <c r="A2469" s="15">
        <v>41145</v>
      </c>
      <c r="B2469" s="16" t="s">
        <v>878</v>
      </c>
      <c r="C2469" t="s">
        <v>879</v>
      </c>
      <c r="D2469" t="s">
        <v>48</v>
      </c>
      <c r="E2469" s="17">
        <v>2</v>
      </c>
      <c r="F2469" s="17">
        <v>110</v>
      </c>
      <c r="G2469" s="18">
        <v>220</v>
      </c>
      <c r="H2469" s="30" t="s">
        <v>2297</v>
      </c>
      <c r="J2469" s="34"/>
    </row>
    <row r="2470" spans="1:10" x14ac:dyDescent="0.25">
      <c r="A2470" s="15">
        <v>41145</v>
      </c>
      <c r="B2470" s="16" t="s">
        <v>865</v>
      </c>
      <c r="C2470" t="s">
        <v>8</v>
      </c>
      <c r="D2470" t="s">
        <v>48</v>
      </c>
      <c r="E2470" s="17">
        <v>2</v>
      </c>
      <c r="F2470" s="17">
        <v>35.35</v>
      </c>
      <c r="G2470" s="18">
        <v>70.7</v>
      </c>
      <c r="H2470" s="30" t="s">
        <v>2297</v>
      </c>
      <c r="J2470" s="34"/>
    </row>
    <row r="2471" spans="1:10" x14ac:dyDescent="0.25">
      <c r="A2471" s="15">
        <v>41145</v>
      </c>
      <c r="B2471" s="16" t="s">
        <v>882</v>
      </c>
      <c r="C2471" t="s">
        <v>8</v>
      </c>
      <c r="D2471" t="s">
        <v>48</v>
      </c>
      <c r="E2471" s="17">
        <v>2</v>
      </c>
      <c r="F2471" s="17">
        <v>48</v>
      </c>
      <c r="G2471" s="18">
        <v>96</v>
      </c>
      <c r="H2471" s="30" t="s">
        <v>2297</v>
      </c>
      <c r="J2471" s="34"/>
    </row>
    <row r="2472" spans="1:10" x14ac:dyDescent="0.25">
      <c r="A2472" s="15">
        <v>41145</v>
      </c>
      <c r="B2472" s="16" t="s">
        <v>865</v>
      </c>
      <c r="C2472" t="s">
        <v>8</v>
      </c>
      <c r="D2472" t="s">
        <v>48</v>
      </c>
      <c r="E2472" s="17">
        <v>2</v>
      </c>
      <c r="F2472" s="17">
        <v>35.35</v>
      </c>
      <c r="G2472" s="18">
        <v>70.7</v>
      </c>
      <c r="H2472" s="30" t="s">
        <v>2297</v>
      </c>
      <c r="J2472" s="34"/>
    </row>
    <row r="2473" spans="1:10" x14ac:dyDescent="0.25">
      <c r="A2473" s="15">
        <v>41145</v>
      </c>
      <c r="B2473" s="16" t="s">
        <v>865</v>
      </c>
      <c r="C2473" t="s">
        <v>8</v>
      </c>
      <c r="D2473" t="s">
        <v>48</v>
      </c>
      <c r="E2473" s="17">
        <v>2</v>
      </c>
      <c r="F2473" s="17">
        <v>35.35</v>
      </c>
      <c r="G2473" s="18">
        <v>70.7</v>
      </c>
      <c r="H2473" s="30" t="s">
        <v>2297</v>
      </c>
      <c r="J2473" s="34"/>
    </row>
    <row r="2474" spans="1:10" x14ac:dyDescent="0.25">
      <c r="A2474" s="15">
        <v>41145</v>
      </c>
      <c r="B2474" s="16" t="s">
        <v>887</v>
      </c>
      <c r="C2474" t="s">
        <v>873</v>
      </c>
      <c r="D2474" t="s">
        <v>48</v>
      </c>
      <c r="E2474" s="17">
        <v>2</v>
      </c>
      <c r="F2474" s="17">
        <v>95</v>
      </c>
      <c r="G2474" s="18">
        <v>190</v>
      </c>
      <c r="H2474" s="30" t="s">
        <v>2297</v>
      </c>
      <c r="J2474" s="34"/>
    </row>
    <row r="2475" spans="1:10" x14ac:dyDescent="0.25">
      <c r="A2475" s="15">
        <v>41148</v>
      </c>
      <c r="B2475" s="16" t="s">
        <v>887</v>
      </c>
      <c r="C2475" t="s">
        <v>873</v>
      </c>
      <c r="D2475" t="s">
        <v>48</v>
      </c>
      <c r="E2475" s="17">
        <v>3</v>
      </c>
      <c r="F2475" s="17">
        <v>95</v>
      </c>
      <c r="G2475" s="18">
        <v>285</v>
      </c>
      <c r="H2475" s="30" t="s">
        <v>2297</v>
      </c>
      <c r="J2475" s="34"/>
    </row>
    <row r="2476" spans="1:10" x14ac:dyDescent="0.25">
      <c r="A2476" s="15">
        <v>41148</v>
      </c>
      <c r="B2476" s="16" t="s">
        <v>949</v>
      </c>
      <c r="C2476" t="s">
        <v>950</v>
      </c>
      <c r="D2476" t="s">
        <v>48</v>
      </c>
      <c r="E2476" s="17">
        <v>3</v>
      </c>
      <c r="F2476" s="17">
        <v>135</v>
      </c>
      <c r="G2476" s="18">
        <v>405</v>
      </c>
      <c r="H2476" s="30" t="s">
        <v>2297</v>
      </c>
      <c r="J2476" s="34"/>
    </row>
    <row r="2477" spans="1:10" x14ac:dyDescent="0.25">
      <c r="A2477" s="15">
        <v>41148</v>
      </c>
      <c r="B2477" s="16" t="s">
        <v>865</v>
      </c>
      <c r="C2477" t="s">
        <v>8</v>
      </c>
      <c r="D2477" t="s">
        <v>48</v>
      </c>
      <c r="E2477" s="17">
        <v>2</v>
      </c>
      <c r="F2477" s="17">
        <v>35.35</v>
      </c>
      <c r="G2477" s="18">
        <v>70.7</v>
      </c>
      <c r="H2477" s="30" t="s">
        <v>2297</v>
      </c>
      <c r="J2477" s="34"/>
    </row>
    <row r="2478" spans="1:10" x14ac:dyDescent="0.25">
      <c r="A2478" s="15">
        <v>41148</v>
      </c>
      <c r="B2478" s="16" t="s">
        <v>865</v>
      </c>
      <c r="C2478" t="s">
        <v>8</v>
      </c>
      <c r="D2478" t="s">
        <v>48</v>
      </c>
      <c r="E2478" s="17">
        <v>4</v>
      </c>
      <c r="F2478" s="17">
        <v>35.35</v>
      </c>
      <c r="G2478" s="18">
        <v>141.4</v>
      </c>
      <c r="H2478" s="30" t="s">
        <v>2297</v>
      </c>
      <c r="J2478" s="34"/>
    </row>
    <row r="2479" spans="1:10" ht="30" x14ac:dyDescent="0.25">
      <c r="A2479" s="15">
        <v>41151</v>
      </c>
      <c r="B2479" s="16" t="s">
        <v>1069</v>
      </c>
      <c r="C2479" t="s">
        <v>974</v>
      </c>
      <c r="D2479" t="s">
        <v>783</v>
      </c>
      <c r="E2479" s="17">
        <v>1</v>
      </c>
      <c r="F2479" s="17">
        <v>2166.6660000000002</v>
      </c>
      <c r="G2479" s="18">
        <v>2166.6660000000002</v>
      </c>
      <c r="H2479" s="30" t="s">
        <v>2297</v>
      </c>
      <c r="J2479" s="34"/>
    </row>
    <row r="2480" spans="1:10" x14ac:dyDescent="0.25">
      <c r="A2480" s="15">
        <v>41153</v>
      </c>
      <c r="B2480" s="16" t="s">
        <v>878</v>
      </c>
      <c r="C2480" t="s">
        <v>879</v>
      </c>
      <c r="D2480" t="s">
        <v>48</v>
      </c>
      <c r="E2480" s="17">
        <v>6</v>
      </c>
      <c r="F2480" s="17">
        <v>110</v>
      </c>
      <c r="G2480" s="18">
        <v>660</v>
      </c>
      <c r="H2480" s="30" t="s">
        <v>2297</v>
      </c>
      <c r="J2480" s="34"/>
    </row>
    <row r="2481" spans="1:10" x14ac:dyDescent="0.25">
      <c r="A2481" s="15">
        <v>41153</v>
      </c>
      <c r="B2481" s="16" t="s">
        <v>865</v>
      </c>
      <c r="C2481" t="s">
        <v>8</v>
      </c>
      <c r="D2481" t="s">
        <v>48</v>
      </c>
      <c r="E2481" s="17">
        <v>6.5</v>
      </c>
      <c r="F2481" s="17">
        <v>35.35</v>
      </c>
      <c r="G2481" s="18">
        <v>229.77500000000001</v>
      </c>
      <c r="H2481" s="30" t="s">
        <v>2297</v>
      </c>
      <c r="J2481" s="34"/>
    </row>
    <row r="2482" spans="1:10" x14ac:dyDescent="0.25">
      <c r="A2482" s="15">
        <v>41155</v>
      </c>
      <c r="B2482" s="16" t="s">
        <v>865</v>
      </c>
      <c r="C2482" t="s">
        <v>8</v>
      </c>
      <c r="D2482" t="s">
        <v>48</v>
      </c>
      <c r="E2482" s="17">
        <v>4.5</v>
      </c>
      <c r="F2482" s="17">
        <v>35.35</v>
      </c>
      <c r="G2482" s="18">
        <v>159.07499999999999</v>
      </c>
      <c r="H2482" s="30" t="s">
        <v>2297</v>
      </c>
      <c r="J2482" s="34"/>
    </row>
    <row r="2483" spans="1:10" x14ac:dyDescent="0.25">
      <c r="A2483" s="15">
        <v>41155</v>
      </c>
      <c r="B2483" s="16" t="s">
        <v>882</v>
      </c>
      <c r="C2483" t="s">
        <v>8</v>
      </c>
      <c r="D2483" t="s">
        <v>48</v>
      </c>
      <c r="E2483" s="17">
        <v>5</v>
      </c>
      <c r="F2483" s="17">
        <v>48</v>
      </c>
      <c r="G2483" s="18">
        <v>240</v>
      </c>
      <c r="H2483" s="30" t="s">
        <v>2297</v>
      </c>
      <c r="J2483" s="34"/>
    </row>
    <row r="2484" spans="1:10" x14ac:dyDescent="0.25">
      <c r="A2484" s="15">
        <v>41155</v>
      </c>
      <c r="B2484" s="16" t="s">
        <v>949</v>
      </c>
      <c r="C2484" t="s">
        <v>950</v>
      </c>
      <c r="D2484" t="s">
        <v>48</v>
      </c>
      <c r="E2484" s="17">
        <v>3</v>
      </c>
      <c r="F2484" s="17">
        <v>135</v>
      </c>
      <c r="G2484" s="18">
        <v>405</v>
      </c>
      <c r="H2484" s="30" t="s">
        <v>2297</v>
      </c>
      <c r="J2484" s="34"/>
    </row>
    <row r="2485" spans="1:10" x14ac:dyDescent="0.25">
      <c r="A2485" s="15">
        <v>41155</v>
      </c>
      <c r="B2485" s="16" t="s">
        <v>887</v>
      </c>
      <c r="C2485" t="s">
        <v>873</v>
      </c>
      <c r="D2485" t="s">
        <v>48</v>
      </c>
      <c r="E2485" s="17">
        <v>3</v>
      </c>
      <c r="F2485" s="17">
        <v>95</v>
      </c>
      <c r="G2485" s="18">
        <v>285</v>
      </c>
      <c r="H2485" s="30" t="s">
        <v>2297</v>
      </c>
      <c r="J2485" s="34"/>
    </row>
    <row r="2486" spans="1:10" x14ac:dyDescent="0.25">
      <c r="A2486" s="15">
        <v>41155</v>
      </c>
      <c r="B2486" s="16" t="s">
        <v>878</v>
      </c>
      <c r="C2486" t="s">
        <v>879</v>
      </c>
      <c r="D2486" t="s">
        <v>48</v>
      </c>
      <c r="E2486" s="17">
        <v>5</v>
      </c>
      <c r="F2486" s="17">
        <v>110</v>
      </c>
      <c r="G2486" s="18">
        <v>550</v>
      </c>
      <c r="H2486" s="30" t="s">
        <v>2297</v>
      </c>
      <c r="J2486" s="34"/>
    </row>
    <row r="2487" spans="1:10" x14ac:dyDescent="0.25">
      <c r="A2487" s="15">
        <v>41163</v>
      </c>
      <c r="B2487" s="16" t="s">
        <v>882</v>
      </c>
      <c r="C2487" t="s">
        <v>8</v>
      </c>
      <c r="D2487" t="s">
        <v>48</v>
      </c>
      <c r="E2487" s="17">
        <v>6.5</v>
      </c>
      <c r="F2487" s="17">
        <v>48</v>
      </c>
      <c r="G2487" s="18">
        <v>312</v>
      </c>
      <c r="H2487" s="30" t="s">
        <v>2297</v>
      </c>
      <c r="J2487" s="34"/>
    </row>
    <row r="2488" spans="1:10" x14ac:dyDescent="0.25">
      <c r="A2488" s="15">
        <v>41163</v>
      </c>
      <c r="B2488" s="16" t="s">
        <v>865</v>
      </c>
      <c r="C2488" t="s">
        <v>8</v>
      </c>
      <c r="D2488" t="s">
        <v>48</v>
      </c>
      <c r="E2488" s="17">
        <v>4</v>
      </c>
      <c r="F2488" s="17">
        <v>35.35</v>
      </c>
      <c r="G2488" s="18">
        <v>141.4</v>
      </c>
      <c r="H2488" s="30" t="s">
        <v>2297</v>
      </c>
      <c r="J2488" s="34"/>
    </row>
    <row r="2489" spans="1:10" x14ac:dyDescent="0.25">
      <c r="A2489" s="15">
        <v>41163</v>
      </c>
      <c r="B2489" s="16" t="s">
        <v>865</v>
      </c>
      <c r="C2489" t="s">
        <v>8</v>
      </c>
      <c r="D2489" t="s">
        <v>48</v>
      </c>
      <c r="E2489" s="17">
        <v>6</v>
      </c>
      <c r="F2489" s="17">
        <v>35.35</v>
      </c>
      <c r="G2489" s="18">
        <v>212.1</v>
      </c>
      <c r="H2489" s="30" t="s">
        <v>2297</v>
      </c>
      <c r="J2489" s="34"/>
    </row>
    <row r="2490" spans="1:10" x14ac:dyDescent="0.25">
      <c r="A2490" s="15">
        <v>41163</v>
      </c>
      <c r="B2490" s="16" t="s">
        <v>882</v>
      </c>
      <c r="C2490" t="s">
        <v>8</v>
      </c>
      <c r="D2490" t="s">
        <v>48</v>
      </c>
      <c r="E2490" s="17">
        <v>6.5</v>
      </c>
      <c r="F2490" s="17">
        <v>48</v>
      </c>
      <c r="G2490" s="18">
        <v>312</v>
      </c>
      <c r="H2490" s="30" t="s">
        <v>2297</v>
      </c>
      <c r="J2490" s="34"/>
    </row>
    <row r="2491" spans="1:10" x14ac:dyDescent="0.25">
      <c r="A2491" s="15">
        <v>41163</v>
      </c>
      <c r="B2491" s="16" t="s">
        <v>949</v>
      </c>
      <c r="C2491" t="s">
        <v>950</v>
      </c>
      <c r="D2491" t="s">
        <v>48</v>
      </c>
      <c r="E2491" s="17">
        <v>6</v>
      </c>
      <c r="F2491" s="17">
        <v>135</v>
      </c>
      <c r="G2491" s="18">
        <v>810</v>
      </c>
      <c r="H2491" s="30" t="s">
        <v>2297</v>
      </c>
      <c r="J2491" s="34"/>
    </row>
    <row r="2492" spans="1:10" x14ac:dyDescent="0.25">
      <c r="A2492" s="15">
        <v>41163</v>
      </c>
      <c r="B2492" s="16" t="s">
        <v>949</v>
      </c>
      <c r="C2492" t="s">
        <v>950</v>
      </c>
      <c r="D2492" t="s">
        <v>48</v>
      </c>
      <c r="E2492" s="17">
        <v>6</v>
      </c>
      <c r="F2492" s="17">
        <v>135</v>
      </c>
      <c r="G2492" s="18">
        <v>810</v>
      </c>
      <c r="H2492" s="30" t="s">
        <v>2297</v>
      </c>
      <c r="J2492" s="34"/>
    </row>
    <row r="2493" spans="1:10" x14ac:dyDescent="0.25">
      <c r="A2493" s="15">
        <v>41163</v>
      </c>
      <c r="B2493" s="16" t="s">
        <v>865</v>
      </c>
      <c r="C2493" t="s">
        <v>8</v>
      </c>
      <c r="D2493" t="s">
        <v>48</v>
      </c>
      <c r="E2493" s="17">
        <v>6</v>
      </c>
      <c r="F2493" s="17">
        <v>35.35</v>
      </c>
      <c r="G2493" s="18">
        <v>212.1</v>
      </c>
      <c r="H2493" s="30" t="s">
        <v>2297</v>
      </c>
      <c r="J2493" s="34"/>
    </row>
    <row r="2494" spans="1:10" x14ac:dyDescent="0.25">
      <c r="A2494" s="15">
        <v>41163</v>
      </c>
      <c r="B2494" s="16" t="s">
        <v>865</v>
      </c>
      <c r="C2494" t="s">
        <v>8</v>
      </c>
      <c r="D2494" t="s">
        <v>48</v>
      </c>
      <c r="E2494" s="17">
        <v>4</v>
      </c>
      <c r="F2494" s="17">
        <v>35.35</v>
      </c>
      <c r="G2494" s="18">
        <v>141.4</v>
      </c>
      <c r="H2494" s="30" t="s">
        <v>2297</v>
      </c>
      <c r="J2494" s="34"/>
    </row>
    <row r="2495" spans="1:10" x14ac:dyDescent="0.25">
      <c r="A2495" s="15">
        <v>41164</v>
      </c>
      <c r="B2495" s="16" t="s">
        <v>874</v>
      </c>
      <c r="C2495" t="s">
        <v>875</v>
      </c>
      <c r="D2495" t="s">
        <v>48</v>
      </c>
      <c r="E2495" s="17">
        <v>5</v>
      </c>
      <c r="F2495" s="17">
        <v>25.78</v>
      </c>
      <c r="G2495" s="18">
        <v>128.9</v>
      </c>
      <c r="H2495" s="30" t="s">
        <v>2297</v>
      </c>
      <c r="J2495" s="34"/>
    </row>
    <row r="2496" spans="1:10" x14ac:dyDescent="0.25">
      <c r="A2496" s="15">
        <v>41164</v>
      </c>
      <c r="B2496" s="16" t="s">
        <v>865</v>
      </c>
      <c r="C2496" t="s">
        <v>8</v>
      </c>
      <c r="D2496" t="s">
        <v>48</v>
      </c>
      <c r="E2496" s="17">
        <v>4</v>
      </c>
      <c r="F2496" s="17">
        <v>35.35</v>
      </c>
      <c r="G2496" s="18">
        <v>141.4</v>
      </c>
      <c r="H2496" s="30" t="s">
        <v>2297</v>
      </c>
      <c r="J2496" s="34"/>
    </row>
    <row r="2497" spans="1:10" x14ac:dyDescent="0.25">
      <c r="A2497" s="15">
        <v>41164</v>
      </c>
      <c r="B2497" s="16" t="s">
        <v>865</v>
      </c>
      <c r="C2497" t="s">
        <v>8</v>
      </c>
      <c r="D2497" t="s">
        <v>48</v>
      </c>
      <c r="E2497" s="17">
        <v>4</v>
      </c>
      <c r="F2497" s="17">
        <v>35.35</v>
      </c>
      <c r="G2497" s="18">
        <v>141.4</v>
      </c>
      <c r="H2497" s="30" t="s">
        <v>2297</v>
      </c>
      <c r="J2497" s="34"/>
    </row>
    <row r="2498" spans="1:10" x14ac:dyDescent="0.25">
      <c r="A2498" s="15">
        <v>41164</v>
      </c>
      <c r="B2498" s="16" t="s">
        <v>949</v>
      </c>
      <c r="C2498" t="s">
        <v>950</v>
      </c>
      <c r="D2498" t="s">
        <v>48</v>
      </c>
      <c r="E2498" s="17">
        <v>4</v>
      </c>
      <c r="F2498" s="17">
        <v>135</v>
      </c>
      <c r="G2498" s="18">
        <v>540</v>
      </c>
      <c r="H2498" s="30" t="s">
        <v>2297</v>
      </c>
      <c r="J2498" s="34"/>
    </row>
    <row r="2499" spans="1:10" x14ac:dyDescent="0.25">
      <c r="A2499" s="15">
        <v>41164</v>
      </c>
      <c r="B2499" s="16" t="s">
        <v>882</v>
      </c>
      <c r="C2499" t="s">
        <v>8</v>
      </c>
      <c r="D2499" t="s">
        <v>48</v>
      </c>
      <c r="E2499" s="17">
        <v>4.5</v>
      </c>
      <c r="F2499" s="17">
        <v>48</v>
      </c>
      <c r="G2499" s="18">
        <v>216</v>
      </c>
      <c r="H2499" s="30" t="s">
        <v>2297</v>
      </c>
      <c r="J2499" s="34"/>
    </row>
    <row r="2500" spans="1:10" x14ac:dyDescent="0.25">
      <c r="A2500" s="15">
        <v>41165</v>
      </c>
      <c r="B2500" s="16" t="s">
        <v>882</v>
      </c>
      <c r="C2500" t="s">
        <v>8</v>
      </c>
      <c r="D2500" t="s">
        <v>48</v>
      </c>
      <c r="E2500" s="17">
        <v>4.5</v>
      </c>
      <c r="F2500" s="17">
        <v>48</v>
      </c>
      <c r="G2500" s="18">
        <v>216</v>
      </c>
      <c r="H2500" s="30" t="s">
        <v>2297</v>
      </c>
      <c r="J2500" s="34"/>
    </row>
    <row r="2501" spans="1:10" x14ac:dyDescent="0.25">
      <c r="A2501" s="15">
        <v>41165</v>
      </c>
      <c r="B2501" s="16" t="s">
        <v>887</v>
      </c>
      <c r="C2501" t="s">
        <v>873</v>
      </c>
      <c r="D2501" t="s">
        <v>48</v>
      </c>
      <c r="E2501" s="17">
        <v>3</v>
      </c>
      <c r="F2501" s="17">
        <v>95</v>
      </c>
      <c r="G2501" s="18">
        <v>285</v>
      </c>
      <c r="H2501" s="30" t="s">
        <v>2297</v>
      </c>
      <c r="J2501" s="34"/>
    </row>
    <row r="2502" spans="1:10" x14ac:dyDescent="0.25">
      <c r="A2502" s="15">
        <v>41165</v>
      </c>
      <c r="B2502" s="16" t="s">
        <v>874</v>
      </c>
      <c r="C2502" t="s">
        <v>875</v>
      </c>
      <c r="D2502" t="s">
        <v>48</v>
      </c>
      <c r="E2502" s="17">
        <v>5</v>
      </c>
      <c r="F2502" s="17">
        <v>25.78</v>
      </c>
      <c r="G2502" s="18">
        <v>128.9</v>
      </c>
      <c r="H2502" s="30" t="s">
        <v>2297</v>
      </c>
      <c r="J2502" s="34"/>
    </row>
    <row r="2503" spans="1:10" x14ac:dyDescent="0.25">
      <c r="A2503" s="15">
        <v>41165</v>
      </c>
      <c r="B2503" s="16" t="s">
        <v>949</v>
      </c>
      <c r="C2503" t="s">
        <v>950</v>
      </c>
      <c r="D2503" t="s">
        <v>48</v>
      </c>
      <c r="E2503" s="17">
        <v>4</v>
      </c>
      <c r="F2503" s="17">
        <v>135</v>
      </c>
      <c r="G2503" s="18">
        <v>540</v>
      </c>
      <c r="H2503" s="30" t="s">
        <v>2297</v>
      </c>
      <c r="J2503" s="34"/>
    </row>
    <row r="2504" spans="1:10" x14ac:dyDescent="0.25">
      <c r="A2504" s="15">
        <v>41165</v>
      </c>
      <c r="B2504" s="16" t="s">
        <v>865</v>
      </c>
      <c r="C2504" t="s">
        <v>8</v>
      </c>
      <c r="D2504" t="s">
        <v>48</v>
      </c>
      <c r="E2504" s="17">
        <v>4</v>
      </c>
      <c r="F2504" s="17">
        <v>35.35</v>
      </c>
      <c r="G2504" s="18">
        <v>141.4</v>
      </c>
      <c r="H2504" s="30" t="s">
        <v>2297</v>
      </c>
      <c r="J2504" s="34"/>
    </row>
    <row r="2505" spans="1:10" x14ac:dyDescent="0.25">
      <c r="A2505" s="15">
        <v>41165</v>
      </c>
      <c r="B2505" s="16" t="s">
        <v>865</v>
      </c>
      <c r="C2505" t="s">
        <v>8</v>
      </c>
      <c r="D2505" t="s">
        <v>48</v>
      </c>
      <c r="E2505" s="17">
        <v>4</v>
      </c>
      <c r="F2505" s="17">
        <v>35.35</v>
      </c>
      <c r="G2505" s="18">
        <v>141.4</v>
      </c>
      <c r="H2505" s="30" t="s">
        <v>2297</v>
      </c>
      <c r="J2505" s="34"/>
    </row>
    <row r="2506" spans="1:10" x14ac:dyDescent="0.25">
      <c r="A2506" s="15">
        <v>41165</v>
      </c>
      <c r="B2506" s="16" t="s">
        <v>878</v>
      </c>
      <c r="C2506" t="s">
        <v>879</v>
      </c>
      <c r="D2506" t="s">
        <v>48</v>
      </c>
      <c r="E2506" s="17">
        <v>3</v>
      </c>
      <c r="F2506" s="17">
        <v>110</v>
      </c>
      <c r="G2506" s="18">
        <v>330</v>
      </c>
      <c r="H2506" s="30" t="s">
        <v>2297</v>
      </c>
      <c r="J2506" s="34"/>
    </row>
    <row r="2507" spans="1:10" x14ac:dyDescent="0.25">
      <c r="A2507" s="15">
        <v>41167</v>
      </c>
      <c r="B2507" s="16" t="s">
        <v>865</v>
      </c>
      <c r="C2507" t="s">
        <v>8</v>
      </c>
      <c r="D2507" t="s">
        <v>48</v>
      </c>
      <c r="E2507" s="17">
        <v>5</v>
      </c>
      <c r="F2507" s="17">
        <v>35.35</v>
      </c>
      <c r="G2507" s="18">
        <v>176.75</v>
      </c>
      <c r="H2507" s="30" t="s">
        <v>2297</v>
      </c>
      <c r="J2507" s="34"/>
    </row>
    <row r="2508" spans="1:10" x14ac:dyDescent="0.25">
      <c r="A2508" s="15">
        <v>41167</v>
      </c>
      <c r="B2508" s="16" t="s">
        <v>874</v>
      </c>
      <c r="C2508" t="s">
        <v>875</v>
      </c>
      <c r="D2508" t="s">
        <v>48</v>
      </c>
      <c r="E2508" s="17">
        <v>4.5</v>
      </c>
      <c r="F2508" s="17">
        <v>25.78</v>
      </c>
      <c r="G2508" s="18">
        <v>116.01</v>
      </c>
      <c r="H2508" s="30" t="s">
        <v>2297</v>
      </c>
      <c r="J2508" s="34"/>
    </row>
    <row r="2509" spans="1:10" x14ac:dyDescent="0.25">
      <c r="A2509" s="15">
        <v>41167</v>
      </c>
      <c r="B2509" s="16" t="s">
        <v>878</v>
      </c>
      <c r="C2509" t="s">
        <v>879</v>
      </c>
      <c r="D2509" t="s">
        <v>48</v>
      </c>
      <c r="E2509" s="17">
        <v>5</v>
      </c>
      <c r="F2509" s="17">
        <v>110</v>
      </c>
      <c r="G2509" s="18">
        <v>550</v>
      </c>
      <c r="H2509" s="30" t="s">
        <v>2297</v>
      </c>
      <c r="J2509" s="34"/>
    </row>
    <row r="2510" spans="1:10" x14ac:dyDescent="0.25">
      <c r="A2510" s="15">
        <v>41167</v>
      </c>
      <c r="B2510" s="16" t="s">
        <v>47</v>
      </c>
      <c r="C2510" t="s">
        <v>2824</v>
      </c>
      <c r="D2510" t="s">
        <v>48</v>
      </c>
      <c r="E2510" s="17">
        <v>5</v>
      </c>
      <c r="F2510" s="17">
        <v>71.81</v>
      </c>
      <c r="G2510" s="18">
        <v>359.05</v>
      </c>
      <c r="H2510" s="30" t="s">
        <v>2297</v>
      </c>
      <c r="J2510" s="34"/>
    </row>
    <row r="2511" spans="1:10" x14ac:dyDescent="0.25">
      <c r="A2511" s="15">
        <v>41167</v>
      </c>
      <c r="B2511" s="16" t="s">
        <v>865</v>
      </c>
      <c r="C2511" t="s">
        <v>8</v>
      </c>
      <c r="D2511" t="s">
        <v>48</v>
      </c>
      <c r="E2511" s="17">
        <v>5</v>
      </c>
      <c r="F2511" s="17">
        <v>35.35</v>
      </c>
      <c r="G2511" s="18">
        <v>176.75</v>
      </c>
      <c r="H2511" s="30" t="s">
        <v>2297</v>
      </c>
      <c r="J2511" s="34"/>
    </row>
    <row r="2512" spans="1:10" x14ac:dyDescent="0.25">
      <c r="A2512" s="15">
        <v>41167</v>
      </c>
      <c r="B2512" s="16" t="s">
        <v>865</v>
      </c>
      <c r="C2512" t="s">
        <v>8</v>
      </c>
      <c r="D2512" t="s">
        <v>48</v>
      </c>
      <c r="E2512" s="17">
        <v>5</v>
      </c>
      <c r="F2512" s="17">
        <v>35.35</v>
      </c>
      <c r="G2512" s="18">
        <v>176.75</v>
      </c>
      <c r="H2512" s="30" t="s">
        <v>2297</v>
      </c>
      <c r="J2512" s="34"/>
    </row>
    <row r="2513" spans="1:10" x14ac:dyDescent="0.25">
      <c r="A2513" s="15">
        <v>41169</v>
      </c>
      <c r="B2513" s="16" t="s">
        <v>865</v>
      </c>
      <c r="C2513" t="s">
        <v>8</v>
      </c>
      <c r="D2513" t="s">
        <v>48</v>
      </c>
      <c r="E2513" s="17">
        <v>5</v>
      </c>
      <c r="F2513" s="17">
        <v>35.35</v>
      </c>
      <c r="G2513" s="18">
        <v>176.75</v>
      </c>
      <c r="H2513" s="30" t="s">
        <v>2297</v>
      </c>
      <c r="J2513" s="34"/>
    </row>
    <row r="2514" spans="1:10" x14ac:dyDescent="0.25">
      <c r="A2514" s="15">
        <v>41169</v>
      </c>
      <c r="B2514" s="16" t="s">
        <v>878</v>
      </c>
      <c r="C2514" t="s">
        <v>879</v>
      </c>
      <c r="D2514" t="s">
        <v>48</v>
      </c>
      <c r="E2514" s="17">
        <v>5</v>
      </c>
      <c r="F2514" s="17">
        <v>110</v>
      </c>
      <c r="G2514" s="18">
        <v>550</v>
      </c>
      <c r="H2514" s="30" t="s">
        <v>2297</v>
      </c>
      <c r="J2514" s="34"/>
    </row>
    <row r="2515" spans="1:10" x14ac:dyDescent="0.25">
      <c r="A2515" s="15">
        <v>41169</v>
      </c>
      <c r="B2515" s="16" t="s">
        <v>949</v>
      </c>
      <c r="C2515" t="s">
        <v>950</v>
      </c>
      <c r="D2515" t="s">
        <v>48</v>
      </c>
      <c r="E2515" s="17">
        <v>5</v>
      </c>
      <c r="F2515" s="17">
        <v>135</v>
      </c>
      <c r="G2515" s="18">
        <v>675</v>
      </c>
      <c r="H2515" s="30" t="s">
        <v>2297</v>
      </c>
      <c r="J2515" s="34"/>
    </row>
    <row r="2516" spans="1:10" x14ac:dyDescent="0.25">
      <c r="A2516" s="15">
        <v>41169</v>
      </c>
      <c r="B2516" s="16" t="s">
        <v>882</v>
      </c>
      <c r="C2516" t="s">
        <v>8</v>
      </c>
      <c r="D2516" t="s">
        <v>48</v>
      </c>
      <c r="E2516" s="17">
        <v>5</v>
      </c>
      <c r="F2516" s="17">
        <v>48</v>
      </c>
      <c r="G2516" s="18">
        <v>240</v>
      </c>
      <c r="H2516" s="30" t="s">
        <v>2297</v>
      </c>
      <c r="J2516" s="34"/>
    </row>
    <row r="2517" spans="1:10" x14ac:dyDescent="0.25">
      <c r="A2517" s="15">
        <v>41170</v>
      </c>
      <c r="B2517" s="16" t="s">
        <v>949</v>
      </c>
      <c r="C2517" t="s">
        <v>950</v>
      </c>
      <c r="D2517" t="s">
        <v>48</v>
      </c>
      <c r="E2517" s="17">
        <v>4.5</v>
      </c>
      <c r="F2517" s="17">
        <v>135</v>
      </c>
      <c r="G2517" s="18">
        <v>607.5</v>
      </c>
      <c r="H2517" s="30" t="s">
        <v>2297</v>
      </c>
      <c r="J2517" s="34"/>
    </row>
    <row r="2518" spans="1:10" x14ac:dyDescent="0.25">
      <c r="A2518" s="15">
        <v>41170</v>
      </c>
      <c r="B2518" s="16" t="s">
        <v>882</v>
      </c>
      <c r="C2518" t="s">
        <v>8</v>
      </c>
      <c r="D2518" t="s">
        <v>48</v>
      </c>
      <c r="E2518" s="17">
        <v>4.5</v>
      </c>
      <c r="F2518" s="17">
        <v>48</v>
      </c>
      <c r="G2518" s="18">
        <v>216</v>
      </c>
      <c r="H2518" s="30" t="s">
        <v>2297</v>
      </c>
      <c r="J2518" s="34"/>
    </row>
    <row r="2519" spans="1:10" x14ac:dyDescent="0.25">
      <c r="A2519" s="15">
        <v>41170</v>
      </c>
      <c r="B2519" s="16" t="s">
        <v>887</v>
      </c>
      <c r="C2519" t="s">
        <v>873</v>
      </c>
      <c r="D2519" t="s">
        <v>48</v>
      </c>
      <c r="E2519" s="17">
        <v>2</v>
      </c>
      <c r="F2519" s="17">
        <v>95</v>
      </c>
      <c r="G2519" s="18">
        <v>190</v>
      </c>
      <c r="H2519" s="30" t="s">
        <v>2297</v>
      </c>
      <c r="J2519" s="34"/>
    </row>
    <row r="2520" spans="1:10" x14ac:dyDescent="0.25">
      <c r="A2520" s="15">
        <v>41170</v>
      </c>
      <c r="B2520" s="16" t="s">
        <v>865</v>
      </c>
      <c r="C2520" t="s">
        <v>8</v>
      </c>
      <c r="D2520" t="s">
        <v>48</v>
      </c>
      <c r="E2520" s="17">
        <v>4.5</v>
      </c>
      <c r="F2520" s="17">
        <v>35.35</v>
      </c>
      <c r="G2520" s="18">
        <v>159.07499999999999</v>
      </c>
      <c r="H2520" s="30" t="s">
        <v>2297</v>
      </c>
      <c r="J2520" s="34"/>
    </row>
    <row r="2521" spans="1:10" x14ac:dyDescent="0.25">
      <c r="A2521" s="15">
        <v>41170</v>
      </c>
      <c r="B2521" s="16" t="s">
        <v>878</v>
      </c>
      <c r="C2521" t="s">
        <v>879</v>
      </c>
      <c r="D2521" t="s">
        <v>48</v>
      </c>
      <c r="E2521" s="17">
        <v>1.5</v>
      </c>
      <c r="F2521" s="17">
        <v>110</v>
      </c>
      <c r="G2521" s="18">
        <v>165</v>
      </c>
      <c r="H2521" s="30" t="s">
        <v>2297</v>
      </c>
      <c r="J2521" s="34"/>
    </row>
    <row r="2522" spans="1:10" x14ac:dyDescent="0.25">
      <c r="A2522" s="15">
        <v>41170</v>
      </c>
      <c r="B2522" s="16" t="s">
        <v>865</v>
      </c>
      <c r="C2522" t="s">
        <v>8</v>
      </c>
      <c r="D2522" t="s">
        <v>48</v>
      </c>
      <c r="E2522" s="17">
        <v>4.5</v>
      </c>
      <c r="F2522" s="17">
        <v>35.35</v>
      </c>
      <c r="G2522" s="18">
        <v>159.07499999999999</v>
      </c>
      <c r="H2522" s="30" t="s">
        <v>2297</v>
      </c>
      <c r="J2522" s="34"/>
    </row>
    <row r="2523" spans="1:10" x14ac:dyDescent="0.25">
      <c r="A2523" s="15">
        <v>41171</v>
      </c>
      <c r="B2523" s="16" t="s">
        <v>882</v>
      </c>
      <c r="C2523" t="s">
        <v>8</v>
      </c>
      <c r="D2523" t="s">
        <v>48</v>
      </c>
      <c r="E2523" s="17">
        <v>2</v>
      </c>
      <c r="F2523" s="17">
        <v>48</v>
      </c>
      <c r="G2523" s="18">
        <v>96</v>
      </c>
      <c r="H2523" s="30" t="s">
        <v>2297</v>
      </c>
      <c r="J2523" s="34"/>
    </row>
    <row r="2524" spans="1:10" x14ac:dyDescent="0.25">
      <c r="A2524" s="15">
        <v>41171</v>
      </c>
      <c r="B2524" s="16" t="s">
        <v>865</v>
      </c>
      <c r="C2524" t="s">
        <v>8</v>
      </c>
      <c r="D2524" t="s">
        <v>48</v>
      </c>
      <c r="E2524" s="17">
        <v>2.5</v>
      </c>
      <c r="F2524" s="17">
        <v>35.35</v>
      </c>
      <c r="G2524" s="18">
        <v>88.375</v>
      </c>
      <c r="H2524" s="30" t="s">
        <v>2297</v>
      </c>
      <c r="J2524" s="34"/>
    </row>
    <row r="2525" spans="1:10" x14ac:dyDescent="0.25">
      <c r="A2525" s="15">
        <v>41171</v>
      </c>
      <c r="B2525" s="16" t="s">
        <v>865</v>
      </c>
      <c r="C2525" t="s">
        <v>8</v>
      </c>
      <c r="D2525" t="s">
        <v>48</v>
      </c>
      <c r="E2525" s="17">
        <v>2.5</v>
      </c>
      <c r="F2525" s="17">
        <v>35.35</v>
      </c>
      <c r="G2525" s="18">
        <v>88.375</v>
      </c>
      <c r="H2525" s="30" t="s">
        <v>2297</v>
      </c>
      <c r="J2525" s="34"/>
    </row>
    <row r="2526" spans="1:10" x14ac:dyDescent="0.25">
      <c r="A2526" s="15">
        <v>41171</v>
      </c>
      <c r="B2526" s="16" t="s">
        <v>949</v>
      </c>
      <c r="C2526" t="s">
        <v>950</v>
      </c>
      <c r="D2526" t="s">
        <v>48</v>
      </c>
      <c r="E2526" s="17">
        <v>2</v>
      </c>
      <c r="F2526" s="17">
        <v>135</v>
      </c>
      <c r="G2526" s="18">
        <v>270</v>
      </c>
      <c r="H2526" s="30" t="s">
        <v>2297</v>
      </c>
      <c r="J2526" s="34"/>
    </row>
    <row r="2527" spans="1:10" x14ac:dyDescent="0.25">
      <c r="A2527" s="15">
        <v>41171</v>
      </c>
      <c r="B2527" s="16" t="s">
        <v>887</v>
      </c>
      <c r="C2527" t="s">
        <v>873</v>
      </c>
      <c r="D2527" t="s">
        <v>48</v>
      </c>
      <c r="E2527" s="17">
        <v>2</v>
      </c>
      <c r="F2527" s="17">
        <v>95</v>
      </c>
      <c r="G2527" s="18">
        <v>190</v>
      </c>
      <c r="H2527" s="30" t="s">
        <v>2297</v>
      </c>
      <c r="J2527" s="34"/>
    </row>
    <row r="2528" spans="1:10" x14ac:dyDescent="0.25">
      <c r="A2528" s="15">
        <v>41172</v>
      </c>
      <c r="B2528" s="16" t="s">
        <v>883</v>
      </c>
      <c r="C2528" t="s">
        <v>884</v>
      </c>
      <c r="D2528" t="s">
        <v>48</v>
      </c>
      <c r="E2528" s="17">
        <v>3</v>
      </c>
      <c r="F2528" s="17">
        <v>66.069999999999993</v>
      </c>
      <c r="G2528" s="18">
        <v>198.21</v>
      </c>
      <c r="H2528" s="30" t="s">
        <v>2297</v>
      </c>
      <c r="J2528" s="34"/>
    </row>
    <row r="2529" spans="1:10" ht="30" x14ac:dyDescent="0.25">
      <c r="A2529" s="15">
        <v>41182</v>
      </c>
      <c r="B2529" s="16" t="s">
        <v>1070</v>
      </c>
      <c r="C2529" t="s">
        <v>957</v>
      </c>
      <c r="D2529" t="s">
        <v>783</v>
      </c>
      <c r="E2529" s="17">
        <v>1</v>
      </c>
      <c r="F2529" s="17">
        <v>1893.6659999999999</v>
      </c>
      <c r="G2529" s="18">
        <v>1893.6659999999999</v>
      </c>
      <c r="H2529" s="30" t="s">
        <v>2297</v>
      </c>
      <c r="J2529" s="34"/>
    </row>
    <row r="2530" spans="1:10" ht="30" x14ac:dyDescent="0.25">
      <c r="A2530" s="15">
        <v>41182</v>
      </c>
      <c r="B2530" s="16" t="s">
        <v>1071</v>
      </c>
      <c r="C2530" t="s">
        <v>959</v>
      </c>
      <c r="D2530" t="s">
        <v>783</v>
      </c>
      <c r="E2530" s="17">
        <v>1</v>
      </c>
      <c r="F2530" s="17">
        <v>1700</v>
      </c>
      <c r="G2530" s="18">
        <v>1700</v>
      </c>
      <c r="H2530" s="30" t="s">
        <v>2297</v>
      </c>
      <c r="J2530" s="34"/>
    </row>
    <row r="2531" spans="1:10" ht="30" x14ac:dyDescent="0.25">
      <c r="A2531" s="15">
        <v>41182</v>
      </c>
      <c r="B2531" s="16" t="s">
        <v>1070</v>
      </c>
      <c r="C2531" t="s">
        <v>957</v>
      </c>
      <c r="D2531" t="s">
        <v>783</v>
      </c>
      <c r="E2531" s="17">
        <v>1</v>
      </c>
      <c r="F2531" s="17">
        <v>1893.6659999999999</v>
      </c>
      <c r="G2531" s="18">
        <v>1893.6659999999999</v>
      </c>
      <c r="H2531" s="30" t="s">
        <v>2297</v>
      </c>
      <c r="J2531" s="34"/>
    </row>
    <row r="2532" spans="1:10" x14ac:dyDescent="0.25">
      <c r="A2532" s="19" t="s">
        <v>781</v>
      </c>
      <c r="B2532" s="20" t="s">
        <v>1072</v>
      </c>
      <c r="C2532" s="21" t="s">
        <v>781</v>
      </c>
      <c r="D2532" s="21" t="s">
        <v>781</v>
      </c>
      <c r="E2532" s="22"/>
      <c r="F2532" s="22"/>
      <c r="G2532" s="23">
        <v>86275.347999999998</v>
      </c>
      <c r="H2532" s="31" t="s">
        <v>2285</v>
      </c>
      <c r="J2532" s="34"/>
    </row>
    <row r="2533" spans="1:10" x14ac:dyDescent="0.25">
      <c r="A2533" s="15" t="s">
        <v>781</v>
      </c>
      <c r="B2533" s="16" t="s">
        <v>781</v>
      </c>
      <c r="C2533" t="s">
        <v>781</v>
      </c>
      <c r="D2533" t="s">
        <v>781</v>
      </c>
      <c r="E2533" s="17"/>
      <c r="F2533" s="17"/>
      <c r="G2533" s="18"/>
      <c r="H2533" s="30" t="s">
        <v>2285</v>
      </c>
      <c r="J2533" s="34"/>
    </row>
    <row r="2534" spans="1:10" x14ac:dyDescent="0.25">
      <c r="A2534" s="12" t="s">
        <v>781</v>
      </c>
      <c r="B2534" s="11" t="s">
        <v>1865</v>
      </c>
      <c r="C2534" s="10" t="s">
        <v>781</v>
      </c>
      <c r="D2534" s="10" t="s">
        <v>781</v>
      </c>
      <c r="E2534" s="13"/>
      <c r="F2534" s="13"/>
      <c r="G2534" s="14"/>
      <c r="H2534" s="29" t="s">
        <v>2285</v>
      </c>
      <c r="J2534" s="34"/>
    </row>
    <row r="2535" spans="1:10" x14ac:dyDescent="0.25">
      <c r="A2535" s="15">
        <v>40847</v>
      </c>
      <c r="B2535" s="16" t="s">
        <v>1073</v>
      </c>
      <c r="C2535" t="s">
        <v>1074</v>
      </c>
      <c r="D2535" t="s">
        <v>783</v>
      </c>
      <c r="E2535" s="17">
        <v>190</v>
      </c>
      <c r="F2535" s="17">
        <v>7.25</v>
      </c>
      <c r="G2535" s="18">
        <v>1377.5</v>
      </c>
      <c r="H2535" s="30" t="s">
        <v>2298</v>
      </c>
      <c r="J2535" s="34"/>
    </row>
    <row r="2536" spans="1:10" x14ac:dyDescent="0.25">
      <c r="A2536" s="15">
        <v>40885</v>
      </c>
      <c r="B2536" s="16" t="s">
        <v>865</v>
      </c>
      <c r="C2536" t="s">
        <v>8</v>
      </c>
      <c r="D2536" t="s">
        <v>48</v>
      </c>
      <c r="E2536" s="17">
        <v>3</v>
      </c>
      <c r="F2536" s="17">
        <v>35.35</v>
      </c>
      <c r="G2536" s="18">
        <v>106.05</v>
      </c>
      <c r="H2536" s="30" t="s">
        <v>2298</v>
      </c>
      <c r="J2536" s="34"/>
    </row>
    <row r="2537" spans="1:10" x14ac:dyDescent="0.25">
      <c r="A2537" s="15">
        <v>40892</v>
      </c>
      <c r="B2537" s="16" t="s">
        <v>45</v>
      </c>
      <c r="C2537" t="s">
        <v>8</v>
      </c>
      <c r="D2537" t="s">
        <v>48</v>
      </c>
      <c r="E2537" s="17">
        <v>5</v>
      </c>
      <c r="F2537" s="17">
        <v>90</v>
      </c>
      <c r="G2537" s="18">
        <v>450</v>
      </c>
      <c r="H2537" s="30" t="s">
        <v>2298</v>
      </c>
      <c r="J2537" s="34"/>
    </row>
    <row r="2538" spans="1:10" x14ac:dyDescent="0.25">
      <c r="A2538" s="15">
        <v>40892</v>
      </c>
      <c r="B2538" s="16" t="s">
        <v>865</v>
      </c>
      <c r="C2538" t="s">
        <v>8</v>
      </c>
      <c r="D2538" t="s">
        <v>48</v>
      </c>
      <c r="E2538" s="17">
        <v>4</v>
      </c>
      <c r="F2538" s="17">
        <v>35.35</v>
      </c>
      <c r="G2538" s="18">
        <v>141.4</v>
      </c>
      <c r="H2538" s="30" t="s">
        <v>2298</v>
      </c>
      <c r="J2538" s="34"/>
    </row>
    <row r="2539" spans="1:10" x14ac:dyDescent="0.25">
      <c r="A2539" s="15">
        <v>40892</v>
      </c>
      <c r="B2539" s="16" t="s">
        <v>1075</v>
      </c>
      <c r="C2539" t="s">
        <v>8</v>
      </c>
      <c r="D2539" t="s">
        <v>48</v>
      </c>
      <c r="E2539" s="17">
        <v>3.5</v>
      </c>
      <c r="F2539" s="17">
        <v>39</v>
      </c>
      <c r="G2539" s="18">
        <v>136.5</v>
      </c>
      <c r="H2539" s="30" t="s">
        <v>2298</v>
      </c>
      <c r="J2539" s="34"/>
    </row>
    <row r="2540" spans="1:10" x14ac:dyDescent="0.25">
      <c r="A2540" s="15">
        <v>40892</v>
      </c>
      <c r="B2540" s="16" t="s">
        <v>866</v>
      </c>
      <c r="C2540" t="s">
        <v>8</v>
      </c>
      <c r="D2540" t="s">
        <v>48</v>
      </c>
      <c r="E2540" s="17">
        <v>1</v>
      </c>
      <c r="F2540" s="17">
        <v>65</v>
      </c>
      <c r="G2540" s="18">
        <v>65</v>
      </c>
      <c r="H2540" s="30" t="s">
        <v>2298</v>
      </c>
      <c r="J2540" s="34"/>
    </row>
    <row r="2541" spans="1:10" x14ac:dyDescent="0.25">
      <c r="A2541" s="15">
        <v>40893</v>
      </c>
      <c r="B2541" s="16" t="s">
        <v>1076</v>
      </c>
      <c r="C2541" t="s">
        <v>1077</v>
      </c>
      <c r="D2541" t="s">
        <v>783</v>
      </c>
      <c r="E2541" s="17">
        <v>642</v>
      </c>
      <c r="F2541" s="17">
        <v>12.77</v>
      </c>
      <c r="G2541" s="18">
        <v>8198.34</v>
      </c>
      <c r="H2541" s="30" t="s">
        <v>2298</v>
      </c>
      <c r="J2541" s="34"/>
    </row>
    <row r="2542" spans="1:10" x14ac:dyDescent="0.25">
      <c r="A2542" s="15">
        <v>40897</v>
      </c>
      <c r="B2542" s="16" t="s">
        <v>865</v>
      </c>
      <c r="C2542" t="s">
        <v>8</v>
      </c>
      <c r="D2542" t="s">
        <v>48</v>
      </c>
      <c r="E2542" s="17">
        <v>8.5</v>
      </c>
      <c r="F2542" s="17">
        <v>35.35</v>
      </c>
      <c r="G2542" s="18">
        <v>300.47500000000002</v>
      </c>
      <c r="H2542" s="30" t="s">
        <v>2298</v>
      </c>
      <c r="J2542" s="34"/>
    </row>
    <row r="2543" spans="1:10" x14ac:dyDescent="0.25">
      <c r="A2543" s="15">
        <v>41030</v>
      </c>
      <c r="B2543" s="16" t="s">
        <v>1078</v>
      </c>
      <c r="C2543" t="s">
        <v>1079</v>
      </c>
      <c r="D2543" t="s">
        <v>783</v>
      </c>
      <c r="E2543" s="17">
        <v>1</v>
      </c>
      <c r="F2543" s="17">
        <v>11849</v>
      </c>
      <c r="G2543" s="18">
        <v>11849</v>
      </c>
      <c r="H2543" s="30" t="s">
        <v>2298</v>
      </c>
      <c r="J2543" s="34"/>
    </row>
    <row r="2544" spans="1:10" x14ac:dyDescent="0.25">
      <c r="A2544" s="15">
        <v>41037</v>
      </c>
      <c r="B2544" s="16" t="s">
        <v>920</v>
      </c>
      <c r="C2544" t="s">
        <v>871</v>
      </c>
      <c r="D2544" t="s">
        <v>48</v>
      </c>
      <c r="E2544" s="17">
        <v>5</v>
      </c>
      <c r="F2544" s="17">
        <v>130</v>
      </c>
      <c r="G2544" s="18">
        <v>650</v>
      </c>
      <c r="H2544" s="30" t="s">
        <v>2298</v>
      </c>
      <c r="J2544" s="34"/>
    </row>
    <row r="2545" spans="1:10" x14ac:dyDescent="0.25">
      <c r="A2545" s="15">
        <v>41037</v>
      </c>
      <c r="B2545" s="16" t="s">
        <v>865</v>
      </c>
      <c r="C2545" t="s">
        <v>8</v>
      </c>
      <c r="D2545" t="s">
        <v>48</v>
      </c>
      <c r="E2545" s="17">
        <v>9.5</v>
      </c>
      <c r="F2545" s="17">
        <v>35.35</v>
      </c>
      <c r="G2545" s="18">
        <v>335.82499999999999</v>
      </c>
      <c r="H2545" s="30" t="s">
        <v>2298</v>
      </c>
      <c r="J2545" s="34"/>
    </row>
    <row r="2546" spans="1:10" x14ac:dyDescent="0.25">
      <c r="A2546" s="15">
        <v>41037</v>
      </c>
      <c r="B2546" s="16" t="s">
        <v>865</v>
      </c>
      <c r="C2546" t="s">
        <v>8</v>
      </c>
      <c r="D2546" t="s">
        <v>48</v>
      </c>
      <c r="E2546" s="17">
        <v>4.5</v>
      </c>
      <c r="F2546" s="17">
        <v>35.35</v>
      </c>
      <c r="G2546" s="18">
        <v>159.07499999999999</v>
      </c>
      <c r="H2546" s="30" t="s">
        <v>2298</v>
      </c>
      <c r="J2546" s="34"/>
    </row>
    <row r="2547" spans="1:10" x14ac:dyDescent="0.25">
      <c r="A2547" s="15">
        <v>41037</v>
      </c>
      <c r="B2547" s="16" t="s">
        <v>908</v>
      </c>
      <c r="C2547" t="s">
        <v>873</v>
      </c>
      <c r="D2547" t="s">
        <v>48</v>
      </c>
      <c r="E2547" s="17">
        <v>2</v>
      </c>
      <c r="F2547" s="17">
        <v>95</v>
      </c>
      <c r="G2547" s="18">
        <v>190</v>
      </c>
      <c r="H2547" s="30" t="s">
        <v>2298</v>
      </c>
      <c r="J2547" s="34"/>
    </row>
    <row r="2548" spans="1:10" x14ac:dyDescent="0.25">
      <c r="A2548" s="15">
        <v>41037</v>
      </c>
      <c r="B2548" s="16" t="s">
        <v>865</v>
      </c>
      <c r="C2548" t="s">
        <v>8</v>
      </c>
      <c r="D2548" t="s">
        <v>48</v>
      </c>
      <c r="E2548" s="17">
        <v>4.5</v>
      </c>
      <c r="F2548" s="17">
        <v>35.35</v>
      </c>
      <c r="G2548" s="18">
        <v>159.07499999999999</v>
      </c>
      <c r="H2548" s="30" t="s">
        <v>2298</v>
      </c>
      <c r="J2548" s="34"/>
    </row>
    <row r="2549" spans="1:10" x14ac:dyDescent="0.25">
      <c r="A2549" s="15">
        <v>41037</v>
      </c>
      <c r="B2549" s="16" t="s">
        <v>865</v>
      </c>
      <c r="C2549" t="s">
        <v>8</v>
      </c>
      <c r="D2549" t="s">
        <v>48</v>
      </c>
      <c r="E2549" s="17">
        <v>9.5</v>
      </c>
      <c r="F2549" s="17">
        <v>35.35</v>
      </c>
      <c r="G2549" s="18">
        <v>335.82499999999999</v>
      </c>
      <c r="H2549" s="30" t="s">
        <v>2298</v>
      </c>
      <c r="J2549" s="34"/>
    </row>
    <row r="2550" spans="1:10" x14ac:dyDescent="0.25">
      <c r="A2550" s="15">
        <v>41037</v>
      </c>
      <c r="B2550" s="16" t="s">
        <v>874</v>
      </c>
      <c r="C2550" t="s">
        <v>875</v>
      </c>
      <c r="D2550" t="s">
        <v>48</v>
      </c>
      <c r="E2550" s="17">
        <v>2</v>
      </c>
      <c r="F2550" s="17">
        <v>25.78</v>
      </c>
      <c r="G2550" s="18">
        <v>51.56</v>
      </c>
      <c r="H2550" s="30" t="s">
        <v>2298</v>
      </c>
      <c r="J2550" s="34"/>
    </row>
    <row r="2551" spans="1:10" x14ac:dyDescent="0.25">
      <c r="A2551" s="15">
        <v>41037</v>
      </c>
      <c r="B2551" s="16" t="s">
        <v>880</v>
      </c>
      <c r="C2551" t="s">
        <v>881</v>
      </c>
      <c r="D2551" t="s">
        <v>48</v>
      </c>
      <c r="E2551" s="17">
        <v>4</v>
      </c>
      <c r="F2551" s="17">
        <v>95</v>
      </c>
      <c r="G2551" s="18">
        <v>380</v>
      </c>
      <c r="H2551" s="30" t="s">
        <v>2298</v>
      </c>
      <c r="J2551" s="34"/>
    </row>
    <row r="2552" spans="1:10" x14ac:dyDescent="0.25">
      <c r="A2552" s="15">
        <v>41037</v>
      </c>
      <c r="B2552" s="16" t="s">
        <v>865</v>
      </c>
      <c r="C2552" t="s">
        <v>8</v>
      </c>
      <c r="D2552" t="s">
        <v>48</v>
      </c>
      <c r="E2552" s="17">
        <v>4</v>
      </c>
      <c r="F2552" s="17">
        <v>48</v>
      </c>
      <c r="G2552" s="18">
        <v>192</v>
      </c>
      <c r="H2552" s="30" t="s">
        <v>2298</v>
      </c>
      <c r="J2552" s="34"/>
    </row>
    <row r="2553" spans="1:10" x14ac:dyDescent="0.25">
      <c r="A2553" s="15">
        <v>41037</v>
      </c>
      <c r="B2553" s="16" t="s">
        <v>877</v>
      </c>
      <c r="C2553" t="s">
        <v>868</v>
      </c>
      <c r="D2553" t="s">
        <v>48</v>
      </c>
      <c r="E2553" s="17">
        <v>4</v>
      </c>
      <c r="F2553" s="17">
        <v>90</v>
      </c>
      <c r="G2553" s="18">
        <v>360</v>
      </c>
      <c r="H2553" s="30" t="s">
        <v>2298</v>
      </c>
      <c r="J2553" s="34"/>
    </row>
    <row r="2554" spans="1:10" x14ac:dyDescent="0.25">
      <c r="A2554" s="15">
        <v>41038</v>
      </c>
      <c r="B2554" s="16" t="s">
        <v>865</v>
      </c>
      <c r="C2554" t="s">
        <v>8</v>
      </c>
      <c r="D2554" t="s">
        <v>48</v>
      </c>
      <c r="E2554" s="17">
        <v>4</v>
      </c>
      <c r="F2554" s="17">
        <v>35.35</v>
      </c>
      <c r="G2554" s="18">
        <v>141.4</v>
      </c>
      <c r="H2554" s="30" t="s">
        <v>2298</v>
      </c>
      <c r="J2554" s="34"/>
    </row>
    <row r="2555" spans="1:10" x14ac:dyDescent="0.25">
      <c r="A2555" s="15">
        <v>41038</v>
      </c>
      <c r="B2555" s="16" t="s">
        <v>874</v>
      </c>
      <c r="C2555" t="s">
        <v>875</v>
      </c>
      <c r="D2555" t="s">
        <v>48</v>
      </c>
      <c r="E2555" s="17">
        <v>1</v>
      </c>
      <c r="F2555" s="17">
        <v>25.78</v>
      </c>
      <c r="G2555" s="18">
        <v>25.78</v>
      </c>
      <c r="H2555" s="30" t="s">
        <v>2298</v>
      </c>
      <c r="J2555" s="34"/>
    </row>
    <row r="2556" spans="1:10" x14ac:dyDescent="0.25">
      <c r="A2556" s="15">
        <v>41038</v>
      </c>
      <c r="B2556" s="16" t="s">
        <v>865</v>
      </c>
      <c r="C2556" t="s">
        <v>8</v>
      </c>
      <c r="D2556" t="s">
        <v>48</v>
      </c>
      <c r="E2556" s="17">
        <v>9</v>
      </c>
      <c r="F2556" s="17">
        <v>35.35</v>
      </c>
      <c r="G2556" s="18">
        <v>318.14999999999998</v>
      </c>
      <c r="H2556" s="30" t="s">
        <v>2298</v>
      </c>
      <c r="J2556" s="34"/>
    </row>
    <row r="2557" spans="1:10" x14ac:dyDescent="0.25">
      <c r="A2557" s="15">
        <v>41038</v>
      </c>
      <c r="B2557" s="16" t="s">
        <v>877</v>
      </c>
      <c r="C2557" t="s">
        <v>868</v>
      </c>
      <c r="D2557" t="s">
        <v>48</v>
      </c>
      <c r="E2557" s="17">
        <v>5</v>
      </c>
      <c r="F2557" s="17">
        <v>90</v>
      </c>
      <c r="G2557" s="18">
        <v>450</v>
      </c>
      <c r="H2557" s="30" t="s">
        <v>2298</v>
      </c>
      <c r="J2557" s="34"/>
    </row>
    <row r="2558" spans="1:10" x14ac:dyDescent="0.25">
      <c r="A2558" s="15">
        <v>41039</v>
      </c>
      <c r="B2558" s="16" t="s">
        <v>865</v>
      </c>
      <c r="C2558" t="s">
        <v>8</v>
      </c>
      <c r="D2558" t="s">
        <v>48</v>
      </c>
      <c r="E2558" s="17">
        <v>3.5</v>
      </c>
      <c r="F2558" s="17">
        <v>35.35</v>
      </c>
      <c r="G2558" s="18">
        <v>123.72499999999999</v>
      </c>
      <c r="H2558" s="30" t="s">
        <v>2298</v>
      </c>
      <c r="J2558" s="34"/>
    </row>
    <row r="2559" spans="1:10" x14ac:dyDescent="0.25">
      <c r="A2559" s="15">
        <v>41039</v>
      </c>
      <c r="B2559" s="16" t="s">
        <v>865</v>
      </c>
      <c r="C2559" t="s">
        <v>8</v>
      </c>
      <c r="D2559" t="s">
        <v>48</v>
      </c>
      <c r="E2559" s="17">
        <v>3.5</v>
      </c>
      <c r="F2559" s="17">
        <v>35.35</v>
      </c>
      <c r="G2559" s="18">
        <v>123.72499999999999</v>
      </c>
      <c r="H2559" s="30" t="s">
        <v>2298</v>
      </c>
      <c r="J2559" s="34"/>
    </row>
    <row r="2560" spans="1:10" x14ac:dyDescent="0.25">
      <c r="A2560" s="15">
        <v>41039</v>
      </c>
      <c r="B2560" s="16" t="s">
        <v>865</v>
      </c>
      <c r="C2560" t="s">
        <v>8</v>
      </c>
      <c r="D2560" t="s">
        <v>48</v>
      </c>
      <c r="E2560" s="17">
        <v>3.5</v>
      </c>
      <c r="F2560" s="17">
        <v>35.35</v>
      </c>
      <c r="G2560" s="18">
        <v>123.72499999999999</v>
      </c>
      <c r="H2560" s="30" t="s">
        <v>2298</v>
      </c>
      <c r="J2560" s="34"/>
    </row>
    <row r="2561" spans="1:10" x14ac:dyDescent="0.25">
      <c r="A2561" s="15">
        <v>41039</v>
      </c>
      <c r="B2561" s="16" t="s">
        <v>874</v>
      </c>
      <c r="C2561" t="s">
        <v>875</v>
      </c>
      <c r="D2561" t="s">
        <v>48</v>
      </c>
      <c r="E2561" s="17">
        <v>1</v>
      </c>
      <c r="F2561" s="17">
        <v>25.78</v>
      </c>
      <c r="G2561" s="18">
        <v>25.78</v>
      </c>
      <c r="H2561" s="30" t="s">
        <v>2298</v>
      </c>
      <c r="J2561" s="34"/>
    </row>
    <row r="2562" spans="1:10" x14ac:dyDescent="0.25">
      <c r="A2562" s="15">
        <v>41039</v>
      </c>
      <c r="B2562" s="16" t="s">
        <v>877</v>
      </c>
      <c r="C2562" t="s">
        <v>868</v>
      </c>
      <c r="D2562" t="s">
        <v>48</v>
      </c>
      <c r="E2562" s="17">
        <v>3</v>
      </c>
      <c r="F2562" s="17">
        <v>90</v>
      </c>
      <c r="G2562" s="18">
        <v>270</v>
      </c>
      <c r="H2562" s="30" t="s">
        <v>2298</v>
      </c>
      <c r="J2562" s="34"/>
    </row>
    <row r="2563" spans="1:10" x14ac:dyDescent="0.25">
      <c r="A2563" s="15">
        <v>41039</v>
      </c>
      <c r="B2563" s="16" t="s">
        <v>865</v>
      </c>
      <c r="C2563" t="s">
        <v>8</v>
      </c>
      <c r="D2563" t="s">
        <v>48</v>
      </c>
      <c r="E2563" s="17">
        <v>3.5</v>
      </c>
      <c r="F2563" s="17">
        <v>35.35</v>
      </c>
      <c r="G2563" s="18">
        <v>123.72499999999999</v>
      </c>
      <c r="H2563" s="30" t="s">
        <v>2298</v>
      </c>
      <c r="J2563" s="34"/>
    </row>
    <row r="2564" spans="1:10" x14ac:dyDescent="0.25">
      <c r="A2564" s="15">
        <v>41058</v>
      </c>
      <c r="B2564" s="16" t="s">
        <v>1080</v>
      </c>
      <c r="C2564" t="s">
        <v>1079</v>
      </c>
      <c r="D2564" t="s">
        <v>783</v>
      </c>
      <c r="E2564" s="17">
        <v>1</v>
      </c>
      <c r="F2564" s="17">
        <v>44845.88</v>
      </c>
      <c r="G2564" s="18">
        <v>44845.88</v>
      </c>
      <c r="H2564" s="30" t="s">
        <v>2298</v>
      </c>
      <c r="J2564" s="34"/>
    </row>
    <row r="2565" spans="1:10" x14ac:dyDescent="0.25">
      <c r="A2565" s="15">
        <v>41088</v>
      </c>
      <c r="B2565" s="16" t="s">
        <v>1081</v>
      </c>
      <c r="C2565" t="s">
        <v>1079</v>
      </c>
      <c r="D2565" t="s">
        <v>783</v>
      </c>
      <c r="E2565" s="17">
        <v>1</v>
      </c>
      <c r="F2565" s="17">
        <v>7403</v>
      </c>
      <c r="G2565" s="18">
        <v>7403</v>
      </c>
      <c r="H2565" s="30" t="s">
        <v>2298</v>
      </c>
      <c r="J2565" s="34"/>
    </row>
    <row r="2566" spans="1:10" x14ac:dyDescent="0.25">
      <c r="A2566" s="15">
        <v>41113</v>
      </c>
      <c r="B2566" s="16" t="s">
        <v>1082</v>
      </c>
      <c r="C2566" t="s">
        <v>1079</v>
      </c>
      <c r="D2566" t="s">
        <v>783</v>
      </c>
      <c r="E2566" s="17">
        <v>1</v>
      </c>
      <c r="F2566" s="17">
        <v>7140.83</v>
      </c>
      <c r="G2566" s="18">
        <v>7140.83</v>
      </c>
      <c r="H2566" s="30" t="s">
        <v>2298</v>
      </c>
      <c r="J2566" s="34"/>
    </row>
    <row r="2567" spans="1:10" x14ac:dyDescent="0.25">
      <c r="A2567" s="15">
        <v>41149</v>
      </c>
      <c r="B2567" s="16" t="s">
        <v>1083</v>
      </c>
      <c r="C2567" t="s">
        <v>1079</v>
      </c>
      <c r="D2567" t="s">
        <v>783</v>
      </c>
      <c r="E2567" s="17">
        <v>1</v>
      </c>
      <c r="F2567" s="17">
        <v>19922.849999999999</v>
      </c>
      <c r="G2567" s="18">
        <v>19922.849999999999</v>
      </c>
      <c r="H2567" s="30" t="s">
        <v>2298</v>
      </c>
      <c r="J2567" s="34"/>
    </row>
    <row r="2568" spans="1:10" x14ac:dyDescent="0.25">
      <c r="A2568" s="15">
        <v>41152</v>
      </c>
      <c r="B2568" s="16" t="s">
        <v>1084</v>
      </c>
      <c r="C2568" t="s">
        <v>1085</v>
      </c>
      <c r="D2568" t="s">
        <v>783</v>
      </c>
      <c r="E2568" s="17">
        <v>1</v>
      </c>
      <c r="F2568" s="17">
        <v>91947.77</v>
      </c>
      <c r="G2568" s="18">
        <v>91947.77</v>
      </c>
      <c r="H2568" s="30" t="s">
        <v>2298</v>
      </c>
      <c r="J2568" s="34"/>
    </row>
    <row r="2569" spans="1:10" x14ac:dyDescent="0.25">
      <c r="A2569" s="15">
        <v>41172</v>
      </c>
      <c r="B2569" s="16" t="s">
        <v>1064</v>
      </c>
      <c r="C2569" t="s">
        <v>1065</v>
      </c>
      <c r="D2569" t="s">
        <v>48</v>
      </c>
      <c r="E2569" s="17">
        <v>1</v>
      </c>
      <c r="F2569" s="17">
        <v>2500</v>
      </c>
      <c r="G2569" s="18">
        <v>2500</v>
      </c>
      <c r="H2569" s="30" t="s">
        <v>2298</v>
      </c>
      <c r="J2569" s="34"/>
    </row>
    <row r="2570" spans="1:10" x14ac:dyDescent="0.25">
      <c r="A2570" s="15">
        <v>41172</v>
      </c>
      <c r="B2570" s="16" t="s">
        <v>887</v>
      </c>
      <c r="C2570" t="s">
        <v>873</v>
      </c>
      <c r="D2570" t="s">
        <v>48</v>
      </c>
      <c r="E2570" s="17">
        <v>5</v>
      </c>
      <c r="F2570" s="17">
        <v>95</v>
      </c>
      <c r="G2570" s="18">
        <v>475</v>
      </c>
      <c r="H2570" s="30" t="s">
        <v>2298</v>
      </c>
      <c r="J2570" s="34"/>
    </row>
    <row r="2571" spans="1:10" x14ac:dyDescent="0.25">
      <c r="A2571" s="15">
        <v>41172</v>
      </c>
      <c r="B2571" s="16" t="s">
        <v>865</v>
      </c>
      <c r="C2571" t="s">
        <v>8</v>
      </c>
      <c r="D2571" t="s">
        <v>48</v>
      </c>
      <c r="E2571" s="17">
        <v>4</v>
      </c>
      <c r="F2571" s="17">
        <v>35.35</v>
      </c>
      <c r="G2571" s="18">
        <v>141.4</v>
      </c>
      <c r="H2571" s="30" t="s">
        <v>2298</v>
      </c>
      <c r="J2571" s="34"/>
    </row>
    <row r="2572" spans="1:10" x14ac:dyDescent="0.25">
      <c r="A2572" s="15">
        <v>41172</v>
      </c>
      <c r="B2572" s="16" t="s">
        <v>865</v>
      </c>
      <c r="C2572" t="s">
        <v>8</v>
      </c>
      <c r="D2572" t="s">
        <v>48</v>
      </c>
      <c r="E2572" s="17">
        <v>7</v>
      </c>
      <c r="F2572" s="17">
        <v>35.35</v>
      </c>
      <c r="G2572" s="18">
        <v>247.45</v>
      </c>
      <c r="H2572" s="30" t="s">
        <v>2298</v>
      </c>
      <c r="J2572" s="34"/>
    </row>
    <row r="2573" spans="1:10" x14ac:dyDescent="0.25">
      <c r="A2573" s="15">
        <v>41172</v>
      </c>
      <c r="B2573" s="16" t="s">
        <v>878</v>
      </c>
      <c r="C2573" t="s">
        <v>879</v>
      </c>
      <c r="D2573" t="s">
        <v>48</v>
      </c>
      <c r="E2573" s="17">
        <v>6.5</v>
      </c>
      <c r="F2573" s="17">
        <v>110</v>
      </c>
      <c r="G2573" s="18">
        <v>715</v>
      </c>
      <c r="H2573" s="30" t="s">
        <v>2298</v>
      </c>
      <c r="J2573" s="34"/>
    </row>
    <row r="2574" spans="1:10" x14ac:dyDescent="0.25">
      <c r="A2574" s="15">
        <v>41173</v>
      </c>
      <c r="B2574" s="16" t="s">
        <v>865</v>
      </c>
      <c r="C2574" t="s">
        <v>8</v>
      </c>
      <c r="D2574" t="s">
        <v>48</v>
      </c>
      <c r="E2574" s="17">
        <v>10</v>
      </c>
      <c r="F2574" s="17">
        <v>35.35</v>
      </c>
      <c r="G2574" s="18">
        <v>353.5</v>
      </c>
      <c r="H2574" s="30" t="s">
        <v>2298</v>
      </c>
      <c r="J2574" s="34"/>
    </row>
    <row r="2575" spans="1:10" x14ac:dyDescent="0.25">
      <c r="A2575" s="15">
        <v>41173</v>
      </c>
      <c r="B2575" s="16" t="s">
        <v>865</v>
      </c>
      <c r="C2575" t="s">
        <v>8</v>
      </c>
      <c r="D2575" t="s">
        <v>48</v>
      </c>
      <c r="E2575" s="17">
        <v>10</v>
      </c>
      <c r="F2575" s="17">
        <v>35.35</v>
      </c>
      <c r="G2575" s="18">
        <v>353.5</v>
      </c>
      <c r="H2575" s="30" t="s">
        <v>2298</v>
      </c>
      <c r="J2575" s="34"/>
    </row>
    <row r="2576" spans="1:10" x14ac:dyDescent="0.25">
      <c r="A2576" s="15">
        <v>41173</v>
      </c>
      <c r="B2576" s="16" t="s">
        <v>865</v>
      </c>
      <c r="C2576" t="s">
        <v>8</v>
      </c>
      <c r="D2576" t="s">
        <v>48</v>
      </c>
      <c r="E2576" s="17">
        <v>5</v>
      </c>
      <c r="F2576" s="17">
        <v>35.35</v>
      </c>
      <c r="G2576" s="18">
        <v>176.75</v>
      </c>
      <c r="H2576" s="30" t="s">
        <v>2298</v>
      </c>
      <c r="J2576" s="34"/>
    </row>
    <row r="2577" spans="1:10" x14ac:dyDescent="0.25">
      <c r="A2577" s="15">
        <v>41173</v>
      </c>
      <c r="B2577" s="16" t="s">
        <v>882</v>
      </c>
      <c r="C2577" t="s">
        <v>8</v>
      </c>
      <c r="D2577" t="s">
        <v>48</v>
      </c>
      <c r="E2577" s="17">
        <v>5</v>
      </c>
      <c r="F2577" s="17">
        <v>48</v>
      </c>
      <c r="G2577" s="18">
        <v>240</v>
      </c>
      <c r="H2577" s="30" t="s">
        <v>2298</v>
      </c>
      <c r="J2577" s="34"/>
    </row>
    <row r="2578" spans="1:10" x14ac:dyDescent="0.25">
      <c r="A2578" s="15">
        <v>41173</v>
      </c>
      <c r="B2578" s="16" t="s">
        <v>954</v>
      </c>
      <c r="C2578" t="s">
        <v>8</v>
      </c>
      <c r="D2578" t="s">
        <v>48</v>
      </c>
      <c r="E2578" s="17">
        <v>10</v>
      </c>
      <c r="F2578" s="17">
        <v>40.97</v>
      </c>
      <c r="G2578" s="18">
        <v>409.7</v>
      </c>
      <c r="H2578" s="30" t="s">
        <v>2298</v>
      </c>
      <c r="J2578" s="34"/>
    </row>
    <row r="2579" spans="1:10" x14ac:dyDescent="0.25">
      <c r="A2579" s="15">
        <v>41173</v>
      </c>
      <c r="B2579" s="16" t="s">
        <v>865</v>
      </c>
      <c r="C2579" t="s">
        <v>8</v>
      </c>
      <c r="D2579" t="s">
        <v>48</v>
      </c>
      <c r="E2579" s="17">
        <v>10</v>
      </c>
      <c r="F2579" s="17">
        <v>35.35</v>
      </c>
      <c r="G2579" s="18">
        <v>353.5</v>
      </c>
      <c r="H2579" s="30" t="s">
        <v>2298</v>
      </c>
      <c r="J2579" s="34"/>
    </row>
    <row r="2580" spans="1:10" x14ac:dyDescent="0.25">
      <c r="A2580" s="15">
        <v>41173</v>
      </c>
      <c r="B2580" s="16" t="s">
        <v>865</v>
      </c>
      <c r="C2580" t="s">
        <v>8</v>
      </c>
      <c r="D2580" t="s">
        <v>48</v>
      </c>
      <c r="E2580" s="17">
        <v>5</v>
      </c>
      <c r="F2580" s="17">
        <v>35.35</v>
      </c>
      <c r="G2580" s="18">
        <v>176.75</v>
      </c>
      <c r="H2580" s="30" t="s">
        <v>2298</v>
      </c>
      <c r="J2580" s="34"/>
    </row>
    <row r="2581" spans="1:10" x14ac:dyDescent="0.25">
      <c r="A2581" s="15">
        <v>41173</v>
      </c>
      <c r="B2581" s="16" t="s">
        <v>874</v>
      </c>
      <c r="C2581" t="s">
        <v>875</v>
      </c>
      <c r="D2581" t="s">
        <v>48</v>
      </c>
      <c r="E2581" s="17">
        <v>4</v>
      </c>
      <c r="F2581" s="17">
        <v>25.78</v>
      </c>
      <c r="G2581" s="18">
        <v>103.12</v>
      </c>
      <c r="H2581" s="30" t="s">
        <v>2298</v>
      </c>
      <c r="J2581" s="34"/>
    </row>
    <row r="2582" spans="1:10" ht="30" x14ac:dyDescent="0.25">
      <c r="A2582" s="15">
        <v>41177</v>
      </c>
      <c r="B2582" s="16" t="s">
        <v>1086</v>
      </c>
      <c r="C2582" t="s">
        <v>1079</v>
      </c>
      <c r="D2582" t="s">
        <v>783</v>
      </c>
      <c r="E2582" s="17">
        <v>1</v>
      </c>
      <c r="F2582" s="17">
        <v>14887</v>
      </c>
      <c r="G2582" s="18">
        <v>14887</v>
      </c>
      <c r="H2582" s="30" t="s">
        <v>2298</v>
      </c>
      <c r="J2582" s="34"/>
    </row>
    <row r="2583" spans="1:10" x14ac:dyDescent="0.25">
      <c r="A2583" s="15">
        <v>41180</v>
      </c>
      <c r="B2583" s="16" t="s">
        <v>1087</v>
      </c>
      <c r="C2583" t="s">
        <v>1085</v>
      </c>
      <c r="D2583" t="s">
        <v>783</v>
      </c>
      <c r="E2583" s="17">
        <v>1</v>
      </c>
      <c r="F2583" s="17">
        <v>53930.89</v>
      </c>
      <c r="G2583" s="18">
        <v>53930.89</v>
      </c>
      <c r="H2583" s="30" t="s">
        <v>2298</v>
      </c>
      <c r="J2583" s="34"/>
    </row>
    <row r="2584" spans="1:10" x14ac:dyDescent="0.25">
      <c r="A2584" s="15">
        <v>41182</v>
      </c>
      <c r="B2584" s="16" t="s">
        <v>1088</v>
      </c>
      <c r="C2584" t="s">
        <v>1002</v>
      </c>
      <c r="D2584" t="s">
        <v>783</v>
      </c>
      <c r="E2584" s="17">
        <v>2</v>
      </c>
      <c r="F2584" s="17">
        <v>315</v>
      </c>
      <c r="G2584" s="18">
        <v>630</v>
      </c>
      <c r="H2584" s="30" t="s">
        <v>2298</v>
      </c>
      <c r="J2584" s="34"/>
    </row>
    <row r="2585" spans="1:10" x14ac:dyDescent="0.25">
      <c r="A2585" s="15">
        <v>41198</v>
      </c>
      <c r="B2585" s="16" t="s">
        <v>1089</v>
      </c>
      <c r="C2585" t="s">
        <v>1090</v>
      </c>
      <c r="D2585" t="s">
        <v>783</v>
      </c>
      <c r="E2585" s="17">
        <v>1.5</v>
      </c>
      <c r="F2585" s="17">
        <v>115</v>
      </c>
      <c r="G2585" s="18">
        <v>172.5</v>
      </c>
      <c r="H2585" s="30" t="s">
        <v>2298</v>
      </c>
      <c r="J2585" s="34"/>
    </row>
    <row r="2586" spans="1:10" x14ac:dyDescent="0.25">
      <c r="A2586" s="19" t="s">
        <v>781</v>
      </c>
      <c r="B2586" s="20" t="s">
        <v>1091</v>
      </c>
      <c r="C2586" s="21" t="s">
        <v>781</v>
      </c>
      <c r="D2586" s="21" t="s">
        <v>781</v>
      </c>
      <c r="E2586" s="22"/>
      <c r="F2586" s="22"/>
      <c r="G2586" s="23">
        <v>274290.02500000002</v>
      </c>
      <c r="H2586" s="31" t="s">
        <v>2285</v>
      </c>
      <c r="J2586" s="34"/>
    </row>
    <row r="2587" spans="1:10" x14ac:dyDescent="0.25">
      <c r="A2587" s="15" t="s">
        <v>781</v>
      </c>
      <c r="B2587" s="16" t="s">
        <v>781</v>
      </c>
      <c r="C2587" t="s">
        <v>781</v>
      </c>
      <c r="D2587" t="s">
        <v>781</v>
      </c>
      <c r="E2587" s="17"/>
      <c r="F2587" s="17"/>
      <c r="G2587" s="18"/>
      <c r="H2587" s="30" t="s">
        <v>2285</v>
      </c>
      <c r="J2587" s="34"/>
    </row>
    <row r="2588" spans="1:10" x14ac:dyDescent="0.25">
      <c r="A2588" s="12" t="s">
        <v>781</v>
      </c>
      <c r="B2588" s="11" t="s">
        <v>1866</v>
      </c>
      <c r="C2588" s="10" t="s">
        <v>781</v>
      </c>
      <c r="D2588" s="10" t="s">
        <v>781</v>
      </c>
      <c r="E2588" s="13"/>
      <c r="F2588" s="13"/>
      <c r="G2588" s="14"/>
      <c r="H2588" s="29" t="s">
        <v>2285</v>
      </c>
      <c r="J2588" s="34"/>
    </row>
    <row r="2589" spans="1:10" x14ac:dyDescent="0.25">
      <c r="A2589" s="15">
        <v>41043</v>
      </c>
      <c r="B2589" s="16" t="s">
        <v>1092</v>
      </c>
      <c r="C2589" t="s">
        <v>1085</v>
      </c>
      <c r="D2589" t="s">
        <v>783</v>
      </c>
      <c r="E2589" s="17">
        <v>69.7</v>
      </c>
      <c r="F2589" s="17">
        <v>299.51</v>
      </c>
      <c r="G2589" s="18">
        <v>20875.847000000002</v>
      </c>
      <c r="H2589" s="30" t="s">
        <v>2299</v>
      </c>
      <c r="J2589" s="34"/>
    </row>
    <row r="2590" spans="1:10" x14ac:dyDescent="0.25">
      <c r="A2590" s="15">
        <v>41043</v>
      </c>
      <c r="B2590" s="16" t="s">
        <v>1093</v>
      </c>
      <c r="C2590" t="s">
        <v>1085</v>
      </c>
      <c r="D2590" t="s">
        <v>783</v>
      </c>
      <c r="E2590" s="17">
        <v>292.2</v>
      </c>
      <c r="F2590" s="17">
        <v>299.51</v>
      </c>
      <c r="G2590" s="18">
        <v>87516.822</v>
      </c>
      <c r="H2590" s="30" t="s">
        <v>2299</v>
      </c>
      <c r="J2590" s="34"/>
    </row>
    <row r="2591" spans="1:10" x14ac:dyDescent="0.25">
      <c r="A2591" s="15">
        <v>41113</v>
      </c>
      <c r="B2591" s="16" t="s">
        <v>887</v>
      </c>
      <c r="C2591" t="s">
        <v>873</v>
      </c>
      <c r="D2591" t="s">
        <v>48</v>
      </c>
      <c r="E2591" s="17">
        <v>2</v>
      </c>
      <c r="F2591" s="17">
        <v>95</v>
      </c>
      <c r="G2591" s="18">
        <v>190</v>
      </c>
      <c r="H2591" s="30" t="s">
        <v>2299</v>
      </c>
      <c r="J2591" s="34"/>
    </row>
    <row r="2592" spans="1:10" x14ac:dyDescent="0.25">
      <c r="A2592" s="15">
        <v>41114</v>
      </c>
      <c r="B2592" s="16" t="s">
        <v>887</v>
      </c>
      <c r="C2592" t="s">
        <v>873</v>
      </c>
      <c r="D2592" t="s">
        <v>48</v>
      </c>
      <c r="E2592" s="17">
        <v>3</v>
      </c>
      <c r="F2592" s="17">
        <v>95</v>
      </c>
      <c r="G2592" s="18">
        <v>285</v>
      </c>
      <c r="H2592" s="30" t="s">
        <v>2299</v>
      </c>
      <c r="J2592" s="34"/>
    </row>
    <row r="2593" spans="1:10" x14ac:dyDescent="0.25">
      <c r="A2593" s="15">
        <v>41116</v>
      </c>
      <c r="B2593" s="16" t="s">
        <v>887</v>
      </c>
      <c r="C2593" t="s">
        <v>873</v>
      </c>
      <c r="D2593" t="s">
        <v>48</v>
      </c>
      <c r="E2593" s="17">
        <v>3</v>
      </c>
      <c r="F2593" s="17">
        <v>95</v>
      </c>
      <c r="G2593" s="18">
        <v>285</v>
      </c>
      <c r="H2593" s="30" t="s">
        <v>2299</v>
      </c>
      <c r="J2593" s="34"/>
    </row>
    <row r="2594" spans="1:10" x14ac:dyDescent="0.25">
      <c r="A2594" s="15">
        <v>41121</v>
      </c>
      <c r="B2594" s="16" t="s">
        <v>1094</v>
      </c>
      <c r="C2594" t="s">
        <v>1085</v>
      </c>
      <c r="D2594" t="s">
        <v>783</v>
      </c>
      <c r="E2594" s="17">
        <v>1</v>
      </c>
      <c r="F2594" s="17">
        <v>142122.5</v>
      </c>
      <c r="G2594" s="18">
        <v>142122.5</v>
      </c>
      <c r="H2594" s="30" t="s">
        <v>2299</v>
      </c>
      <c r="J2594" s="34"/>
    </row>
    <row r="2595" spans="1:10" x14ac:dyDescent="0.25">
      <c r="A2595" s="15">
        <v>41179</v>
      </c>
      <c r="B2595" s="16" t="s">
        <v>865</v>
      </c>
      <c r="C2595" t="s">
        <v>8</v>
      </c>
      <c r="D2595" t="s">
        <v>48</v>
      </c>
      <c r="E2595" s="17">
        <v>8</v>
      </c>
      <c r="F2595" s="17">
        <v>35.35</v>
      </c>
      <c r="G2595" s="18">
        <v>282.8</v>
      </c>
      <c r="H2595" s="30" t="s">
        <v>2299</v>
      </c>
      <c r="J2595" s="34"/>
    </row>
    <row r="2596" spans="1:10" x14ac:dyDescent="0.25">
      <c r="A2596" s="15">
        <v>41179</v>
      </c>
      <c r="B2596" s="16" t="s">
        <v>865</v>
      </c>
      <c r="C2596" t="s">
        <v>8</v>
      </c>
      <c r="D2596" t="s">
        <v>48</v>
      </c>
      <c r="E2596" s="17">
        <v>8</v>
      </c>
      <c r="F2596" s="17">
        <v>35.35</v>
      </c>
      <c r="G2596" s="18">
        <v>282.8</v>
      </c>
      <c r="H2596" s="30" t="s">
        <v>2299</v>
      </c>
      <c r="J2596" s="34"/>
    </row>
    <row r="2597" spans="1:10" x14ac:dyDescent="0.25">
      <c r="A2597" s="15">
        <v>41180</v>
      </c>
      <c r="B2597" s="16" t="s">
        <v>865</v>
      </c>
      <c r="C2597" t="s">
        <v>8</v>
      </c>
      <c r="D2597" t="s">
        <v>48</v>
      </c>
      <c r="E2597" s="17">
        <v>9.5</v>
      </c>
      <c r="F2597" s="17">
        <v>35.35</v>
      </c>
      <c r="G2597" s="18">
        <v>335.82499999999999</v>
      </c>
      <c r="H2597" s="30" t="s">
        <v>2299</v>
      </c>
      <c r="J2597" s="34"/>
    </row>
    <row r="2598" spans="1:10" x14ac:dyDescent="0.25">
      <c r="A2598" s="15">
        <v>41180</v>
      </c>
      <c r="B2598" s="16" t="s">
        <v>865</v>
      </c>
      <c r="C2598" t="s">
        <v>8</v>
      </c>
      <c r="D2598" t="s">
        <v>48</v>
      </c>
      <c r="E2598" s="17">
        <v>9.5</v>
      </c>
      <c r="F2598" s="17">
        <v>35.35</v>
      </c>
      <c r="G2598" s="18">
        <v>335.82499999999999</v>
      </c>
      <c r="H2598" s="30" t="s">
        <v>2299</v>
      </c>
      <c r="J2598" s="34"/>
    </row>
    <row r="2599" spans="1:10" x14ac:dyDescent="0.25">
      <c r="A2599" s="15">
        <v>41180</v>
      </c>
      <c r="B2599" s="16" t="s">
        <v>878</v>
      </c>
      <c r="C2599" t="s">
        <v>879</v>
      </c>
      <c r="D2599" t="s">
        <v>48</v>
      </c>
      <c r="E2599" s="17">
        <v>9</v>
      </c>
      <c r="F2599" s="17">
        <v>110</v>
      </c>
      <c r="G2599" s="18">
        <v>990</v>
      </c>
      <c r="H2599" s="30" t="s">
        <v>2299</v>
      </c>
      <c r="J2599" s="34"/>
    </row>
    <row r="2600" spans="1:10" x14ac:dyDescent="0.25">
      <c r="A2600" s="15">
        <v>41180</v>
      </c>
      <c r="B2600" s="16" t="s">
        <v>876</v>
      </c>
      <c r="C2600" t="s">
        <v>8</v>
      </c>
      <c r="D2600" t="s">
        <v>48</v>
      </c>
      <c r="E2600" s="17">
        <v>8.5</v>
      </c>
      <c r="F2600" s="17">
        <v>95</v>
      </c>
      <c r="G2600" s="18">
        <v>807.5</v>
      </c>
      <c r="H2600" s="30" t="s">
        <v>2299</v>
      </c>
      <c r="J2600" s="34"/>
    </row>
    <row r="2601" spans="1:10" x14ac:dyDescent="0.25">
      <c r="A2601" s="15">
        <v>41180</v>
      </c>
      <c r="B2601" s="16" t="s">
        <v>882</v>
      </c>
      <c r="C2601" t="s">
        <v>8</v>
      </c>
      <c r="D2601" t="s">
        <v>48</v>
      </c>
      <c r="E2601" s="17">
        <v>10</v>
      </c>
      <c r="F2601" s="17">
        <v>48</v>
      </c>
      <c r="G2601" s="18">
        <v>480</v>
      </c>
      <c r="H2601" s="30" t="s">
        <v>2299</v>
      </c>
      <c r="J2601" s="34"/>
    </row>
    <row r="2602" spans="1:10" x14ac:dyDescent="0.25">
      <c r="A2602" s="15">
        <v>41182</v>
      </c>
      <c r="B2602" s="16" t="s">
        <v>1095</v>
      </c>
      <c r="C2602" t="s">
        <v>1085</v>
      </c>
      <c r="D2602" t="s">
        <v>783</v>
      </c>
      <c r="E2602" s="17">
        <v>1</v>
      </c>
      <c r="F2602" s="17">
        <v>3740</v>
      </c>
      <c r="G2602" s="18">
        <v>3740</v>
      </c>
      <c r="H2602" s="30" t="s">
        <v>2299</v>
      </c>
      <c r="J2602" s="34"/>
    </row>
    <row r="2603" spans="1:10" x14ac:dyDescent="0.25">
      <c r="A2603" s="15">
        <v>41184</v>
      </c>
      <c r="B2603" s="16" t="s">
        <v>865</v>
      </c>
      <c r="C2603" t="s">
        <v>8</v>
      </c>
      <c r="D2603" t="s">
        <v>48</v>
      </c>
      <c r="E2603" s="17">
        <v>7</v>
      </c>
      <c r="F2603" s="17">
        <v>35.35</v>
      </c>
      <c r="G2603" s="18">
        <v>247.45</v>
      </c>
      <c r="H2603" s="30" t="s">
        <v>2299</v>
      </c>
      <c r="J2603" s="34"/>
    </row>
    <row r="2604" spans="1:10" x14ac:dyDescent="0.25">
      <c r="A2604" s="15">
        <v>41184</v>
      </c>
      <c r="B2604" s="16" t="s">
        <v>865</v>
      </c>
      <c r="C2604" t="s">
        <v>8</v>
      </c>
      <c r="D2604" t="s">
        <v>48</v>
      </c>
      <c r="E2604" s="17">
        <v>7</v>
      </c>
      <c r="F2604" s="17">
        <v>35.35</v>
      </c>
      <c r="G2604" s="18">
        <v>247.45</v>
      </c>
      <c r="H2604" s="30" t="s">
        <v>2299</v>
      </c>
      <c r="J2604" s="34"/>
    </row>
    <row r="2605" spans="1:10" x14ac:dyDescent="0.25">
      <c r="A2605" s="15">
        <v>41184</v>
      </c>
      <c r="B2605" s="16" t="s">
        <v>882</v>
      </c>
      <c r="C2605" t="s">
        <v>8</v>
      </c>
      <c r="D2605" t="s">
        <v>48</v>
      </c>
      <c r="E2605" s="17">
        <v>7</v>
      </c>
      <c r="F2605" s="17">
        <v>48</v>
      </c>
      <c r="G2605" s="18">
        <v>336</v>
      </c>
      <c r="H2605" s="30" t="s">
        <v>2299</v>
      </c>
      <c r="J2605" s="34"/>
    </row>
    <row r="2606" spans="1:10" x14ac:dyDescent="0.25">
      <c r="A2606" s="15">
        <v>41184</v>
      </c>
      <c r="B2606" s="16" t="s">
        <v>865</v>
      </c>
      <c r="C2606" t="s">
        <v>8</v>
      </c>
      <c r="D2606" t="s">
        <v>48</v>
      </c>
      <c r="E2606" s="17">
        <v>7</v>
      </c>
      <c r="F2606" s="17">
        <v>35.35</v>
      </c>
      <c r="G2606" s="18">
        <v>247.45</v>
      </c>
      <c r="H2606" s="30" t="s">
        <v>2299</v>
      </c>
      <c r="J2606" s="34"/>
    </row>
    <row r="2607" spans="1:10" x14ac:dyDescent="0.25">
      <c r="A2607" s="15">
        <v>41184</v>
      </c>
      <c r="B2607" s="16" t="s">
        <v>1096</v>
      </c>
      <c r="C2607" t="s">
        <v>1097</v>
      </c>
      <c r="D2607" t="s">
        <v>774</v>
      </c>
      <c r="E2607" s="17">
        <v>1</v>
      </c>
      <c r="F2607" s="17">
        <v>365</v>
      </c>
      <c r="G2607" s="18">
        <v>365</v>
      </c>
      <c r="H2607" s="30" t="s">
        <v>2299</v>
      </c>
      <c r="J2607" s="34"/>
    </row>
    <row r="2608" spans="1:10" x14ac:dyDescent="0.25">
      <c r="A2608" s="15">
        <v>41184</v>
      </c>
      <c r="B2608" s="16" t="s">
        <v>876</v>
      </c>
      <c r="C2608" t="s">
        <v>8</v>
      </c>
      <c r="D2608" t="s">
        <v>48</v>
      </c>
      <c r="E2608" s="17">
        <v>3</v>
      </c>
      <c r="F2608" s="17">
        <v>95</v>
      </c>
      <c r="G2608" s="18">
        <v>285</v>
      </c>
      <c r="H2608" s="30" t="s">
        <v>2299</v>
      </c>
      <c r="J2608" s="34"/>
    </row>
    <row r="2609" spans="1:10" x14ac:dyDescent="0.25">
      <c r="A2609" s="15">
        <v>41184</v>
      </c>
      <c r="B2609" s="16" t="s">
        <v>878</v>
      </c>
      <c r="C2609" t="s">
        <v>879</v>
      </c>
      <c r="D2609" t="s">
        <v>48</v>
      </c>
      <c r="E2609" s="17">
        <v>7</v>
      </c>
      <c r="F2609" s="17">
        <v>110</v>
      </c>
      <c r="G2609" s="18">
        <v>770</v>
      </c>
      <c r="H2609" s="30" t="s">
        <v>2299</v>
      </c>
      <c r="J2609" s="34"/>
    </row>
    <row r="2610" spans="1:10" x14ac:dyDescent="0.25">
      <c r="A2610" s="15">
        <v>41184</v>
      </c>
      <c r="B2610" s="16" t="s">
        <v>865</v>
      </c>
      <c r="C2610" t="s">
        <v>8</v>
      </c>
      <c r="D2610" t="s">
        <v>48</v>
      </c>
      <c r="E2610" s="17">
        <v>7</v>
      </c>
      <c r="F2610" s="17">
        <v>35.35</v>
      </c>
      <c r="G2610" s="18">
        <v>247.45</v>
      </c>
      <c r="H2610" s="30" t="s">
        <v>2299</v>
      </c>
      <c r="J2610" s="34"/>
    </row>
    <row r="2611" spans="1:10" x14ac:dyDescent="0.25">
      <c r="A2611" s="15">
        <v>41207</v>
      </c>
      <c r="B2611" s="16" t="s">
        <v>1098</v>
      </c>
      <c r="C2611" t="s">
        <v>1085</v>
      </c>
      <c r="D2611" t="s">
        <v>783</v>
      </c>
      <c r="E2611" s="17">
        <v>1</v>
      </c>
      <c r="F2611" s="17">
        <v>388.41</v>
      </c>
      <c r="G2611" s="18">
        <v>388.41</v>
      </c>
      <c r="H2611" s="30" t="s">
        <v>2299</v>
      </c>
      <c r="J2611" s="34"/>
    </row>
    <row r="2612" spans="1:10" x14ac:dyDescent="0.25">
      <c r="A2612" s="19" t="s">
        <v>781</v>
      </c>
      <c r="B2612" s="20" t="s">
        <v>1099</v>
      </c>
      <c r="C2612" s="21" t="s">
        <v>781</v>
      </c>
      <c r="D2612" s="21" t="s">
        <v>781</v>
      </c>
      <c r="E2612" s="22"/>
      <c r="F2612" s="22"/>
      <c r="G2612" s="23">
        <v>261664.12899999999</v>
      </c>
      <c r="H2612" s="31" t="s">
        <v>2285</v>
      </c>
      <c r="J2612" s="34"/>
    </row>
    <row r="2613" spans="1:10" x14ac:dyDescent="0.25">
      <c r="A2613" s="15" t="s">
        <v>781</v>
      </c>
      <c r="B2613" s="16" t="s">
        <v>781</v>
      </c>
      <c r="C2613" t="s">
        <v>781</v>
      </c>
      <c r="D2613" t="s">
        <v>781</v>
      </c>
      <c r="E2613" s="17"/>
      <c r="F2613" s="17"/>
      <c r="G2613" s="18"/>
      <c r="H2613" s="30" t="s">
        <v>2285</v>
      </c>
      <c r="J2613" s="34"/>
    </row>
    <row r="2614" spans="1:10" x14ac:dyDescent="0.25">
      <c r="A2614" s="12" t="s">
        <v>781</v>
      </c>
      <c r="B2614" s="11" t="s">
        <v>1867</v>
      </c>
      <c r="C2614" s="10" t="s">
        <v>781</v>
      </c>
      <c r="D2614" s="10" t="s">
        <v>781</v>
      </c>
      <c r="E2614" s="13"/>
      <c r="F2614" s="13"/>
      <c r="G2614" s="14"/>
      <c r="H2614" s="29" t="s">
        <v>2285</v>
      </c>
      <c r="J2614" s="34"/>
    </row>
    <row r="2615" spans="1:10" x14ac:dyDescent="0.25">
      <c r="A2615" s="15">
        <v>41177</v>
      </c>
      <c r="B2615" s="16" t="s">
        <v>1100</v>
      </c>
      <c r="C2615" t="s">
        <v>1101</v>
      </c>
      <c r="D2615" t="s">
        <v>783</v>
      </c>
      <c r="E2615" s="17">
        <v>1</v>
      </c>
      <c r="F2615" s="17">
        <v>2153</v>
      </c>
      <c r="G2615" s="18">
        <v>2153</v>
      </c>
      <c r="H2615" s="30" t="s">
        <v>2300</v>
      </c>
      <c r="J2615" s="34"/>
    </row>
    <row r="2616" spans="1:10" x14ac:dyDescent="0.25">
      <c r="A2616" s="15">
        <v>41235</v>
      </c>
      <c r="B2616" s="16" t="s">
        <v>1102</v>
      </c>
      <c r="C2616" t="s">
        <v>1101</v>
      </c>
      <c r="D2616" t="s">
        <v>783</v>
      </c>
      <c r="E2616" s="17">
        <v>1</v>
      </c>
      <c r="F2616" s="17">
        <v>1652</v>
      </c>
      <c r="G2616" s="18">
        <v>1652</v>
      </c>
      <c r="H2616" s="30" t="s">
        <v>2300</v>
      </c>
      <c r="J2616" s="34"/>
    </row>
    <row r="2617" spans="1:10" x14ac:dyDescent="0.25">
      <c r="A2617" s="15">
        <v>41235</v>
      </c>
      <c r="B2617" s="16" t="s">
        <v>1103</v>
      </c>
      <c r="C2617" t="s">
        <v>1101</v>
      </c>
      <c r="D2617" t="s">
        <v>783</v>
      </c>
      <c r="E2617" s="17">
        <v>1</v>
      </c>
      <c r="F2617" s="17">
        <v>968.75</v>
      </c>
      <c r="G2617" s="18">
        <v>968.75</v>
      </c>
      <c r="H2617" s="30" t="s">
        <v>2300</v>
      </c>
      <c r="J2617" s="34"/>
    </row>
    <row r="2618" spans="1:10" x14ac:dyDescent="0.25">
      <c r="A2618" s="19" t="s">
        <v>781</v>
      </c>
      <c r="B2618" s="20" t="s">
        <v>1104</v>
      </c>
      <c r="C2618" s="21" t="s">
        <v>781</v>
      </c>
      <c r="D2618" s="21" t="s">
        <v>781</v>
      </c>
      <c r="E2618" s="22"/>
      <c r="F2618" s="22"/>
      <c r="G2618" s="23">
        <v>4773.75</v>
      </c>
      <c r="H2618" s="31" t="s">
        <v>2285</v>
      </c>
      <c r="J2618" s="34"/>
    </row>
    <row r="2619" spans="1:10" x14ac:dyDescent="0.25">
      <c r="A2619" s="15" t="s">
        <v>781</v>
      </c>
      <c r="B2619" s="16" t="s">
        <v>781</v>
      </c>
      <c r="C2619" t="s">
        <v>781</v>
      </c>
      <c r="D2619" t="s">
        <v>781</v>
      </c>
      <c r="E2619" s="17"/>
      <c r="F2619" s="17"/>
      <c r="G2619" s="18"/>
      <c r="H2619" s="30" t="s">
        <v>2285</v>
      </c>
      <c r="J2619" s="34"/>
    </row>
    <row r="2620" spans="1:10" x14ac:dyDescent="0.25">
      <c r="A2620" s="12" t="s">
        <v>781</v>
      </c>
      <c r="B2620" s="11" t="s">
        <v>1868</v>
      </c>
      <c r="C2620" s="10" t="s">
        <v>781</v>
      </c>
      <c r="D2620" s="10" t="s">
        <v>781</v>
      </c>
      <c r="E2620" s="13"/>
      <c r="F2620" s="13"/>
      <c r="G2620" s="14"/>
      <c r="H2620" s="29" t="s">
        <v>2285</v>
      </c>
      <c r="J2620" s="34"/>
    </row>
    <row r="2621" spans="1:10" x14ac:dyDescent="0.25">
      <c r="A2621" s="15">
        <v>41029</v>
      </c>
      <c r="B2621" s="16" t="s">
        <v>865</v>
      </c>
      <c r="C2621" t="s">
        <v>8</v>
      </c>
      <c r="D2621" t="s">
        <v>48</v>
      </c>
      <c r="E2621" s="17">
        <v>3.5</v>
      </c>
      <c r="F2621" s="17">
        <v>48</v>
      </c>
      <c r="G2621" s="18">
        <v>168</v>
      </c>
      <c r="H2621" s="30" t="s">
        <v>2301</v>
      </c>
      <c r="J2621" s="34"/>
    </row>
    <row r="2622" spans="1:10" x14ac:dyDescent="0.25">
      <c r="A2622" s="15">
        <v>41029</v>
      </c>
      <c r="B2622" s="16" t="s">
        <v>865</v>
      </c>
      <c r="C2622" t="s">
        <v>8</v>
      </c>
      <c r="D2622" t="s">
        <v>48</v>
      </c>
      <c r="E2622" s="17">
        <v>3.5</v>
      </c>
      <c r="F2622" s="17">
        <v>35.35</v>
      </c>
      <c r="G2622" s="18">
        <v>123.72499999999999</v>
      </c>
      <c r="H2622" s="30" t="s">
        <v>2301</v>
      </c>
      <c r="J2622" s="34"/>
    </row>
    <row r="2623" spans="1:10" x14ac:dyDescent="0.25">
      <c r="A2623" s="15">
        <v>41029</v>
      </c>
      <c r="B2623" s="16" t="s">
        <v>865</v>
      </c>
      <c r="C2623" t="s">
        <v>8</v>
      </c>
      <c r="D2623" t="s">
        <v>48</v>
      </c>
      <c r="E2623" s="17">
        <v>3.5</v>
      </c>
      <c r="F2623" s="17">
        <v>35.35</v>
      </c>
      <c r="G2623" s="18">
        <v>123.72499999999999</v>
      </c>
      <c r="H2623" s="30" t="s">
        <v>2301</v>
      </c>
      <c r="J2623" s="34"/>
    </row>
    <row r="2624" spans="1:10" x14ac:dyDescent="0.25">
      <c r="A2624" s="15">
        <v>41087</v>
      </c>
      <c r="B2624" s="16" t="s">
        <v>865</v>
      </c>
      <c r="C2624" t="s">
        <v>8</v>
      </c>
      <c r="D2624" t="s">
        <v>48</v>
      </c>
      <c r="E2624" s="17">
        <v>5</v>
      </c>
      <c r="F2624" s="17">
        <v>35.35</v>
      </c>
      <c r="G2624" s="18">
        <v>176.75</v>
      </c>
      <c r="H2624" s="30" t="s">
        <v>2301</v>
      </c>
      <c r="J2624" s="34"/>
    </row>
    <row r="2625" spans="1:10" x14ac:dyDescent="0.25">
      <c r="A2625" s="15">
        <v>41087</v>
      </c>
      <c r="B2625" s="16" t="s">
        <v>865</v>
      </c>
      <c r="C2625" t="s">
        <v>8</v>
      </c>
      <c r="D2625" t="s">
        <v>48</v>
      </c>
      <c r="E2625" s="17">
        <v>5</v>
      </c>
      <c r="F2625" s="17">
        <v>35.35</v>
      </c>
      <c r="G2625" s="18">
        <v>176.75</v>
      </c>
      <c r="H2625" s="30" t="s">
        <v>2301</v>
      </c>
      <c r="J2625" s="34"/>
    </row>
    <row r="2626" spans="1:10" x14ac:dyDescent="0.25">
      <c r="A2626" s="15">
        <v>41088</v>
      </c>
      <c r="B2626" s="16" t="s">
        <v>865</v>
      </c>
      <c r="C2626" t="s">
        <v>8</v>
      </c>
      <c r="D2626" t="s">
        <v>48</v>
      </c>
      <c r="E2626" s="17">
        <v>5</v>
      </c>
      <c r="F2626" s="17">
        <v>35.35</v>
      </c>
      <c r="G2626" s="18">
        <v>176.75</v>
      </c>
      <c r="H2626" s="30" t="s">
        <v>2301</v>
      </c>
      <c r="J2626" s="34"/>
    </row>
    <row r="2627" spans="1:10" x14ac:dyDescent="0.25">
      <c r="A2627" s="15">
        <v>41116</v>
      </c>
      <c r="B2627" s="16" t="s">
        <v>887</v>
      </c>
      <c r="C2627" t="s">
        <v>873</v>
      </c>
      <c r="D2627" t="s">
        <v>48</v>
      </c>
      <c r="E2627" s="17">
        <v>6.5</v>
      </c>
      <c r="F2627" s="17">
        <v>95</v>
      </c>
      <c r="G2627" s="18">
        <v>617.5</v>
      </c>
      <c r="H2627" s="30" t="s">
        <v>2301</v>
      </c>
      <c r="J2627" s="34"/>
    </row>
    <row r="2628" spans="1:10" x14ac:dyDescent="0.25">
      <c r="A2628" s="15">
        <v>41163</v>
      </c>
      <c r="B2628" s="16" t="s">
        <v>865</v>
      </c>
      <c r="C2628" t="s">
        <v>8</v>
      </c>
      <c r="D2628" t="s">
        <v>48</v>
      </c>
      <c r="E2628" s="17">
        <v>5</v>
      </c>
      <c r="F2628" s="17">
        <v>35.35</v>
      </c>
      <c r="G2628" s="18">
        <v>176.75</v>
      </c>
      <c r="H2628" s="30" t="s">
        <v>2301</v>
      </c>
      <c r="J2628" s="34"/>
    </row>
    <row r="2629" spans="1:10" x14ac:dyDescent="0.25">
      <c r="A2629" s="15">
        <v>41163</v>
      </c>
      <c r="B2629" s="16" t="s">
        <v>880</v>
      </c>
      <c r="C2629" t="s">
        <v>881</v>
      </c>
      <c r="D2629" t="s">
        <v>48</v>
      </c>
      <c r="E2629" s="17">
        <v>4.5</v>
      </c>
      <c r="F2629" s="17">
        <v>95</v>
      </c>
      <c r="G2629" s="18">
        <v>427.5</v>
      </c>
      <c r="H2629" s="30" t="s">
        <v>2301</v>
      </c>
      <c r="J2629" s="34"/>
    </row>
    <row r="2630" spans="1:10" x14ac:dyDescent="0.25">
      <c r="A2630" s="15">
        <v>41163</v>
      </c>
      <c r="B2630" s="16" t="s">
        <v>865</v>
      </c>
      <c r="C2630" t="s">
        <v>8</v>
      </c>
      <c r="D2630" t="s">
        <v>48</v>
      </c>
      <c r="E2630" s="17">
        <v>5</v>
      </c>
      <c r="F2630" s="17">
        <v>35.35</v>
      </c>
      <c r="G2630" s="18">
        <v>176.75</v>
      </c>
      <c r="H2630" s="30" t="s">
        <v>2301</v>
      </c>
      <c r="J2630" s="34"/>
    </row>
    <row r="2631" spans="1:10" x14ac:dyDescent="0.25">
      <c r="A2631" s="15">
        <v>41163</v>
      </c>
      <c r="B2631" s="16" t="s">
        <v>865</v>
      </c>
      <c r="C2631" t="s">
        <v>8</v>
      </c>
      <c r="D2631" t="s">
        <v>48</v>
      </c>
      <c r="E2631" s="17">
        <v>5</v>
      </c>
      <c r="F2631" s="17">
        <v>35.35</v>
      </c>
      <c r="G2631" s="18">
        <v>176.75</v>
      </c>
      <c r="H2631" s="30" t="s">
        <v>2301</v>
      </c>
      <c r="J2631" s="34"/>
    </row>
    <row r="2632" spans="1:10" x14ac:dyDescent="0.25">
      <c r="A2632" s="19" t="s">
        <v>781</v>
      </c>
      <c r="B2632" s="20" t="s">
        <v>1105</v>
      </c>
      <c r="C2632" s="21" t="s">
        <v>781</v>
      </c>
      <c r="D2632" s="21" t="s">
        <v>781</v>
      </c>
      <c r="E2632" s="22"/>
      <c r="F2632" s="22"/>
      <c r="G2632" s="23">
        <v>2520.9499999999998</v>
      </c>
      <c r="H2632" s="31" t="s">
        <v>2285</v>
      </c>
      <c r="J2632" s="34"/>
    </row>
    <row r="2633" spans="1:10" x14ac:dyDescent="0.25">
      <c r="A2633" s="15" t="s">
        <v>781</v>
      </c>
      <c r="B2633" s="16" t="s">
        <v>781</v>
      </c>
      <c r="C2633" t="s">
        <v>781</v>
      </c>
      <c r="D2633" t="s">
        <v>781</v>
      </c>
      <c r="E2633" s="17"/>
      <c r="F2633" s="17"/>
      <c r="G2633" s="18"/>
      <c r="H2633" s="30" t="s">
        <v>2285</v>
      </c>
      <c r="J2633" s="34"/>
    </row>
    <row r="2634" spans="1:10" x14ac:dyDescent="0.25">
      <c r="A2634" s="12" t="s">
        <v>781</v>
      </c>
      <c r="B2634" s="11" t="s">
        <v>1869</v>
      </c>
      <c r="C2634" s="10" t="s">
        <v>781</v>
      </c>
      <c r="D2634" s="10" t="s">
        <v>781</v>
      </c>
      <c r="E2634" s="13"/>
      <c r="F2634" s="13"/>
      <c r="G2634" s="14"/>
      <c r="H2634" s="29" t="s">
        <v>2285</v>
      </c>
      <c r="J2634" s="34"/>
    </row>
    <row r="2635" spans="1:10" x14ac:dyDescent="0.25">
      <c r="A2635" s="15">
        <v>41018</v>
      </c>
      <c r="B2635" s="16" t="s">
        <v>941</v>
      </c>
      <c r="C2635" t="s">
        <v>871</v>
      </c>
      <c r="D2635" t="s">
        <v>48</v>
      </c>
      <c r="E2635" s="17">
        <v>3.5</v>
      </c>
      <c r="F2635" s="17">
        <v>85</v>
      </c>
      <c r="G2635" s="18">
        <v>297.5</v>
      </c>
      <c r="H2635" s="30" t="s">
        <v>2302</v>
      </c>
      <c r="J2635" s="34"/>
    </row>
    <row r="2636" spans="1:10" x14ac:dyDescent="0.25">
      <c r="A2636" s="15">
        <v>41018</v>
      </c>
      <c r="B2636" s="16" t="s">
        <v>865</v>
      </c>
      <c r="C2636" t="s">
        <v>8</v>
      </c>
      <c r="D2636" t="s">
        <v>48</v>
      </c>
      <c r="E2636" s="17">
        <v>4</v>
      </c>
      <c r="F2636" s="17">
        <v>35.35</v>
      </c>
      <c r="G2636" s="18">
        <v>141.4</v>
      </c>
      <c r="H2636" s="30" t="s">
        <v>2302</v>
      </c>
      <c r="J2636" s="34"/>
    </row>
    <row r="2637" spans="1:10" x14ac:dyDescent="0.25">
      <c r="A2637" s="15">
        <v>41022</v>
      </c>
      <c r="B2637" s="16" t="s">
        <v>869</v>
      </c>
      <c r="C2637" t="s">
        <v>8</v>
      </c>
      <c r="D2637" t="s">
        <v>48</v>
      </c>
      <c r="E2637" s="17">
        <v>3</v>
      </c>
      <c r="F2637" s="17">
        <v>35.35</v>
      </c>
      <c r="G2637" s="18">
        <v>106.05</v>
      </c>
      <c r="H2637" s="30" t="s">
        <v>2302</v>
      </c>
      <c r="J2637" s="34"/>
    </row>
    <row r="2638" spans="1:10" x14ac:dyDescent="0.25">
      <c r="A2638" s="15">
        <v>41023</v>
      </c>
      <c r="B2638" s="16" t="s">
        <v>1021</v>
      </c>
      <c r="C2638" t="s">
        <v>871</v>
      </c>
      <c r="D2638" t="s">
        <v>48</v>
      </c>
      <c r="E2638" s="17">
        <v>6</v>
      </c>
      <c r="F2638" s="17">
        <v>85</v>
      </c>
      <c r="G2638" s="18">
        <v>510</v>
      </c>
      <c r="H2638" s="30" t="s">
        <v>2302</v>
      </c>
      <c r="J2638" s="34"/>
    </row>
    <row r="2639" spans="1:10" x14ac:dyDescent="0.25">
      <c r="A2639" s="15">
        <v>41023</v>
      </c>
      <c r="B2639" s="16" t="s">
        <v>1106</v>
      </c>
      <c r="C2639" t="s">
        <v>1107</v>
      </c>
      <c r="D2639" t="s">
        <v>774</v>
      </c>
      <c r="E2639" s="17">
        <v>1</v>
      </c>
      <c r="F2639" s="17">
        <v>2500</v>
      </c>
      <c r="G2639" s="18">
        <v>2500</v>
      </c>
      <c r="H2639" s="30" t="s">
        <v>2302</v>
      </c>
      <c r="J2639" s="34"/>
    </row>
    <row r="2640" spans="1:10" x14ac:dyDescent="0.25">
      <c r="A2640" s="15">
        <v>41023</v>
      </c>
      <c r="B2640" s="16" t="s">
        <v>1064</v>
      </c>
      <c r="C2640" t="s">
        <v>1065</v>
      </c>
      <c r="D2640" t="s">
        <v>48</v>
      </c>
      <c r="E2640" s="17">
        <v>1</v>
      </c>
      <c r="F2640" s="17">
        <v>2500</v>
      </c>
      <c r="G2640" s="18">
        <v>2500</v>
      </c>
      <c r="H2640" s="30" t="s">
        <v>2302</v>
      </c>
      <c r="J2640" s="34"/>
    </row>
    <row r="2641" spans="1:10" x14ac:dyDescent="0.25">
      <c r="A2641" s="15">
        <v>41023</v>
      </c>
      <c r="B2641" s="16" t="s">
        <v>865</v>
      </c>
      <c r="C2641" t="s">
        <v>8</v>
      </c>
      <c r="D2641" t="s">
        <v>48</v>
      </c>
      <c r="E2641" s="17">
        <v>2</v>
      </c>
      <c r="F2641" s="17">
        <v>48</v>
      </c>
      <c r="G2641" s="18">
        <v>96</v>
      </c>
      <c r="H2641" s="30" t="s">
        <v>2302</v>
      </c>
      <c r="J2641" s="34"/>
    </row>
    <row r="2642" spans="1:10" x14ac:dyDescent="0.25">
      <c r="A2642" s="15">
        <v>41023</v>
      </c>
      <c r="B2642" s="16" t="s">
        <v>872</v>
      </c>
      <c r="C2642" t="s">
        <v>873</v>
      </c>
      <c r="D2642" t="s">
        <v>48</v>
      </c>
      <c r="E2642" s="17">
        <v>3</v>
      </c>
      <c r="F2642" s="17">
        <v>95</v>
      </c>
      <c r="G2642" s="18">
        <v>285</v>
      </c>
      <c r="H2642" s="30" t="s">
        <v>2302</v>
      </c>
      <c r="J2642" s="34"/>
    </row>
    <row r="2643" spans="1:10" x14ac:dyDescent="0.25">
      <c r="A2643" s="15">
        <v>41023</v>
      </c>
      <c r="B2643" s="16" t="s">
        <v>869</v>
      </c>
      <c r="C2643" t="s">
        <v>8</v>
      </c>
      <c r="D2643" t="s">
        <v>48</v>
      </c>
      <c r="E2643" s="17">
        <v>8</v>
      </c>
      <c r="F2643" s="17">
        <v>35.35</v>
      </c>
      <c r="G2643" s="18">
        <v>282.8</v>
      </c>
      <c r="H2643" s="30" t="s">
        <v>2302</v>
      </c>
      <c r="J2643" s="34"/>
    </row>
    <row r="2644" spans="1:10" x14ac:dyDescent="0.25">
      <c r="A2644" s="15">
        <v>41023</v>
      </c>
      <c r="B2644" s="16" t="s">
        <v>865</v>
      </c>
      <c r="C2644" t="s">
        <v>8</v>
      </c>
      <c r="D2644" t="s">
        <v>48</v>
      </c>
      <c r="E2644" s="17">
        <v>9.5</v>
      </c>
      <c r="F2644" s="17">
        <v>35.35</v>
      </c>
      <c r="G2644" s="18">
        <v>335.82499999999999</v>
      </c>
      <c r="H2644" s="30" t="s">
        <v>2302</v>
      </c>
      <c r="J2644" s="34"/>
    </row>
    <row r="2645" spans="1:10" x14ac:dyDescent="0.25">
      <c r="A2645" s="15">
        <v>41023</v>
      </c>
      <c r="B2645" s="16" t="s">
        <v>865</v>
      </c>
      <c r="C2645" t="s">
        <v>8</v>
      </c>
      <c r="D2645" t="s">
        <v>48</v>
      </c>
      <c r="E2645" s="17">
        <v>9.5</v>
      </c>
      <c r="F2645" s="17">
        <v>35.35</v>
      </c>
      <c r="G2645" s="18">
        <v>335.82499999999999</v>
      </c>
      <c r="H2645" s="30" t="s">
        <v>2302</v>
      </c>
      <c r="J2645" s="34"/>
    </row>
    <row r="2646" spans="1:10" x14ac:dyDescent="0.25">
      <c r="A2646" s="15">
        <v>41025</v>
      </c>
      <c r="B2646" s="16" t="s">
        <v>1064</v>
      </c>
      <c r="C2646" t="s">
        <v>1065</v>
      </c>
      <c r="D2646" t="s">
        <v>48</v>
      </c>
      <c r="E2646" s="17">
        <v>1</v>
      </c>
      <c r="F2646" s="17">
        <v>2500</v>
      </c>
      <c r="G2646" s="18">
        <v>2500</v>
      </c>
      <c r="H2646" s="30" t="s">
        <v>2302</v>
      </c>
      <c r="J2646" s="34"/>
    </row>
    <row r="2647" spans="1:10" x14ac:dyDescent="0.25">
      <c r="A2647" s="15">
        <v>41025</v>
      </c>
      <c r="B2647" s="16" t="s">
        <v>865</v>
      </c>
      <c r="C2647" t="s">
        <v>8</v>
      </c>
      <c r="D2647" t="s">
        <v>48</v>
      </c>
      <c r="E2647" s="17">
        <v>2.5</v>
      </c>
      <c r="F2647" s="17">
        <v>35.35</v>
      </c>
      <c r="G2647" s="18">
        <v>88.375</v>
      </c>
      <c r="H2647" s="30" t="s">
        <v>2302</v>
      </c>
      <c r="J2647" s="34"/>
    </row>
    <row r="2648" spans="1:10" x14ac:dyDescent="0.25">
      <c r="A2648" s="15">
        <v>41025</v>
      </c>
      <c r="B2648" s="16" t="s">
        <v>865</v>
      </c>
      <c r="C2648" t="s">
        <v>8</v>
      </c>
      <c r="D2648" t="s">
        <v>48</v>
      </c>
      <c r="E2648" s="17">
        <v>2.5</v>
      </c>
      <c r="F2648" s="17">
        <v>48</v>
      </c>
      <c r="G2648" s="18">
        <v>120</v>
      </c>
      <c r="H2648" s="30" t="s">
        <v>2302</v>
      </c>
      <c r="J2648" s="34"/>
    </row>
    <row r="2649" spans="1:10" x14ac:dyDescent="0.25">
      <c r="A2649" s="15">
        <v>41025</v>
      </c>
      <c r="B2649" s="16" t="s">
        <v>1106</v>
      </c>
      <c r="C2649" t="s">
        <v>1107</v>
      </c>
      <c r="D2649" t="s">
        <v>774</v>
      </c>
      <c r="E2649" s="17">
        <v>1</v>
      </c>
      <c r="F2649" s="17">
        <v>2500</v>
      </c>
      <c r="G2649" s="18">
        <v>2500</v>
      </c>
      <c r="H2649" s="30" t="s">
        <v>2302</v>
      </c>
      <c r="J2649" s="34"/>
    </row>
    <row r="2650" spans="1:10" x14ac:dyDescent="0.25">
      <c r="A2650" s="15">
        <v>41025</v>
      </c>
      <c r="B2650" s="16" t="s">
        <v>872</v>
      </c>
      <c r="C2650" t="s">
        <v>873</v>
      </c>
      <c r="D2650" t="s">
        <v>48</v>
      </c>
      <c r="E2650" s="17">
        <v>4</v>
      </c>
      <c r="F2650" s="17">
        <v>95</v>
      </c>
      <c r="G2650" s="18">
        <v>380</v>
      </c>
      <c r="H2650" s="30" t="s">
        <v>2302</v>
      </c>
      <c r="J2650" s="34"/>
    </row>
    <row r="2651" spans="1:10" x14ac:dyDescent="0.25">
      <c r="A2651" s="15">
        <v>41025</v>
      </c>
      <c r="B2651" s="16" t="s">
        <v>1108</v>
      </c>
      <c r="C2651" t="s">
        <v>871</v>
      </c>
      <c r="D2651" t="s">
        <v>48</v>
      </c>
      <c r="E2651" s="17">
        <v>4</v>
      </c>
      <c r="F2651" s="17">
        <v>85</v>
      </c>
      <c r="G2651" s="18">
        <v>340</v>
      </c>
      <c r="H2651" s="30" t="s">
        <v>2302</v>
      </c>
      <c r="J2651" s="34"/>
    </row>
    <row r="2652" spans="1:10" x14ac:dyDescent="0.25">
      <c r="A2652" s="15">
        <v>41025</v>
      </c>
      <c r="B2652" s="16" t="s">
        <v>874</v>
      </c>
      <c r="C2652" t="s">
        <v>875</v>
      </c>
      <c r="D2652" t="s">
        <v>48</v>
      </c>
      <c r="E2652" s="17">
        <v>4</v>
      </c>
      <c r="F2652" s="17">
        <v>25.78</v>
      </c>
      <c r="G2652" s="18">
        <v>103.12</v>
      </c>
      <c r="H2652" s="30" t="s">
        <v>2302</v>
      </c>
      <c r="J2652" s="34"/>
    </row>
    <row r="2653" spans="1:10" x14ac:dyDescent="0.25">
      <c r="A2653" s="15">
        <v>41026</v>
      </c>
      <c r="B2653" s="16" t="s">
        <v>872</v>
      </c>
      <c r="C2653" t="s">
        <v>873</v>
      </c>
      <c r="D2653" t="s">
        <v>48</v>
      </c>
      <c r="E2653" s="17">
        <v>2</v>
      </c>
      <c r="F2653" s="17">
        <v>95</v>
      </c>
      <c r="G2653" s="18">
        <v>190</v>
      </c>
      <c r="H2653" s="30" t="s">
        <v>2302</v>
      </c>
      <c r="J2653" s="34"/>
    </row>
    <row r="2654" spans="1:10" x14ac:dyDescent="0.25">
      <c r="A2654" s="15">
        <v>41061</v>
      </c>
      <c r="B2654" s="16" t="s">
        <v>874</v>
      </c>
      <c r="C2654" t="s">
        <v>875</v>
      </c>
      <c r="D2654" t="s">
        <v>48</v>
      </c>
      <c r="E2654" s="17">
        <v>2</v>
      </c>
      <c r="F2654" s="17">
        <v>25.78</v>
      </c>
      <c r="G2654" s="18">
        <v>51.56</v>
      </c>
      <c r="H2654" s="30" t="s">
        <v>2302</v>
      </c>
      <c r="J2654" s="34"/>
    </row>
    <row r="2655" spans="1:10" x14ac:dyDescent="0.25">
      <c r="A2655" s="15">
        <v>41061</v>
      </c>
      <c r="B2655" s="16" t="s">
        <v>1064</v>
      </c>
      <c r="C2655" t="s">
        <v>1065</v>
      </c>
      <c r="D2655" t="s">
        <v>48</v>
      </c>
      <c r="E2655" s="17">
        <v>1</v>
      </c>
      <c r="F2655" s="17">
        <v>2500</v>
      </c>
      <c r="G2655" s="18">
        <v>2500</v>
      </c>
      <c r="H2655" s="30" t="s">
        <v>2302</v>
      </c>
      <c r="J2655" s="34"/>
    </row>
    <row r="2656" spans="1:10" x14ac:dyDescent="0.25">
      <c r="A2656" s="15">
        <v>41061</v>
      </c>
      <c r="B2656" s="16" t="s">
        <v>872</v>
      </c>
      <c r="C2656" t="s">
        <v>985</v>
      </c>
      <c r="D2656" t="s">
        <v>48</v>
      </c>
      <c r="E2656" s="17">
        <v>5</v>
      </c>
      <c r="F2656" s="17">
        <v>90</v>
      </c>
      <c r="G2656" s="18">
        <v>450</v>
      </c>
      <c r="H2656" s="30" t="s">
        <v>2302</v>
      </c>
      <c r="J2656" s="34"/>
    </row>
    <row r="2657" spans="1:10" x14ac:dyDescent="0.25">
      <c r="A2657" s="15">
        <v>41061</v>
      </c>
      <c r="B2657" s="16" t="s">
        <v>969</v>
      </c>
      <c r="C2657" t="s">
        <v>934</v>
      </c>
      <c r="D2657" t="s">
        <v>48</v>
      </c>
      <c r="E2657" s="17">
        <v>8.5</v>
      </c>
      <c r="F2657" s="17">
        <v>100</v>
      </c>
      <c r="G2657" s="18">
        <v>850</v>
      </c>
      <c r="H2657" s="30" t="s">
        <v>2302</v>
      </c>
      <c r="J2657" s="34"/>
    </row>
    <row r="2658" spans="1:10" x14ac:dyDescent="0.25">
      <c r="A2658" s="15">
        <v>41061</v>
      </c>
      <c r="B2658" s="16" t="s">
        <v>877</v>
      </c>
      <c r="C2658" t="s">
        <v>868</v>
      </c>
      <c r="D2658" t="s">
        <v>48</v>
      </c>
      <c r="E2658" s="17">
        <v>5</v>
      </c>
      <c r="F2658" s="17">
        <v>90</v>
      </c>
      <c r="G2658" s="18">
        <v>450</v>
      </c>
      <c r="H2658" s="30" t="s">
        <v>2302</v>
      </c>
      <c r="J2658" s="34"/>
    </row>
    <row r="2659" spans="1:10" x14ac:dyDescent="0.25">
      <c r="A2659" s="15">
        <v>41061</v>
      </c>
      <c r="B2659" s="16" t="s">
        <v>865</v>
      </c>
      <c r="C2659" t="s">
        <v>8</v>
      </c>
      <c r="D2659" t="s">
        <v>48</v>
      </c>
      <c r="E2659" s="17">
        <v>10</v>
      </c>
      <c r="F2659" s="17">
        <v>35.35</v>
      </c>
      <c r="G2659" s="18">
        <v>353.5</v>
      </c>
      <c r="H2659" s="30" t="s">
        <v>2302</v>
      </c>
      <c r="J2659" s="34"/>
    </row>
    <row r="2660" spans="1:10" x14ac:dyDescent="0.25">
      <c r="A2660" s="15">
        <v>41061</v>
      </c>
      <c r="B2660" s="16" t="s">
        <v>865</v>
      </c>
      <c r="C2660" t="s">
        <v>8</v>
      </c>
      <c r="D2660" t="s">
        <v>48</v>
      </c>
      <c r="E2660" s="17">
        <v>10</v>
      </c>
      <c r="F2660" s="17">
        <v>48</v>
      </c>
      <c r="G2660" s="18">
        <v>480</v>
      </c>
      <c r="H2660" s="30" t="s">
        <v>2302</v>
      </c>
      <c r="J2660" s="34"/>
    </row>
    <row r="2661" spans="1:10" x14ac:dyDescent="0.25">
      <c r="A2661" s="15">
        <v>41061</v>
      </c>
      <c r="B2661" s="16" t="s">
        <v>865</v>
      </c>
      <c r="C2661" t="s">
        <v>8</v>
      </c>
      <c r="D2661" t="s">
        <v>48</v>
      </c>
      <c r="E2661" s="17">
        <v>10</v>
      </c>
      <c r="F2661" s="17">
        <v>35.35</v>
      </c>
      <c r="G2661" s="18">
        <v>353.5</v>
      </c>
      <c r="H2661" s="30" t="s">
        <v>2302</v>
      </c>
      <c r="J2661" s="34"/>
    </row>
    <row r="2662" spans="1:10" x14ac:dyDescent="0.25">
      <c r="A2662" s="15">
        <v>41061</v>
      </c>
      <c r="B2662" s="16" t="s">
        <v>1106</v>
      </c>
      <c r="C2662" t="s">
        <v>1107</v>
      </c>
      <c r="D2662" t="s">
        <v>774</v>
      </c>
      <c r="E2662" s="17">
        <v>1</v>
      </c>
      <c r="F2662" s="17">
        <v>2500</v>
      </c>
      <c r="G2662" s="18">
        <v>2500</v>
      </c>
      <c r="H2662" s="30" t="s">
        <v>2302</v>
      </c>
      <c r="J2662" s="34"/>
    </row>
    <row r="2663" spans="1:10" x14ac:dyDescent="0.25">
      <c r="A2663" s="15">
        <v>41061</v>
      </c>
      <c r="B2663" s="16" t="s">
        <v>865</v>
      </c>
      <c r="C2663" t="s">
        <v>8</v>
      </c>
      <c r="D2663" t="s">
        <v>48</v>
      </c>
      <c r="E2663" s="17">
        <v>10</v>
      </c>
      <c r="F2663" s="17">
        <v>35.35</v>
      </c>
      <c r="G2663" s="18">
        <v>353.5</v>
      </c>
      <c r="H2663" s="30" t="s">
        <v>2302</v>
      </c>
      <c r="J2663" s="34"/>
    </row>
    <row r="2664" spans="1:10" x14ac:dyDescent="0.25">
      <c r="A2664" s="15">
        <v>41062</v>
      </c>
      <c r="B2664" s="16" t="s">
        <v>969</v>
      </c>
      <c r="C2664" t="s">
        <v>934</v>
      </c>
      <c r="D2664" t="s">
        <v>48</v>
      </c>
      <c r="E2664" s="17">
        <v>2</v>
      </c>
      <c r="F2664" s="17">
        <v>100</v>
      </c>
      <c r="G2664" s="18">
        <v>200</v>
      </c>
      <c r="H2664" s="30" t="s">
        <v>2302</v>
      </c>
      <c r="J2664" s="34"/>
    </row>
    <row r="2665" spans="1:10" x14ac:dyDescent="0.25">
      <c r="A2665" s="15">
        <v>41064</v>
      </c>
      <c r="B2665" s="16" t="s">
        <v>880</v>
      </c>
      <c r="C2665" t="s">
        <v>881</v>
      </c>
      <c r="D2665" t="s">
        <v>48</v>
      </c>
      <c r="E2665" s="17">
        <v>2</v>
      </c>
      <c r="F2665" s="17">
        <v>95</v>
      </c>
      <c r="G2665" s="18">
        <v>190</v>
      </c>
      <c r="H2665" s="30" t="s">
        <v>2302</v>
      </c>
      <c r="J2665" s="34"/>
    </row>
    <row r="2666" spans="1:10" x14ac:dyDescent="0.25">
      <c r="A2666" s="15">
        <v>41064</v>
      </c>
      <c r="B2666" s="16" t="s">
        <v>1064</v>
      </c>
      <c r="C2666" t="s">
        <v>1065</v>
      </c>
      <c r="D2666" t="s">
        <v>48</v>
      </c>
      <c r="E2666" s="17">
        <v>1</v>
      </c>
      <c r="F2666" s="17">
        <v>2500</v>
      </c>
      <c r="G2666" s="18">
        <v>2500</v>
      </c>
      <c r="H2666" s="30" t="s">
        <v>2302</v>
      </c>
      <c r="J2666" s="34"/>
    </row>
    <row r="2667" spans="1:10" x14ac:dyDescent="0.25">
      <c r="A2667" s="15">
        <v>41064</v>
      </c>
      <c r="B2667" s="16" t="s">
        <v>1106</v>
      </c>
      <c r="C2667" t="s">
        <v>1107</v>
      </c>
      <c r="D2667" t="s">
        <v>774</v>
      </c>
      <c r="E2667" s="17">
        <v>1</v>
      </c>
      <c r="F2667" s="17">
        <v>2500</v>
      </c>
      <c r="G2667" s="18">
        <v>2500</v>
      </c>
      <c r="H2667" s="30" t="s">
        <v>2302</v>
      </c>
      <c r="J2667" s="34"/>
    </row>
    <row r="2668" spans="1:10" x14ac:dyDescent="0.25">
      <c r="A2668" s="15">
        <v>41064</v>
      </c>
      <c r="B2668" s="16" t="s">
        <v>969</v>
      </c>
      <c r="C2668" t="s">
        <v>934</v>
      </c>
      <c r="D2668" t="s">
        <v>48</v>
      </c>
      <c r="E2668" s="17">
        <v>7.5</v>
      </c>
      <c r="F2668" s="17">
        <v>100</v>
      </c>
      <c r="G2668" s="18">
        <v>750</v>
      </c>
      <c r="H2668" s="30" t="s">
        <v>2302</v>
      </c>
      <c r="J2668" s="34"/>
    </row>
    <row r="2669" spans="1:10" x14ac:dyDescent="0.25">
      <c r="A2669" s="15">
        <v>41064</v>
      </c>
      <c r="B2669" s="16" t="s">
        <v>877</v>
      </c>
      <c r="C2669" t="s">
        <v>868</v>
      </c>
      <c r="D2669" t="s">
        <v>48</v>
      </c>
      <c r="E2669" s="17">
        <v>5</v>
      </c>
      <c r="F2669" s="17">
        <v>90</v>
      </c>
      <c r="G2669" s="18">
        <v>450</v>
      </c>
      <c r="H2669" s="30" t="s">
        <v>2302</v>
      </c>
      <c r="J2669" s="34"/>
    </row>
    <row r="2670" spans="1:10" x14ac:dyDescent="0.25">
      <c r="A2670" s="15">
        <v>41064</v>
      </c>
      <c r="B2670" s="16" t="s">
        <v>872</v>
      </c>
      <c r="C2670" t="s">
        <v>985</v>
      </c>
      <c r="D2670" t="s">
        <v>48</v>
      </c>
      <c r="E2670" s="17">
        <v>11.5</v>
      </c>
      <c r="F2670" s="17">
        <v>90</v>
      </c>
      <c r="G2670" s="18">
        <v>1035</v>
      </c>
      <c r="H2670" s="30" t="s">
        <v>2302</v>
      </c>
      <c r="J2670" s="34"/>
    </row>
    <row r="2671" spans="1:10" x14ac:dyDescent="0.25">
      <c r="A2671" s="15">
        <v>41064</v>
      </c>
      <c r="B2671" s="16" t="s">
        <v>865</v>
      </c>
      <c r="C2671" t="s">
        <v>8</v>
      </c>
      <c r="D2671" t="s">
        <v>48</v>
      </c>
      <c r="E2671" s="17">
        <v>8.5</v>
      </c>
      <c r="F2671" s="17">
        <v>35.35</v>
      </c>
      <c r="G2671" s="18">
        <v>300.47500000000002</v>
      </c>
      <c r="H2671" s="30" t="s">
        <v>2302</v>
      </c>
      <c r="J2671" s="34"/>
    </row>
    <row r="2672" spans="1:10" x14ac:dyDescent="0.25">
      <c r="A2672" s="15">
        <v>41064</v>
      </c>
      <c r="B2672" s="16" t="s">
        <v>865</v>
      </c>
      <c r="C2672" t="s">
        <v>8</v>
      </c>
      <c r="D2672" t="s">
        <v>48</v>
      </c>
      <c r="E2672" s="17">
        <v>11.5</v>
      </c>
      <c r="F2672" s="17">
        <v>35.35</v>
      </c>
      <c r="G2672" s="18">
        <v>406.52499999999998</v>
      </c>
      <c r="H2672" s="30" t="s">
        <v>2302</v>
      </c>
      <c r="J2672" s="34"/>
    </row>
    <row r="2673" spans="1:10" x14ac:dyDescent="0.25">
      <c r="A2673" s="15">
        <v>41064</v>
      </c>
      <c r="B2673" s="16" t="s">
        <v>865</v>
      </c>
      <c r="C2673" t="s">
        <v>8</v>
      </c>
      <c r="D2673" t="s">
        <v>48</v>
      </c>
      <c r="E2673" s="17">
        <v>8.5</v>
      </c>
      <c r="F2673" s="17">
        <v>48</v>
      </c>
      <c r="G2673" s="18">
        <v>408</v>
      </c>
      <c r="H2673" s="30" t="s">
        <v>2302</v>
      </c>
      <c r="J2673" s="34"/>
    </row>
    <row r="2674" spans="1:10" x14ac:dyDescent="0.25">
      <c r="A2674" s="15">
        <v>41064</v>
      </c>
      <c r="B2674" s="16" t="s">
        <v>865</v>
      </c>
      <c r="C2674" t="s">
        <v>8</v>
      </c>
      <c r="D2674" t="s">
        <v>48</v>
      </c>
      <c r="E2674" s="17">
        <v>9.5</v>
      </c>
      <c r="F2674" s="17">
        <v>35.35</v>
      </c>
      <c r="G2674" s="18">
        <v>335.82499999999999</v>
      </c>
      <c r="H2674" s="30" t="s">
        <v>2302</v>
      </c>
      <c r="J2674" s="34"/>
    </row>
    <row r="2675" spans="1:10" x14ac:dyDescent="0.25">
      <c r="A2675" s="15">
        <v>41064</v>
      </c>
      <c r="B2675" s="16" t="s">
        <v>865</v>
      </c>
      <c r="C2675" t="s">
        <v>8</v>
      </c>
      <c r="D2675" t="s">
        <v>48</v>
      </c>
      <c r="E2675" s="17">
        <v>10.5</v>
      </c>
      <c r="F2675" s="17">
        <v>35.35</v>
      </c>
      <c r="G2675" s="18">
        <v>371.17500000000001</v>
      </c>
      <c r="H2675" s="30" t="s">
        <v>2302</v>
      </c>
      <c r="J2675" s="34"/>
    </row>
    <row r="2676" spans="1:10" x14ac:dyDescent="0.25">
      <c r="A2676" s="15">
        <v>41064</v>
      </c>
      <c r="B2676" s="16" t="s">
        <v>865</v>
      </c>
      <c r="C2676" t="s">
        <v>8</v>
      </c>
      <c r="D2676" t="s">
        <v>48</v>
      </c>
      <c r="E2676" s="17">
        <v>2.5</v>
      </c>
      <c r="F2676" s="17">
        <v>35.35</v>
      </c>
      <c r="G2676" s="18">
        <v>88.375</v>
      </c>
      <c r="H2676" s="30" t="s">
        <v>2302</v>
      </c>
      <c r="J2676" s="34"/>
    </row>
    <row r="2677" spans="1:10" x14ac:dyDescent="0.25">
      <c r="A2677" s="15">
        <v>41065</v>
      </c>
      <c r="B2677" s="16" t="s">
        <v>865</v>
      </c>
      <c r="C2677" t="s">
        <v>8</v>
      </c>
      <c r="D2677" t="s">
        <v>48</v>
      </c>
      <c r="E2677" s="17">
        <v>7</v>
      </c>
      <c r="F2677" s="17">
        <v>35.35</v>
      </c>
      <c r="G2677" s="18">
        <v>247.45</v>
      </c>
      <c r="H2677" s="30" t="s">
        <v>2302</v>
      </c>
      <c r="J2677" s="34"/>
    </row>
    <row r="2678" spans="1:10" x14ac:dyDescent="0.25">
      <c r="A2678" s="15">
        <v>41065</v>
      </c>
      <c r="B2678" s="16" t="s">
        <v>865</v>
      </c>
      <c r="C2678" t="s">
        <v>8</v>
      </c>
      <c r="D2678" t="s">
        <v>48</v>
      </c>
      <c r="E2678" s="17">
        <v>8.5</v>
      </c>
      <c r="F2678" s="17">
        <v>35.35</v>
      </c>
      <c r="G2678" s="18">
        <v>300.47500000000002</v>
      </c>
      <c r="H2678" s="30" t="s">
        <v>2302</v>
      </c>
      <c r="J2678" s="34"/>
    </row>
    <row r="2679" spans="1:10" x14ac:dyDescent="0.25">
      <c r="A2679" s="15">
        <v>41065</v>
      </c>
      <c r="B2679" s="16" t="s">
        <v>865</v>
      </c>
      <c r="C2679" t="s">
        <v>8</v>
      </c>
      <c r="D2679" t="s">
        <v>48</v>
      </c>
      <c r="E2679" s="17">
        <v>7</v>
      </c>
      <c r="F2679" s="17">
        <v>48</v>
      </c>
      <c r="G2679" s="18">
        <v>336</v>
      </c>
      <c r="H2679" s="30" t="s">
        <v>2302</v>
      </c>
      <c r="J2679" s="34"/>
    </row>
    <row r="2680" spans="1:10" x14ac:dyDescent="0.25">
      <c r="A2680" s="15">
        <v>41065</v>
      </c>
      <c r="B2680" s="16" t="s">
        <v>1106</v>
      </c>
      <c r="C2680" t="s">
        <v>1107</v>
      </c>
      <c r="D2680" t="s">
        <v>774</v>
      </c>
      <c r="E2680" s="17">
        <v>1</v>
      </c>
      <c r="F2680" s="17">
        <v>2500</v>
      </c>
      <c r="G2680" s="18">
        <v>2500</v>
      </c>
      <c r="H2680" s="30" t="s">
        <v>2302</v>
      </c>
      <c r="J2680" s="34"/>
    </row>
    <row r="2681" spans="1:10" x14ac:dyDescent="0.25">
      <c r="A2681" s="15">
        <v>41065</v>
      </c>
      <c r="B2681" s="16" t="s">
        <v>1064</v>
      </c>
      <c r="C2681" t="s">
        <v>1065</v>
      </c>
      <c r="D2681" t="s">
        <v>48</v>
      </c>
      <c r="E2681" s="17">
        <v>1</v>
      </c>
      <c r="F2681" s="17">
        <v>2500</v>
      </c>
      <c r="G2681" s="18">
        <v>2500</v>
      </c>
      <c r="H2681" s="30" t="s">
        <v>2302</v>
      </c>
      <c r="J2681" s="34"/>
    </row>
    <row r="2682" spans="1:10" x14ac:dyDescent="0.25">
      <c r="A2682" s="15">
        <v>41065</v>
      </c>
      <c r="B2682" s="16" t="s">
        <v>880</v>
      </c>
      <c r="C2682" t="s">
        <v>881</v>
      </c>
      <c r="D2682" t="s">
        <v>48</v>
      </c>
      <c r="E2682" s="17">
        <v>6</v>
      </c>
      <c r="F2682" s="17">
        <v>95</v>
      </c>
      <c r="G2682" s="18">
        <v>570</v>
      </c>
      <c r="H2682" s="30" t="s">
        <v>2302</v>
      </c>
      <c r="J2682" s="34"/>
    </row>
    <row r="2683" spans="1:10" x14ac:dyDescent="0.25">
      <c r="A2683" s="15">
        <v>41065</v>
      </c>
      <c r="B2683" s="16" t="s">
        <v>877</v>
      </c>
      <c r="C2683" t="s">
        <v>868</v>
      </c>
      <c r="D2683" t="s">
        <v>48</v>
      </c>
      <c r="E2683" s="17">
        <v>5</v>
      </c>
      <c r="F2683" s="17">
        <v>90</v>
      </c>
      <c r="G2683" s="18">
        <v>450</v>
      </c>
      <c r="H2683" s="30" t="s">
        <v>2302</v>
      </c>
      <c r="J2683" s="34"/>
    </row>
    <row r="2684" spans="1:10" x14ac:dyDescent="0.25">
      <c r="A2684" s="15">
        <v>41065</v>
      </c>
      <c r="B2684" s="16" t="s">
        <v>865</v>
      </c>
      <c r="C2684" t="s">
        <v>8</v>
      </c>
      <c r="D2684" t="s">
        <v>48</v>
      </c>
      <c r="E2684" s="17">
        <v>9.5</v>
      </c>
      <c r="F2684" s="17">
        <v>35.35</v>
      </c>
      <c r="G2684" s="18">
        <v>335.82499999999999</v>
      </c>
      <c r="H2684" s="30" t="s">
        <v>2302</v>
      </c>
      <c r="J2684" s="34"/>
    </row>
    <row r="2685" spans="1:10" x14ac:dyDescent="0.25">
      <c r="A2685" s="15">
        <v>41065</v>
      </c>
      <c r="B2685" s="16" t="s">
        <v>887</v>
      </c>
      <c r="C2685" t="s">
        <v>873</v>
      </c>
      <c r="D2685" t="s">
        <v>48</v>
      </c>
      <c r="E2685" s="17">
        <v>7</v>
      </c>
      <c r="F2685" s="17">
        <v>95</v>
      </c>
      <c r="G2685" s="18">
        <v>665</v>
      </c>
      <c r="H2685" s="30" t="s">
        <v>2302</v>
      </c>
      <c r="J2685" s="34"/>
    </row>
    <row r="2686" spans="1:10" x14ac:dyDescent="0.25">
      <c r="A2686" s="15">
        <v>41065</v>
      </c>
      <c r="B2686" s="16" t="s">
        <v>969</v>
      </c>
      <c r="C2686" t="s">
        <v>934</v>
      </c>
      <c r="D2686" t="s">
        <v>48</v>
      </c>
      <c r="E2686" s="17">
        <v>5</v>
      </c>
      <c r="F2686" s="17">
        <v>100</v>
      </c>
      <c r="G2686" s="18">
        <v>500</v>
      </c>
      <c r="H2686" s="30" t="s">
        <v>2302</v>
      </c>
      <c r="J2686" s="34"/>
    </row>
    <row r="2687" spans="1:10" ht="30" x14ac:dyDescent="0.25">
      <c r="A2687" s="15">
        <v>41066</v>
      </c>
      <c r="B2687" s="16" t="s">
        <v>1109</v>
      </c>
      <c r="C2687" t="s">
        <v>974</v>
      </c>
      <c r="D2687" t="s">
        <v>783</v>
      </c>
      <c r="E2687" s="17">
        <v>4</v>
      </c>
      <c r="F2687" s="17">
        <v>315</v>
      </c>
      <c r="G2687" s="18">
        <v>1260</v>
      </c>
      <c r="H2687" s="30" t="s">
        <v>2302</v>
      </c>
      <c r="J2687" s="34"/>
    </row>
    <row r="2688" spans="1:10" ht="30" x14ac:dyDescent="0.25">
      <c r="A2688" s="15">
        <v>41090</v>
      </c>
      <c r="B2688" s="16" t="s">
        <v>1110</v>
      </c>
      <c r="C2688" t="s">
        <v>957</v>
      </c>
      <c r="D2688" t="s">
        <v>783</v>
      </c>
      <c r="E2688" s="17">
        <v>20</v>
      </c>
      <c r="F2688" s="17">
        <v>247</v>
      </c>
      <c r="G2688" s="18">
        <v>4940</v>
      </c>
      <c r="H2688" s="30" t="s">
        <v>2302</v>
      </c>
      <c r="J2688" s="34"/>
    </row>
    <row r="2689" spans="1:10" x14ac:dyDescent="0.25">
      <c r="A2689" s="19" t="s">
        <v>781</v>
      </c>
      <c r="B2689" s="20" t="s">
        <v>1111</v>
      </c>
      <c r="C2689" s="21" t="s">
        <v>781</v>
      </c>
      <c r="D2689" s="21" t="s">
        <v>781</v>
      </c>
      <c r="E2689" s="22"/>
      <c r="F2689" s="22"/>
      <c r="G2689" s="23">
        <v>46094.080000000002</v>
      </c>
      <c r="H2689" s="31" t="s">
        <v>2285</v>
      </c>
      <c r="J2689" s="34"/>
    </row>
    <row r="2690" spans="1:10" x14ac:dyDescent="0.25">
      <c r="A2690" s="15" t="s">
        <v>781</v>
      </c>
      <c r="B2690" s="16" t="s">
        <v>781</v>
      </c>
      <c r="C2690" t="s">
        <v>781</v>
      </c>
      <c r="D2690" t="s">
        <v>781</v>
      </c>
      <c r="E2690" s="17"/>
      <c r="F2690" s="17"/>
      <c r="G2690" s="18"/>
      <c r="H2690" s="30" t="s">
        <v>2285</v>
      </c>
      <c r="J2690" s="34"/>
    </row>
    <row r="2691" spans="1:10" x14ac:dyDescent="0.25">
      <c r="A2691" s="12" t="s">
        <v>781</v>
      </c>
      <c r="B2691" s="11" t="s">
        <v>1870</v>
      </c>
      <c r="C2691" s="10" t="s">
        <v>781</v>
      </c>
      <c r="D2691" s="10" t="s">
        <v>781</v>
      </c>
      <c r="E2691" s="13"/>
      <c r="F2691" s="13"/>
      <c r="G2691" s="14"/>
      <c r="H2691" s="29" t="s">
        <v>2285</v>
      </c>
      <c r="J2691" s="34"/>
    </row>
    <row r="2692" spans="1:10" ht="30" x14ac:dyDescent="0.25">
      <c r="A2692" s="15">
        <v>40861</v>
      </c>
      <c r="B2692" s="16" t="s">
        <v>1112</v>
      </c>
      <c r="C2692" t="s">
        <v>1113</v>
      </c>
      <c r="D2692" t="s">
        <v>783</v>
      </c>
      <c r="E2692" s="17">
        <v>1</v>
      </c>
      <c r="F2692" s="17">
        <v>2749.5</v>
      </c>
      <c r="G2692" s="18">
        <v>2749.5</v>
      </c>
      <c r="H2692" s="30" t="s">
        <v>2303</v>
      </c>
      <c r="J2692" s="34"/>
    </row>
    <row r="2693" spans="1:10" x14ac:dyDescent="0.25">
      <c r="A2693" s="15">
        <v>40863</v>
      </c>
      <c r="B2693" s="16" t="s">
        <v>865</v>
      </c>
      <c r="C2693" t="s">
        <v>8</v>
      </c>
      <c r="D2693" t="s">
        <v>48</v>
      </c>
      <c r="E2693" s="17">
        <v>6</v>
      </c>
      <c r="F2693" s="17">
        <v>35.35</v>
      </c>
      <c r="G2693" s="18">
        <v>212.1</v>
      </c>
      <c r="H2693" s="30" t="s">
        <v>2303</v>
      </c>
      <c r="J2693" s="34"/>
    </row>
    <row r="2694" spans="1:10" x14ac:dyDescent="0.25">
      <c r="A2694" s="15">
        <v>40863</v>
      </c>
      <c r="B2694" s="16" t="s">
        <v>921</v>
      </c>
      <c r="C2694" t="s">
        <v>8</v>
      </c>
      <c r="D2694" t="s">
        <v>48</v>
      </c>
      <c r="E2694" s="17">
        <v>2.5</v>
      </c>
      <c r="F2694" s="17">
        <v>44.2</v>
      </c>
      <c r="G2694" s="18">
        <v>110.5</v>
      </c>
      <c r="H2694" s="30" t="s">
        <v>2303</v>
      </c>
      <c r="J2694" s="34"/>
    </row>
    <row r="2695" spans="1:10" x14ac:dyDescent="0.25">
      <c r="A2695" s="15">
        <v>40863</v>
      </c>
      <c r="B2695" s="16" t="s">
        <v>917</v>
      </c>
      <c r="C2695" t="s">
        <v>913</v>
      </c>
      <c r="D2695" t="s">
        <v>48</v>
      </c>
      <c r="E2695" s="17">
        <v>5</v>
      </c>
      <c r="F2695" s="17">
        <v>95</v>
      </c>
      <c r="G2695" s="18">
        <v>475</v>
      </c>
      <c r="H2695" s="30" t="s">
        <v>2303</v>
      </c>
      <c r="J2695" s="34"/>
    </row>
    <row r="2696" spans="1:10" ht="30" x14ac:dyDescent="0.25">
      <c r="A2696" s="15">
        <v>40968</v>
      </c>
      <c r="B2696" s="16" t="s">
        <v>1114</v>
      </c>
      <c r="C2696" t="s">
        <v>1115</v>
      </c>
      <c r="D2696" t="s">
        <v>783</v>
      </c>
      <c r="E2696" s="17">
        <v>1</v>
      </c>
      <c r="F2696" s="17">
        <v>164.63</v>
      </c>
      <c r="G2696" s="18">
        <v>164.63</v>
      </c>
      <c r="H2696" s="30" t="s">
        <v>2303</v>
      </c>
      <c r="J2696" s="34"/>
    </row>
    <row r="2697" spans="1:10" x14ac:dyDescent="0.25">
      <c r="A2697" s="15">
        <v>40970</v>
      </c>
      <c r="B2697" s="16" t="s">
        <v>1116</v>
      </c>
      <c r="C2697" t="s">
        <v>953</v>
      </c>
      <c r="D2697" t="s">
        <v>783</v>
      </c>
      <c r="E2697" s="17">
        <v>1</v>
      </c>
      <c r="F2697" s="17">
        <v>329.28</v>
      </c>
      <c r="G2697" s="18">
        <v>329.28</v>
      </c>
      <c r="H2697" s="30" t="s">
        <v>2303</v>
      </c>
      <c r="J2697" s="34"/>
    </row>
    <row r="2698" spans="1:10" x14ac:dyDescent="0.25">
      <c r="A2698" s="15">
        <v>40971</v>
      </c>
      <c r="B2698" s="16" t="s">
        <v>869</v>
      </c>
      <c r="C2698" t="s">
        <v>8</v>
      </c>
      <c r="D2698" t="s">
        <v>48</v>
      </c>
      <c r="E2698" s="17">
        <v>2</v>
      </c>
      <c r="F2698" s="17">
        <v>35.35</v>
      </c>
      <c r="G2698" s="18">
        <v>70.7</v>
      </c>
      <c r="H2698" s="30" t="s">
        <v>2303</v>
      </c>
      <c r="J2698" s="34"/>
    </row>
    <row r="2699" spans="1:10" x14ac:dyDescent="0.25">
      <c r="A2699" s="15">
        <v>40971</v>
      </c>
      <c r="B2699" s="16" t="s">
        <v>1117</v>
      </c>
      <c r="C2699" t="s">
        <v>871</v>
      </c>
      <c r="D2699" t="s">
        <v>48</v>
      </c>
      <c r="E2699" s="17">
        <v>3.5</v>
      </c>
      <c r="F2699" s="17">
        <v>85</v>
      </c>
      <c r="G2699" s="18">
        <v>297.5</v>
      </c>
      <c r="H2699" s="30" t="s">
        <v>2303</v>
      </c>
      <c r="J2699" s="34"/>
    </row>
    <row r="2700" spans="1:10" x14ac:dyDescent="0.25">
      <c r="A2700" s="15">
        <v>40973</v>
      </c>
      <c r="B2700" s="16" t="s">
        <v>869</v>
      </c>
      <c r="C2700" t="s">
        <v>8</v>
      </c>
      <c r="D2700" t="s">
        <v>48</v>
      </c>
      <c r="E2700" s="17">
        <v>6</v>
      </c>
      <c r="F2700" s="17">
        <v>35.35</v>
      </c>
      <c r="G2700" s="18">
        <v>212.1</v>
      </c>
      <c r="H2700" s="30" t="s">
        <v>2303</v>
      </c>
      <c r="J2700" s="34"/>
    </row>
    <row r="2701" spans="1:10" x14ac:dyDescent="0.25">
      <c r="A2701" s="15">
        <v>40973</v>
      </c>
      <c r="B2701" s="16" t="s">
        <v>869</v>
      </c>
      <c r="C2701" t="s">
        <v>8</v>
      </c>
      <c r="D2701" t="s">
        <v>48</v>
      </c>
      <c r="E2701" s="17">
        <v>6</v>
      </c>
      <c r="F2701" s="17">
        <v>35.35</v>
      </c>
      <c r="G2701" s="18">
        <v>212.1</v>
      </c>
      <c r="H2701" s="30" t="s">
        <v>2303</v>
      </c>
      <c r="J2701" s="34"/>
    </row>
    <row r="2702" spans="1:10" x14ac:dyDescent="0.25">
      <c r="A2702" s="15">
        <v>40973</v>
      </c>
      <c r="B2702" s="16" t="s">
        <v>867</v>
      </c>
      <c r="C2702" t="s">
        <v>868</v>
      </c>
      <c r="D2702" t="s">
        <v>48</v>
      </c>
      <c r="E2702" s="17">
        <v>5</v>
      </c>
      <c r="F2702" s="17">
        <v>90</v>
      </c>
      <c r="G2702" s="18">
        <v>450</v>
      </c>
      <c r="H2702" s="30" t="s">
        <v>2303</v>
      </c>
      <c r="J2702" s="34"/>
    </row>
    <row r="2703" spans="1:10" x14ac:dyDescent="0.25">
      <c r="A2703" s="15">
        <v>40973</v>
      </c>
      <c r="B2703" s="16" t="s">
        <v>865</v>
      </c>
      <c r="C2703" t="s">
        <v>8</v>
      </c>
      <c r="D2703" t="s">
        <v>48</v>
      </c>
      <c r="E2703" s="17">
        <v>6</v>
      </c>
      <c r="F2703" s="17">
        <v>35.35</v>
      </c>
      <c r="G2703" s="18">
        <v>212.1</v>
      </c>
      <c r="H2703" s="30" t="s">
        <v>2303</v>
      </c>
      <c r="J2703" s="34"/>
    </row>
    <row r="2704" spans="1:10" x14ac:dyDescent="0.25">
      <c r="A2704" s="15">
        <v>40975</v>
      </c>
      <c r="B2704" s="16" t="s">
        <v>867</v>
      </c>
      <c r="C2704" t="s">
        <v>868</v>
      </c>
      <c r="D2704" t="s">
        <v>48</v>
      </c>
      <c r="E2704" s="17">
        <v>1</v>
      </c>
      <c r="F2704" s="17">
        <v>90</v>
      </c>
      <c r="G2704" s="18">
        <v>90</v>
      </c>
      <c r="H2704" s="30" t="s">
        <v>2303</v>
      </c>
      <c r="J2704" s="34"/>
    </row>
    <row r="2705" spans="1:10" x14ac:dyDescent="0.25">
      <c r="A2705" s="15">
        <v>40976</v>
      </c>
      <c r="B2705" s="16" t="s">
        <v>867</v>
      </c>
      <c r="C2705" t="s">
        <v>868</v>
      </c>
      <c r="D2705" t="s">
        <v>48</v>
      </c>
      <c r="E2705" s="17">
        <v>1.75</v>
      </c>
      <c r="F2705" s="17">
        <v>90</v>
      </c>
      <c r="G2705" s="18">
        <v>157.5</v>
      </c>
      <c r="H2705" s="30" t="s">
        <v>2303</v>
      </c>
      <c r="J2705" s="34"/>
    </row>
    <row r="2706" spans="1:10" x14ac:dyDescent="0.25">
      <c r="A2706" s="15">
        <v>40989</v>
      </c>
      <c r="B2706" s="16" t="s">
        <v>1118</v>
      </c>
      <c r="C2706" t="s">
        <v>1119</v>
      </c>
      <c r="D2706" t="s">
        <v>783</v>
      </c>
      <c r="E2706" s="17">
        <v>1</v>
      </c>
      <c r="F2706" s="17">
        <v>14540</v>
      </c>
      <c r="G2706" s="18">
        <v>14540</v>
      </c>
      <c r="H2706" s="30" t="s">
        <v>2303</v>
      </c>
      <c r="J2706" s="34"/>
    </row>
    <row r="2707" spans="1:10" ht="30" x14ac:dyDescent="0.25">
      <c r="A2707" s="15">
        <v>41000</v>
      </c>
      <c r="B2707" s="16" t="s">
        <v>1120</v>
      </c>
      <c r="C2707" t="s">
        <v>1121</v>
      </c>
      <c r="D2707" t="s">
        <v>783</v>
      </c>
      <c r="E2707" s="17">
        <v>1</v>
      </c>
      <c r="F2707" s="17">
        <v>7981.81</v>
      </c>
      <c r="G2707" s="18">
        <v>7981.81</v>
      </c>
      <c r="H2707" s="30" t="s">
        <v>2303</v>
      </c>
      <c r="J2707" s="34"/>
    </row>
    <row r="2708" spans="1:10" x14ac:dyDescent="0.25">
      <c r="A2708" s="15">
        <v>41012</v>
      </c>
      <c r="B2708" s="16" t="s">
        <v>1122</v>
      </c>
      <c r="C2708" t="s">
        <v>1119</v>
      </c>
      <c r="D2708" t="s">
        <v>783</v>
      </c>
      <c r="E2708" s="17">
        <v>177</v>
      </c>
      <c r="F2708" s="17">
        <v>20</v>
      </c>
      <c r="G2708" s="18">
        <v>3540</v>
      </c>
      <c r="H2708" s="30" t="s">
        <v>2303</v>
      </c>
      <c r="J2708" s="34"/>
    </row>
    <row r="2709" spans="1:10" x14ac:dyDescent="0.25">
      <c r="A2709" s="15">
        <v>41030</v>
      </c>
      <c r="B2709" s="16" t="s">
        <v>1123</v>
      </c>
      <c r="C2709" t="s">
        <v>1121</v>
      </c>
      <c r="D2709" t="s">
        <v>783</v>
      </c>
      <c r="E2709" s="17">
        <v>1</v>
      </c>
      <c r="F2709" s="17">
        <v>1700</v>
      </c>
      <c r="G2709" s="18">
        <v>1700</v>
      </c>
      <c r="H2709" s="30" t="s">
        <v>2303</v>
      </c>
      <c r="J2709" s="34"/>
    </row>
    <row r="2710" spans="1:10" x14ac:dyDescent="0.25">
      <c r="A2710" s="15">
        <v>41032</v>
      </c>
      <c r="B2710" s="16" t="s">
        <v>867</v>
      </c>
      <c r="C2710" t="s">
        <v>868</v>
      </c>
      <c r="D2710" t="s">
        <v>48</v>
      </c>
      <c r="E2710" s="17">
        <v>1</v>
      </c>
      <c r="F2710" s="17">
        <v>90</v>
      </c>
      <c r="G2710" s="18">
        <v>90</v>
      </c>
      <c r="H2710" s="30" t="s">
        <v>2303</v>
      </c>
      <c r="J2710" s="34"/>
    </row>
    <row r="2711" spans="1:10" x14ac:dyDescent="0.25">
      <c r="A2711" s="15">
        <v>41032</v>
      </c>
      <c r="B2711" s="16" t="s">
        <v>880</v>
      </c>
      <c r="C2711" t="s">
        <v>881</v>
      </c>
      <c r="D2711" t="s">
        <v>48</v>
      </c>
      <c r="E2711" s="17">
        <v>4</v>
      </c>
      <c r="F2711" s="17">
        <v>95</v>
      </c>
      <c r="G2711" s="18">
        <v>380</v>
      </c>
      <c r="H2711" s="30" t="s">
        <v>2303</v>
      </c>
      <c r="J2711" s="34"/>
    </row>
    <row r="2712" spans="1:10" x14ac:dyDescent="0.25">
      <c r="A2712" s="15">
        <v>41032</v>
      </c>
      <c r="B2712" s="16" t="s">
        <v>865</v>
      </c>
      <c r="C2712" t="s">
        <v>8</v>
      </c>
      <c r="D2712" t="s">
        <v>48</v>
      </c>
      <c r="E2712" s="17">
        <v>5</v>
      </c>
      <c r="F2712" s="17">
        <v>35.35</v>
      </c>
      <c r="G2712" s="18">
        <v>176.75</v>
      </c>
      <c r="H2712" s="30" t="s">
        <v>2303</v>
      </c>
      <c r="J2712" s="34"/>
    </row>
    <row r="2713" spans="1:10" x14ac:dyDescent="0.25">
      <c r="A2713" s="15">
        <v>41032</v>
      </c>
      <c r="B2713" s="16" t="s">
        <v>865</v>
      </c>
      <c r="C2713" t="s">
        <v>8</v>
      </c>
      <c r="D2713" t="s">
        <v>48</v>
      </c>
      <c r="E2713" s="17">
        <v>2.5</v>
      </c>
      <c r="F2713" s="17">
        <v>35.35</v>
      </c>
      <c r="G2713" s="18">
        <v>88.375</v>
      </c>
      <c r="H2713" s="30" t="s">
        <v>2303</v>
      </c>
      <c r="J2713" s="34"/>
    </row>
    <row r="2714" spans="1:10" x14ac:dyDescent="0.25">
      <c r="A2714" s="15">
        <v>41032</v>
      </c>
      <c r="B2714" s="16" t="s">
        <v>877</v>
      </c>
      <c r="C2714" t="s">
        <v>868</v>
      </c>
      <c r="D2714" t="s">
        <v>48</v>
      </c>
      <c r="E2714" s="17">
        <v>5</v>
      </c>
      <c r="F2714" s="17">
        <v>90</v>
      </c>
      <c r="G2714" s="18">
        <v>450</v>
      </c>
      <c r="H2714" s="30" t="s">
        <v>2303</v>
      </c>
      <c r="J2714" s="34"/>
    </row>
    <row r="2715" spans="1:10" x14ac:dyDescent="0.25">
      <c r="A2715" s="15">
        <v>41033</v>
      </c>
      <c r="B2715" s="16" t="s">
        <v>865</v>
      </c>
      <c r="C2715" t="s">
        <v>8</v>
      </c>
      <c r="D2715" t="s">
        <v>48</v>
      </c>
      <c r="E2715" s="17">
        <v>5</v>
      </c>
      <c r="F2715" s="17">
        <v>35.35</v>
      </c>
      <c r="G2715" s="18">
        <v>176.75</v>
      </c>
      <c r="H2715" s="30" t="s">
        <v>2303</v>
      </c>
      <c r="J2715" s="34"/>
    </row>
    <row r="2716" spans="1:10" x14ac:dyDescent="0.25">
      <c r="A2716" s="15">
        <v>41033</v>
      </c>
      <c r="B2716" s="16" t="s">
        <v>865</v>
      </c>
      <c r="C2716" t="s">
        <v>8</v>
      </c>
      <c r="D2716" t="s">
        <v>48</v>
      </c>
      <c r="E2716" s="17">
        <v>5</v>
      </c>
      <c r="F2716" s="17">
        <v>35.35</v>
      </c>
      <c r="G2716" s="18">
        <v>176.75</v>
      </c>
      <c r="H2716" s="30" t="s">
        <v>2303</v>
      </c>
      <c r="J2716" s="34"/>
    </row>
    <row r="2717" spans="1:10" x14ac:dyDescent="0.25">
      <c r="A2717" s="15">
        <v>41033</v>
      </c>
      <c r="B2717" s="16" t="s">
        <v>867</v>
      </c>
      <c r="C2717" t="s">
        <v>868</v>
      </c>
      <c r="D2717" t="s">
        <v>48</v>
      </c>
      <c r="E2717" s="17">
        <v>3.5</v>
      </c>
      <c r="F2717" s="17">
        <v>90</v>
      </c>
      <c r="G2717" s="18">
        <v>315</v>
      </c>
      <c r="H2717" s="30" t="s">
        <v>2303</v>
      </c>
      <c r="J2717" s="34"/>
    </row>
    <row r="2718" spans="1:10" x14ac:dyDescent="0.25">
      <c r="A2718" s="15">
        <v>41034</v>
      </c>
      <c r="B2718" s="16" t="s">
        <v>867</v>
      </c>
      <c r="C2718" t="s">
        <v>868</v>
      </c>
      <c r="D2718" t="s">
        <v>48</v>
      </c>
      <c r="E2718" s="17">
        <v>1.5</v>
      </c>
      <c r="F2718" s="17">
        <v>90</v>
      </c>
      <c r="G2718" s="18">
        <v>135</v>
      </c>
      <c r="H2718" s="30" t="s">
        <v>2303</v>
      </c>
      <c r="J2718" s="34"/>
    </row>
    <row r="2719" spans="1:10" x14ac:dyDescent="0.25">
      <c r="A2719" s="15">
        <v>41034</v>
      </c>
      <c r="B2719" s="16" t="s">
        <v>865</v>
      </c>
      <c r="C2719" t="s">
        <v>8</v>
      </c>
      <c r="D2719" t="s">
        <v>48</v>
      </c>
      <c r="E2719" s="17">
        <v>4</v>
      </c>
      <c r="F2719" s="17">
        <v>35.35</v>
      </c>
      <c r="G2719" s="18">
        <v>141.4</v>
      </c>
      <c r="H2719" s="30" t="s">
        <v>2303</v>
      </c>
      <c r="J2719" s="34"/>
    </row>
    <row r="2720" spans="1:10" x14ac:dyDescent="0.25">
      <c r="A2720" s="15">
        <v>41044</v>
      </c>
      <c r="B2720" s="16" t="s">
        <v>865</v>
      </c>
      <c r="C2720" t="s">
        <v>8</v>
      </c>
      <c r="D2720" t="s">
        <v>48</v>
      </c>
      <c r="E2720" s="17">
        <v>3.5</v>
      </c>
      <c r="F2720" s="17">
        <v>35.35</v>
      </c>
      <c r="G2720" s="18">
        <v>123.72499999999999</v>
      </c>
      <c r="H2720" s="30" t="s">
        <v>2303</v>
      </c>
      <c r="J2720" s="34"/>
    </row>
    <row r="2721" spans="1:10" x14ac:dyDescent="0.25">
      <c r="A2721" s="15">
        <v>41061</v>
      </c>
      <c r="B2721" s="16" t="s">
        <v>1124</v>
      </c>
      <c r="C2721" t="s">
        <v>1121</v>
      </c>
      <c r="D2721" t="s">
        <v>783</v>
      </c>
      <c r="E2721" s="17">
        <v>1</v>
      </c>
      <c r="F2721" s="17">
        <v>3750</v>
      </c>
      <c r="G2721" s="18">
        <v>3750</v>
      </c>
      <c r="H2721" s="30" t="s">
        <v>2303</v>
      </c>
      <c r="J2721" s="34"/>
    </row>
    <row r="2722" spans="1:10" x14ac:dyDescent="0.25">
      <c r="A2722" s="15">
        <v>41085</v>
      </c>
      <c r="B2722" s="16" t="s">
        <v>865</v>
      </c>
      <c r="C2722" t="s">
        <v>8</v>
      </c>
      <c r="D2722" t="s">
        <v>48</v>
      </c>
      <c r="E2722" s="17">
        <v>2</v>
      </c>
      <c r="F2722" s="17">
        <v>35.35</v>
      </c>
      <c r="G2722" s="18">
        <v>70.7</v>
      </c>
      <c r="H2722" s="30" t="s">
        <v>2303</v>
      </c>
      <c r="J2722" s="34"/>
    </row>
    <row r="2723" spans="1:10" x14ac:dyDescent="0.25">
      <c r="A2723" s="15">
        <v>41085</v>
      </c>
      <c r="B2723" s="16" t="s">
        <v>878</v>
      </c>
      <c r="C2723" t="s">
        <v>879</v>
      </c>
      <c r="D2723" t="s">
        <v>48</v>
      </c>
      <c r="E2723" s="17">
        <v>2</v>
      </c>
      <c r="F2723" s="17">
        <v>110</v>
      </c>
      <c r="G2723" s="18">
        <v>220</v>
      </c>
      <c r="H2723" s="30" t="s">
        <v>2303</v>
      </c>
      <c r="J2723" s="34"/>
    </row>
    <row r="2724" spans="1:10" x14ac:dyDescent="0.25">
      <c r="A2724" s="15">
        <v>41085</v>
      </c>
      <c r="B2724" s="16" t="s">
        <v>865</v>
      </c>
      <c r="C2724" t="s">
        <v>8</v>
      </c>
      <c r="D2724" t="s">
        <v>48</v>
      </c>
      <c r="E2724" s="17">
        <v>2</v>
      </c>
      <c r="F2724" s="17">
        <v>35.35</v>
      </c>
      <c r="G2724" s="18">
        <v>70.7</v>
      </c>
      <c r="H2724" s="30" t="s">
        <v>2303</v>
      </c>
      <c r="J2724" s="34"/>
    </row>
    <row r="2725" spans="1:10" x14ac:dyDescent="0.25">
      <c r="A2725" s="15">
        <v>41088</v>
      </c>
      <c r="B2725" s="16" t="s">
        <v>865</v>
      </c>
      <c r="C2725" t="s">
        <v>8</v>
      </c>
      <c r="D2725" t="s">
        <v>48</v>
      </c>
      <c r="E2725" s="17">
        <v>2.5</v>
      </c>
      <c r="F2725" s="17">
        <v>35.35</v>
      </c>
      <c r="G2725" s="18">
        <v>88.375</v>
      </c>
      <c r="H2725" s="30" t="s">
        <v>2303</v>
      </c>
      <c r="J2725" s="34"/>
    </row>
    <row r="2726" spans="1:10" x14ac:dyDescent="0.25">
      <c r="A2726" s="15">
        <v>41088</v>
      </c>
      <c r="B2726" s="16" t="s">
        <v>865</v>
      </c>
      <c r="C2726" t="s">
        <v>8</v>
      </c>
      <c r="D2726" t="s">
        <v>48</v>
      </c>
      <c r="E2726" s="17">
        <v>2.5</v>
      </c>
      <c r="F2726" s="17">
        <v>35.35</v>
      </c>
      <c r="G2726" s="18">
        <v>88.375</v>
      </c>
      <c r="H2726" s="30" t="s">
        <v>2303</v>
      </c>
      <c r="J2726" s="34"/>
    </row>
    <row r="2727" spans="1:10" ht="30" x14ac:dyDescent="0.25">
      <c r="A2727" s="15">
        <v>41089</v>
      </c>
      <c r="B2727" s="16" t="s">
        <v>1125</v>
      </c>
      <c r="C2727" t="s">
        <v>1121</v>
      </c>
      <c r="D2727" t="s">
        <v>783</v>
      </c>
      <c r="E2727" s="17">
        <v>1</v>
      </c>
      <c r="F2727" s="17">
        <v>1020</v>
      </c>
      <c r="G2727" s="18">
        <v>1020</v>
      </c>
      <c r="H2727" s="30" t="s">
        <v>2303</v>
      </c>
      <c r="J2727" s="34"/>
    </row>
    <row r="2728" spans="1:10" x14ac:dyDescent="0.25">
      <c r="A2728" s="15">
        <v>41095</v>
      </c>
      <c r="B2728" s="16" t="s">
        <v>865</v>
      </c>
      <c r="C2728" t="s">
        <v>8</v>
      </c>
      <c r="D2728" t="s">
        <v>48</v>
      </c>
      <c r="E2728" s="17">
        <v>3</v>
      </c>
      <c r="F2728" s="17">
        <v>48</v>
      </c>
      <c r="G2728" s="18">
        <v>144</v>
      </c>
      <c r="H2728" s="30" t="s">
        <v>2303</v>
      </c>
      <c r="J2728" s="34"/>
    </row>
    <row r="2729" spans="1:10" x14ac:dyDescent="0.25">
      <c r="A2729" s="15">
        <v>41095</v>
      </c>
      <c r="B2729" s="16" t="s">
        <v>865</v>
      </c>
      <c r="C2729" t="s">
        <v>8</v>
      </c>
      <c r="D2729" t="s">
        <v>48</v>
      </c>
      <c r="E2729" s="17">
        <v>8</v>
      </c>
      <c r="F2729" s="17">
        <v>35.35</v>
      </c>
      <c r="G2729" s="18">
        <v>282.8</v>
      </c>
      <c r="H2729" s="30" t="s">
        <v>2303</v>
      </c>
      <c r="J2729" s="34"/>
    </row>
    <row r="2730" spans="1:10" x14ac:dyDescent="0.25">
      <c r="A2730" s="15">
        <v>41095</v>
      </c>
      <c r="B2730" s="16" t="s">
        <v>865</v>
      </c>
      <c r="C2730" t="s">
        <v>8</v>
      </c>
      <c r="D2730" t="s">
        <v>48</v>
      </c>
      <c r="E2730" s="17">
        <v>3</v>
      </c>
      <c r="F2730" s="17">
        <v>35.35</v>
      </c>
      <c r="G2730" s="18">
        <v>106.05</v>
      </c>
      <c r="H2730" s="30" t="s">
        <v>2303</v>
      </c>
      <c r="J2730" s="34"/>
    </row>
    <row r="2731" spans="1:10" x14ac:dyDescent="0.25">
      <c r="A2731" s="15">
        <v>41095</v>
      </c>
      <c r="B2731" s="16" t="s">
        <v>865</v>
      </c>
      <c r="C2731" t="s">
        <v>8</v>
      </c>
      <c r="D2731" t="s">
        <v>48</v>
      </c>
      <c r="E2731" s="17">
        <v>3</v>
      </c>
      <c r="F2731" s="17">
        <v>35.35</v>
      </c>
      <c r="G2731" s="18">
        <v>106.05</v>
      </c>
      <c r="H2731" s="30" t="s">
        <v>2303</v>
      </c>
      <c r="J2731" s="34"/>
    </row>
    <row r="2732" spans="1:10" x14ac:dyDescent="0.25">
      <c r="A2732" s="15">
        <v>41095</v>
      </c>
      <c r="B2732" s="16" t="s">
        <v>865</v>
      </c>
      <c r="C2732" t="s">
        <v>8</v>
      </c>
      <c r="D2732" t="s">
        <v>48</v>
      </c>
      <c r="E2732" s="17">
        <v>8</v>
      </c>
      <c r="F2732" s="17">
        <v>35.35</v>
      </c>
      <c r="G2732" s="18">
        <v>282.8</v>
      </c>
      <c r="H2732" s="30" t="s">
        <v>2303</v>
      </c>
      <c r="J2732" s="34"/>
    </row>
    <row r="2733" spans="1:10" x14ac:dyDescent="0.25">
      <c r="A2733" s="15">
        <v>41096</v>
      </c>
      <c r="B2733" s="16" t="s">
        <v>865</v>
      </c>
      <c r="C2733" t="s">
        <v>8</v>
      </c>
      <c r="D2733" t="s">
        <v>48</v>
      </c>
      <c r="E2733" s="17">
        <v>7</v>
      </c>
      <c r="F2733" s="17">
        <v>35.35</v>
      </c>
      <c r="G2733" s="18">
        <v>247.45</v>
      </c>
      <c r="H2733" s="30" t="s">
        <v>2303</v>
      </c>
      <c r="J2733" s="34"/>
    </row>
    <row r="2734" spans="1:10" x14ac:dyDescent="0.25">
      <c r="A2734" s="15">
        <v>41096</v>
      </c>
      <c r="B2734" s="16" t="s">
        <v>865</v>
      </c>
      <c r="C2734" t="s">
        <v>8</v>
      </c>
      <c r="D2734" t="s">
        <v>48</v>
      </c>
      <c r="E2734" s="17">
        <v>8.5</v>
      </c>
      <c r="F2734" s="17">
        <v>35.35</v>
      </c>
      <c r="G2734" s="18">
        <v>300.47500000000002</v>
      </c>
      <c r="H2734" s="30" t="s">
        <v>2303</v>
      </c>
      <c r="J2734" s="34"/>
    </row>
    <row r="2735" spans="1:10" x14ac:dyDescent="0.25">
      <c r="A2735" s="15">
        <v>41096</v>
      </c>
      <c r="B2735" s="16" t="s">
        <v>865</v>
      </c>
      <c r="C2735" t="s">
        <v>8</v>
      </c>
      <c r="D2735" t="s">
        <v>48</v>
      </c>
      <c r="E2735" s="17">
        <v>8.5</v>
      </c>
      <c r="F2735" s="17">
        <v>35.35</v>
      </c>
      <c r="G2735" s="18">
        <v>300.47500000000002</v>
      </c>
      <c r="H2735" s="30" t="s">
        <v>2303</v>
      </c>
      <c r="J2735" s="34"/>
    </row>
    <row r="2736" spans="1:10" x14ac:dyDescent="0.25">
      <c r="A2736" s="15">
        <v>41096</v>
      </c>
      <c r="B2736" s="16" t="s">
        <v>865</v>
      </c>
      <c r="C2736" t="s">
        <v>8</v>
      </c>
      <c r="D2736" t="s">
        <v>48</v>
      </c>
      <c r="E2736" s="17">
        <v>7</v>
      </c>
      <c r="F2736" s="17">
        <v>48</v>
      </c>
      <c r="G2736" s="18">
        <v>336</v>
      </c>
      <c r="H2736" s="30" t="s">
        <v>2303</v>
      </c>
      <c r="J2736" s="34"/>
    </row>
    <row r="2737" spans="1:10" x14ac:dyDescent="0.25">
      <c r="A2737" s="15">
        <v>41099</v>
      </c>
      <c r="B2737" s="16" t="s">
        <v>878</v>
      </c>
      <c r="C2737" t="s">
        <v>879</v>
      </c>
      <c r="D2737" t="s">
        <v>48</v>
      </c>
      <c r="E2737" s="17">
        <v>2.75</v>
      </c>
      <c r="F2737" s="17">
        <v>110</v>
      </c>
      <c r="G2737" s="18">
        <v>302.5</v>
      </c>
      <c r="H2737" s="30" t="s">
        <v>2303</v>
      </c>
      <c r="J2737" s="34"/>
    </row>
    <row r="2738" spans="1:10" x14ac:dyDescent="0.25">
      <c r="A2738" s="15">
        <v>41099</v>
      </c>
      <c r="B2738" s="16" t="s">
        <v>896</v>
      </c>
      <c r="C2738" t="s">
        <v>8</v>
      </c>
      <c r="D2738" t="s">
        <v>48</v>
      </c>
      <c r="E2738" s="17">
        <v>5</v>
      </c>
      <c r="F2738" s="17">
        <v>34.81</v>
      </c>
      <c r="G2738" s="18">
        <v>174.05</v>
      </c>
      <c r="H2738" s="30" t="s">
        <v>2303</v>
      </c>
      <c r="J2738" s="34"/>
    </row>
    <row r="2739" spans="1:10" x14ac:dyDescent="0.25">
      <c r="A2739" s="15">
        <v>41099</v>
      </c>
      <c r="B2739" s="16" t="s">
        <v>865</v>
      </c>
      <c r="C2739" t="s">
        <v>8</v>
      </c>
      <c r="D2739" t="s">
        <v>48</v>
      </c>
      <c r="E2739" s="17">
        <v>3</v>
      </c>
      <c r="F2739" s="17">
        <v>35.35</v>
      </c>
      <c r="G2739" s="18">
        <v>106.05</v>
      </c>
      <c r="H2739" s="30" t="s">
        <v>2303</v>
      </c>
      <c r="J2739" s="34"/>
    </row>
    <row r="2740" spans="1:10" x14ac:dyDescent="0.25">
      <c r="A2740" s="15">
        <v>41099</v>
      </c>
      <c r="B2740" s="16" t="s">
        <v>865</v>
      </c>
      <c r="C2740" t="s">
        <v>8</v>
      </c>
      <c r="D2740" t="s">
        <v>48</v>
      </c>
      <c r="E2740" s="17">
        <v>3</v>
      </c>
      <c r="F2740" s="17">
        <v>35.35</v>
      </c>
      <c r="G2740" s="18">
        <v>106.05</v>
      </c>
      <c r="H2740" s="30" t="s">
        <v>2303</v>
      </c>
      <c r="J2740" s="34"/>
    </row>
    <row r="2741" spans="1:10" x14ac:dyDescent="0.25">
      <c r="A2741" s="15">
        <v>41099</v>
      </c>
      <c r="B2741" s="16" t="s">
        <v>865</v>
      </c>
      <c r="C2741" t="s">
        <v>8</v>
      </c>
      <c r="D2741" t="s">
        <v>48</v>
      </c>
      <c r="E2741" s="17">
        <v>3</v>
      </c>
      <c r="F2741" s="17">
        <v>48</v>
      </c>
      <c r="G2741" s="18">
        <v>144</v>
      </c>
      <c r="H2741" s="30" t="s">
        <v>2303</v>
      </c>
      <c r="J2741" s="34"/>
    </row>
    <row r="2742" spans="1:10" x14ac:dyDescent="0.25">
      <c r="A2742" s="15">
        <v>41104</v>
      </c>
      <c r="B2742" s="16" t="s">
        <v>1126</v>
      </c>
      <c r="C2742" t="s">
        <v>1119</v>
      </c>
      <c r="D2742" t="s">
        <v>783</v>
      </c>
      <c r="E2742" s="17">
        <v>1</v>
      </c>
      <c r="F2742" s="17">
        <v>2060</v>
      </c>
      <c r="G2742" s="18">
        <v>2060</v>
      </c>
      <c r="H2742" s="30" t="s">
        <v>2303</v>
      </c>
      <c r="J2742" s="34"/>
    </row>
    <row r="2743" spans="1:10" x14ac:dyDescent="0.25">
      <c r="A2743" s="15">
        <v>41109</v>
      </c>
      <c r="B2743" s="16" t="s">
        <v>865</v>
      </c>
      <c r="C2743" t="s">
        <v>8</v>
      </c>
      <c r="D2743" t="s">
        <v>48</v>
      </c>
      <c r="E2743" s="17">
        <v>7.5</v>
      </c>
      <c r="F2743" s="17">
        <v>35.35</v>
      </c>
      <c r="G2743" s="18">
        <v>265.125</v>
      </c>
      <c r="H2743" s="30" t="s">
        <v>2303</v>
      </c>
      <c r="J2743" s="34"/>
    </row>
    <row r="2744" spans="1:10" x14ac:dyDescent="0.25">
      <c r="A2744" s="15">
        <v>41109</v>
      </c>
      <c r="B2744" s="16" t="s">
        <v>896</v>
      </c>
      <c r="C2744" t="s">
        <v>8</v>
      </c>
      <c r="D2744" t="s">
        <v>48</v>
      </c>
      <c r="E2744" s="17">
        <v>4</v>
      </c>
      <c r="F2744" s="17">
        <v>34.81</v>
      </c>
      <c r="G2744" s="18">
        <v>139.24</v>
      </c>
      <c r="H2744" s="30" t="s">
        <v>2303</v>
      </c>
      <c r="J2744" s="34"/>
    </row>
    <row r="2745" spans="1:10" x14ac:dyDescent="0.25">
      <c r="A2745" s="15">
        <v>41109</v>
      </c>
      <c r="B2745" s="16" t="s">
        <v>897</v>
      </c>
      <c r="C2745" t="s">
        <v>8</v>
      </c>
      <c r="D2745" t="s">
        <v>48</v>
      </c>
      <c r="E2745" s="17">
        <v>7.5</v>
      </c>
      <c r="F2745" s="17">
        <v>45</v>
      </c>
      <c r="G2745" s="18">
        <v>337.5</v>
      </c>
      <c r="H2745" s="30" t="s">
        <v>2303</v>
      </c>
      <c r="J2745" s="34"/>
    </row>
    <row r="2746" spans="1:10" x14ac:dyDescent="0.25">
      <c r="A2746" s="15">
        <v>41110</v>
      </c>
      <c r="B2746" s="16" t="s">
        <v>865</v>
      </c>
      <c r="C2746" t="s">
        <v>8</v>
      </c>
      <c r="D2746" t="s">
        <v>48</v>
      </c>
      <c r="E2746" s="17">
        <v>7.5</v>
      </c>
      <c r="F2746" s="17">
        <v>35.35</v>
      </c>
      <c r="G2746" s="18">
        <v>265.125</v>
      </c>
      <c r="H2746" s="30" t="s">
        <v>2303</v>
      </c>
      <c r="J2746" s="34"/>
    </row>
    <row r="2747" spans="1:10" x14ac:dyDescent="0.25">
      <c r="A2747" s="15">
        <v>41110</v>
      </c>
      <c r="B2747" s="16" t="s">
        <v>897</v>
      </c>
      <c r="C2747" t="s">
        <v>8</v>
      </c>
      <c r="D2747" t="s">
        <v>48</v>
      </c>
      <c r="E2747" s="17">
        <v>7.5</v>
      </c>
      <c r="F2747" s="17">
        <v>45</v>
      </c>
      <c r="G2747" s="18">
        <v>337.5</v>
      </c>
      <c r="H2747" s="30" t="s">
        <v>2303</v>
      </c>
      <c r="J2747" s="34"/>
    </row>
    <row r="2748" spans="1:10" x14ac:dyDescent="0.25">
      <c r="A2748" s="15">
        <v>41110</v>
      </c>
      <c r="B2748" s="16" t="s">
        <v>896</v>
      </c>
      <c r="C2748" t="s">
        <v>8</v>
      </c>
      <c r="D2748" t="s">
        <v>48</v>
      </c>
      <c r="E2748" s="17">
        <v>5.5</v>
      </c>
      <c r="F2748" s="17">
        <v>34.81</v>
      </c>
      <c r="G2748" s="18">
        <v>191.45500000000001</v>
      </c>
      <c r="H2748" s="30" t="s">
        <v>2303</v>
      </c>
      <c r="J2748" s="34"/>
    </row>
    <row r="2749" spans="1:10" x14ac:dyDescent="0.25">
      <c r="A2749" s="15">
        <v>41111</v>
      </c>
      <c r="B2749" s="16" t="s">
        <v>865</v>
      </c>
      <c r="C2749" t="s">
        <v>8</v>
      </c>
      <c r="D2749" t="s">
        <v>48</v>
      </c>
      <c r="E2749" s="17">
        <v>5.5</v>
      </c>
      <c r="F2749" s="17">
        <v>35.35</v>
      </c>
      <c r="G2749" s="18">
        <v>194.42500000000001</v>
      </c>
      <c r="H2749" s="30" t="s">
        <v>2303</v>
      </c>
      <c r="J2749" s="34"/>
    </row>
    <row r="2750" spans="1:10" x14ac:dyDescent="0.25">
      <c r="A2750" s="15">
        <v>41111</v>
      </c>
      <c r="B2750" s="16" t="s">
        <v>896</v>
      </c>
      <c r="C2750" t="s">
        <v>8</v>
      </c>
      <c r="D2750" t="s">
        <v>48</v>
      </c>
      <c r="E2750" s="17">
        <v>5.5</v>
      </c>
      <c r="F2750" s="17">
        <v>34.81</v>
      </c>
      <c r="G2750" s="18">
        <v>191.45500000000001</v>
      </c>
      <c r="H2750" s="30" t="s">
        <v>2303</v>
      </c>
      <c r="J2750" s="34"/>
    </row>
    <row r="2751" spans="1:10" x14ac:dyDescent="0.25">
      <c r="A2751" s="15">
        <v>41112</v>
      </c>
      <c r="B2751" s="16" t="s">
        <v>1127</v>
      </c>
      <c r="C2751" t="s">
        <v>8</v>
      </c>
      <c r="D2751" t="s">
        <v>48</v>
      </c>
      <c r="E2751" s="17">
        <v>2.5</v>
      </c>
      <c r="F2751" s="17">
        <v>60.66</v>
      </c>
      <c r="G2751" s="18">
        <v>151.65</v>
      </c>
      <c r="H2751" s="30" t="s">
        <v>2303</v>
      </c>
      <c r="J2751" s="34"/>
    </row>
    <row r="2752" spans="1:10" x14ac:dyDescent="0.25">
      <c r="A2752" s="15">
        <v>41113</v>
      </c>
      <c r="B2752" s="16" t="s">
        <v>865</v>
      </c>
      <c r="C2752" t="s">
        <v>8</v>
      </c>
      <c r="D2752" t="s">
        <v>48</v>
      </c>
      <c r="E2752" s="17">
        <v>7.5</v>
      </c>
      <c r="F2752" s="17">
        <v>35.35</v>
      </c>
      <c r="G2752" s="18">
        <v>265.125</v>
      </c>
      <c r="H2752" s="30" t="s">
        <v>2303</v>
      </c>
      <c r="J2752" s="34"/>
    </row>
    <row r="2753" spans="1:10" x14ac:dyDescent="0.25">
      <c r="A2753" s="15">
        <v>41113</v>
      </c>
      <c r="B2753" s="16" t="s">
        <v>896</v>
      </c>
      <c r="C2753" t="s">
        <v>8</v>
      </c>
      <c r="D2753" t="s">
        <v>48</v>
      </c>
      <c r="E2753" s="17">
        <v>7</v>
      </c>
      <c r="F2753" s="17">
        <v>34.81</v>
      </c>
      <c r="G2753" s="18">
        <v>243.67</v>
      </c>
      <c r="H2753" s="30" t="s">
        <v>2303</v>
      </c>
      <c r="J2753" s="34"/>
    </row>
    <row r="2754" spans="1:10" x14ac:dyDescent="0.25">
      <c r="A2754" s="15">
        <v>41113</v>
      </c>
      <c r="B2754" s="16" t="s">
        <v>897</v>
      </c>
      <c r="C2754" t="s">
        <v>8</v>
      </c>
      <c r="D2754" t="s">
        <v>48</v>
      </c>
      <c r="E2754" s="17">
        <v>7.5</v>
      </c>
      <c r="F2754" s="17">
        <v>45</v>
      </c>
      <c r="G2754" s="18">
        <v>337.5</v>
      </c>
      <c r="H2754" s="30" t="s">
        <v>2303</v>
      </c>
      <c r="J2754" s="34"/>
    </row>
    <row r="2755" spans="1:10" x14ac:dyDescent="0.25">
      <c r="A2755" s="15">
        <v>41116</v>
      </c>
      <c r="B2755" s="16" t="s">
        <v>865</v>
      </c>
      <c r="C2755" t="s">
        <v>8</v>
      </c>
      <c r="D2755" t="s">
        <v>48</v>
      </c>
      <c r="E2755" s="17">
        <v>8</v>
      </c>
      <c r="F2755" s="17">
        <v>35.35</v>
      </c>
      <c r="G2755" s="18">
        <v>282.8</v>
      </c>
      <c r="H2755" s="30" t="s">
        <v>2303</v>
      </c>
      <c r="J2755" s="34"/>
    </row>
    <row r="2756" spans="1:10" x14ac:dyDescent="0.25">
      <c r="A2756" s="15">
        <v>41116</v>
      </c>
      <c r="B2756" s="16" t="s">
        <v>865</v>
      </c>
      <c r="C2756" t="s">
        <v>8</v>
      </c>
      <c r="D2756" t="s">
        <v>48</v>
      </c>
      <c r="E2756" s="17">
        <v>9.5</v>
      </c>
      <c r="F2756" s="17">
        <v>35.35</v>
      </c>
      <c r="G2756" s="18">
        <v>335.82499999999999</v>
      </c>
      <c r="H2756" s="30" t="s">
        <v>2303</v>
      </c>
      <c r="J2756" s="34"/>
    </row>
    <row r="2757" spans="1:10" x14ac:dyDescent="0.25">
      <c r="A2757" s="15">
        <v>41117</v>
      </c>
      <c r="B2757" s="16" t="s">
        <v>878</v>
      </c>
      <c r="C2757" t="s">
        <v>879</v>
      </c>
      <c r="D2757" t="s">
        <v>48</v>
      </c>
      <c r="E2757" s="17">
        <v>3.25</v>
      </c>
      <c r="F2757" s="17">
        <v>110</v>
      </c>
      <c r="G2757" s="18">
        <v>357.5</v>
      </c>
      <c r="H2757" s="30" t="s">
        <v>2303</v>
      </c>
      <c r="J2757" s="34"/>
    </row>
    <row r="2758" spans="1:10" x14ac:dyDescent="0.25">
      <c r="A2758" s="15">
        <v>41117</v>
      </c>
      <c r="B2758" s="16" t="s">
        <v>865</v>
      </c>
      <c r="C2758" t="s">
        <v>8</v>
      </c>
      <c r="D2758" t="s">
        <v>48</v>
      </c>
      <c r="E2758" s="17">
        <v>4</v>
      </c>
      <c r="F2758" s="17">
        <v>35.35</v>
      </c>
      <c r="G2758" s="18">
        <v>141.4</v>
      </c>
      <c r="H2758" s="30" t="s">
        <v>2303</v>
      </c>
      <c r="J2758" s="34"/>
    </row>
    <row r="2759" spans="1:10" x14ac:dyDescent="0.25">
      <c r="A2759" s="15">
        <v>41117</v>
      </c>
      <c r="B2759" s="16" t="s">
        <v>896</v>
      </c>
      <c r="C2759" t="s">
        <v>8</v>
      </c>
      <c r="D2759" t="s">
        <v>48</v>
      </c>
      <c r="E2759" s="17">
        <v>4</v>
      </c>
      <c r="F2759" s="17">
        <v>34.81</v>
      </c>
      <c r="G2759" s="18">
        <v>139.24</v>
      </c>
      <c r="H2759" s="30" t="s">
        <v>2303</v>
      </c>
      <c r="J2759" s="34"/>
    </row>
    <row r="2760" spans="1:10" x14ac:dyDescent="0.25">
      <c r="A2760" s="15">
        <v>41117</v>
      </c>
      <c r="B2760" s="16" t="s">
        <v>897</v>
      </c>
      <c r="C2760" t="s">
        <v>8</v>
      </c>
      <c r="D2760" t="s">
        <v>48</v>
      </c>
      <c r="E2760" s="17">
        <v>4</v>
      </c>
      <c r="F2760" s="17">
        <v>45</v>
      </c>
      <c r="G2760" s="18">
        <v>180</v>
      </c>
      <c r="H2760" s="30" t="s">
        <v>2303</v>
      </c>
      <c r="J2760" s="34"/>
    </row>
    <row r="2761" spans="1:10" x14ac:dyDescent="0.25">
      <c r="A2761" s="15">
        <v>41118</v>
      </c>
      <c r="B2761" s="16" t="s">
        <v>1127</v>
      </c>
      <c r="C2761" t="s">
        <v>8</v>
      </c>
      <c r="D2761" t="s">
        <v>48</v>
      </c>
      <c r="E2761" s="17">
        <v>4</v>
      </c>
      <c r="F2761" s="17">
        <v>60.66</v>
      </c>
      <c r="G2761" s="18">
        <v>242.64</v>
      </c>
      <c r="H2761" s="30" t="s">
        <v>2303</v>
      </c>
      <c r="J2761" s="34"/>
    </row>
    <row r="2762" spans="1:10" x14ac:dyDescent="0.25">
      <c r="A2762" s="15">
        <v>41118</v>
      </c>
      <c r="B2762" s="16" t="s">
        <v>865</v>
      </c>
      <c r="C2762" t="s">
        <v>8</v>
      </c>
      <c r="D2762" t="s">
        <v>48</v>
      </c>
      <c r="E2762" s="17">
        <v>4</v>
      </c>
      <c r="F2762" s="17">
        <v>35.35</v>
      </c>
      <c r="G2762" s="18">
        <v>141.4</v>
      </c>
      <c r="H2762" s="30" t="s">
        <v>2303</v>
      </c>
      <c r="J2762" s="34"/>
    </row>
    <row r="2763" spans="1:10" x14ac:dyDescent="0.25">
      <c r="A2763" s="15">
        <v>41118</v>
      </c>
      <c r="B2763" s="16" t="s">
        <v>897</v>
      </c>
      <c r="C2763" t="s">
        <v>8</v>
      </c>
      <c r="D2763" t="s">
        <v>48</v>
      </c>
      <c r="E2763" s="17">
        <v>4</v>
      </c>
      <c r="F2763" s="17">
        <v>45</v>
      </c>
      <c r="G2763" s="18">
        <v>180</v>
      </c>
      <c r="H2763" s="30" t="s">
        <v>2303</v>
      </c>
      <c r="J2763" s="34"/>
    </row>
    <row r="2764" spans="1:10" x14ac:dyDescent="0.25">
      <c r="A2764" s="15">
        <v>41122</v>
      </c>
      <c r="B2764" s="16" t="s">
        <v>1128</v>
      </c>
      <c r="C2764" t="s">
        <v>1121</v>
      </c>
      <c r="D2764" t="s">
        <v>783</v>
      </c>
      <c r="E2764" s="17">
        <v>1</v>
      </c>
      <c r="F2764" s="17">
        <v>1020</v>
      </c>
      <c r="G2764" s="18">
        <v>1020</v>
      </c>
      <c r="H2764" s="30" t="s">
        <v>2303</v>
      </c>
      <c r="J2764" s="34"/>
    </row>
    <row r="2765" spans="1:10" x14ac:dyDescent="0.25">
      <c r="A2765" s="15">
        <v>41124</v>
      </c>
      <c r="B2765" s="16" t="s">
        <v>865</v>
      </c>
      <c r="C2765" t="s">
        <v>8</v>
      </c>
      <c r="D2765" t="s">
        <v>48</v>
      </c>
      <c r="E2765" s="17">
        <v>4</v>
      </c>
      <c r="F2765" s="17">
        <v>35.35</v>
      </c>
      <c r="G2765" s="18">
        <v>141.4</v>
      </c>
      <c r="H2765" s="30" t="s">
        <v>2303</v>
      </c>
      <c r="J2765" s="34"/>
    </row>
    <row r="2766" spans="1:10" x14ac:dyDescent="0.25">
      <c r="A2766" s="15">
        <v>41124</v>
      </c>
      <c r="B2766" s="16" t="s">
        <v>897</v>
      </c>
      <c r="C2766" t="s">
        <v>8</v>
      </c>
      <c r="D2766" t="s">
        <v>48</v>
      </c>
      <c r="E2766" s="17">
        <v>4</v>
      </c>
      <c r="F2766" s="17">
        <v>45</v>
      </c>
      <c r="G2766" s="18">
        <v>180</v>
      </c>
      <c r="H2766" s="30" t="s">
        <v>2303</v>
      </c>
      <c r="J2766" s="34"/>
    </row>
    <row r="2767" spans="1:10" x14ac:dyDescent="0.25">
      <c r="A2767" s="15">
        <v>41124</v>
      </c>
      <c r="B2767" s="16" t="s">
        <v>896</v>
      </c>
      <c r="C2767" t="s">
        <v>8</v>
      </c>
      <c r="D2767" t="s">
        <v>48</v>
      </c>
      <c r="E2767" s="17">
        <v>4</v>
      </c>
      <c r="F2767" s="17">
        <v>34.81</v>
      </c>
      <c r="G2767" s="18">
        <v>139.24</v>
      </c>
      <c r="H2767" s="30" t="s">
        <v>2303</v>
      </c>
      <c r="J2767" s="34"/>
    </row>
    <row r="2768" spans="1:10" x14ac:dyDescent="0.25">
      <c r="A2768" s="15">
        <v>41125</v>
      </c>
      <c r="B2768" s="16" t="s">
        <v>897</v>
      </c>
      <c r="C2768" t="s">
        <v>8</v>
      </c>
      <c r="D2768" t="s">
        <v>48</v>
      </c>
      <c r="E2768" s="17">
        <v>6.5</v>
      </c>
      <c r="F2768" s="17">
        <v>45</v>
      </c>
      <c r="G2768" s="18">
        <v>292.5</v>
      </c>
      <c r="H2768" s="30" t="s">
        <v>2303</v>
      </c>
      <c r="J2768" s="34"/>
    </row>
    <row r="2769" spans="1:10" x14ac:dyDescent="0.25">
      <c r="A2769" s="15">
        <v>41125</v>
      </c>
      <c r="B2769" s="16" t="s">
        <v>896</v>
      </c>
      <c r="C2769" t="s">
        <v>8</v>
      </c>
      <c r="D2769" t="s">
        <v>48</v>
      </c>
      <c r="E2769" s="17">
        <v>6.5</v>
      </c>
      <c r="F2769" s="17">
        <v>34.81</v>
      </c>
      <c r="G2769" s="18">
        <v>226.26499999999999</v>
      </c>
      <c r="H2769" s="30" t="s">
        <v>2303</v>
      </c>
      <c r="J2769" s="34"/>
    </row>
    <row r="2770" spans="1:10" x14ac:dyDescent="0.25">
      <c r="A2770" s="15">
        <v>41125</v>
      </c>
      <c r="B2770" s="16" t="s">
        <v>865</v>
      </c>
      <c r="C2770" t="s">
        <v>8</v>
      </c>
      <c r="D2770" t="s">
        <v>48</v>
      </c>
      <c r="E2770" s="17">
        <v>6.5</v>
      </c>
      <c r="F2770" s="17">
        <v>35.35</v>
      </c>
      <c r="G2770" s="18">
        <v>229.77500000000001</v>
      </c>
      <c r="H2770" s="30" t="s">
        <v>2303</v>
      </c>
      <c r="J2770" s="34"/>
    </row>
    <row r="2771" spans="1:10" x14ac:dyDescent="0.25">
      <c r="A2771" s="15">
        <v>41125</v>
      </c>
      <c r="B2771" s="16" t="s">
        <v>1129</v>
      </c>
      <c r="C2771" t="s">
        <v>8</v>
      </c>
      <c r="D2771" t="s">
        <v>48</v>
      </c>
      <c r="E2771" s="17">
        <v>1.585</v>
      </c>
      <c r="F2771" s="17">
        <v>45.7</v>
      </c>
      <c r="G2771" s="18">
        <v>72.4345</v>
      </c>
      <c r="H2771" s="30" t="s">
        <v>2303</v>
      </c>
      <c r="J2771" s="34"/>
    </row>
    <row r="2772" spans="1:10" x14ac:dyDescent="0.25">
      <c r="A2772" s="15">
        <v>41127</v>
      </c>
      <c r="B2772" s="16" t="s">
        <v>896</v>
      </c>
      <c r="C2772" t="s">
        <v>8</v>
      </c>
      <c r="D2772" t="s">
        <v>48</v>
      </c>
      <c r="E2772" s="17">
        <v>9</v>
      </c>
      <c r="F2772" s="17">
        <v>34.81</v>
      </c>
      <c r="G2772" s="18">
        <v>313.29000000000002</v>
      </c>
      <c r="H2772" s="30" t="s">
        <v>2303</v>
      </c>
      <c r="J2772" s="34"/>
    </row>
    <row r="2773" spans="1:10" x14ac:dyDescent="0.25">
      <c r="A2773" s="15">
        <v>41127</v>
      </c>
      <c r="B2773" s="16" t="s">
        <v>1130</v>
      </c>
      <c r="C2773" t="s">
        <v>8</v>
      </c>
      <c r="D2773" t="s">
        <v>48</v>
      </c>
      <c r="E2773" s="17">
        <v>1.544</v>
      </c>
      <c r="F2773" s="17">
        <v>45.7</v>
      </c>
      <c r="G2773" s="18">
        <v>70.5608</v>
      </c>
      <c r="H2773" s="30" t="s">
        <v>2303</v>
      </c>
      <c r="J2773" s="34"/>
    </row>
    <row r="2774" spans="1:10" x14ac:dyDescent="0.25">
      <c r="A2774" s="15">
        <v>41127</v>
      </c>
      <c r="B2774" s="16" t="s">
        <v>865</v>
      </c>
      <c r="C2774" t="s">
        <v>8</v>
      </c>
      <c r="D2774" t="s">
        <v>48</v>
      </c>
      <c r="E2774" s="17">
        <v>9</v>
      </c>
      <c r="F2774" s="17">
        <v>35.35</v>
      </c>
      <c r="G2774" s="18">
        <v>318.14999999999998</v>
      </c>
      <c r="H2774" s="30" t="s">
        <v>2303</v>
      </c>
      <c r="J2774" s="34"/>
    </row>
    <row r="2775" spans="1:10" x14ac:dyDescent="0.25">
      <c r="A2775" s="15">
        <v>41127</v>
      </c>
      <c r="B2775" s="16" t="s">
        <v>897</v>
      </c>
      <c r="C2775" t="s">
        <v>8</v>
      </c>
      <c r="D2775" t="s">
        <v>48</v>
      </c>
      <c r="E2775" s="17">
        <v>9</v>
      </c>
      <c r="F2775" s="17">
        <v>45</v>
      </c>
      <c r="G2775" s="18">
        <v>405</v>
      </c>
      <c r="H2775" s="30" t="s">
        <v>2303</v>
      </c>
      <c r="J2775" s="34"/>
    </row>
    <row r="2776" spans="1:10" x14ac:dyDescent="0.25">
      <c r="A2776" s="15">
        <v>41128</v>
      </c>
      <c r="B2776" s="16" t="s">
        <v>865</v>
      </c>
      <c r="C2776" t="s">
        <v>8</v>
      </c>
      <c r="D2776" t="s">
        <v>48</v>
      </c>
      <c r="E2776" s="17">
        <v>9</v>
      </c>
      <c r="F2776" s="17">
        <v>35.35</v>
      </c>
      <c r="G2776" s="18">
        <v>318.14999999999998</v>
      </c>
      <c r="H2776" s="30" t="s">
        <v>2303</v>
      </c>
      <c r="J2776" s="34"/>
    </row>
    <row r="2777" spans="1:10" x14ac:dyDescent="0.25">
      <c r="A2777" s="15">
        <v>41128</v>
      </c>
      <c r="B2777" s="16" t="s">
        <v>1129</v>
      </c>
      <c r="C2777" t="s">
        <v>8</v>
      </c>
      <c r="D2777" t="s">
        <v>48</v>
      </c>
      <c r="E2777" s="17">
        <v>1.585</v>
      </c>
      <c r="F2777" s="17">
        <v>45.7</v>
      </c>
      <c r="G2777" s="18">
        <v>72.4345</v>
      </c>
      <c r="H2777" s="30" t="s">
        <v>2303</v>
      </c>
      <c r="J2777" s="34"/>
    </row>
    <row r="2778" spans="1:10" x14ac:dyDescent="0.25">
      <c r="A2778" s="15">
        <v>41128</v>
      </c>
      <c r="B2778" s="16" t="s">
        <v>897</v>
      </c>
      <c r="C2778" t="s">
        <v>8</v>
      </c>
      <c r="D2778" t="s">
        <v>48</v>
      </c>
      <c r="E2778" s="17">
        <v>9</v>
      </c>
      <c r="F2778" s="17">
        <v>45</v>
      </c>
      <c r="G2778" s="18">
        <v>405</v>
      </c>
      <c r="H2778" s="30" t="s">
        <v>2303</v>
      </c>
      <c r="J2778" s="34"/>
    </row>
    <row r="2779" spans="1:10" x14ac:dyDescent="0.25">
      <c r="A2779" s="15">
        <v>41128</v>
      </c>
      <c r="B2779" s="16" t="s">
        <v>896</v>
      </c>
      <c r="C2779" t="s">
        <v>8</v>
      </c>
      <c r="D2779" t="s">
        <v>48</v>
      </c>
      <c r="E2779" s="17">
        <v>9</v>
      </c>
      <c r="F2779" s="17">
        <v>34.81</v>
      </c>
      <c r="G2779" s="18">
        <v>313.29000000000002</v>
      </c>
      <c r="H2779" s="30" t="s">
        <v>2303</v>
      </c>
      <c r="J2779" s="34"/>
    </row>
    <row r="2780" spans="1:10" x14ac:dyDescent="0.25">
      <c r="A2780" s="15">
        <v>41129</v>
      </c>
      <c r="B2780" s="16" t="s">
        <v>897</v>
      </c>
      <c r="C2780" t="s">
        <v>8</v>
      </c>
      <c r="D2780" t="s">
        <v>48</v>
      </c>
      <c r="E2780" s="17">
        <v>9.5</v>
      </c>
      <c r="F2780" s="17">
        <v>45</v>
      </c>
      <c r="G2780" s="18">
        <v>427.5</v>
      </c>
      <c r="H2780" s="30" t="s">
        <v>2303</v>
      </c>
      <c r="J2780" s="34"/>
    </row>
    <row r="2781" spans="1:10" x14ac:dyDescent="0.25">
      <c r="A2781" s="15">
        <v>41129</v>
      </c>
      <c r="B2781" s="16" t="s">
        <v>1129</v>
      </c>
      <c r="C2781" t="s">
        <v>8</v>
      </c>
      <c r="D2781" t="s">
        <v>48</v>
      </c>
      <c r="E2781" s="17">
        <v>1.585</v>
      </c>
      <c r="F2781" s="17">
        <v>45.7</v>
      </c>
      <c r="G2781" s="18">
        <v>72.4345</v>
      </c>
      <c r="H2781" s="30" t="s">
        <v>2303</v>
      </c>
      <c r="J2781" s="34"/>
    </row>
    <row r="2782" spans="1:10" x14ac:dyDescent="0.25">
      <c r="A2782" s="15">
        <v>41129</v>
      </c>
      <c r="B2782" s="16" t="s">
        <v>865</v>
      </c>
      <c r="C2782" t="s">
        <v>8</v>
      </c>
      <c r="D2782" t="s">
        <v>48</v>
      </c>
      <c r="E2782" s="17">
        <v>9.5</v>
      </c>
      <c r="F2782" s="17">
        <v>35.35</v>
      </c>
      <c r="G2782" s="18">
        <v>335.82499999999999</v>
      </c>
      <c r="H2782" s="30" t="s">
        <v>2303</v>
      </c>
      <c r="J2782" s="34"/>
    </row>
    <row r="2783" spans="1:10" x14ac:dyDescent="0.25">
      <c r="A2783" s="15">
        <v>41129</v>
      </c>
      <c r="B2783" s="16" t="s">
        <v>896</v>
      </c>
      <c r="C2783" t="s">
        <v>8</v>
      </c>
      <c r="D2783" t="s">
        <v>48</v>
      </c>
      <c r="E2783" s="17">
        <v>9.5</v>
      </c>
      <c r="F2783" s="17">
        <v>34.81</v>
      </c>
      <c r="G2783" s="18">
        <v>330.69499999999999</v>
      </c>
      <c r="H2783" s="30" t="s">
        <v>2303</v>
      </c>
      <c r="J2783" s="34"/>
    </row>
    <row r="2784" spans="1:10" x14ac:dyDescent="0.25">
      <c r="A2784" s="15">
        <v>41130</v>
      </c>
      <c r="B2784" s="16" t="s">
        <v>865</v>
      </c>
      <c r="C2784" t="s">
        <v>8</v>
      </c>
      <c r="D2784" t="s">
        <v>48</v>
      </c>
      <c r="E2784" s="17">
        <v>9.5</v>
      </c>
      <c r="F2784" s="17">
        <v>35.35</v>
      </c>
      <c r="G2784" s="18">
        <v>335.82499999999999</v>
      </c>
      <c r="H2784" s="30" t="s">
        <v>2303</v>
      </c>
      <c r="J2784" s="34"/>
    </row>
    <row r="2785" spans="1:10" x14ac:dyDescent="0.25">
      <c r="A2785" s="15">
        <v>41130</v>
      </c>
      <c r="B2785" s="16" t="s">
        <v>896</v>
      </c>
      <c r="C2785" t="s">
        <v>8</v>
      </c>
      <c r="D2785" t="s">
        <v>48</v>
      </c>
      <c r="E2785" s="17">
        <v>9.5</v>
      </c>
      <c r="F2785" s="17">
        <v>34.81</v>
      </c>
      <c r="G2785" s="18">
        <v>330.69499999999999</v>
      </c>
      <c r="H2785" s="30" t="s">
        <v>2303</v>
      </c>
      <c r="J2785" s="34"/>
    </row>
    <row r="2786" spans="1:10" x14ac:dyDescent="0.25">
      <c r="A2786" s="15">
        <v>41130</v>
      </c>
      <c r="B2786" s="16" t="s">
        <v>897</v>
      </c>
      <c r="C2786" t="s">
        <v>8</v>
      </c>
      <c r="D2786" t="s">
        <v>48</v>
      </c>
      <c r="E2786" s="17">
        <v>9.5</v>
      </c>
      <c r="F2786" s="17">
        <v>45</v>
      </c>
      <c r="G2786" s="18">
        <v>427.5</v>
      </c>
      <c r="H2786" s="30" t="s">
        <v>2303</v>
      </c>
      <c r="J2786" s="34"/>
    </row>
    <row r="2787" spans="1:10" x14ac:dyDescent="0.25">
      <c r="A2787" s="15">
        <v>41150</v>
      </c>
      <c r="B2787" s="16" t="s">
        <v>865</v>
      </c>
      <c r="C2787" t="s">
        <v>8</v>
      </c>
      <c r="D2787" t="s">
        <v>48</v>
      </c>
      <c r="E2787" s="17">
        <v>4.5</v>
      </c>
      <c r="F2787" s="17">
        <v>35.35</v>
      </c>
      <c r="G2787" s="18">
        <v>159.07499999999999</v>
      </c>
      <c r="H2787" s="30" t="s">
        <v>2303</v>
      </c>
      <c r="J2787" s="34"/>
    </row>
    <row r="2788" spans="1:10" x14ac:dyDescent="0.25">
      <c r="A2788" s="15">
        <v>41150</v>
      </c>
      <c r="B2788" s="16" t="s">
        <v>878</v>
      </c>
      <c r="C2788" t="s">
        <v>879</v>
      </c>
      <c r="D2788" t="s">
        <v>48</v>
      </c>
      <c r="E2788" s="17">
        <v>3.5</v>
      </c>
      <c r="F2788" s="17">
        <v>110</v>
      </c>
      <c r="G2788" s="18">
        <v>385</v>
      </c>
      <c r="H2788" s="30" t="s">
        <v>2303</v>
      </c>
      <c r="J2788" s="34"/>
    </row>
    <row r="2789" spans="1:10" x14ac:dyDescent="0.25">
      <c r="A2789" s="15">
        <v>41150</v>
      </c>
      <c r="B2789" s="16" t="s">
        <v>865</v>
      </c>
      <c r="C2789" t="s">
        <v>8</v>
      </c>
      <c r="D2789" t="s">
        <v>48</v>
      </c>
      <c r="E2789" s="17">
        <v>4.5</v>
      </c>
      <c r="F2789" s="17">
        <v>35.35</v>
      </c>
      <c r="G2789" s="18">
        <v>159.07499999999999</v>
      </c>
      <c r="H2789" s="30" t="s">
        <v>2303</v>
      </c>
      <c r="J2789" s="34"/>
    </row>
    <row r="2790" spans="1:10" ht="30" x14ac:dyDescent="0.25">
      <c r="A2790" s="15">
        <v>41152</v>
      </c>
      <c r="B2790" s="16" t="s">
        <v>1131</v>
      </c>
      <c r="C2790" t="s">
        <v>953</v>
      </c>
      <c r="D2790" t="s">
        <v>783</v>
      </c>
      <c r="E2790" s="17">
        <v>1</v>
      </c>
      <c r="F2790" s="17">
        <v>608</v>
      </c>
      <c r="G2790" s="18">
        <v>608</v>
      </c>
      <c r="H2790" s="30" t="s">
        <v>2303</v>
      </c>
      <c r="J2790" s="34"/>
    </row>
    <row r="2791" spans="1:10" ht="30" x14ac:dyDescent="0.25">
      <c r="A2791" s="15">
        <v>41157</v>
      </c>
      <c r="B2791" s="16" t="s">
        <v>1132</v>
      </c>
      <c r="C2791" t="s">
        <v>1133</v>
      </c>
      <c r="D2791" t="s">
        <v>783</v>
      </c>
      <c r="E2791" s="17">
        <v>1</v>
      </c>
      <c r="F2791" s="17">
        <v>3949</v>
      </c>
      <c r="G2791" s="18">
        <v>3949</v>
      </c>
      <c r="H2791" s="30" t="s">
        <v>2303</v>
      </c>
      <c r="J2791" s="34"/>
    </row>
    <row r="2792" spans="1:10" x14ac:dyDescent="0.25">
      <c r="A2792" s="15">
        <v>41157</v>
      </c>
      <c r="B2792" s="16" t="s">
        <v>878</v>
      </c>
      <c r="C2792" t="s">
        <v>879</v>
      </c>
      <c r="D2792" t="s">
        <v>48</v>
      </c>
      <c r="E2792" s="17">
        <v>5.5</v>
      </c>
      <c r="F2792" s="17">
        <v>110</v>
      </c>
      <c r="G2792" s="18">
        <v>605</v>
      </c>
      <c r="H2792" s="30" t="s">
        <v>2303</v>
      </c>
      <c r="J2792" s="34"/>
    </row>
    <row r="2793" spans="1:10" x14ac:dyDescent="0.25">
      <c r="A2793" s="15">
        <v>41157</v>
      </c>
      <c r="B2793" s="16" t="s">
        <v>865</v>
      </c>
      <c r="C2793" t="s">
        <v>8</v>
      </c>
      <c r="D2793" t="s">
        <v>48</v>
      </c>
      <c r="E2793" s="17">
        <v>5.5</v>
      </c>
      <c r="F2793" s="17">
        <v>35.35</v>
      </c>
      <c r="G2793" s="18">
        <v>194.42500000000001</v>
      </c>
      <c r="H2793" s="30" t="s">
        <v>2303</v>
      </c>
      <c r="J2793" s="34"/>
    </row>
    <row r="2794" spans="1:10" x14ac:dyDescent="0.25">
      <c r="A2794" s="15">
        <v>41157</v>
      </c>
      <c r="B2794" s="16" t="s">
        <v>949</v>
      </c>
      <c r="C2794" t="s">
        <v>950</v>
      </c>
      <c r="D2794" t="s">
        <v>48</v>
      </c>
      <c r="E2794" s="17">
        <v>9</v>
      </c>
      <c r="F2794" s="17">
        <v>135</v>
      </c>
      <c r="G2794" s="18">
        <v>1215</v>
      </c>
      <c r="H2794" s="30" t="s">
        <v>2303</v>
      </c>
      <c r="J2794" s="34"/>
    </row>
    <row r="2795" spans="1:10" x14ac:dyDescent="0.25">
      <c r="A2795" s="15">
        <v>41162</v>
      </c>
      <c r="B2795" s="16" t="s">
        <v>865</v>
      </c>
      <c r="C2795" t="s">
        <v>8</v>
      </c>
      <c r="D2795" t="s">
        <v>48</v>
      </c>
      <c r="E2795" s="17">
        <v>6</v>
      </c>
      <c r="F2795" s="17">
        <v>35.35</v>
      </c>
      <c r="G2795" s="18">
        <v>212.1</v>
      </c>
      <c r="H2795" s="30" t="s">
        <v>2303</v>
      </c>
      <c r="J2795" s="34"/>
    </row>
    <row r="2796" spans="1:10" x14ac:dyDescent="0.25">
      <c r="A2796" s="15">
        <v>41173</v>
      </c>
      <c r="B2796" s="16" t="s">
        <v>865</v>
      </c>
      <c r="C2796" t="s">
        <v>8</v>
      </c>
      <c r="D2796" t="s">
        <v>48</v>
      </c>
      <c r="E2796" s="17">
        <v>3.5</v>
      </c>
      <c r="F2796" s="17">
        <v>35.35</v>
      </c>
      <c r="G2796" s="18">
        <v>123.72499999999999</v>
      </c>
      <c r="H2796" s="30" t="s">
        <v>2303</v>
      </c>
      <c r="J2796" s="34"/>
    </row>
    <row r="2797" spans="1:10" x14ac:dyDescent="0.25">
      <c r="A2797" s="15">
        <v>41173</v>
      </c>
      <c r="B2797" s="16" t="s">
        <v>878</v>
      </c>
      <c r="C2797" t="s">
        <v>879</v>
      </c>
      <c r="D2797" t="s">
        <v>48</v>
      </c>
      <c r="E2797" s="17">
        <v>3.25</v>
      </c>
      <c r="F2797" s="17">
        <v>110</v>
      </c>
      <c r="G2797" s="18">
        <v>357.5</v>
      </c>
      <c r="H2797" s="30" t="s">
        <v>2303</v>
      </c>
      <c r="J2797" s="34"/>
    </row>
    <row r="2798" spans="1:10" x14ac:dyDescent="0.25">
      <c r="A2798" s="15">
        <v>41173</v>
      </c>
      <c r="B2798" s="16" t="s">
        <v>865</v>
      </c>
      <c r="C2798" t="s">
        <v>8</v>
      </c>
      <c r="D2798" t="s">
        <v>48</v>
      </c>
      <c r="E2798" s="17">
        <v>3.5</v>
      </c>
      <c r="F2798" s="17">
        <v>35.35</v>
      </c>
      <c r="G2798" s="18">
        <v>123.72499999999999</v>
      </c>
      <c r="H2798" s="30" t="s">
        <v>2303</v>
      </c>
      <c r="J2798" s="34"/>
    </row>
    <row r="2799" spans="1:10" x14ac:dyDescent="0.25">
      <c r="A2799" s="15">
        <v>41183</v>
      </c>
      <c r="B2799" s="16" t="s">
        <v>1134</v>
      </c>
      <c r="C2799" t="s">
        <v>1121</v>
      </c>
      <c r="D2799" t="s">
        <v>783</v>
      </c>
      <c r="E2799" s="17">
        <v>1</v>
      </c>
      <c r="F2799" s="17">
        <v>1360</v>
      </c>
      <c r="G2799" s="18">
        <v>1360</v>
      </c>
      <c r="H2799" s="30" t="s">
        <v>2303</v>
      </c>
      <c r="J2799" s="34"/>
    </row>
    <row r="2800" spans="1:10" x14ac:dyDescent="0.25">
      <c r="A2800" s="15">
        <v>41190</v>
      </c>
      <c r="B2800" s="16" t="s">
        <v>865</v>
      </c>
      <c r="C2800" t="s">
        <v>8</v>
      </c>
      <c r="D2800" t="s">
        <v>48</v>
      </c>
      <c r="E2800" s="17">
        <v>6</v>
      </c>
      <c r="F2800" s="17">
        <v>35.35</v>
      </c>
      <c r="G2800" s="18">
        <v>212.1</v>
      </c>
      <c r="H2800" s="30" t="s">
        <v>2303</v>
      </c>
      <c r="J2800" s="34"/>
    </row>
    <row r="2801" spans="1:10" x14ac:dyDescent="0.25">
      <c r="A2801" s="15">
        <v>41190</v>
      </c>
      <c r="B2801" s="16" t="s">
        <v>865</v>
      </c>
      <c r="C2801" t="s">
        <v>8</v>
      </c>
      <c r="D2801" t="s">
        <v>48</v>
      </c>
      <c r="E2801" s="17">
        <v>3</v>
      </c>
      <c r="F2801" s="17">
        <v>35.35</v>
      </c>
      <c r="G2801" s="18">
        <v>106.05</v>
      </c>
      <c r="H2801" s="30" t="s">
        <v>2303</v>
      </c>
      <c r="J2801" s="34"/>
    </row>
    <row r="2802" spans="1:10" x14ac:dyDescent="0.25">
      <c r="A2802" s="15">
        <v>41190</v>
      </c>
      <c r="B2802" s="16" t="s">
        <v>878</v>
      </c>
      <c r="C2802" t="s">
        <v>879</v>
      </c>
      <c r="D2802" t="s">
        <v>48</v>
      </c>
      <c r="E2802" s="17">
        <v>5</v>
      </c>
      <c r="F2802" s="17">
        <v>110</v>
      </c>
      <c r="G2802" s="18">
        <v>550</v>
      </c>
      <c r="H2802" s="30" t="s">
        <v>2303</v>
      </c>
      <c r="J2802" s="34"/>
    </row>
    <row r="2803" spans="1:10" x14ac:dyDescent="0.25">
      <c r="A2803" s="15">
        <v>41190</v>
      </c>
      <c r="B2803" s="16" t="s">
        <v>882</v>
      </c>
      <c r="C2803" t="s">
        <v>8</v>
      </c>
      <c r="D2803" t="s">
        <v>48</v>
      </c>
      <c r="E2803" s="17">
        <v>6</v>
      </c>
      <c r="F2803" s="17">
        <v>48</v>
      </c>
      <c r="G2803" s="18">
        <v>288</v>
      </c>
      <c r="H2803" s="30" t="s">
        <v>2303</v>
      </c>
      <c r="J2803" s="34"/>
    </row>
    <row r="2804" spans="1:10" x14ac:dyDescent="0.25">
      <c r="A2804" s="15">
        <v>41190</v>
      </c>
      <c r="B2804" s="16" t="s">
        <v>880</v>
      </c>
      <c r="C2804" t="s">
        <v>881</v>
      </c>
      <c r="D2804" t="s">
        <v>48</v>
      </c>
      <c r="E2804" s="17">
        <v>5</v>
      </c>
      <c r="F2804" s="17">
        <v>95</v>
      </c>
      <c r="G2804" s="18">
        <v>475</v>
      </c>
      <c r="H2804" s="30" t="s">
        <v>2303</v>
      </c>
      <c r="J2804" s="34"/>
    </row>
    <row r="2805" spans="1:10" x14ac:dyDescent="0.25">
      <c r="A2805" s="15">
        <v>41190</v>
      </c>
      <c r="B2805" s="16" t="s">
        <v>865</v>
      </c>
      <c r="C2805" t="s">
        <v>8</v>
      </c>
      <c r="D2805" t="s">
        <v>48</v>
      </c>
      <c r="E2805" s="17">
        <v>3</v>
      </c>
      <c r="F2805" s="17">
        <v>35.35</v>
      </c>
      <c r="G2805" s="18">
        <v>106.05</v>
      </c>
      <c r="H2805" s="30" t="s">
        <v>2303</v>
      </c>
      <c r="J2805" s="34"/>
    </row>
    <row r="2806" spans="1:10" x14ac:dyDescent="0.25">
      <c r="A2806" s="15">
        <v>41191</v>
      </c>
      <c r="B2806" s="16" t="s">
        <v>865</v>
      </c>
      <c r="C2806" t="s">
        <v>8</v>
      </c>
      <c r="D2806" t="s">
        <v>48</v>
      </c>
      <c r="E2806" s="17">
        <v>5</v>
      </c>
      <c r="F2806" s="17">
        <v>35.35</v>
      </c>
      <c r="G2806" s="18">
        <v>176.75</v>
      </c>
      <c r="H2806" s="30" t="s">
        <v>2303</v>
      </c>
      <c r="J2806" s="34"/>
    </row>
    <row r="2807" spans="1:10" x14ac:dyDescent="0.25">
      <c r="A2807" s="15">
        <v>41206</v>
      </c>
      <c r="B2807" s="16" t="s">
        <v>1135</v>
      </c>
      <c r="C2807" t="s">
        <v>1113</v>
      </c>
      <c r="D2807" t="s">
        <v>783</v>
      </c>
      <c r="E2807" s="17">
        <v>1</v>
      </c>
      <c r="F2807" s="17">
        <v>1960</v>
      </c>
      <c r="G2807" s="18">
        <v>1960</v>
      </c>
      <c r="H2807" s="30" t="s">
        <v>2303</v>
      </c>
      <c r="J2807" s="34"/>
    </row>
    <row r="2808" spans="1:10" ht="30" x14ac:dyDescent="0.25">
      <c r="A2808" s="15">
        <v>41206</v>
      </c>
      <c r="B2808" s="16" t="s">
        <v>1136</v>
      </c>
      <c r="C2808" t="s">
        <v>1119</v>
      </c>
      <c r="D2808" t="s">
        <v>783</v>
      </c>
      <c r="E2808" s="17">
        <v>1</v>
      </c>
      <c r="F2808" s="17">
        <v>9440</v>
      </c>
      <c r="G2808" s="18">
        <v>9440</v>
      </c>
      <c r="H2808" s="30" t="s">
        <v>2303</v>
      </c>
      <c r="J2808" s="34"/>
    </row>
    <row r="2809" spans="1:10" ht="30" x14ac:dyDescent="0.25">
      <c r="A2809" s="15">
        <v>41212</v>
      </c>
      <c r="B2809" s="16" t="s">
        <v>1137</v>
      </c>
      <c r="C2809" t="s">
        <v>1121</v>
      </c>
      <c r="D2809" t="s">
        <v>783</v>
      </c>
      <c r="E2809" s="17">
        <v>1</v>
      </c>
      <c r="F2809" s="17">
        <v>1800</v>
      </c>
      <c r="G2809" s="18">
        <v>1800</v>
      </c>
      <c r="H2809" s="30" t="s">
        <v>2303</v>
      </c>
      <c r="J2809" s="34"/>
    </row>
    <row r="2810" spans="1:10" x14ac:dyDescent="0.25">
      <c r="A2810" s="15">
        <v>41243</v>
      </c>
      <c r="B2810" s="16" t="s">
        <v>1138</v>
      </c>
      <c r="C2810" t="s">
        <v>1121</v>
      </c>
      <c r="D2810" t="s">
        <v>783</v>
      </c>
      <c r="E2810" s="17">
        <v>1</v>
      </c>
      <c r="F2810" s="17">
        <v>850</v>
      </c>
      <c r="G2810" s="18">
        <v>850</v>
      </c>
      <c r="H2810" s="30" t="s">
        <v>2303</v>
      </c>
      <c r="J2810" s="34"/>
    </row>
    <row r="2811" spans="1:10" ht="30" x14ac:dyDescent="0.25">
      <c r="A2811" s="15">
        <v>40969</v>
      </c>
      <c r="B2811" s="16" t="s">
        <v>1139</v>
      </c>
      <c r="C2811" t="s">
        <v>1119</v>
      </c>
      <c r="D2811" t="s">
        <v>783</v>
      </c>
      <c r="E2811" s="17">
        <v>1</v>
      </c>
      <c r="F2811" s="17">
        <v>3750</v>
      </c>
      <c r="G2811" s="18">
        <v>3750</v>
      </c>
      <c r="H2811" s="30" t="s">
        <v>2303</v>
      </c>
      <c r="J2811" s="34"/>
    </row>
    <row r="2812" spans="1:10" x14ac:dyDescent="0.25">
      <c r="A2812" s="19" t="s">
        <v>781</v>
      </c>
      <c r="B2812" s="20" t="s">
        <v>1140</v>
      </c>
      <c r="C2812" s="21" t="s">
        <v>781</v>
      </c>
      <c r="D2812" s="21" t="s">
        <v>781</v>
      </c>
      <c r="E2812" s="22"/>
      <c r="F2812" s="22"/>
      <c r="G2812" s="23">
        <v>86929.584300000002</v>
      </c>
      <c r="H2812" s="31" t="s">
        <v>2285</v>
      </c>
      <c r="J2812" s="34"/>
    </row>
    <row r="2813" spans="1:10" x14ac:dyDescent="0.25">
      <c r="A2813" s="15" t="s">
        <v>781</v>
      </c>
      <c r="B2813" s="16" t="s">
        <v>781</v>
      </c>
      <c r="C2813" t="s">
        <v>781</v>
      </c>
      <c r="D2813" t="s">
        <v>781</v>
      </c>
      <c r="E2813" s="17"/>
      <c r="F2813" s="17"/>
      <c r="G2813" s="18"/>
      <c r="H2813" s="30" t="s">
        <v>2285</v>
      </c>
      <c r="J2813" s="34"/>
    </row>
    <row r="2814" spans="1:10" x14ac:dyDescent="0.25">
      <c r="A2814" s="12" t="s">
        <v>781</v>
      </c>
      <c r="B2814" s="11" t="s">
        <v>1871</v>
      </c>
      <c r="C2814" s="10" t="s">
        <v>781</v>
      </c>
      <c r="D2814" s="10" t="s">
        <v>781</v>
      </c>
      <c r="E2814" s="13"/>
      <c r="F2814" s="13"/>
      <c r="G2814" s="14"/>
      <c r="H2814" s="29" t="s">
        <v>2285</v>
      </c>
      <c r="J2814" s="34"/>
    </row>
    <row r="2815" spans="1:10" x14ac:dyDescent="0.25">
      <c r="A2815" s="15">
        <v>40856</v>
      </c>
      <c r="B2815" s="16" t="s">
        <v>865</v>
      </c>
      <c r="C2815" t="s">
        <v>8</v>
      </c>
      <c r="D2815" t="s">
        <v>48</v>
      </c>
      <c r="E2815" s="17">
        <v>2</v>
      </c>
      <c r="F2815" s="17">
        <v>35.35</v>
      </c>
      <c r="G2815" s="18">
        <v>70.7</v>
      </c>
      <c r="H2815" s="30" t="s">
        <v>2304</v>
      </c>
      <c r="J2815" s="34"/>
    </row>
    <row r="2816" spans="1:10" x14ac:dyDescent="0.25">
      <c r="A2816" s="15">
        <v>40856</v>
      </c>
      <c r="B2816" s="16" t="s">
        <v>865</v>
      </c>
      <c r="C2816" t="s">
        <v>8</v>
      </c>
      <c r="D2816" t="s">
        <v>48</v>
      </c>
      <c r="E2816" s="17">
        <v>2</v>
      </c>
      <c r="F2816" s="17">
        <v>35.35</v>
      </c>
      <c r="G2816" s="18">
        <v>70.7</v>
      </c>
      <c r="H2816" s="30" t="s">
        <v>2304</v>
      </c>
      <c r="J2816" s="34"/>
    </row>
    <row r="2817" spans="1:10" x14ac:dyDescent="0.25">
      <c r="A2817" s="15">
        <v>40878</v>
      </c>
      <c r="B2817" s="16" t="s">
        <v>1141</v>
      </c>
      <c r="C2817" t="s">
        <v>1121</v>
      </c>
      <c r="D2817" t="s">
        <v>783</v>
      </c>
      <c r="E2817" s="17">
        <v>1</v>
      </c>
      <c r="F2817" s="17">
        <v>1850</v>
      </c>
      <c r="G2817" s="18">
        <v>1850</v>
      </c>
      <c r="H2817" s="30" t="s">
        <v>2304</v>
      </c>
      <c r="J2817" s="34"/>
    </row>
    <row r="2818" spans="1:10" x14ac:dyDescent="0.25">
      <c r="A2818" s="15">
        <v>40878</v>
      </c>
      <c r="B2818" s="16" t="s">
        <v>1142</v>
      </c>
      <c r="C2818" t="s">
        <v>1121</v>
      </c>
      <c r="D2818" t="s">
        <v>783</v>
      </c>
      <c r="E2818" s="17">
        <v>1</v>
      </c>
      <c r="F2818" s="17">
        <v>2010</v>
      </c>
      <c r="G2818" s="18">
        <v>2010</v>
      </c>
      <c r="H2818" s="30" t="s">
        <v>2304</v>
      </c>
      <c r="J2818" s="34"/>
    </row>
    <row r="2819" spans="1:10" x14ac:dyDescent="0.25">
      <c r="A2819" s="15">
        <v>40915</v>
      </c>
      <c r="B2819" s="16" t="s">
        <v>1143</v>
      </c>
      <c r="C2819" t="s">
        <v>1121</v>
      </c>
      <c r="D2819" t="s">
        <v>783</v>
      </c>
      <c r="E2819" s="17">
        <v>1</v>
      </c>
      <c r="F2819" s="17">
        <v>9300</v>
      </c>
      <c r="G2819" s="18">
        <v>9300</v>
      </c>
      <c r="H2819" s="30" t="s">
        <v>2304</v>
      </c>
      <c r="J2819" s="34"/>
    </row>
    <row r="2820" spans="1:10" x14ac:dyDescent="0.25">
      <c r="A2820" s="19" t="s">
        <v>781</v>
      </c>
      <c r="B2820" s="20" t="s">
        <v>1144</v>
      </c>
      <c r="C2820" s="21" t="s">
        <v>781</v>
      </c>
      <c r="D2820" s="21" t="s">
        <v>781</v>
      </c>
      <c r="E2820" s="22"/>
      <c r="F2820" s="22"/>
      <c r="G2820" s="23">
        <v>13301.4</v>
      </c>
      <c r="H2820" s="31" t="s">
        <v>2285</v>
      </c>
      <c r="J2820" s="34"/>
    </row>
    <row r="2821" spans="1:10" x14ac:dyDescent="0.25">
      <c r="A2821" s="15" t="s">
        <v>781</v>
      </c>
      <c r="B2821" s="16" t="s">
        <v>781</v>
      </c>
      <c r="C2821" t="s">
        <v>781</v>
      </c>
      <c r="D2821" t="s">
        <v>781</v>
      </c>
      <c r="E2821" s="17"/>
      <c r="F2821" s="17"/>
      <c r="G2821" s="18"/>
      <c r="H2821" s="30" t="s">
        <v>2285</v>
      </c>
      <c r="J2821" s="34"/>
    </row>
    <row r="2822" spans="1:10" x14ac:dyDescent="0.25">
      <c r="A2822" s="12" t="s">
        <v>781</v>
      </c>
      <c r="B2822" s="11" t="s">
        <v>1872</v>
      </c>
      <c r="C2822" s="10" t="s">
        <v>781</v>
      </c>
      <c r="D2822" s="10" t="s">
        <v>781</v>
      </c>
      <c r="E2822" s="13"/>
      <c r="F2822" s="13"/>
      <c r="G2822" s="14"/>
      <c r="H2822" s="29" t="s">
        <v>2285</v>
      </c>
      <c r="J2822" s="34"/>
    </row>
    <row r="2823" spans="1:10" x14ac:dyDescent="0.25">
      <c r="A2823" s="15">
        <v>40915</v>
      </c>
      <c r="B2823" s="16" t="s">
        <v>1145</v>
      </c>
      <c r="C2823" t="s">
        <v>1121</v>
      </c>
      <c r="D2823" t="s">
        <v>783</v>
      </c>
      <c r="E2823" s="17">
        <v>1</v>
      </c>
      <c r="F2823" s="17">
        <v>360</v>
      </c>
      <c r="G2823" s="18">
        <v>360</v>
      </c>
      <c r="H2823" s="30" t="s">
        <v>2305</v>
      </c>
      <c r="J2823" s="34"/>
    </row>
    <row r="2824" spans="1:10" x14ac:dyDescent="0.25">
      <c r="A2824" s="15">
        <v>40946</v>
      </c>
      <c r="B2824" s="16" t="s">
        <v>1145</v>
      </c>
      <c r="C2824" t="s">
        <v>1121</v>
      </c>
      <c r="D2824" t="s">
        <v>783</v>
      </c>
      <c r="E2824" s="17">
        <v>1</v>
      </c>
      <c r="F2824" s="17">
        <v>280</v>
      </c>
      <c r="G2824" s="18">
        <v>280</v>
      </c>
      <c r="H2824" s="30" t="s">
        <v>2305</v>
      </c>
      <c r="J2824" s="34"/>
    </row>
    <row r="2825" spans="1:10" x14ac:dyDescent="0.25">
      <c r="A2825" s="15">
        <v>40946</v>
      </c>
      <c r="B2825" s="16" t="s">
        <v>1146</v>
      </c>
      <c r="C2825" t="s">
        <v>1121</v>
      </c>
      <c r="D2825" t="s">
        <v>783</v>
      </c>
      <c r="E2825" s="17">
        <v>1</v>
      </c>
      <c r="F2825" s="17">
        <v>4020</v>
      </c>
      <c r="G2825" s="18">
        <v>4020</v>
      </c>
      <c r="H2825" s="30" t="s">
        <v>2305</v>
      </c>
      <c r="J2825" s="34"/>
    </row>
    <row r="2826" spans="1:10" x14ac:dyDescent="0.25">
      <c r="A2826" s="15">
        <v>40970</v>
      </c>
      <c r="B2826" s="16" t="s">
        <v>865</v>
      </c>
      <c r="C2826" t="s">
        <v>8</v>
      </c>
      <c r="D2826" t="s">
        <v>48</v>
      </c>
      <c r="E2826" s="17">
        <v>3</v>
      </c>
      <c r="F2826" s="17">
        <v>35.35</v>
      </c>
      <c r="G2826" s="18">
        <v>106.05</v>
      </c>
      <c r="H2826" s="30" t="s">
        <v>2305</v>
      </c>
      <c r="J2826" s="34"/>
    </row>
    <row r="2827" spans="1:10" x14ac:dyDescent="0.25">
      <c r="A2827" s="15">
        <v>40970</v>
      </c>
      <c r="B2827" s="16" t="s">
        <v>867</v>
      </c>
      <c r="C2827" t="s">
        <v>868</v>
      </c>
      <c r="D2827" t="s">
        <v>48</v>
      </c>
      <c r="E2827" s="17">
        <v>3</v>
      </c>
      <c r="F2827" s="17">
        <v>90</v>
      </c>
      <c r="G2827" s="18">
        <v>270</v>
      </c>
      <c r="H2827" s="30" t="s">
        <v>2305</v>
      </c>
      <c r="J2827" s="34"/>
    </row>
    <row r="2828" spans="1:10" x14ac:dyDescent="0.25">
      <c r="A2828" s="15">
        <v>40970</v>
      </c>
      <c r="B2828" s="16" t="s">
        <v>865</v>
      </c>
      <c r="C2828" t="s">
        <v>8</v>
      </c>
      <c r="D2828" t="s">
        <v>48</v>
      </c>
      <c r="E2828" s="17">
        <v>2</v>
      </c>
      <c r="F2828" s="17">
        <v>35.35</v>
      </c>
      <c r="G2828" s="18">
        <v>70.7</v>
      </c>
      <c r="H2828" s="30" t="s">
        <v>2305</v>
      </c>
      <c r="J2828" s="34"/>
    </row>
    <row r="2829" spans="1:10" x14ac:dyDescent="0.25">
      <c r="A2829" s="15">
        <v>40970</v>
      </c>
      <c r="B2829" s="16" t="s">
        <v>869</v>
      </c>
      <c r="C2829" t="s">
        <v>8</v>
      </c>
      <c r="D2829" t="s">
        <v>48</v>
      </c>
      <c r="E2829" s="17">
        <v>3</v>
      </c>
      <c r="F2829" s="17">
        <v>35.35</v>
      </c>
      <c r="G2829" s="18">
        <v>106.05</v>
      </c>
      <c r="H2829" s="30" t="s">
        <v>2305</v>
      </c>
      <c r="J2829" s="34"/>
    </row>
    <row r="2830" spans="1:10" x14ac:dyDescent="0.25">
      <c r="A2830" s="15">
        <v>41016</v>
      </c>
      <c r="B2830" s="16" t="s">
        <v>865</v>
      </c>
      <c r="C2830" t="s">
        <v>8</v>
      </c>
      <c r="D2830" t="s">
        <v>48</v>
      </c>
      <c r="E2830" s="17">
        <v>3</v>
      </c>
      <c r="F2830" s="17">
        <v>35.35</v>
      </c>
      <c r="G2830" s="18">
        <v>106.05</v>
      </c>
      <c r="H2830" s="30" t="s">
        <v>2305</v>
      </c>
      <c r="J2830" s="34"/>
    </row>
    <row r="2831" spans="1:10" x14ac:dyDescent="0.25">
      <c r="A2831" s="15">
        <v>41016</v>
      </c>
      <c r="B2831" s="16" t="s">
        <v>865</v>
      </c>
      <c r="C2831" t="s">
        <v>8</v>
      </c>
      <c r="D2831" t="s">
        <v>48</v>
      </c>
      <c r="E2831" s="17">
        <v>3</v>
      </c>
      <c r="F2831" s="17">
        <v>48</v>
      </c>
      <c r="G2831" s="18">
        <v>144</v>
      </c>
      <c r="H2831" s="30" t="s">
        <v>2305</v>
      </c>
      <c r="J2831" s="34"/>
    </row>
    <row r="2832" spans="1:10" x14ac:dyDescent="0.25">
      <c r="A2832" s="15">
        <v>41016</v>
      </c>
      <c r="B2832" s="16" t="s">
        <v>865</v>
      </c>
      <c r="C2832" t="s">
        <v>8</v>
      </c>
      <c r="D2832" t="s">
        <v>48</v>
      </c>
      <c r="E2832" s="17">
        <v>3</v>
      </c>
      <c r="F2832" s="17">
        <v>35.35</v>
      </c>
      <c r="G2832" s="18">
        <v>106.05</v>
      </c>
      <c r="H2832" s="30" t="s">
        <v>2305</v>
      </c>
      <c r="J2832" s="34"/>
    </row>
    <row r="2833" spans="1:10" x14ac:dyDescent="0.25">
      <c r="A2833" s="15">
        <v>41016</v>
      </c>
      <c r="B2833" s="16" t="s">
        <v>877</v>
      </c>
      <c r="C2833" t="s">
        <v>868</v>
      </c>
      <c r="D2833" t="s">
        <v>48</v>
      </c>
      <c r="E2833" s="17">
        <v>3</v>
      </c>
      <c r="F2833" s="17">
        <v>90</v>
      </c>
      <c r="G2833" s="18">
        <v>270</v>
      </c>
      <c r="H2833" s="30" t="s">
        <v>2305</v>
      </c>
      <c r="J2833" s="34"/>
    </row>
    <row r="2834" spans="1:10" x14ac:dyDescent="0.25">
      <c r="A2834" s="15">
        <v>41029</v>
      </c>
      <c r="B2834" s="16" t="s">
        <v>865</v>
      </c>
      <c r="C2834" t="s">
        <v>8</v>
      </c>
      <c r="D2834" t="s">
        <v>48</v>
      </c>
      <c r="E2834" s="17">
        <v>4</v>
      </c>
      <c r="F2834" s="17">
        <v>35.35</v>
      </c>
      <c r="G2834" s="18">
        <v>141.4</v>
      </c>
      <c r="H2834" s="30" t="s">
        <v>2305</v>
      </c>
      <c r="J2834" s="34"/>
    </row>
    <row r="2835" spans="1:10" x14ac:dyDescent="0.25">
      <c r="A2835" s="15">
        <v>41029</v>
      </c>
      <c r="B2835" s="16" t="s">
        <v>865</v>
      </c>
      <c r="C2835" t="s">
        <v>8</v>
      </c>
      <c r="D2835" t="s">
        <v>48</v>
      </c>
      <c r="E2835" s="17">
        <v>4</v>
      </c>
      <c r="F2835" s="17">
        <v>48</v>
      </c>
      <c r="G2835" s="18">
        <v>192</v>
      </c>
      <c r="H2835" s="30" t="s">
        <v>2305</v>
      </c>
      <c r="J2835" s="34"/>
    </row>
    <row r="2836" spans="1:10" x14ac:dyDescent="0.25">
      <c r="A2836" s="15">
        <v>41030</v>
      </c>
      <c r="B2836" s="16" t="s">
        <v>1147</v>
      </c>
      <c r="C2836" t="s">
        <v>1121</v>
      </c>
      <c r="D2836" t="s">
        <v>783</v>
      </c>
      <c r="E2836" s="17">
        <v>1</v>
      </c>
      <c r="F2836" s="17">
        <v>1250</v>
      </c>
      <c r="G2836" s="18">
        <v>1250</v>
      </c>
      <c r="H2836" s="30" t="s">
        <v>2305</v>
      </c>
      <c r="J2836" s="34"/>
    </row>
    <row r="2837" spans="1:10" ht="30" x14ac:dyDescent="0.25">
      <c r="A2837" s="15">
        <v>41030</v>
      </c>
      <c r="B2837" s="16" t="s">
        <v>1148</v>
      </c>
      <c r="C2837" t="s">
        <v>1121</v>
      </c>
      <c r="D2837" t="s">
        <v>783</v>
      </c>
      <c r="E2837" s="17">
        <v>1</v>
      </c>
      <c r="F2837" s="17">
        <v>5860</v>
      </c>
      <c r="G2837" s="18">
        <v>5860</v>
      </c>
      <c r="H2837" s="30" t="s">
        <v>2305</v>
      </c>
      <c r="J2837" s="34"/>
    </row>
    <row r="2838" spans="1:10" x14ac:dyDescent="0.25">
      <c r="A2838" s="15">
        <v>41045</v>
      </c>
      <c r="B2838" s="16" t="s">
        <v>865</v>
      </c>
      <c r="C2838" t="s">
        <v>8</v>
      </c>
      <c r="D2838" t="s">
        <v>48</v>
      </c>
      <c r="E2838" s="17">
        <v>2.5</v>
      </c>
      <c r="F2838" s="17">
        <v>35.35</v>
      </c>
      <c r="G2838" s="18">
        <v>88.375</v>
      </c>
      <c r="H2838" s="30" t="s">
        <v>2305</v>
      </c>
      <c r="J2838" s="34"/>
    </row>
    <row r="2839" spans="1:10" x14ac:dyDescent="0.25">
      <c r="A2839" s="15">
        <v>41045</v>
      </c>
      <c r="B2839" s="16" t="s">
        <v>877</v>
      </c>
      <c r="C2839" t="s">
        <v>868</v>
      </c>
      <c r="D2839" t="s">
        <v>48</v>
      </c>
      <c r="E2839" s="17">
        <v>3</v>
      </c>
      <c r="F2839" s="17">
        <v>90</v>
      </c>
      <c r="G2839" s="18">
        <v>270</v>
      </c>
      <c r="H2839" s="30" t="s">
        <v>2305</v>
      </c>
      <c r="J2839" s="34"/>
    </row>
    <row r="2840" spans="1:10" x14ac:dyDescent="0.25">
      <c r="A2840" s="15">
        <v>41061</v>
      </c>
      <c r="B2840" s="16" t="s">
        <v>1149</v>
      </c>
      <c r="C2840" t="s">
        <v>1121</v>
      </c>
      <c r="D2840" t="s">
        <v>783</v>
      </c>
      <c r="E2840" s="17">
        <v>1</v>
      </c>
      <c r="F2840" s="17">
        <v>2280</v>
      </c>
      <c r="G2840" s="18">
        <v>2280</v>
      </c>
      <c r="H2840" s="30" t="s">
        <v>2305</v>
      </c>
      <c r="J2840" s="34"/>
    </row>
    <row r="2841" spans="1:10" x14ac:dyDescent="0.25">
      <c r="A2841" s="15">
        <v>41061</v>
      </c>
      <c r="B2841" s="16" t="s">
        <v>1150</v>
      </c>
      <c r="C2841" t="s">
        <v>1121</v>
      </c>
      <c r="D2841" t="s">
        <v>783</v>
      </c>
      <c r="E2841" s="17">
        <v>1</v>
      </c>
      <c r="F2841" s="17">
        <v>910</v>
      </c>
      <c r="G2841" s="18">
        <v>910</v>
      </c>
      <c r="H2841" s="30" t="s">
        <v>2305</v>
      </c>
      <c r="J2841" s="34"/>
    </row>
    <row r="2842" spans="1:10" x14ac:dyDescent="0.25">
      <c r="A2842" s="15">
        <v>41066</v>
      </c>
      <c r="B2842" s="16" t="s">
        <v>1151</v>
      </c>
      <c r="C2842" t="s">
        <v>1152</v>
      </c>
      <c r="D2842" t="s">
        <v>783</v>
      </c>
      <c r="E2842" s="17">
        <v>1</v>
      </c>
      <c r="F2842" s="17">
        <v>656</v>
      </c>
      <c r="G2842" s="18">
        <v>656</v>
      </c>
      <c r="H2842" s="30" t="s">
        <v>2305</v>
      </c>
      <c r="J2842" s="34"/>
    </row>
    <row r="2843" spans="1:10" x14ac:dyDescent="0.25">
      <c r="A2843" s="15">
        <v>41085</v>
      </c>
      <c r="B2843" s="16" t="s">
        <v>865</v>
      </c>
      <c r="C2843" t="s">
        <v>8</v>
      </c>
      <c r="D2843" t="s">
        <v>48</v>
      </c>
      <c r="E2843" s="17">
        <v>4</v>
      </c>
      <c r="F2843" s="17">
        <v>35.35</v>
      </c>
      <c r="G2843" s="18">
        <v>141.4</v>
      </c>
      <c r="H2843" s="30" t="s">
        <v>2305</v>
      </c>
      <c r="J2843" s="34"/>
    </row>
    <row r="2844" spans="1:10" x14ac:dyDescent="0.25">
      <c r="A2844" s="15">
        <v>41085</v>
      </c>
      <c r="B2844" s="16" t="s">
        <v>865</v>
      </c>
      <c r="C2844" t="s">
        <v>8</v>
      </c>
      <c r="D2844" t="s">
        <v>48</v>
      </c>
      <c r="E2844" s="17">
        <v>4</v>
      </c>
      <c r="F2844" s="17">
        <v>35.35</v>
      </c>
      <c r="G2844" s="18">
        <v>141.4</v>
      </c>
      <c r="H2844" s="30" t="s">
        <v>2305</v>
      </c>
      <c r="J2844" s="34"/>
    </row>
    <row r="2845" spans="1:10" x14ac:dyDescent="0.25">
      <c r="A2845" s="15">
        <v>41085</v>
      </c>
      <c r="B2845" s="16" t="s">
        <v>878</v>
      </c>
      <c r="C2845" t="s">
        <v>879</v>
      </c>
      <c r="D2845" t="s">
        <v>48</v>
      </c>
      <c r="E2845" s="17">
        <v>4</v>
      </c>
      <c r="F2845" s="17">
        <v>110</v>
      </c>
      <c r="G2845" s="18">
        <v>440</v>
      </c>
      <c r="H2845" s="30" t="s">
        <v>2305</v>
      </c>
      <c r="J2845" s="34"/>
    </row>
    <row r="2846" spans="1:10" x14ac:dyDescent="0.25">
      <c r="A2846" s="15">
        <v>41086</v>
      </c>
      <c r="B2846" s="16" t="s">
        <v>865</v>
      </c>
      <c r="C2846" t="s">
        <v>8</v>
      </c>
      <c r="D2846" t="s">
        <v>48</v>
      </c>
      <c r="E2846" s="17">
        <v>2.5</v>
      </c>
      <c r="F2846" s="17">
        <v>35.35</v>
      </c>
      <c r="G2846" s="18">
        <v>88.375</v>
      </c>
      <c r="H2846" s="30" t="s">
        <v>2305</v>
      </c>
      <c r="J2846" s="34"/>
    </row>
    <row r="2847" spans="1:10" x14ac:dyDescent="0.25">
      <c r="A2847" s="15">
        <v>41086</v>
      </c>
      <c r="B2847" s="16" t="s">
        <v>865</v>
      </c>
      <c r="C2847" t="s">
        <v>8</v>
      </c>
      <c r="D2847" t="s">
        <v>48</v>
      </c>
      <c r="E2847" s="17">
        <v>2.5</v>
      </c>
      <c r="F2847" s="17">
        <v>35.35</v>
      </c>
      <c r="G2847" s="18">
        <v>88.375</v>
      </c>
      <c r="H2847" s="30" t="s">
        <v>2305</v>
      </c>
      <c r="J2847" s="34"/>
    </row>
    <row r="2848" spans="1:10" x14ac:dyDescent="0.25">
      <c r="A2848" s="15">
        <v>41086</v>
      </c>
      <c r="B2848" s="16" t="s">
        <v>865</v>
      </c>
      <c r="C2848" t="s">
        <v>8</v>
      </c>
      <c r="D2848" t="s">
        <v>48</v>
      </c>
      <c r="E2848" s="17">
        <v>2.5</v>
      </c>
      <c r="F2848" s="17">
        <v>48</v>
      </c>
      <c r="G2848" s="18">
        <v>120</v>
      </c>
      <c r="H2848" s="30" t="s">
        <v>2305</v>
      </c>
      <c r="J2848" s="34"/>
    </row>
    <row r="2849" spans="1:10" x14ac:dyDescent="0.25">
      <c r="A2849" s="15">
        <v>41086</v>
      </c>
      <c r="B2849" s="16" t="s">
        <v>865</v>
      </c>
      <c r="C2849" t="s">
        <v>8</v>
      </c>
      <c r="D2849" t="s">
        <v>48</v>
      </c>
      <c r="E2849" s="17">
        <v>2.5</v>
      </c>
      <c r="F2849" s="17">
        <v>35.35</v>
      </c>
      <c r="G2849" s="18">
        <v>88.375</v>
      </c>
      <c r="H2849" s="30" t="s">
        <v>2305</v>
      </c>
      <c r="J2849" s="34"/>
    </row>
    <row r="2850" spans="1:10" x14ac:dyDescent="0.25">
      <c r="A2850" s="15">
        <v>41086</v>
      </c>
      <c r="B2850" s="16" t="s">
        <v>878</v>
      </c>
      <c r="C2850" t="s">
        <v>879</v>
      </c>
      <c r="D2850" t="s">
        <v>48</v>
      </c>
      <c r="E2850" s="17">
        <v>2</v>
      </c>
      <c r="F2850" s="17">
        <v>110</v>
      </c>
      <c r="G2850" s="18">
        <v>220</v>
      </c>
      <c r="H2850" s="30" t="s">
        <v>2305</v>
      </c>
      <c r="J2850" s="34"/>
    </row>
    <row r="2851" spans="1:10" x14ac:dyDescent="0.25">
      <c r="A2851" s="15">
        <v>41087</v>
      </c>
      <c r="B2851" s="16" t="s">
        <v>878</v>
      </c>
      <c r="C2851" t="s">
        <v>879</v>
      </c>
      <c r="D2851" t="s">
        <v>48</v>
      </c>
      <c r="E2851" s="17">
        <v>4.75</v>
      </c>
      <c r="F2851" s="17">
        <v>110</v>
      </c>
      <c r="G2851" s="18">
        <v>522.5</v>
      </c>
      <c r="H2851" s="30" t="s">
        <v>2305</v>
      </c>
      <c r="J2851" s="34"/>
    </row>
    <row r="2852" spans="1:10" x14ac:dyDescent="0.25">
      <c r="A2852" s="15">
        <v>41087</v>
      </c>
      <c r="B2852" s="16" t="s">
        <v>865</v>
      </c>
      <c r="C2852" t="s">
        <v>8</v>
      </c>
      <c r="D2852" t="s">
        <v>48</v>
      </c>
      <c r="E2852" s="17">
        <v>5</v>
      </c>
      <c r="F2852" s="17">
        <v>48</v>
      </c>
      <c r="G2852" s="18">
        <v>240</v>
      </c>
      <c r="H2852" s="30" t="s">
        <v>2305</v>
      </c>
      <c r="J2852" s="34"/>
    </row>
    <row r="2853" spans="1:10" x14ac:dyDescent="0.25">
      <c r="A2853" s="15">
        <v>41087</v>
      </c>
      <c r="B2853" s="16" t="s">
        <v>865</v>
      </c>
      <c r="C2853" t="s">
        <v>8</v>
      </c>
      <c r="D2853" t="s">
        <v>48</v>
      </c>
      <c r="E2853" s="17">
        <v>5</v>
      </c>
      <c r="F2853" s="17">
        <v>35.35</v>
      </c>
      <c r="G2853" s="18">
        <v>176.75</v>
      </c>
      <c r="H2853" s="30" t="s">
        <v>2305</v>
      </c>
      <c r="J2853" s="34"/>
    </row>
    <row r="2854" spans="1:10" x14ac:dyDescent="0.25">
      <c r="A2854" s="15">
        <v>41088</v>
      </c>
      <c r="B2854" s="16" t="s">
        <v>878</v>
      </c>
      <c r="C2854" t="s">
        <v>879</v>
      </c>
      <c r="D2854" t="s">
        <v>48</v>
      </c>
      <c r="E2854" s="17">
        <v>9.5</v>
      </c>
      <c r="F2854" s="17">
        <v>110</v>
      </c>
      <c r="G2854" s="18">
        <v>1045</v>
      </c>
      <c r="H2854" s="30" t="s">
        <v>2305</v>
      </c>
      <c r="J2854" s="34"/>
    </row>
    <row r="2855" spans="1:10" x14ac:dyDescent="0.25">
      <c r="A2855" s="15">
        <v>41092</v>
      </c>
      <c r="B2855" s="16" t="s">
        <v>865</v>
      </c>
      <c r="C2855" t="s">
        <v>8</v>
      </c>
      <c r="D2855" t="s">
        <v>48</v>
      </c>
      <c r="E2855" s="17">
        <v>4</v>
      </c>
      <c r="F2855" s="17">
        <v>35.35</v>
      </c>
      <c r="G2855" s="18">
        <v>141.4</v>
      </c>
      <c r="H2855" s="30" t="s">
        <v>2305</v>
      </c>
      <c r="J2855" s="34"/>
    </row>
    <row r="2856" spans="1:10" x14ac:dyDescent="0.25">
      <c r="A2856" s="15">
        <v>41092</v>
      </c>
      <c r="B2856" s="16" t="s">
        <v>865</v>
      </c>
      <c r="C2856" t="s">
        <v>8</v>
      </c>
      <c r="D2856" t="s">
        <v>48</v>
      </c>
      <c r="E2856" s="17">
        <v>4</v>
      </c>
      <c r="F2856" s="17">
        <v>35.35</v>
      </c>
      <c r="G2856" s="18">
        <v>141.4</v>
      </c>
      <c r="H2856" s="30" t="s">
        <v>2305</v>
      </c>
      <c r="J2856" s="34"/>
    </row>
    <row r="2857" spans="1:10" x14ac:dyDescent="0.25">
      <c r="A2857" s="15">
        <v>41092</v>
      </c>
      <c r="B2857" s="16" t="s">
        <v>865</v>
      </c>
      <c r="C2857" t="s">
        <v>8</v>
      </c>
      <c r="D2857" t="s">
        <v>48</v>
      </c>
      <c r="E2857" s="17">
        <v>4</v>
      </c>
      <c r="F2857" s="17">
        <v>48</v>
      </c>
      <c r="G2857" s="18">
        <v>192</v>
      </c>
      <c r="H2857" s="30" t="s">
        <v>2305</v>
      </c>
      <c r="J2857" s="34"/>
    </row>
    <row r="2858" spans="1:10" x14ac:dyDescent="0.25">
      <c r="A2858" s="15">
        <v>41092</v>
      </c>
      <c r="B2858" s="16" t="s">
        <v>865</v>
      </c>
      <c r="C2858" t="s">
        <v>8</v>
      </c>
      <c r="D2858" t="s">
        <v>48</v>
      </c>
      <c r="E2858" s="17">
        <v>4</v>
      </c>
      <c r="F2858" s="17">
        <v>35.35</v>
      </c>
      <c r="G2858" s="18">
        <v>141.4</v>
      </c>
      <c r="H2858" s="30" t="s">
        <v>2305</v>
      </c>
      <c r="J2858" s="34"/>
    </row>
    <row r="2859" spans="1:10" x14ac:dyDescent="0.25">
      <c r="A2859" s="15">
        <v>41099</v>
      </c>
      <c r="B2859" s="16" t="s">
        <v>865</v>
      </c>
      <c r="C2859" t="s">
        <v>8</v>
      </c>
      <c r="D2859" t="s">
        <v>48</v>
      </c>
      <c r="E2859" s="17">
        <v>5.5</v>
      </c>
      <c r="F2859" s="17">
        <v>35.35</v>
      </c>
      <c r="G2859" s="18">
        <v>194.42500000000001</v>
      </c>
      <c r="H2859" s="30" t="s">
        <v>2305</v>
      </c>
      <c r="J2859" s="34"/>
    </row>
    <row r="2860" spans="1:10" x14ac:dyDescent="0.25">
      <c r="A2860" s="15">
        <v>41099</v>
      </c>
      <c r="B2860" s="16" t="s">
        <v>865</v>
      </c>
      <c r="C2860" t="s">
        <v>8</v>
      </c>
      <c r="D2860" t="s">
        <v>48</v>
      </c>
      <c r="E2860" s="17">
        <v>2.5</v>
      </c>
      <c r="F2860" s="17">
        <v>48</v>
      </c>
      <c r="G2860" s="18">
        <v>120</v>
      </c>
      <c r="H2860" s="30" t="s">
        <v>2305</v>
      </c>
      <c r="J2860" s="34"/>
    </row>
    <row r="2861" spans="1:10" x14ac:dyDescent="0.25">
      <c r="A2861" s="15">
        <v>41099</v>
      </c>
      <c r="B2861" s="16" t="s">
        <v>865</v>
      </c>
      <c r="C2861" t="s">
        <v>8</v>
      </c>
      <c r="D2861" t="s">
        <v>48</v>
      </c>
      <c r="E2861" s="17">
        <v>2.5</v>
      </c>
      <c r="F2861" s="17">
        <v>35.35</v>
      </c>
      <c r="G2861" s="18">
        <v>88.375</v>
      </c>
      <c r="H2861" s="30" t="s">
        <v>2305</v>
      </c>
      <c r="J2861" s="34"/>
    </row>
    <row r="2862" spans="1:10" x14ac:dyDescent="0.25">
      <c r="A2862" s="15">
        <v>41099</v>
      </c>
      <c r="B2862" s="16" t="s">
        <v>878</v>
      </c>
      <c r="C2862" t="s">
        <v>879</v>
      </c>
      <c r="D2862" t="s">
        <v>48</v>
      </c>
      <c r="E2862" s="17">
        <v>3</v>
      </c>
      <c r="F2862" s="17">
        <v>110</v>
      </c>
      <c r="G2862" s="18">
        <v>330</v>
      </c>
      <c r="H2862" s="30" t="s">
        <v>2305</v>
      </c>
      <c r="J2862" s="34"/>
    </row>
    <row r="2863" spans="1:10" x14ac:dyDescent="0.25">
      <c r="A2863" s="15">
        <v>41099</v>
      </c>
      <c r="B2863" s="16" t="s">
        <v>865</v>
      </c>
      <c r="C2863" t="s">
        <v>8</v>
      </c>
      <c r="D2863" t="s">
        <v>48</v>
      </c>
      <c r="E2863" s="17">
        <v>2.5</v>
      </c>
      <c r="F2863" s="17">
        <v>35.35</v>
      </c>
      <c r="G2863" s="18">
        <v>88.375</v>
      </c>
      <c r="H2863" s="30" t="s">
        <v>2305</v>
      </c>
      <c r="J2863" s="34"/>
    </row>
    <row r="2864" spans="1:10" x14ac:dyDescent="0.25">
      <c r="A2864" s="15">
        <v>41099</v>
      </c>
      <c r="B2864" s="16" t="s">
        <v>865</v>
      </c>
      <c r="C2864" t="s">
        <v>8</v>
      </c>
      <c r="D2864" t="s">
        <v>48</v>
      </c>
      <c r="E2864" s="17">
        <v>5.5</v>
      </c>
      <c r="F2864" s="17">
        <v>35.35</v>
      </c>
      <c r="G2864" s="18">
        <v>194.42500000000001</v>
      </c>
      <c r="H2864" s="30" t="s">
        <v>2305</v>
      </c>
      <c r="J2864" s="34"/>
    </row>
    <row r="2865" spans="1:10" x14ac:dyDescent="0.25">
      <c r="A2865" s="15">
        <v>41111</v>
      </c>
      <c r="B2865" s="16" t="s">
        <v>865</v>
      </c>
      <c r="C2865" t="s">
        <v>8</v>
      </c>
      <c r="D2865" t="s">
        <v>48</v>
      </c>
      <c r="E2865" s="17">
        <v>2.5</v>
      </c>
      <c r="F2865" s="17">
        <v>35.35</v>
      </c>
      <c r="G2865" s="18">
        <v>88.375</v>
      </c>
      <c r="H2865" s="30" t="s">
        <v>2305</v>
      </c>
      <c r="J2865" s="34"/>
    </row>
    <row r="2866" spans="1:10" x14ac:dyDescent="0.25">
      <c r="A2866" s="15">
        <v>41111</v>
      </c>
      <c r="B2866" s="16" t="s">
        <v>897</v>
      </c>
      <c r="C2866" t="s">
        <v>8</v>
      </c>
      <c r="D2866" t="s">
        <v>48</v>
      </c>
      <c r="E2866" s="17">
        <v>5.5</v>
      </c>
      <c r="F2866" s="17">
        <v>45</v>
      </c>
      <c r="G2866" s="18">
        <v>247.5</v>
      </c>
      <c r="H2866" s="30" t="s">
        <v>2305</v>
      </c>
      <c r="J2866" s="34"/>
    </row>
    <row r="2867" spans="1:10" x14ac:dyDescent="0.25">
      <c r="A2867" s="15">
        <v>41111</v>
      </c>
      <c r="B2867" s="16" t="s">
        <v>865</v>
      </c>
      <c r="C2867" t="s">
        <v>8</v>
      </c>
      <c r="D2867" t="s">
        <v>48</v>
      </c>
      <c r="E2867" s="17">
        <v>7</v>
      </c>
      <c r="F2867" s="17">
        <v>35.35</v>
      </c>
      <c r="G2867" s="18">
        <v>247.45</v>
      </c>
      <c r="H2867" s="30" t="s">
        <v>2305</v>
      </c>
      <c r="J2867" s="34"/>
    </row>
    <row r="2868" spans="1:10" x14ac:dyDescent="0.25">
      <c r="A2868" s="15">
        <v>41114</v>
      </c>
      <c r="B2868" s="16" t="s">
        <v>896</v>
      </c>
      <c r="C2868" t="s">
        <v>8</v>
      </c>
      <c r="D2868" t="s">
        <v>48</v>
      </c>
      <c r="E2868" s="17">
        <v>7</v>
      </c>
      <c r="F2868" s="17">
        <v>34.81</v>
      </c>
      <c r="G2868" s="18">
        <v>243.67</v>
      </c>
      <c r="H2868" s="30" t="s">
        <v>2305</v>
      </c>
      <c r="J2868" s="34"/>
    </row>
    <row r="2869" spans="1:10" x14ac:dyDescent="0.25">
      <c r="A2869" s="15">
        <v>41114</v>
      </c>
      <c r="B2869" s="16" t="s">
        <v>897</v>
      </c>
      <c r="C2869" t="s">
        <v>8</v>
      </c>
      <c r="D2869" t="s">
        <v>48</v>
      </c>
      <c r="E2869" s="17">
        <v>8.5</v>
      </c>
      <c r="F2869" s="17">
        <v>45</v>
      </c>
      <c r="G2869" s="18">
        <v>382.5</v>
      </c>
      <c r="H2869" s="30" t="s">
        <v>2305</v>
      </c>
      <c r="J2869" s="34"/>
    </row>
    <row r="2870" spans="1:10" x14ac:dyDescent="0.25">
      <c r="A2870" s="15">
        <v>41114</v>
      </c>
      <c r="B2870" s="16" t="s">
        <v>865</v>
      </c>
      <c r="C2870" t="s">
        <v>8</v>
      </c>
      <c r="D2870" t="s">
        <v>48</v>
      </c>
      <c r="E2870" s="17">
        <v>8.5</v>
      </c>
      <c r="F2870" s="17">
        <v>35.35</v>
      </c>
      <c r="G2870" s="18">
        <v>300.47500000000002</v>
      </c>
      <c r="H2870" s="30" t="s">
        <v>2305</v>
      </c>
      <c r="J2870" s="34"/>
    </row>
    <row r="2871" spans="1:10" x14ac:dyDescent="0.25">
      <c r="A2871" s="15">
        <v>41115</v>
      </c>
      <c r="B2871" s="16" t="s">
        <v>897</v>
      </c>
      <c r="C2871" t="s">
        <v>8</v>
      </c>
      <c r="D2871" t="s">
        <v>48</v>
      </c>
      <c r="E2871" s="17">
        <v>7</v>
      </c>
      <c r="F2871" s="17">
        <v>45</v>
      </c>
      <c r="G2871" s="18">
        <v>315</v>
      </c>
      <c r="H2871" s="30" t="s">
        <v>2305</v>
      </c>
      <c r="J2871" s="34"/>
    </row>
    <row r="2872" spans="1:10" x14ac:dyDescent="0.25">
      <c r="A2872" s="15">
        <v>41115</v>
      </c>
      <c r="B2872" s="16" t="s">
        <v>896</v>
      </c>
      <c r="C2872" t="s">
        <v>8</v>
      </c>
      <c r="D2872" t="s">
        <v>48</v>
      </c>
      <c r="E2872" s="17">
        <v>6</v>
      </c>
      <c r="F2872" s="17">
        <v>34.81</v>
      </c>
      <c r="G2872" s="18">
        <v>208.86</v>
      </c>
      <c r="H2872" s="30" t="s">
        <v>2305</v>
      </c>
      <c r="J2872" s="34"/>
    </row>
    <row r="2873" spans="1:10" x14ac:dyDescent="0.25">
      <c r="A2873" s="15">
        <v>41115</v>
      </c>
      <c r="B2873" s="16" t="s">
        <v>865</v>
      </c>
      <c r="C2873" t="s">
        <v>8</v>
      </c>
      <c r="D2873" t="s">
        <v>48</v>
      </c>
      <c r="E2873" s="17">
        <v>7</v>
      </c>
      <c r="F2873" s="17">
        <v>35.35</v>
      </c>
      <c r="G2873" s="18">
        <v>247.45</v>
      </c>
      <c r="H2873" s="30" t="s">
        <v>2305</v>
      </c>
      <c r="J2873" s="34"/>
    </row>
    <row r="2874" spans="1:10" x14ac:dyDescent="0.25">
      <c r="A2874" s="15">
        <v>41116</v>
      </c>
      <c r="B2874" s="16" t="s">
        <v>865</v>
      </c>
      <c r="C2874" t="s">
        <v>8</v>
      </c>
      <c r="D2874" t="s">
        <v>48</v>
      </c>
      <c r="E2874" s="17">
        <v>5</v>
      </c>
      <c r="F2874" s="17">
        <v>35.35</v>
      </c>
      <c r="G2874" s="18">
        <v>176.75</v>
      </c>
      <c r="H2874" s="30" t="s">
        <v>2305</v>
      </c>
      <c r="J2874" s="34"/>
    </row>
    <row r="2875" spans="1:10" x14ac:dyDescent="0.25">
      <c r="A2875" s="15">
        <v>41116</v>
      </c>
      <c r="B2875" s="16" t="s">
        <v>896</v>
      </c>
      <c r="C2875" t="s">
        <v>8</v>
      </c>
      <c r="D2875" t="s">
        <v>48</v>
      </c>
      <c r="E2875" s="17">
        <v>5</v>
      </c>
      <c r="F2875" s="17">
        <v>34.81</v>
      </c>
      <c r="G2875" s="18">
        <v>174.05</v>
      </c>
      <c r="H2875" s="30" t="s">
        <v>2305</v>
      </c>
      <c r="J2875" s="34"/>
    </row>
    <row r="2876" spans="1:10" x14ac:dyDescent="0.25">
      <c r="A2876" s="15">
        <v>41116</v>
      </c>
      <c r="B2876" s="16" t="s">
        <v>897</v>
      </c>
      <c r="C2876" t="s">
        <v>8</v>
      </c>
      <c r="D2876" t="s">
        <v>48</v>
      </c>
      <c r="E2876" s="17">
        <v>5.5</v>
      </c>
      <c r="F2876" s="17">
        <v>45</v>
      </c>
      <c r="G2876" s="18">
        <v>247.5</v>
      </c>
      <c r="H2876" s="30" t="s">
        <v>2305</v>
      </c>
      <c r="J2876" s="34"/>
    </row>
    <row r="2877" spans="1:10" ht="45" x14ac:dyDescent="0.25">
      <c r="A2877" s="15">
        <v>41122</v>
      </c>
      <c r="B2877" s="16" t="s">
        <v>1153</v>
      </c>
      <c r="C2877" t="s">
        <v>1121</v>
      </c>
      <c r="D2877" t="s">
        <v>783</v>
      </c>
      <c r="E2877" s="17">
        <v>1</v>
      </c>
      <c r="F2877" s="17">
        <v>2485</v>
      </c>
      <c r="G2877" s="18">
        <v>2485</v>
      </c>
      <c r="H2877" s="30" t="s">
        <v>2305</v>
      </c>
      <c r="J2877" s="34"/>
    </row>
    <row r="2878" spans="1:10" ht="30" x14ac:dyDescent="0.25">
      <c r="A2878" s="15">
        <v>41122</v>
      </c>
      <c r="B2878" s="16" t="s">
        <v>1154</v>
      </c>
      <c r="C2878" t="s">
        <v>1121</v>
      </c>
      <c r="D2878" t="s">
        <v>783</v>
      </c>
      <c r="E2878" s="17">
        <v>1</v>
      </c>
      <c r="F2878" s="17">
        <v>2020</v>
      </c>
      <c r="G2878" s="18">
        <v>2020</v>
      </c>
      <c r="H2878" s="30" t="s">
        <v>2305</v>
      </c>
      <c r="J2878" s="34"/>
    </row>
    <row r="2879" spans="1:10" x14ac:dyDescent="0.25">
      <c r="A2879" s="15">
        <v>41153</v>
      </c>
      <c r="B2879" s="16" t="s">
        <v>1155</v>
      </c>
      <c r="C2879" t="s">
        <v>1121</v>
      </c>
      <c r="D2879" t="s">
        <v>783</v>
      </c>
      <c r="E2879" s="17">
        <v>1</v>
      </c>
      <c r="F2879" s="17">
        <v>3367.27</v>
      </c>
      <c r="G2879" s="18">
        <v>3367.27</v>
      </c>
      <c r="H2879" s="30" t="s">
        <v>2305</v>
      </c>
      <c r="J2879" s="34"/>
    </row>
    <row r="2880" spans="1:10" ht="30" x14ac:dyDescent="0.25">
      <c r="A2880" s="15">
        <v>41153</v>
      </c>
      <c r="B2880" s="16" t="s">
        <v>1156</v>
      </c>
      <c r="C2880" t="s">
        <v>1121</v>
      </c>
      <c r="D2880" t="s">
        <v>783</v>
      </c>
      <c r="E2880" s="17">
        <v>1</v>
      </c>
      <c r="F2880" s="17">
        <v>5932</v>
      </c>
      <c r="G2880" s="18">
        <v>5932</v>
      </c>
      <c r="H2880" s="30" t="s">
        <v>2305</v>
      </c>
      <c r="J2880" s="34"/>
    </row>
    <row r="2881" spans="1:10" ht="30" x14ac:dyDescent="0.25">
      <c r="A2881" s="15">
        <v>41183</v>
      </c>
      <c r="B2881" s="16" t="s">
        <v>1157</v>
      </c>
      <c r="C2881" t="s">
        <v>1121</v>
      </c>
      <c r="D2881" t="s">
        <v>783</v>
      </c>
      <c r="E2881" s="17">
        <v>1</v>
      </c>
      <c r="F2881" s="17">
        <v>12297</v>
      </c>
      <c r="G2881" s="18">
        <v>12297</v>
      </c>
      <c r="H2881" s="30" t="s">
        <v>2305</v>
      </c>
      <c r="J2881" s="34"/>
    </row>
    <row r="2882" spans="1:10" x14ac:dyDescent="0.25">
      <c r="A2882" s="15">
        <v>41186</v>
      </c>
      <c r="B2882" s="16" t="s">
        <v>1158</v>
      </c>
      <c r="C2882" t="s">
        <v>1159</v>
      </c>
      <c r="D2882" t="s">
        <v>783</v>
      </c>
      <c r="E2882" s="17">
        <v>1</v>
      </c>
      <c r="F2882" s="17">
        <v>394</v>
      </c>
      <c r="G2882" s="18">
        <v>394</v>
      </c>
      <c r="H2882" s="30" t="s">
        <v>2305</v>
      </c>
      <c r="J2882" s="34"/>
    </row>
    <row r="2883" spans="1:10" x14ac:dyDescent="0.25">
      <c r="A2883" s="15">
        <v>41186</v>
      </c>
      <c r="B2883" s="16" t="s">
        <v>865</v>
      </c>
      <c r="C2883" t="s">
        <v>8</v>
      </c>
      <c r="D2883" t="s">
        <v>48</v>
      </c>
      <c r="E2883" s="17">
        <v>5</v>
      </c>
      <c r="F2883" s="17">
        <v>35.35</v>
      </c>
      <c r="G2883" s="18">
        <v>176.75</v>
      </c>
      <c r="H2883" s="30" t="s">
        <v>2305</v>
      </c>
      <c r="J2883" s="34"/>
    </row>
    <row r="2884" spans="1:10" x14ac:dyDescent="0.25">
      <c r="A2884" s="15">
        <v>41186</v>
      </c>
      <c r="B2884" s="16" t="s">
        <v>865</v>
      </c>
      <c r="C2884" t="s">
        <v>8</v>
      </c>
      <c r="D2884" t="s">
        <v>48</v>
      </c>
      <c r="E2884" s="17">
        <v>5</v>
      </c>
      <c r="F2884" s="17">
        <v>35.35</v>
      </c>
      <c r="G2884" s="18">
        <v>176.75</v>
      </c>
      <c r="H2884" s="30" t="s">
        <v>2305</v>
      </c>
      <c r="J2884" s="34"/>
    </row>
    <row r="2885" spans="1:10" x14ac:dyDescent="0.25">
      <c r="A2885" s="15">
        <v>41187</v>
      </c>
      <c r="B2885" s="16" t="s">
        <v>865</v>
      </c>
      <c r="C2885" t="s">
        <v>8</v>
      </c>
      <c r="D2885" t="s">
        <v>48</v>
      </c>
      <c r="E2885" s="17">
        <v>4</v>
      </c>
      <c r="F2885" s="17">
        <v>35.35</v>
      </c>
      <c r="G2885" s="18">
        <v>141.4</v>
      </c>
      <c r="H2885" s="30" t="s">
        <v>2305</v>
      </c>
      <c r="J2885" s="34"/>
    </row>
    <row r="2886" spans="1:10" x14ac:dyDescent="0.25">
      <c r="A2886" s="15">
        <v>41187</v>
      </c>
      <c r="B2886" s="16" t="s">
        <v>865</v>
      </c>
      <c r="C2886" t="s">
        <v>8</v>
      </c>
      <c r="D2886" t="s">
        <v>48</v>
      </c>
      <c r="E2886" s="17">
        <v>4</v>
      </c>
      <c r="F2886" s="17">
        <v>35.35</v>
      </c>
      <c r="G2886" s="18">
        <v>141.4</v>
      </c>
      <c r="H2886" s="30" t="s">
        <v>2305</v>
      </c>
      <c r="J2886" s="34"/>
    </row>
    <row r="2887" spans="1:10" x14ac:dyDescent="0.25">
      <c r="A2887" s="15">
        <v>41198</v>
      </c>
      <c r="B2887" s="16" t="s">
        <v>878</v>
      </c>
      <c r="C2887" t="s">
        <v>879</v>
      </c>
      <c r="D2887" t="s">
        <v>48</v>
      </c>
      <c r="E2887" s="17">
        <v>3.5</v>
      </c>
      <c r="F2887" s="17">
        <v>110</v>
      </c>
      <c r="G2887" s="18">
        <v>385</v>
      </c>
      <c r="H2887" s="30" t="s">
        <v>2305</v>
      </c>
      <c r="J2887" s="34"/>
    </row>
    <row r="2888" spans="1:10" x14ac:dyDescent="0.25">
      <c r="A2888" s="15">
        <v>41198</v>
      </c>
      <c r="B2888" s="16" t="s">
        <v>1160</v>
      </c>
      <c r="C2888" t="s">
        <v>1152</v>
      </c>
      <c r="D2888" t="s">
        <v>783</v>
      </c>
      <c r="E2888" s="17">
        <v>1</v>
      </c>
      <c r="F2888" s="17">
        <v>2275</v>
      </c>
      <c r="G2888" s="18">
        <v>2275</v>
      </c>
      <c r="H2888" s="30" t="s">
        <v>2305</v>
      </c>
      <c r="J2888" s="34"/>
    </row>
    <row r="2889" spans="1:10" x14ac:dyDescent="0.25">
      <c r="A2889" s="15">
        <v>41204</v>
      </c>
      <c r="B2889" s="16" t="s">
        <v>1161</v>
      </c>
      <c r="C2889" t="s">
        <v>1152</v>
      </c>
      <c r="D2889" t="s">
        <v>783</v>
      </c>
      <c r="E2889" s="17">
        <v>1</v>
      </c>
      <c r="F2889" s="17">
        <v>124</v>
      </c>
      <c r="G2889" s="18">
        <v>124</v>
      </c>
      <c r="H2889" s="30" t="s">
        <v>2305</v>
      </c>
      <c r="J2889" s="34"/>
    </row>
    <row r="2890" spans="1:10" x14ac:dyDescent="0.25">
      <c r="A2890" s="15">
        <v>41212</v>
      </c>
      <c r="B2890" s="16" t="s">
        <v>1162</v>
      </c>
      <c r="C2890" t="s">
        <v>1121</v>
      </c>
      <c r="D2890" t="s">
        <v>783</v>
      </c>
      <c r="E2890" s="17">
        <v>1</v>
      </c>
      <c r="F2890" s="17">
        <v>755</v>
      </c>
      <c r="G2890" s="18">
        <v>755</v>
      </c>
      <c r="H2890" s="30" t="s">
        <v>2305</v>
      </c>
      <c r="J2890" s="34"/>
    </row>
    <row r="2891" spans="1:10" x14ac:dyDescent="0.25">
      <c r="A2891" s="19" t="s">
        <v>781</v>
      </c>
      <c r="B2891" s="20" t="s">
        <v>1163</v>
      </c>
      <c r="C2891" s="21" t="s">
        <v>781</v>
      </c>
      <c r="D2891" s="21" t="s">
        <v>781</v>
      </c>
      <c r="E2891" s="22"/>
      <c r="F2891" s="22"/>
      <c r="G2891" s="23">
        <v>55980.800000000003</v>
      </c>
      <c r="H2891" s="31" t="s">
        <v>2285</v>
      </c>
      <c r="J2891" s="34"/>
    </row>
    <row r="2892" spans="1:10" x14ac:dyDescent="0.25">
      <c r="A2892" s="15" t="s">
        <v>781</v>
      </c>
      <c r="B2892" s="16" t="s">
        <v>781</v>
      </c>
      <c r="C2892" t="s">
        <v>781</v>
      </c>
      <c r="D2892" t="s">
        <v>781</v>
      </c>
      <c r="E2892" s="17"/>
      <c r="F2892" s="17"/>
      <c r="G2892" s="18"/>
      <c r="H2892" s="30" t="s">
        <v>2285</v>
      </c>
      <c r="J2892" s="34"/>
    </row>
    <row r="2893" spans="1:10" x14ac:dyDescent="0.25">
      <c r="A2893" s="12" t="s">
        <v>781</v>
      </c>
      <c r="B2893" s="11" t="s">
        <v>1873</v>
      </c>
      <c r="C2893" s="10" t="s">
        <v>781</v>
      </c>
      <c r="D2893" s="10" t="s">
        <v>781</v>
      </c>
      <c r="E2893" s="13"/>
      <c r="F2893" s="13"/>
      <c r="G2893" s="14"/>
      <c r="H2893" s="29" t="s">
        <v>2285</v>
      </c>
      <c r="J2893" s="34"/>
    </row>
    <row r="2894" spans="1:10" x14ac:dyDescent="0.25">
      <c r="A2894" s="15">
        <v>40854</v>
      </c>
      <c r="B2894" s="16" t="s">
        <v>1164</v>
      </c>
      <c r="C2894" t="s">
        <v>1121</v>
      </c>
      <c r="D2894" t="s">
        <v>783</v>
      </c>
      <c r="E2894" s="17">
        <v>1</v>
      </c>
      <c r="F2894" s="17">
        <v>2715.72</v>
      </c>
      <c r="G2894" s="18">
        <v>2715.72</v>
      </c>
      <c r="H2894" s="30" t="s">
        <v>2306</v>
      </c>
      <c r="J2894" s="34"/>
    </row>
    <row r="2895" spans="1:10" x14ac:dyDescent="0.25">
      <c r="A2895" s="15">
        <v>40933</v>
      </c>
      <c r="B2895" s="16" t="s">
        <v>865</v>
      </c>
      <c r="C2895" t="s">
        <v>8</v>
      </c>
      <c r="D2895" t="s">
        <v>48</v>
      </c>
      <c r="E2895" s="17">
        <v>8</v>
      </c>
      <c r="F2895" s="17">
        <v>35.35</v>
      </c>
      <c r="G2895" s="18">
        <v>282.8</v>
      </c>
      <c r="H2895" s="30" t="s">
        <v>2306</v>
      </c>
      <c r="J2895" s="34"/>
    </row>
    <row r="2896" spans="1:10" x14ac:dyDescent="0.25">
      <c r="A2896" s="15">
        <v>40936</v>
      </c>
      <c r="B2896" s="16" t="s">
        <v>869</v>
      </c>
      <c r="C2896" t="s">
        <v>8</v>
      </c>
      <c r="D2896" t="s">
        <v>48</v>
      </c>
      <c r="E2896" s="17">
        <v>5.5</v>
      </c>
      <c r="F2896" s="17">
        <v>35.35</v>
      </c>
      <c r="G2896" s="18">
        <v>194.42500000000001</v>
      </c>
      <c r="H2896" s="30" t="s">
        <v>2306</v>
      </c>
      <c r="J2896" s="34"/>
    </row>
    <row r="2897" spans="1:10" x14ac:dyDescent="0.25">
      <c r="A2897" s="15">
        <v>40936</v>
      </c>
      <c r="B2897" s="16" t="s">
        <v>865</v>
      </c>
      <c r="C2897" t="s">
        <v>8</v>
      </c>
      <c r="D2897" t="s">
        <v>48</v>
      </c>
      <c r="E2897" s="17">
        <v>5.5</v>
      </c>
      <c r="F2897" s="17">
        <v>35.35</v>
      </c>
      <c r="G2897" s="18">
        <v>194.42500000000001</v>
      </c>
      <c r="H2897" s="30" t="s">
        <v>2306</v>
      </c>
      <c r="J2897" s="34"/>
    </row>
    <row r="2898" spans="1:10" x14ac:dyDescent="0.25">
      <c r="A2898" s="15">
        <v>40936</v>
      </c>
      <c r="B2898" s="16" t="s">
        <v>865</v>
      </c>
      <c r="C2898" t="s">
        <v>8</v>
      </c>
      <c r="D2898" t="s">
        <v>48</v>
      </c>
      <c r="E2898" s="17">
        <v>3.5</v>
      </c>
      <c r="F2898" s="17">
        <v>35.35</v>
      </c>
      <c r="G2898" s="18">
        <v>123.72499999999999</v>
      </c>
      <c r="H2898" s="30" t="s">
        <v>2306</v>
      </c>
      <c r="J2898" s="34"/>
    </row>
    <row r="2899" spans="1:10" x14ac:dyDescent="0.25">
      <c r="A2899" s="15">
        <v>40939</v>
      </c>
      <c r="B2899" s="16" t="s">
        <v>865</v>
      </c>
      <c r="C2899" t="s">
        <v>8</v>
      </c>
      <c r="D2899" t="s">
        <v>48</v>
      </c>
      <c r="E2899" s="17">
        <v>2</v>
      </c>
      <c r="F2899" s="17">
        <v>35.35</v>
      </c>
      <c r="G2899" s="18">
        <v>70.7</v>
      </c>
      <c r="H2899" s="30" t="s">
        <v>2306</v>
      </c>
      <c r="J2899" s="34"/>
    </row>
    <row r="2900" spans="1:10" x14ac:dyDescent="0.25">
      <c r="A2900" s="15">
        <v>40939</v>
      </c>
      <c r="B2900" s="16" t="s">
        <v>865</v>
      </c>
      <c r="C2900" t="s">
        <v>8</v>
      </c>
      <c r="D2900" t="s">
        <v>48</v>
      </c>
      <c r="E2900" s="17">
        <v>2</v>
      </c>
      <c r="F2900" s="17">
        <v>35.35</v>
      </c>
      <c r="G2900" s="18">
        <v>70.7</v>
      </c>
      <c r="H2900" s="30" t="s">
        <v>2306</v>
      </c>
      <c r="J2900" s="34"/>
    </row>
    <row r="2901" spans="1:10" x14ac:dyDescent="0.25">
      <c r="A2901" s="15">
        <v>40948</v>
      </c>
      <c r="B2901" s="16" t="s">
        <v>865</v>
      </c>
      <c r="C2901" t="s">
        <v>8</v>
      </c>
      <c r="D2901" t="s">
        <v>48</v>
      </c>
      <c r="E2901" s="17">
        <v>5</v>
      </c>
      <c r="F2901" s="17">
        <v>35.35</v>
      </c>
      <c r="G2901" s="18">
        <v>176.75</v>
      </c>
      <c r="H2901" s="30" t="s">
        <v>2306</v>
      </c>
      <c r="J2901" s="34"/>
    </row>
    <row r="2902" spans="1:10" x14ac:dyDescent="0.25">
      <c r="A2902" s="15">
        <v>40950</v>
      </c>
      <c r="B2902" s="16" t="s">
        <v>865</v>
      </c>
      <c r="C2902" t="s">
        <v>8</v>
      </c>
      <c r="D2902" t="s">
        <v>48</v>
      </c>
      <c r="E2902" s="17">
        <v>4.5</v>
      </c>
      <c r="F2902" s="17">
        <v>35.35</v>
      </c>
      <c r="G2902" s="18">
        <v>159.07499999999999</v>
      </c>
      <c r="H2902" s="30" t="s">
        <v>2306</v>
      </c>
      <c r="J2902" s="34"/>
    </row>
    <row r="2903" spans="1:10" x14ac:dyDescent="0.25">
      <c r="A2903" s="15">
        <v>40950</v>
      </c>
      <c r="B2903" s="16" t="s">
        <v>869</v>
      </c>
      <c r="C2903" t="s">
        <v>8</v>
      </c>
      <c r="D2903" t="s">
        <v>48</v>
      </c>
      <c r="E2903" s="17">
        <v>4.5</v>
      </c>
      <c r="F2903" s="17">
        <v>35.35</v>
      </c>
      <c r="G2903" s="18">
        <v>159.07499999999999</v>
      </c>
      <c r="H2903" s="30" t="s">
        <v>2306</v>
      </c>
      <c r="J2903" s="34"/>
    </row>
    <row r="2904" spans="1:10" x14ac:dyDescent="0.25">
      <c r="A2904" s="15">
        <v>40950</v>
      </c>
      <c r="B2904" s="16" t="s">
        <v>865</v>
      </c>
      <c r="C2904" t="s">
        <v>8</v>
      </c>
      <c r="D2904" t="s">
        <v>48</v>
      </c>
      <c r="E2904" s="17">
        <v>2</v>
      </c>
      <c r="F2904" s="17">
        <v>35.35</v>
      </c>
      <c r="G2904" s="18">
        <v>70.7</v>
      </c>
      <c r="H2904" s="30" t="s">
        <v>2306</v>
      </c>
      <c r="J2904" s="34"/>
    </row>
    <row r="2905" spans="1:10" x14ac:dyDescent="0.25">
      <c r="A2905" s="15">
        <v>40997</v>
      </c>
      <c r="B2905" s="16" t="s">
        <v>1165</v>
      </c>
      <c r="C2905" t="s">
        <v>1121</v>
      </c>
      <c r="D2905" t="s">
        <v>783</v>
      </c>
      <c r="E2905" s="17">
        <v>1</v>
      </c>
      <c r="F2905" s="17">
        <v>312.60000000000002</v>
      </c>
      <c r="G2905" s="18">
        <v>312.60000000000002</v>
      </c>
      <c r="H2905" s="30" t="s">
        <v>2306</v>
      </c>
      <c r="J2905" s="34"/>
    </row>
    <row r="2906" spans="1:10" x14ac:dyDescent="0.25">
      <c r="A2906" s="15">
        <v>41060</v>
      </c>
      <c r="B2906" s="16" t="s">
        <v>865</v>
      </c>
      <c r="C2906" t="s">
        <v>8</v>
      </c>
      <c r="D2906" t="s">
        <v>48</v>
      </c>
      <c r="E2906" s="17">
        <v>1</v>
      </c>
      <c r="F2906" s="17">
        <v>35.35</v>
      </c>
      <c r="G2906" s="18">
        <v>35.35</v>
      </c>
      <c r="H2906" s="30" t="s">
        <v>2306</v>
      </c>
      <c r="J2906" s="34"/>
    </row>
    <row r="2907" spans="1:10" x14ac:dyDescent="0.25">
      <c r="A2907" s="15">
        <v>41060</v>
      </c>
      <c r="B2907" s="16" t="s">
        <v>865</v>
      </c>
      <c r="C2907" t="s">
        <v>8</v>
      </c>
      <c r="D2907" t="s">
        <v>48</v>
      </c>
      <c r="E2907" s="17">
        <v>1</v>
      </c>
      <c r="F2907" s="17">
        <v>35.35</v>
      </c>
      <c r="G2907" s="18">
        <v>35.35</v>
      </c>
      <c r="H2907" s="30" t="s">
        <v>2306</v>
      </c>
      <c r="J2907" s="34"/>
    </row>
    <row r="2908" spans="1:10" x14ac:dyDescent="0.25">
      <c r="A2908" s="15">
        <v>41060</v>
      </c>
      <c r="B2908" s="16" t="s">
        <v>865</v>
      </c>
      <c r="C2908" t="s">
        <v>8</v>
      </c>
      <c r="D2908" t="s">
        <v>48</v>
      </c>
      <c r="E2908" s="17">
        <v>1</v>
      </c>
      <c r="F2908" s="17">
        <v>35.35</v>
      </c>
      <c r="G2908" s="18">
        <v>35.35</v>
      </c>
      <c r="H2908" s="30" t="s">
        <v>2306</v>
      </c>
      <c r="J2908" s="34"/>
    </row>
    <row r="2909" spans="1:10" x14ac:dyDescent="0.25">
      <c r="A2909" s="15">
        <v>41060</v>
      </c>
      <c r="B2909" s="16" t="s">
        <v>865</v>
      </c>
      <c r="C2909" t="s">
        <v>8</v>
      </c>
      <c r="D2909" t="s">
        <v>48</v>
      </c>
      <c r="E2909" s="17">
        <v>1</v>
      </c>
      <c r="F2909" s="17">
        <v>48</v>
      </c>
      <c r="G2909" s="18">
        <v>48</v>
      </c>
      <c r="H2909" s="30" t="s">
        <v>2306</v>
      </c>
      <c r="J2909" s="34"/>
    </row>
    <row r="2910" spans="1:10" x14ac:dyDescent="0.25">
      <c r="A2910" s="15">
        <v>41085</v>
      </c>
      <c r="B2910" s="16" t="s">
        <v>865</v>
      </c>
      <c r="C2910" t="s">
        <v>8</v>
      </c>
      <c r="D2910" t="s">
        <v>48</v>
      </c>
      <c r="E2910" s="17">
        <v>2</v>
      </c>
      <c r="F2910" s="17">
        <v>35.35</v>
      </c>
      <c r="G2910" s="18">
        <v>70.7</v>
      </c>
      <c r="H2910" s="30" t="s">
        <v>2306</v>
      </c>
      <c r="J2910" s="34"/>
    </row>
    <row r="2911" spans="1:10" x14ac:dyDescent="0.25">
      <c r="A2911" s="15">
        <v>41085</v>
      </c>
      <c r="B2911" s="16" t="s">
        <v>865</v>
      </c>
      <c r="C2911" t="s">
        <v>8</v>
      </c>
      <c r="D2911" t="s">
        <v>48</v>
      </c>
      <c r="E2911" s="17">
        <v>2</v>
      </c>
      <c r="F2911" s="17">
        <v>35.35</v>
      </c>
      <c r="G2911" s="18">
        <v>70.7</v>
      </c>
      <c r="H2911" s="30" t="s">
        <v>2306</v>
      </c>
      <c r="J2911" s="34"/>
    </row>
    <row r="2912" spans="1:10" x14ac:dyDescent="0.25">
      <c r="A2912" s="15">
        <v>41096</v>
      </c>
      <c r="B2912" s="16" t="s">
        <v>865</v>
      </c>
      <c r="C2912" t="s">
        <v>8</v>
      </c>
      <c r="D2912" t="s">
        <v>48</v>
      </c>
      <c r="E2912" s="17">
        <v>7</v>
      </c>
      <c r="F2912" s="17">
        <v>35.35</v>
      </c>
      <c r="G2912" s="18">
        <v>247.45</v>
      </c>
      <c r="H2912" s="30" t="s">
        <v>2306</v>
      </c>
      <c r="J2912" s="34"/>
    </row>
    <row r="2913" spans="1:10" x14ac:dyDescent="0.25">
      <c r="A2913" s="15">
        <v>41096</v>
      </c>
      <c r="B2913" s="16" t="s">
        <v>865</v>
      </c>
      <c r="C2913" t="s">
        <v>8</v>
      </c>
      <c r="D2913" t="s">
        <v>48</v>
      </c>
      <c r="E2913" s="17">
        <v>7</v>
      </c>
      <c r="F2913" s="17">
        <v>35.35</v>
      </c>
      <c r="G2913" s="18">
        <v>247.45</v>
      </c>
      <c r="H2913" s="30" t="s">
        <v>2306</v>
      </c>
      <c r="J2913" s="34"/>
    </row>
    <row r="2914" spans="1:10" x14ac:dyDescent="0.25">
      <c r="A2914" s="15">
        <v>41123</v>
      </c>
      <c r="B2914" s="16" t="s">
        <v>865</v>
      </c>
      <c r="C2914" t="s">
        <v>8</v>
      </c>
      <c r="D2914" t="s">
        <v>48</v>
      </c>
      <c r="E2914" s="17">
        <v>4.5</v>
      </c>
      <c r="F2914" s="17">
        <v>35.35</v>
      </c>
      <c r="G2914" s="18">
        <v>159.07499999999999</v>
      </c>
      <c r="H2914" s="30" t="s">
        <v>2306</v>
      </c>
      <c r="J2914" s="34"/>
    </row>
    <row r="2915" spans="1:10" x14ac:dyDescent="0.25">
      <c r="A2915" s="15">
        <v>41131</v>
      </c>
      <c r="B2915" s="16" t="s">
        <v>1166</v>
      </c>
      <c r="C2915" t="s">
        <v>1121</v>
      </c>
      <c r="D2915" t="s">
        <v>783</v>
      </c>
      <c r="E2915" s="17">
        <v>1</v>
      </c>
      <c r="F2915" s="17">
        <v>463.8</v>
      </c>
      <c r="G2915" s="18">
        <v>463.8</v>
      </c>
      <c r="H2915" s="30" t="s">
        <v>2306</v>
      </c>
      <c r="J2915" s="34"/>
    </row>
    <row r="2916" spans="1:10" x14ac:dyDescent="0.25">
      <c r="A2916" s="15">
        <v>41148</v>
      </c>
      <c r="B2916" s="16" t="s">
        <v>1167</v>
      </c>
      <c r="C2916" t="s">
        <v>1121</v>
      </c>
      <c r="D2916" t="s">
        <v>783</v>
      </c>
      <c r="E2916" s="17">
        <v>1</v>
      </c>
      <c r="F2916" s="17">
        <v>1453.4</v>
      </c>
      <c r="G2916" s="18">
        <v>1453.4</v>
      </c>
      <c r="H2916" s="30" t="s">
        <v>2306</v>
      </c>
      <c r="J2916" s="34"/>
    </row>
    <row r="2917" spans="1:10" x14ac:dyDescent="0.25">
      <c r="A2917" s="15">
        <v>41158</v>
      </c>
      <c r="B2917" s="16" t="s">
        <v>865</v>
      </c>
      <c r="C2917" t="s">
        <v>8</v>
      </c>
      <c r="D2917" t="s">
        <v>48</v>
      </c>
      <c r="E2917" s="17">
        <v>3.5</v>
      </c>
      <c r="F2917" s="17">
        <v>35.35</v>
      </c>
      <c r="G2917" s="18">
        <v>123.72499999999999</v>
      </c>
      <c r="H2917" s="30" t="s">
        <v>2306</v>
      </c>
      <c r="J2917" s="34"/>
    </row>
    <row r="2918" spans="1:10" x14ac:dyDescent="0.25">
      <c r="A2918" s="15">
        <v>41158</v>
      </c>
      <c r="B2918" s="16" t="s">
        <v>865</v>
      </c>
      <c r="C2918" t="s">
        <v>8</v>
      </c>
      <c r="D2918" t="s">
        <v>48</v>
      </c>
      <c r="E2918" s="17">
        <v>3.5</v>
      </c>
      <c r="F2918" s="17">
        <v>35.35</v>
      </c>
      <c r="G2918" s="18">
        <v>123.72499999999999</v>
      </c>
      <c r="H2918" s="30" t="s">
        <v>2306</v>
      </c>
      <c r="J2918" s="34"/>
    </row>
    <row r="2919" spans="1:10" x14ac:dyDescent="0.25">
      <c r="A2919" s="15">
        <v>41165</v>
      </c>
      <c r="B2919" s="16" t="s">
        <v>1168</v>
      </c>
      <c r="C2919" t="s">
        <v>1121</v>
      </c>
      <c r="D2919" t="s">
        <v>783</v>
      </c>
      <c r="E2919" s="17">
        <v>1</v>
      </c>
      <c r="F2919" s="17">
        <v>1061</v>
      </c>
      <c r="G2919" s="18">
        <v>1061</v>
      </c>
      <c r="H2919" s="30" t="s">
        <v>2306</v>
      </c>
      <c r="J2919" s="34"/>
    </row>
    <row r="2920" spans="1:10" x14ac:dyDescent="0.25">
      <c r="A2920" s="19" t="s">
        <v>781</v>
      </c>
      <c r="B2920" s="20" t="s">
        <v>1169</v>
      </c>
      <c r="C2920" s="21" t="s">
        <v>781</v>
      </c>
      <c r="D2920" s="21" t="s">
        <v>781</v>
      </c>
      <c r="E2920" s="22"/>
      <c r="F2920" s="22"/>
      <c r="G2920" s="23">
        <v>8705.77</v>
      </c>
      <c r="H2920" s="31" t="s">
        <v>2285</v>
      </c>
      <c r="J2920" s="34"/>
    </row>
    <row r="2921" spans="1:10" x14ac:dyDescent="0.25">
      <c r="A2921" s="15" t="s">
        <v>781</v>
      </c>
      <c r="B2921" s="16" t="s">
        <v>781</v>
      </c>
      <c r="C2921" t="s">
        <v>781</v>
      </c>
      <c r="D2921" t="s">
        <v>781</v>
      </c>
      <c r="E2921" s="17"/>
      <c r="F2921" s="17"/>
      <c r="G2921" s="18"/>
      <c r="H2921" s="30" t="s">
        <v>2285</v>
      </c>
      <c r="J2921" s="34"/>
    </row>
    <row r="2922" spans="1:10" x14ac:dyDescent="0.25">
      <c r="A2922" s="12" t="s">
        <v>781</v>
      </c>
      <c r="B2922" s="11" t="s">
        <v>1874</v>
      </c>
      <c r="C2922" s="10" t="s">
        <v>781</v>
      </c>
      <c r="D2922" s="10" t="s">
        <v>781</v>
      </c>
      <c r="E2922" s="13"/>
      <c r="F2922" s="13"/>
      <c r="G2922" s="14"/>
      <c r="H2922" s="29" t="s">
        <v>2285</v>
      </c>
      <c r="J2922" s="34"/>
    </row>
    <row r="2923" spans="1:10" x14ac:dyDescent="0.25">
      <c r="A2923" s="15">
        <v>40897</v>
      </c>
      <c r="B2923" s="16" t="s">
        <v>865</v>
      </c>
      <c r="C2923" t="s">
        <v>8</v>
      </c>
      <c r="D2923" t="s">
        <v>48</v>
      </c>
      <c r="E2923" s="17">
        <v>8.5</v>
      </c>
      <c r="F2923" s="17">
        <v>35.35</v>
      </c>
      <c r="G2923" s="18">
        <v>300.47500000000002</v>
      </c>
      <c r="H2923" s="30" t="s">
        <v>2307</v>
      </c>
      <c r="J2923" s="34"/>
    </row>
    <row r="2924" spans="1:10" x14ac:dyDescent="0.25">
      <c r="A2924" s="15">
        <v>40920</v>
      </c>
      <c r="B2924" s="16" t="s">
        <v>906</v>
      </c>
      <c r="C2924" t="s">
        <v>864</v>
      </c>
      <c r="D2924" t="s">
        <v>48</v>
      </c>
      <c r="E2924" s="17">
        <v>9</v>
      </c>
      <c r="F2924" s="17">
        <v>110</v>
      </c>
      <c r="G2924" s="18">
        <v>990</v>
      </c>
      <c r="H2924" s="30" t="s">
        <v>2307</v>
      </c>
      <c r="J2924" s="34"/>
    </row>
    <row r="2925" spans="1:10" x14ac:dyDescent="0.25">
      <c r="A2925" s="15">
        <v>40920</v>
      </c>
      <c r="B2925" s="16" t="s">
        <v>954</v>
      </c>
      <c r="C2925" t="s">
        <v>8</v>
      </c>
      <c r="D2925" t="s">
        <v>48</v>
      </c>
      <c r="E2925" s="17">
        <v>9.5</v>
      </c>
      <c r="F2925" s="17">
        <v>40.97</v>
      </c>
      <c r="G2925" s="18">
        <v>389.21499999999997</v>
      </c>
      <c r="H2925" s="30" t="s">
        <v>2307</v>
      </c>
      <c r="J2925" s="34"/>
    </row>
    <row r="2926" spans="1:10" x14ac:dyDescent="0.25">
      <c r="A2926" s="15">
        <v>40920</v>
      </c>
      <c r="B2926" s="16" t="s">
        <v>865</v>
      </c>
      <c r="C2926" t="s">
        <v>8</v>
      </c>
      <c r="D2926" t="s">
        <v>48</v>
      </c>
      <c r="E2926" s="17">
        <v>9.5</v>
      </c>
      <c r="F2926" s="17">
        <v>35.35</v>
      </c>
      <c r="G2926" s="18">
        <v>335.82499999999999</v>
      </c>
      <c r="H2926" s="30" t="s">
        <v>2307</v>
      </c>
      <c r="J2926" s="34"/>
    </row>
    <row r="2927" spans="1:10" x14ac:dyDescent="0.25">
      <c r="A2927" s="15">
        <v>40920</v>
      </c>
      <c r="B2927" s="16" t="s">
        <v>867</v>
      </c>
      <c r="C2927" t="s">
        <v>868</v>
      </c>
      <c r="D2927" t="s">
        <v>48</v>
      </c>
      <c r="E2927" s="17">
        <v>2.5</v>
      </c>
      <c r="F2927" s="17">
        <v>90</v>
      </c>
      <c r="G2927" s="18">
        <v>225</v>
      </c>
      <c r="H2927" s="30" t="s">
        <v>2307</v>
      </c>
      <c r="J2927" s="34"/>
    </row>
    <row r="2928" spans="1:10" x14ac:dyDescent="0.25">
      <c r="A2928" s="15">
        <v>40921</v>
      </c>
      <c r="B2928" s="16" t="s">
        <v>954</v>
      </c>
      <c r="C2928" t="s">
        <v>8</v>
      </c>
      <c r="D2928" t="s">
        <v>48</v>
      </c>
      <c r="E2928" s="17">
        <v>6</v>
      </c>
      <c r="F2928" s="17">
        <v>40.97</v>
      </c>
      <c r="G2928" s="18">
        <v>245.82</v>
      </c>
      <c r="H2928" s="30" t="s">
        <v>2307</v>
      </c>
      <c r="J2928" s="34"/>
    </row>
    <row r="2929" spans="1:10" x14ac:dyDescent="0.25">
      <c r="A2929" s="15">
        <v>40921</v>
      </c>
      <c r="B2929" s="16" t="s">
        <v>1170</v>
      </c>
      <c r="C2929" t="s">
        <v>1171</v>
      </c>
      <c r="D2929" t="s">
        <v>783</v>
      </c>
      <c r="E2929" s="17">
        <v>1</v>
      </c>
      <c r="F2929" s="17">
        <v>105.45</v>
      </c>
      <c r="G2929" s="18">
        <v>105.45</v>
      </c>
      <c r="H2929" s="30" t="s">
        <v>2307</v>
      </c>
      <c r="J2929" s="34"/>
    </row>
    <row r="2930" spans="1:10" x14ac:dyDescent="0.25">
      <c r="A2930" s="15">
        <v>40921</v>
      </c>
      <c r="B2930" s="16" t="s">
        <v>906</v>
      </c>
      <c r="C2930" t="s">
        <v>864</v>
      </c>
      <c r="D2930" t="s">
        <v>48</v>
      </c>
      <c r="E2930" s="17">
        <v>6</v>
      </c>
      <c r="F2930" s="17">
        <v>110</v>
      </c>
      <c r="G2930" s="18">
        <v>660</v>
      </c>
      <c r="H2930" s="30" t="s">
        <v>2307</v>
      </c>
      <c r="J2930" s="34"/>
    </row>
    <row r="2931" spans="1:10" x14ac:dyDescent="0.25">
      <c r="A2931" s="15">
        <v>40921</v>
      </c>
      <c r="B2931" s="16" t="s">
        <v>865</v>
      </c>
      <c r="C2931" t="s">
        <v>8</v>
      </c>
      <c r="D2931" t="s">
        <v>48</v>
      </c>
      <c r="E2931" s="17">
        <v>6</v>
      </c>
      <c r="F2931" s="17">
        <v>35.35</v>
      </c>
      <c r="G2931" s="18">
        <v>212.1</v>
      </c>
      <c r="H2931" s="30" t="s">
        <v>2307</v>
      </c>
      <c r="J2931" s="34"/>
    </row>
    <row r="2932" spans="1:10" x14ac:dyDescent="0.25">
      <c r="A2932" s="15">
        <v>40926</v>
      </c>
      <c r="B2932" s="16" t="s">
        <v>869</v>
      </c>
      <c r="C2932" t="s">
        <v>8</v>
      </c>
      <c r="D2932" t="s">
        <v>48</v>
      </c>
      <c r="E2932" s="17">
        <v>9.5</v>
      </c>
      <c r="F2932" s="17">
        <v>35.35</v>
      </c>
      <c r="G2932" s="18">
        <v>335.82499999999999</v>
      </c>
      <c r="H2932" s="30" t="s">
        <v>2307</v>
      </c>
      <c r="J2932" s="34"/>
    </row>
    <row r="2933" spans="1:10" x14ac:dyDescent="0.25">
      <c r="A2933" s="15">
        <v>40926</v>
      </c>
      <c r="B2933" s="16" t="s">
        <v>865</v>
      </c>
      <c r="C2933" t="s">
        <v>8</v>
      </c>
      <c r="D2933" t="s">
        <v>48</v>
      </c>
      <c r="E2933" s="17">
        <v>9.5</v>
      </c>
      <c r="F2933" s="17">
        <v>35.35</v>
      </c>
      <c r="G2933" s="18">
        <v>335.82499999999999</v>
      </c>
      <c r="H2933" s="30" t="s">
        <v>2307</v>
      </c>
      <c r="J2933" s="34"/>
    </row>
    <row r="2934" spans="1:10" x14ac:dyDescent="0.25">
      <c r="A2934" s="15">
        <v>40926</v>
      </c>
      <c r="B2934" s="16" t="s">
        <v>869</v>
      </c>
      <c r="C2934" t="s">
        <v>8</v>
      </c>
      <c r="D2934" t="s">
        <v>48</v>
      </c>
      <c r="E2934" s="17">
        <v>9.5</v>
      </c>
      <c r="F2934" s="17">
        <v>35.35</v>
      </c>
      <c r="G2934" s="18">
        <v>335.82499999999999</v>
      </c>
      <c r="H2934" s="30" t="s">
        <v>2307</v>
      </c>
      <c r="J2934" s="34"/>
    </row>
    <row r="2935" spans="1:10" x14ac:dyDescent="0.25">
      <c r="A2935" s="15">
        <v>40926</v>
      </c>
      <c r="B2935" s="16" t="s">
        <v>863</v>
      </c>
      <c r="C2935" t="s">
        <v>864</v>
      </c>
      <c r="D2935" t="s">
        <v>48</v>
      </c>
      <c r="E2935" s="17">
        <v>5</v>
      </c>
      <c r="F2935" s="17">
        <v>110</v>
      </c>
      <c r="G2935" s="18">
        <v>550</v>
      </c>
      <c r="H2935" s="30" t="s">
        <v>2307</v>
      </c>
      <c r="J2935" s="34"/>
    </row>
    <row r="2936" spans="1:10" x14ac:dyDescent="0.25">
      <c r="A2936" s="15">
        <v>40927</v>
      </c>
      <c r="B2936" s="16" t="s">
        <v>954</v>
      </c>
      <c r="C2936" t="s">
        <v>8</v>
      </c>
      <c r="D2936" t="s">
        <v>48</v>
      </c>
      <c r="E2936" s="17">
        <v>9.5</v>
      </c>
      <c r="F2936" s="17">
        <v>40.97</v>
      </c>
      <c r="G2936" s="18">
        <v>389.21499999999997</v>
      </c>
      <c r="H2936" s="30" t="s">
        <v>2307</v>
      </c>
      <c r="J2936" s="34"/>
    </row>
    <row r="2937" spans="1:10" x14ac:dyDescent="0.25">
      <c r="A2937" s="15">
        <v>40927</v>
      </c>
      <c r="B2937" s="16" t="s">
        <v>865</v>
      </c>
      <c r="C2937" t="s">
        <v>8</v>
      </c>
      <c r="D2937" t="s">
        <v>48</v>
      </c>
      <c r="E2937" s="17">
        <v>6.5</v>
      </c>
      <c r="F2937" s="17">
        <v>35.35</v>
      </c>
      <c r="G2937" s="18">
        <v>229.77500000000001</v>
      </c>
      <c r="H2937" s="30" t="s">
        <v>2307</v>
      </c>
      <c r="J2937" s="34"/>
    </row>
    <row r="2938" spans="1:10" ht="30" x14ac:dyDescent="0.25">
      <c r="A2938" s="15">
        <v>40927</v>
      </c>
      <c r="B2938" s="16" t="s">
        <v>1172</v>
      </c>
      <c r="C2938" t="s">
        <v>1171</v>
      </c>
      <c r="D2938" t="s">
        <v>783</v>
      </c>
      <c r="E2938" s="17">
        <v>1</v>
      </c>
      <c r="F2938" s="17">
        <v>393.35</v>
      </c>
      <c r="G2938" s="18">
        <v>393.35</v>
      </c>
      <c r="H2938" s="30" t="s">
        <v>2307</v>
      </c>
      <c r="J2938" s="34"/>
    </row>
    <row r="2939" spans="1:10" x14ac:dyDescent="0.25">
      <c r="A2939" s="15">
        <v>40927</v>
      </c>
      <c r="B2939" s="16" t="s">
        <v>863</v>
      </c>
      <c r="C2939" t="s">
        <v>864</v>
      </c>
      <c r="D2939" t="s">
        <v>48</v>
      </c>
      <c r="E2939" s="17">
        <v>4.25</v>
      </c>
      <c r="F2939" s="17">
        <v>110</v>
      </c>
      <c r="G2939" s="18">
        <v>467.5</v>
      </c>
      <c r="H2939" s="30" t="s">
        <v>2307</v>
      </c>
      <c r="J2939" s="34"/>
    </row>
    <row r="2940" spans="1:10" x14ac:dyDescent="0.25">
      <c r="A2940" s="15">
        <v>40927</v>
      </c>
      <c r="B2940" s="16" t="s">
        <v>869</v>
      </c>
      <c r="C2940" t="s">
        <v>8</v>
      </c>
      <c r="D2940" t="s">
        <v>48</v>
      </c>
      <c r="E2940" s="17">
        <v>2</v>
      </c>
      <c r="F2940" s="17">
        <v>35.35</v>
      </c>
      <c r="G2940" s="18">
        <v>70.7</v>
      </c>
      <c r="H2940" s="30" t="s">
        <v>2307</v>
      </c>
      <c r="J2940" s="34"/>
    </row>
    <row r="2941" spans="1:10" x14ac:dyDescent="0.25">
      <c r="A2941" s="15">
        <v>40928</v>
      </c>
      <c r="B2941" s="16" t="s">
        <v>869</v>
      </c>
      <c r="C2941" t="s">
        <v>8</v>
      </c>
      <c r="D2941" t="s">
        <v>48</v>
      </c>
      <c r="E2941" s="17">
        <v>7</v>
      </c>
      <c r="F2941" s="17">
        <v>35.35</v>
      </c>
      <c r="G2941" s="18">
        <v>247.45</v>
      </c>
      <c r="H2941" s="30" t="s">
        <v>2307</v>
      </c>
      <c r="J2941" s="34"/>
    </row>
    <row r="2942" spans="1:10" x14ac:dyDescent="0.25">
      <c r="A2942" s="15">
        <v>40928</v>
      </c>
      <c r="B2942" s="16" t="s">
        <v>863</v>
      </c>
      <c r="C2942" t="s">
        <v>864</v>
      </c>
      <c r="D2942" t="s">
        <v>48</v>
      </c>
      <c r="E2942" s="17">
        <v>7</v>
      </c>
      <c r="F2942" s="17">
        <v>110</v>
      </c>
      <c r="G2942" s="18">
        <v>770</v>
      </c>
      <c r="H2942" s="30" t="s">
        <v>2307</v>
      </c>
      <c r="J2942" s="34"/>
    </row>
    <row r="2943" spans="1:10" x14ac:dyDescent="0.25">
      <c r="A2943" s="15">
        <v>40928</v>
      </c>
      <c r="B2943" s="16" t="s">
        <v>954</v>
      </c>
      <c r="C2943" t="s">
        <v>8</v>
      </c>
      <c r="D2943" t="s">
        <v>48</v>
      </c>
      <c r="E2943" s="17">
        <v>9.5</v>
      </c>
      <c r="F2943" s="17">
        <v>40.97</v>
      </c>
      <c r="G2943" s="18">
        <v>389.21499999999997</v>
      </c>
      <c r="H2943" s="30" t="s">
        <v>2307</v>
      </c>
      <c r="J2943" s="34"/>
    </row>
    <row r="2944" spans="1:10" x14ac:dyDescent="0.25">
      <c r="A2944" s="15">
        <v>40928</v>
      </c>
      <c r="B2944" s="16" t="s">
        <v>869</v>
      </c>
      <c r="C2944" t="s">
        <v>8</v>
      </c>
      <c r="D2944" t="s">
        <v>48</v>
      </c>
      <c r="E2944" s="17">
        <v>7</v>
      </c>
      <c r="F2944" s="17">
        <v>35.35</v>
      </c>
      <c r="G2944" s="18">
        <v>247.45</v>
      </c>
      <c r="H2944" s="30" t="s">
        <v>2307</v>
      </c>
      <c r="J2944" s="34"/>
    </row>
    <row r="2945" spans="1:10" x14ac:dyDescent="0.25">
      <c r="A2945" s="15">
        <v>40929</v>
      </c>
      <c r="B2945" s="16" t="s">
        <v>865</v>
      </c>
      <c r="C2945" t="s">
        <v>8</v>
      </c>
      <c r="D2945" t="s">
        <v>48</v>
      </c>
      <c r="E2945" s="17">
        <v>4.5</v>
      </c>
      <c r="F2945" s="17">
        <v>35.35</v>
      </c>
      <c r="G2945" s="18">
        <v>159.07499999999999</v>
      </c>
      <c r="H2945" s="30" t="s">
        <v>2307</v>
      </c>
      <c r="J2945" s="34"/>
    </row>
    <row r="2946" spans="1:10" x14ac:dyDescent="0.25">
      <c r="A2946" s="15">
        <v>40929</v>
      </c>
      <c r="B2946" s="16" t="s">
        <v>869</v>
      </c>
      <c r="C2946" t="s">
        <v>8</v>
      </c>
      <c r="D2946" t="s">
        <v>48</v>
      </c>
      <c r="E2946" s="17">
        <v>6</v>
      </c>
      <c r="F2946" s="17">
        <v>35.35</v>
      </c>
      <c r="G2946" s="18">
        <v>212.1</v>
      </c>
      <c r="H2946" s="30" t="s">
        <v>2307</v>
      </c>
      <c r="J2946" s="34"/>
    </row>
    <row r="2947" spans="1:10" x14ac:dyDescent="0.25">
      <c r="A2947" s="15">
        <v>40929</v>
      </c>
      <c r="B2947" s="16" t="s">
        <v>869</v>
      </c>
      <c r="C2947" t="s">
        <v>8</v>
      </c>
      <c r="D2947" t="s">
        <v>48</v>
      </c>
      <c r="E2947" s="17">
        <v>6</v>
      </c>
      <c r="F2947" s="17">
        <v>35.35</v>
      </c>
      <c r="G2947" s="18">
        <v>212.1</v>
      </c>
      <c r="H2947" s="30" t="s">
        <v>2307</v>
      </c>
      <c r="J2947" s="34"/>
    </row>
    <row r="2948" spans="1:10" x14ac:dyDescent="0.25">
      <c r="A2948" s="15">
        <v>40929</v>
      </c>
      <c r="B2948" s="16" t="s">
        <v>865</v>
      </c>
      <c r="C2948" t="s">
        <v>8</v>
      </c>
      <c r="D2948" t="s">
        <v>48</v>
      </c>
      <c r="E2948" s="17">
        <v>2</v>
      </c>
      <c r="F2948" s="17">
        <v>35.35</v>
      </c>
      <c r="G2948" s="18">
        <v>70.7</v>
      </c>
      <c r="H2948" s="30" t="s">
        <v>2307</v>
      </c>
      <c r="J2948" s="34"/>
    </row>
    <row r="2949" spans="1:10" x14ac:dyDescent="0.25">
      <c r="A2949" s="15">
        <v>40970</v>
      </c>
      <c r="B2949" s="16" t="s">
        <v>869</v>
      </c>
      <c r="C2949" t="s">
        <v>8</v>
      </c>
      <c r="D2949" t="s">
        <v>48</v>
      </c>
      <c r="E2949" s="17">
        <v>6</v>
      </c>
      <c r="F2949" s="17">
        <v>35.35</v>
      </c>
      <c r="G2949" s="18">
        <v>212.1</v>
      </c>
      <c r="H2949" s="30" t="s">
        <v>2307</v>
      </c>
      <c r="J2949" s="34"/>
    </row>
    <row r="2950" spans="1:10" x14ac:dyDescent="0.25">
      <c r="A2950" s="15">
        <v>40970</v>
      </c>
      <c r="B2950" s="16" t="s">
        <v>865</v>
      </c>
      <c r="C2950" t="s">
        <v>8</v>
      </c>
      <c r="D2950" t="s">
        <v>48</v>
      </c>
      <c r="E2950" s="17">
        <v>6</v>
      </c>
      <c r="F2950" s="17">
        <v>35.35</v>
      </c>
      <c r="G2950" s="18">
        <v>212.1</v>
      </c>
      <c r="H2950" s="30" t="s">
        <v>2307</v>
      </c>
      <c r="J2950" s="34"/>
    </row>
    <row r="2951" spans="1:10" x14ac:dyDescent="0.25">
      <c r="A2951" s="15">
        <v>40974</v>
      </c>
      <c r="B2951" s="16" t="s">
        <v>992</v>
      </c>
      <c r="C2951" t="s">
        <v>871</v>
      </c>
      <c r="D2951" t="s">
        <v>48</v>
      </c>
      <c r="E2951" s="17">
        <v>6</v>
      </c>
      <c r="F2951" s="17">
        <v>85</v>
      </c>
      <c r="G2951" s="18">
        <v>510</v>
      </c>
      <c r="H2951" s="30" t="s">
        <v>2307</v>
      </c>
      <c r="J2951" s="34"/>
    </row>
    <row r="2952" spans="1:10" x14ac:dyDescent="0.25">
      <c r="A2952" s="15">
        <v>40974</v>
      </c>
      <c r="B2952" s="16" t="s">
        <v>869</v>
      </c>
      <c r="C2952" t="s">
        <v>8</v>
      </c>
      <c r="D2952" t="s">
        <v>48</v>
      </c>
      <c r="E2952" s="17">
        <v>6</v>
      </c>
      <c r="F2952" s="17">
        <v>35.35</v>
      </c>
      <c r="G2952" s="18">
        <v>212.1</v>
      </c>
      <c r="H2952" s="30" t="s">
        <v>2307</v>
      </c>
      <c r="J2952" s="34"/>
    </row>
    <row r="2953" spans="1:10" x14ac:dyDescent="0.25">
      <c r="A2953" s="15">
        <v>40991</v>
      </c>
      <c r="B2953" s="16" t="s">
        <v>865</v>
      </c>
      <c r="C2953" t="s">
        <v>8</v>
      </c>
      <c r="D2953" t="s">
        <v>48</v>
      </c>
      <c r="E2953" s="17">
        <v>7.5</v>
      </c>
      <c r="F2953" s="17">
        <v>35.35</v>
      </c>
      <c r="G2953" s="18">
        <v>265.125</v>
      </c>
      <c r="H2953" s="30" t="s">
        <v>2307</v>
      </c>
      <c r="J2953" s="34"/>
    </row>
    <row r="2954" spans="1:10" x14ac:dyDescent="0.25">
      <c r="A2954" s="15">
        <v>40991</v>
      </c>
      <c r="B2954" s="16" t="s">
        <v>1173</v>
      </c>
      <c r="C2954" t="s">
        <v>871</v>
      </c>
      <c r="D2954" t="s">
        <v>48</v>
      </c>
      <c r="E2954" s="17">
        <v>7</v>
      </c>
      <c r="F2954" s="17">
        <v>85</v>
      </c>
      <c r="G2954" s="18">
        <v>595</v>
      </c>
      <c r="H2954" s="30" t="s">
        <v>2307</v>
      </c>
      <c r="J2954" s="34"/>
    </row>
    <row r="2955" spans="1:10" x14ac:dyDescent="0.25">
      <c r="A2955" s="15">
        <v>40991</v>
      </c>
      <c r="B2955" s="16" t="s">
        <v>865</v>
      </c>
      <c r="C2955" t="s">
        <v>8</v>
      </c>
      <c r="D2955" t="s">
        <v>48</v>
      </c>
      <c r="E2955" s="17">
        <v>1.5</v>
      </c>
      <c r="F2955" s="17">
        <v>35.35</v>
      </c>
      <c r="G2955" s="18">
        <v>53.024999999999999</v>
      </c>
      <c r="H2955" s="30" t="s">
        <v>2307</v>
      </c>
      <c r="J2955" s="34"/>
    </row>
    <row r="2956" spans="1:10" x14ac:dyDescent="0.25">
      <c r="A2956" s="15">
        <v>40995</v>
      </c>
      <c r="B2956" s="16" t="s">
        <v>877</v>
      </c>
      <c r="C2956" t="s">
        <v>868</v>
      </c>
      <c r="D2956" t="s">
        <v>48</v>
      </c>
      <c r="E2956" s="17">
        <v>8</v>
      </c>
      <c r="F2956" s="17">
        <v>90</v>
      </c>
      <c r="G2956" s="18">
        <v>720</v>
      </c>
      <c r="H2956" s="30" t="s">
        <v>2307</v>
      </c>
      <c r="J2956" s="34"/>
    </row>
    <row r="2957" spans="1:10" x14ac:dyDescent="0.25">
      <c r="A2957" s="15">
        <v>40995</v>
      </c>
      <c r="B2957" s="16" t="s">
        <v>865</v>
      </c>
      <c r="C2957" t="s">
        <v>8</v>
      </c>
      <c r="D2957" t="s">
        <v>48</v>
      </c>
      <c r="E2957" s="17">
        <v>9.5</v>
      </c>
      <c r="F2957" s="17">
        <v>35.35</v>
      </c>
      <c r="G2957" s="18">
        <v>335.82499999999999</v>
      </c>
      <c r="H2957" s="30" t="s">
        <v>2307</v>
      </c>
      <c r="J2957" s="34"/>
    </row>
    <row r="2958" spans="1:10" x14ac:dyDescent="0.25">
      <c r="A2958" s="15">
        <v>40995</v>
      </c>
      <c r="B2958" s="16" t="s">
        <v>941</v>
      </c>
      <c r="C2958" t="s">
        <v>871</v>
      </c>
      <c r="D2958" t="s">
        <v>48</v>
      </c>
      <c r="E2958" s="17">
        <v>7.5</v>
      </c>
      <c r="F2958" s="17">
        <v>85</v>
      </c>
      <c r="G2958" s="18">
        <v>637.5</v>
      </c>
      <c r="H2958" s="30" t="s">
        <v>2307</v>
      </c>
      <c r="J2958" s="34"/>
    </row>
    <row r="2959" spans="1:10" x14ac:dyDescent="0.25">
      <c r="A2959" s="15">
        <v>40995</v>
      </c>
      <c r="B2959" s="16" t="s">
        <v>865</v>
      </c>
      <c r="C2959" t="s">
        <v>8</v>
      </c>
      <c r="D2959" t="s">
        <v>48</v>
      </c>
      <c r="E2959" s="17">
        <v>9.5</v>
      </c>
      <c r="F2959" s="17">
        <v>35.35</v>
      </c>
      <c r="G2959" s="18">
        <v>335.82499999999999</v>
      </c>
      <c r="H2959" s="30" t="s">
        <v>2307</v>
      </c>
      <c r="J2959" s="34"/>
    </row>
    <row r="2960" spans="1:10" x14ac:dyDescent="0.25">
      <c r="A2960" s="15">
        <v>40995</v>
      </c>
      <c r="B2960" s="16" t="s">
        <v>865</v>
      </c>
      <c r="C2960" t="s">
        <v>8</v>
      </c>
      <c r="D2960" t="s">
        <v>48</v>
      </c>
      <c r="E2960" s="17">
        <v>9.5</v>
      </c>
      <c r="F2960" s="17">
        <v>35.35</v>
      </c>
      <c r="G2960" s="18">
        <v>335.82499999999999</v>
      </c>
      <c r="H2960" s="30" t="s">
        <v>2307</v>
      </c>
      <c r="J2960" s="34"/>
    </row>
    <row r="2961" spans="1:10" x14ac:dyDescent="0.25">
      <c r="A2961" s="15">
        <v>40995</v>
      </c>
      <c r="B2961" s="16" t="s">
        <v>865</v>
      </c>
      <c r="C2961" t="s">
        <v>8</v>
      </c>
      <c r="D2961" t="s">
        <v>48</v>
      </c>
      <c r="E2961" s="17">
        <v>9.5</v>
      </c>
      <c r="F2961" s="17">
        <v>35.35</v>
      </c>
      <c r="G2961" s="18">
        <v>335.82499999999999</v>
      </c>
      <c r="H2961" s="30" t="s">
        <v>2307</v>
      </c>
      <c r="J2961" s="34"/>
    </row>
    <row r="2962" spans="1:10" x14ac:dyDescent="0.25">
      <c r="A2962" s="15">
        <v>40996</v>
      </c>
      <c r="B2962" s="16" t="s">
        <v>865</v>
      </c>
      <c r="C2962" t="s">
        <v>8</v>
      </c>
      <c r="D2962" t="s">
        <v>48</v>
      </c>
      <c r="E2962" s="17">
        <v>5.5</v>
      </c>
      <c r="F2962" s="17">
        <v>35.35</v>
      </c>
      <c r="G2962" s="18">
        <v>194.42500000000001</v>
      </c>
      <c r="H2962" s="30" t="s">
        <v>2307</v>
      </c>
      <c r="J2962" s="34"/>
    </row>
    <row r="2963" spans="1:10" x14ac:dyDescent="0.25">
      <c r="A2963" s="15">
        <v>40996</v>
      </c>
      <c r="B2963" s="16" t="s">
        <v>865</v>
      </c>
      <c r="C2963" t="s">
        <v>8</v>
      </c>
      <c r="D2963" t="s">
        <v>48</v>
      </c>
      <c r="E2963" s="17">
        <v>6.5</v>
      </c>
      <c r="F2963" s="17">
        <v>35.35</v>
      </c>
      <c r="G2963" s="18">
        <v>229.77500000000001</v>
      </c>
      <c r="H2963" s="30" t="s">
        <v>2307</v>
      </c>
      <c r="J2963" s="34"/>
    </row>
    <row r="2964" spans="1:10" x14ac:dyDescent="0.25">
      <c r="A2964" s="15">
        <v>40996</v>
      </c>
      <c r="B2964" s="16" t="s">
        <v>865</v>
      </c>
      <c r="C2964" t="s">
        <v>8</v>
      </c>
      <c r="D2964" t="s">
        <v>48</v>
      </c>
      <c r="E2964" s="17">
        <v>9.5</v>
      </c>
      <c r="F2964" s="17">
        <v>35.35</v>
      </c>
      <c r="G2964" s="18">
        <v>335.82499999999999</v>
      </c>
      <c r="H2964" s="30" t="s">
        <v>2307</v>
      </c>
      <c r="J2964" s="34"/>
    </row>
    <row r="2965" spans="1:10" x14ac:dyDescent="0.25">
      <c r="A2965" s="15">
        <v>40996</v>
      </c>
      <c r="B2965" s="16" t="s">
        <v>877</v>
      </c>
      <c r="C2965" t="s">
        <v>868</v>
      </c>
      <c r="D2965" t="s">
        <v>48</v>
      </c>
      <c r="E2965" s="17">
        <v>6</v>
      </c>
      <c r="F2965" s="17">
        <v>90</v>
      </c>
      <c r="G2965" s="18">
        <v>540</v>
      </c>
      <c r="H2965" s="30" t="s">
        <v>2307</v>
      </c>
      <c r="J2965" s="34"/>
    </row>
    <row r="2966" spans="1:10" x14ac:dyDescent="0.25">
      <c r="A2966" s="15">
        <v>40996</v>
      </c>
      <c r="B2966" s="16" t="s">
        <v>865</v>
      </c>
      <c r="C2966" t="s">
        <v>8</v>
      </c>
      <c r="D2966" t="s">
        <v>48</v>
      </c>
      <c r="E2966" s="17">
        <v>6.5</v>
      </c>
      <c r="F2966" s="17">
        <v>35.35</v>
      </c>
      <c r="G2966" s="18">
        <v>229.77500000000001</v>
      </c>
      <c r="H2966" s="30" t="s">
        <v>2307</v>
      </c>
      <c r="J2966" s="34"/>
    </row>
    <row r="2967" spans="1:10" x14ac:dyDescent="0.25">
      <c r="A2967" s="15">
        <v>40998</v>
      </c>
      <c r="B2967" s="16" t="s">
        <v>1174</v>
      </c>
      <c r="C2967" t="s">
        <v>1000</v>
      </c>
      <c r="D2967" t="s">
        <v>783</v>
      </c>
      <c r="E2967" s="17">
        <v>1</v>
      </c>
      <c r="F2967" s="17">
        <v>358.4</v>
      </c>
      <c r="G2967" s="18">
        <v>358.4</v>
      </c>
      <c r="H2967" s="30" t="s">
        <v>2307</v>
      </c>
      <c r="J2967" s="34"/>
    </row>
    <row r="2968" spans="1:10" x14ac:dyDescent="0.25">
      <c r="A2968" s="15">
        <v>41116</v>
      </c>
      <c r="B2968" s="16" t="s">
        <v>1175</v>
      </c>
      <c r="C2968" t="s">
        <v>1176</v>
      </c>
      <c r="D2968" t="s">
        <v>783</v>
      </c>
      <c r="E2968" s="17">
        <v>1</v>
      </c>
      <c r="F2968" s="17">
        <v>146.16999999999999</v>
      </c>
      <c r="G2968" s="18">
        <v>146.16999999999999</v>
      </c>
      <c r="H2968" s="30" t="s">
        <v>2307</v>
      </c>
      <c r="J2968" s="34"/>
    </row>
    <row r="2969" spans="1:10" x14ac:dyDescent="0.25">
      <c r="A2969" s="15">
        <v>41118</v>
      </c>
      <c r="B2969" s="16" t="s">
        <v>865</v>
      </c>
      <c r="C2969" t="s">
        <v>8</v>
      </c>
      <c r="D2969" t="s">
        <v>48</v>
      </c>
      <c r="E2969" s="17">
        <v>4</v>
      </c>
      <c r="F2969" s="17">
        <v>35.35</v>
      </c>
      <c r="G2969" s="18">
        <v>141.4</v>
      </c>
      <c r="H2969" s="30" t="s">
        <v>2307</v>
      </c>
      <c r="J2969" s="34"/>
    </row>
    <row r="2970" spans="1:10" x14ac:dyDescent="0.25">
      <c r="A2970" s="15">
        <v>41118</v>
      </c>
      <c r="B2970" s="16" t="s">
        <v>865</v>
      </c>
      <c r="C2970" t="s">
        <v>8</v>
      </c>
      <c r="D2970" t="s">
        <v>48</v>
      </c>
      <c r="E2970" s="17">
        <v>8</v>
      </c>
      <c r="F2970" s="17">
        <v>35.35</v>
      </c>
      <c r="G2970" s="18">
        <v>282.8</v>
      </c>
      <c r="H2970" s="30" t="s">
        <v>2307</v>
      </c>
      <c r="J2970" s="34"/>
    </row>
    <row r="2971" spans="1:10" x14ac:dyDescent="0.25">
      <c r="A2971" s="15">
        <v>41118</v>
      </c>
      <c r="B2971" s="16" t="s">
        <v>878</v>
      </c>
      <c r="C2971" t="s">
        <v>879</v>
      </c>
      <c r="D2971" t="s">
        <v>48</v>
      </c>
      <c r="E2971" s="17">
        <v>7.75</v>
      </c>
      <c r="F2971" s="17">
        <v>110</v>
      </c>
      <c r="G2971" s="18">
        <v>852.5</v>
      </c>
      <c r="H2971" s="30" t="s">
        <v>2307</v>
      </c>
      <c r="J2971" s="34"/>
    </row>
    <row r="2972" spans="1:10" x14ac:dyDescent="0.25">
      <c r="A2972" s="15">
        <v>41118</v>
      </c>
      <c r="B2972" s="16" t="s">
        <v>865</v>
      </c>
      <c r="C2972" t="s">
        <v>8</v>
      </c>
      <c r="D2972" t="s">
        <v>48</v>
      </c>
      <c r="E2972" s="17">
        <v>2.5</v>
      </c>
      <c r="F2972" s="17">
        <v>35.35</v>
      </c>
      <c r="G2972" s="18">
        <v>88.375</v>
      </c>
      <c r="H2972" s="30" t="s">
        <v>2307</v>
      </c>
      <c r="J2972" s="34"/>
    </row>
    <row r="2973" spans="1:10" x14ac:dyDescent="0.25">
      <c r="A2973" s="15">
        <v>41120</v>
      </c>
      <c r="B2973" s="16" t="s">
        <v>865</v>
      </c>
      <c r="C2973" t="s">
        <v>8</v>
      </c>
      <c r="D2973" t="s">
        <v>48</v>
      </c>
      <c r="E2973" s="17">
        <v>4</v>
      </c>
      <c r="F2973" s="17">
        <v>35.35</v>
      </c>
      <c r="G2973" s="18">
        <v>141.4</v>
      </c>
      <c r="H2973" s="30" t="s">
        <v>2307</v>
      </c>
      <c r="J2973" s="34"/>
    </row>
    <row r="2974" spans="1:10" x14ac:dyDescent="0.25">
      <c r="A2974" s="15">
        <v>41120</v>
      </c>
      <c r="B2974" s="16" t="s">
        <v>878</v>
      </c>
      <c r="C2974" t="s">
        <v>879</v>
      </c>
      <c r="D2974" t="s">
        <v>48</v>
      </c>
      <c r="E2974" s="17">
        <v>5.25</v>
      </c>
      <c r="F2974" s="17">
        <v>110</v>
      </c>
      <c r="G2974" s="18">
        <v>577.5</v>
      </c>
      <c r="H2974" s="30" t="s">
        <v>2307</v>
      </c>
      <c r="J2974" s="34"/>
    </row>
    <row r="2975" spans="1:10" x14ac:dyDescent="0.25">
      <c r="A2975" s="15">
        <v>41129</v>
      </c>
      <c r="B2975" s="16" t="s">
        <v>1177</v>
      </c>
      <c r="C2975" t="s">
        <v>1176</v>
      </c>
      <c r="D2975" t="s">
        <v>783</v>
      </c>
      <c r="E2975" s="17">
        <v>1</v>
      </c>
      <c r="F2975" s="17">
        <v>324.81</v>
      </c>
      <c r="G2975" s="18">
        <v>324.81</v>
      </c>
      <c r="H2975" s="30" t="s">
        <v>2307</v>
      </c>
      <c r="J2975" s="34"/>
    </row>
    <row r="2976" spans="1:10" x14ac:dyDescent="0.25">
      <c r="A2976" s="15">
        <v>41152</v>
      </c>
      <c r="B2976" s="16" t="s">
        <v>865</v>
      </c>
      <c r="C2976" t="s">
        <v>8</v>
      </c>
      <c r="D2976" t="s">
        <v>48</v>
      </c>
      <c r="E2976" s="17">
        <v>2</v>
      </c>
      <c r="F2976" s="17">
        <v>35.35</v>
      </c>
      <c r="G2976" s="18">
        <v>70.7</v>
      </c>
      <c r="H2976" s="30" t="s">
        <v>2307</v>
      </c>
      <c r="J2976" s="34"/>
    </row>
    <row r="2977" spans="1:10" x14ac:dyDescent="0.25">
      <c r="A2977" s="15">
        <v>41152</v>
      </c>
      <c r="B2977" s="16" t="s">
        <v>882</v>
      </c>
      <c r="C2977" t="s">
        <v>8</v>
      </c>
      <c r="D2977" t="s">
        <v>48</v>
      </c>
      <c r="E2977" s="17">
        <v>2</v>
      </c>
      <c r="F2977" s="17">
        <v>48</v>
      </c>
      <c r="G2977" s="18">
        <v>96</v>
      </c>
      <c r="H2977" s="30" t="s">
        <v>2307</v>
      </c>
      <c r="J2977" s="34"/>
    </row>
    <row r="2978" spans="1:10" x14ac:dyDescent="0.25">
      <c r="A2978" s="15">
        <v>41152</v>
      </c>
      <c r="B2978" s="16" t="s">
        <v>865</v>
      </c>
      <c r="C2978" t="s">
        <v>8</v>
      </c>
      <c r="D2978" t="s">
        <v>48</v>
      </c>
      <c r="E2978" s="17">
        <v>7</v>
      </c>
      <c r="F2978" s="17">
        <v>35.35</v>
      </c>
      <c r="G2978" s="18">
        <v>247.45</v>
      </c>
      <c r="H2978" s="30" t="s">
        <v>2307</v>
      </c>
      <c r="J2978" s="34"/>
    </row>
    <row r="2979" spans="1:10" x14ac:dyDescent="0.25">
      <c r="A2979" s="15">
        <v>41152</v>
      </c>
      <c r="B2979" s="16" t="s">
        <v>922</v>
      </c>
      <c r="C2979" t="s">
        <v>886</v>
      </c>
      <c r="D2979" t="s">
        <v>48</v>
      </c>
      <c r="E2979" s="17">
        <v>5</v>
      </c>
      <c r="F2979" s="17">
        <v>95</v>
      </c>
      <c r="G2979" s="18">
        <v>475</v>
      </c>
      <c r="H2979" s="30" t="s">
        <v>2307</v>
      </c>
      <c r="J2979" s="34"/>
    </row>
    <row r="2980" spans="1:10" x14ac:dyDescent="0.25">
      <c r="A2980" s="15">
        <v>41152</v>
      </c>
      <c r="B2980" s="16" t="s">
        <v>920</v>
      </c>
      <c r="C2980" t="s">
        <v>871</v>
      </c>
      <c r="D2980" t="s">
        <v>48</v>
      </c>
      <c r="E2980" s="17">
        <v>7</v>
      </c>
      <c r="F2980" s="17">
        <v>130</v>
      </c>
      <c r="G2980" s="18">
        <v>910</v>
      </c>
      <c r="H2980" s="30" t="s">
        <v>2307</v>
      </c>
      <c r="J2980" s="34"/>
    </row>
    <row r="2981" spans="1:10" x14ac:dyDescent="0.25">
      <c r="A2981" s="15">
        <v>41162</v>
      </c>
      <c r="B2981" s="16" t="s">
        <v>1178</v>
      </c>
      <c r="C2981" t="s">
        <v>1176</v>
      </c>
      <c r="D2981" t="s">
        <v>783</v>
      </c>
      <c r="E2981" s="17">
        <v>1</v>
      </c>
      <c r="F2981" s="17">
        <v>101.46</v>
      </c>
      <c r="G2981" s="18">
        <v>101.46</v>
      </c>
      <c r="H2981" s="30" t="s">
        <v>2307</v>
      </c>
      <c r="J2981" s="34"/>
    </row>
    <row r="2982" spans="1:10" x14ac:dyDescent="0.25">
      <c r="A2982" s="19" t="s">
        <v>781</v>
      </c>
      <c r="B2982" s="20" t="s">
        <v>1179</v>
      </c>
      <c r="C2982" s="21" t="s">
        <v>781</v>
      </c>
      <c r="D2982" s="21" t="s">
        <v>781</v>
      </c>
      <c r="E2982" s="22"/>
      <c r="F2982" s="22"/>
      <c r="G2982" s="23">
        <v>19984.005000000001</v>
      </c>
      <c r="H2982" s="31" t="s">
        <v>2285</v>
      </c>
      <c r="J2982" s="34"/>
    </row>
    <row r="2983" spans="1:10" x14ac:dyDescent="0.25">
      <c r="A2983" s="15" t="s">
        <v>781</v>
      </c>
      <c r="B2983" s="16" t="s">
        <v>781</v>
      </c>
      <c r="C2983" t="s">
        <v>781</v>
      </c>
      <c r="D2983" t="s">
        <v>781</v>
      </c>
      <c r="E2983" s="17"/>
      <c r="F2983" s="17"/>
      <c r="G2983" s="18"/>
      <c r="H2983" s="30" t="s">
        <v>2285</v>
      </c>
      <c r="J2983" s="34"/>
    </row>
    <row r="2984" spans="1:10" x14ac:dyDescent="0.25">
      <c r="A2984" s="12" t="s">
        <v>781</v>
      </c>
      <c r="B2984" s="11" t="s">
        <v>1875</v>
      </c>
      <c r="C2984" s="10" t="s">
        <v>781</v>
      </c>
      <c r="D2984" s="10" t="s">
        <v>781</v>
      </c>
      <c r="E2984" s="13"/>
      <c r="F2984" s="13"/>
      <c r="G2984" s="14"/>
      <c r="H2984" s="29" t="s">
        <v>2285</v>
      </c>
      <c r="J2984" s="34"/>
    </row>
    <row r="2985" spans="1:10" x14ac:dyDescent="0.25">
      <c r="A2985" s="15">
        <v>40886</v>
      </c>
      <c r="B2985" s="16" t="s">
        <v>865</v>
      </c>
      <c r="C2985" t="s">
        <v>8</v>
      </c>
      <c r="D2985" t="s">
        <v>48</v>
      </c>
      <c r="E2985" s="17">
        <v>2</v>
      </c>
      <c r="F2985" s="17">
        <v>35.35</v>
      </c>
      <c r="G2985" s="18">
        <v>70.7</v>
      </c>
      <c r="H2985" s="30" t="s">
        <v>2308</v>
      </c>
      <c r="J2985" s="34"/>
    </row>
    <row r="2986" spans="1:10" x14ac:dyDescent="0.25">
      <c r="A2986" s="15">
        <v>40927</v>
      </c>
      <c r="B2986" s="16" t="s">
        <v>865</v>
      </c>
      <c r="C2986" t="s">
        <v>8</v>
      </c>
      <c r="D2986" t="s">
        <v>48</v>
      </c>
      <c r="E2986" s="17">
        <v>3</v>
      </c>
      <c r="F2986" s="17">
        <v>35.35</v>
      </c>
      <c r="G2986" s="18">
        <v>106.05</v>
      </c>
      <c r="H2986" s="30" t="s">
        <v>2308</v>
      </c>
      <c r="J2986" s="34"/>
    </row>
    <row r="2987" spans="1:10" x14ac:dyDescent="0.25">
      <c r="A2987" s="15">
        <v>40927</v>
      </c>
      <c r="B2987" s="16" t="s">
        <v>865</v>
      </c>
      <c r="C2987" t="s">
        <v>8</v>
      </c>
      <c r="D2987" t="s">
        <v>48</v>
      </c>
      <c r="E2987" s="17">
        <v>3</v>
      </c>
      <c r="F2987" s="17">
        <v>35.35</v>
      </c>
      <c r="G2987" s="18">
        <v>106.05</v>
      </c>
      <c r="H2987" s="30" t="s">
        <v>2308</v>
      </c>
      <c r="J2987" s="34"/>
    </row>
    <row r="2988" spans="1:10" x14ac:dyDescent="0.25">
      <c r="A2988" s="15">
        <v>40927</v>
      </c>
      <c r="B2988" s="16" t="s">
        <v>869</v>
      </c>
      <c r="C2988" t="s">
        <v>8</v>
      </c>
      <c r="D2988" t="s">
        <v>48</v>
      </c>
      <c r="E2988" s="17">
        <v>3</v>
      </c>
      <c r="F2988" s="17">
        <v>35.35</v>
      </c>
      <c r="G2988" s="18">
        <v>106.05</v>
      </c>
      <c r="H2988" s="30" t="s">
        <v>2308</v>
      </c>
      <c r="J2988" s="34"/>
    </row>
    <row r="2989" spans="1:10" x14ac:dyDescent="0.25">
      <c r="A2989" s="15">
        <v>40927</v>
      </c>
      <c r="B2989" s="16" t="s">
        <v>863</v>
      </c>
      <c r="C2989" t="s">
        <v>864</v>
      </c>
      <c r="D2989" t="s">
        <v>48</v>
      </c>
      <c r="E2989" s="17">
        <v>2</v>
      </c>
      <c r="F2989" s="17">
        <v>110</v>
      </c>
      <c r="G2989" s="18">
        <v>220</v>
      </c>
      <c r="H2989" s="30" t="s">
        <v>2308</v>
      </c>
      <c r="J2989" s="34"/>
    </row>
    <row r="2990" spans="1:10" x14ac:dyDescent="0.25">
      <c r="A2990" s="15">
        <v>40928</v>
      </c>
      <c r="B2990" s="16" t="s">
        <v>869</v>
      </c>
      <c r="C2990" t="s">
        <v>8</v>
      </c>
      <c r="D2990" t="s">
        <v>48</v>
      </c>
      <c r="E2990" s="17">
        <v>2.5</v>
      </c>
      <c r="F2990" s="17">
        <v>35.35</v>
      </c>
      <c r="G2990" s="18">
        <v>88.375</v>
      </c>
      <c r="H2990" s="30" t="s">
        <v>2308</v>
      </c>
      <c r="J2990" s="34"/>
    </row>
    <row r="2991" spans="1:10" x14ac:dyDescent="0.25">
      <c r="A2991" s="15">
        <v>40928</v>
      </c>
      <c r="B2991" s="16" t="s">
        <v>863</v>
      </c>
      <c r="C2991" t="s">
        <v>864</v>
      </c>
      <c r="D2991" t="s">
        <v>48</v>
      </c>
      <c r="E2991" s="17">
        <v>2.5</v>
      </c>
      <c r="F2991" s="17">
        <v>110</v>
      </c>
      <c r="G2991" s="18">
        <v>275</v>
      </c>
      <c r="H2991" s="30" t="s">
        <v>2308</v>
      </c>
      <c r="J2991" s="34"/>
    </row>
    <row r="2992" spans="1:10" x14ac:dyDescent="0.25">
      <c r="A2992" s="15">
        <v>40931</v>
      </c>
      <c r="B2992" s="16" t="s">
        <v>865</v>
      </c>
      <c r="C2992" t="s">
        <v>8</v>
      </c>
      <c r="D2992" t="s">
        <v>48</v>
      </c>
      <c r="E2992" s="17">
        <v>5.5</v>
      </c>
      <c r="F2992" s="17">
        <v>35.35</v>
      </c>
      <c r="G2992" s="18">
        <v>194.42500000000001</v>
      </c>
      <c r="H2992" s="30" t="s">
        <v>2308</v>
      </c>
      <c r="J2992" s="34"/>
    </row>
    <row r="2993" spans="1:10" x14ac:dyDescent="0.25">
      <c r="A2993" s="15">
        <v>40931</v>
      </c>
      <c r="B2993" s="16" t="s">
        <v>863</v>
      </c>
      <c r="C2993" t="s">
        <v>864</v>
      </c>
      <c r="D2993" t="s">
        <v>48</v>
      </c>
      <c r="E2993" s="17">
        <v>3.5</v>
      </c>
      <c r="F2993" s="17">
        <v>110</v>
      </c>
      <c r="G2993" s="18">
        <v>385</v>
      </c>
      <c r="H2993" s="30" t="s">
        <v>2308</v>
      </c>
      <c r="J2993" s="34"/>
    </row>
    <row r="2994" spans="1:10" x14ac:dyDescent="0.25">
      <c r="A2994" s="15">
        <v>40931</v>
      </c>
      <c r="B2994" s="16" t="s">
        <v>865</v>
      </c>
      <c r="C2994" t="s">
        <v>8</v>
      </c>
      <c r="D2994" t="s">
        <v>48</v>
      </c>
      <c r="E2994" s="17">
        <v>5.5</v>
      </c>
      <c r="F2994" s="17">
        <v>35.35</v>
      </c>
      <c r="G2994" s="18">
        <v>194.42500000000001</v>
      </c>
      <c r="H2994" s="30" t="s">
        <v>2308</v>
      </c>
      <c r="J2994" s="34"/>
    </row>
    <row r="2995" spans="1:10" x14ac:dyDescent="0.25">
      <c r="A2995" s="15">
        <v>40931</v>
      </c>
      <c r="B2995" s="16" t="s">
        <v>865</v>
      </c>
      <c r="C2995" t="s">
        <v>8</v>
      </c>
      <c r="D2995" t="s">
        <v>48</v>
      </c>
      <c r="E2995" s="17">
        <v>1</v>
      </c>
      <c r="F2995" s="17">
        <v>35.35</v>
      </c>
      <c r="G2995" s="18">
        <v>35.35</v>
      </c>
      <c r="H2995" s="30" t="s">
        <v>2308</v>
      </c>
      <c r="J2995" s="34"/>
    </row>
    <row r="2996" spans="1:10" x14ac:dyDescent="0.25">
      <c r="A2996" s="15">
        <v>40933</v>
      </c>
      <c r="B2996" s="16" t="s">
        <v>865</v>
      </c>
      <c r="C2996" t="s">
        <v>8</v>
      </c>
      <c r="D2996" t="s">
        <v>48</v>
      </c>
      <c r="E2996" s="17">
        <v>8</v>
      </c>
      <c r="F2996" s="17">
        <v>35.35</v>
      </c>
      <c r="G2996" s="18">
        <v>282.8</v>
      </c>
      <c r="H2996" s="30" t="s">
        <v>2308</v>
      </c>
      <c r="J2996" s="34"/>
    </row>
    <row r="2997" spans="1:10" x14ac:dyDescent="0.25">
      <c r="A2997" s="15">
        <v>40976</v>
      </c>
      <c r="B2997" s="16" t="s">
        <v>877</v>
      </c>
      <c r="C2997" t="s">
        <v>868</v>
      </c>
      <c r="D2997" t="s">
        <v>48</v>
      </c>
      <c r="E2997" s="17">
        <v>2</v>
      </c>
      <c r="F2997" s="17">
        <v>90</v>
      </c>
      <c r="G2997" s="18">
        <v>180</v>
      </c>
      <c r="H2997" s="30" t="s">
        <v>2308</v>
      </c>
      <c r="J2997" s="34"/>
    </row>
    <row r="2998" spans="1:10" x14ac:dyDescent="0.25">
      <c r="A2998" s="15">
        <v>40976</v>
      </c>
      <c r="B2998" s="16" t="s">
        <v>865</v>
      </c>
      <c r="C2998" t="s">
        <v>8</v>
      </c>
      <c r="D2998" t="s">
        <v>48</v>
      </c>
      <c r="E2998" s="17">
        <v>2</v>
      </c>
      <c r="F2998" s="17">
        <v>35.35</v>
      </c>
      <c r="G2998" s="18">
        <v>70.7</v>
      </c>
      <c r="H2998" s="30" t="s">
        <v>2308</v>
      </c>
      <c r="J2998" s="34"/>
    </row>
    <row r="2999" spans="1:10" x14ac:dyDescent="0.25">
      <c r="A2999" s="15">
        <v>40976</v>
      </c>
      <c r="B2999" s="16" t="s">
        <v>865</v>
      </c>
      <c r="C2999" t="s">
        <v>8</v>
      </c>
      <c r="D2999" t="s">
        <v>48</v>
      </c>
      <c r="E2999" s="17">
        <v>2</v>
      </c>
      <c r="F2999" s="17">
        <v>35.35</v>
      </c>
      <c r="G2999" s="18">
        <v>70.7</v>
      </c>
      <c r="H2999" s="30" t="s">
        <v>2308</v>
      </c>
      <c r="J2999" s="34"/>
    </row>
    <row r="3000" spans="1:10" x14ac:dyDescent="0.25">
      <c r="A3000" s="15">
        <v>40996</v>
      </c>
      <c r="B3000" s="16" t="s">
        <v>877</v>
      </c>
      <c r="C3000" t="s">
        <v>868</v>
      </c>
      <c r="D3000" t="s">
        <v>48</v>
      </c>
      <c r="E3000" s="17">
        <v>1</v>
      </c>
      <c r="F3000" s="17">
        <v>90</v>
      </c>
      <c r="G3000" s="18">
        <v>90</v>
      </c>
      <c r="H3000" s="30" t="s">
        <v>2308</v>
      </c>
      <c r="J3000" s="34"/>
    </row>
    <row r="3001" spans="1:10" x14ac:dyDescent="0.25">
      <c r="A3001" s="15">
        <v>40996</v>
      </c>
      <c r="B3001" s="16" t="s">
        <v>865</v>
      </c>
      <c r="C3001" t="s">
        <v>8</v>
      </c>
      <c r="D3001" t="s">
        <v>48</v>
      </c>
      <c r="E3001" s="17">
        <v>5</v>
      </c>
      <c r="F3001" s="17">
        <v>35.35</v>
      </c>
      <c r="G3001" s="18">
        <v>176.75</v>
      </c>
      <c r="H3001" s="30" t="s">
        <v>2308</v>
      </c>
      <c r="J3001" s="34"/>
    </row>
    <row r="3002" spans="1:10" x14ac:dyDescent="0.25">
      <c r="A3002" s="15">
        <v>40996</v>
      </c>
      <c r="B3002" s="16" t="s">
        <v>865</v>
      </c>
      <c r="C3002" t="s">
        <v>8</v>
      </c>
      <c r="D3002" t="s">
        <v>48</v>
      </c>
      <c r="E3002" s="17">
        <v>2</v>
      </c>
      <c r="F3002" s="17">
        <v>35.35</v>
      </c>
      <c r="G3002" s="18">
        <v>70.7</v>
      </c>
      <c r="H3002" s="30" t="s">
        <v>2308</v>
      </c>
      <c r="J3002" s="34"/>
    </row>
    <row r="3003" spans="1:10" x14ac:dyDescent="0.25">
      <c r="A3003" s="15">
        <v>40997</v>
      </c>
      <c r="B3003" s="16" t="s">
        <v>865</v>
      </c>
      <c r="C3003" t="s">
        <v>8</v>
      </c>
      <c r="D3003" t="s">
        <v>48</v>
      </c>
      <c r="E3003" s="17">
        <v>3</v>
      </c>
      <c r="F3003" s="17">
        <v>35.35</v>
      </c>
      <c r="G3003" s="18">
        <v>106.05</v>
      </c>
      <c r="H3003" s="30" t="s">
        <v>2308</v>
      </c>
      <c r="J3003" s="34"/>
    </row>
    <row r="3004" spans="1:10" x14ac:dyDescent="0.25">
      <c r="A3004" s="15">
        <v>40997</v>
      </c>
      <c r="B3004" s="16" t="s">
        <v>865</v>
      </c>
      <c r="C3004" t="s">
        <v>8</v>
      </c>
      <c r="D3004" t="s">
        <v>48</v>
      </c>
      <c r="E3004" s="17">
        <v>4</v>
      </c>
      <c r="F3004" s="17">
        <v>35.35</v>
      </c>
      <c r="G3004" s="18">
        <v>141.4</v>
      </c>
      <c r="H3004" s="30" t="s">
        <v>2308</v>
      </c>
      <c r="J3004" s="34"/>
    </row>
    <row r="3005" spans="1:10" x14ac:dyDescent="0.25">
      <c r="A3005" s="15">
        <v>41015</v>
      </c>
      <c r="B3005" s="16" t="s">
        <v>865</v>
      </c>
      <c r="C3005" t="s">
        <v>8</v>
      </c>
      <c r="D3005" t="s">
        <v>48</v>
      </c>
      <c r="E3005" s="17">
        <v>8</v>
      </c>
      <c r="F3005" s="17">
        <v>35.35</v>
      </c>
      <c r="G3005" s="18">
        <v>282.8</v>
      </c>
      <c r="H3005" s="30" t="s">
        <v>2308</v>
      </c>
      <c r="J3005" s="34"/>
    </row>
    <row r="3006" spans="1:10" x14ac:dyDescent="0.25">
      <c r="A3006" s="15">
        <v>41015</v>
      </c>
      <c r="B3006" s="16" t="s">
        <v>865</v>
      </c>
      <c r="C3006" t="s">
        <v>8</v>
      </c>
      <c r="D3006" t="s">
        <v>48</v>
      </c>
      <c r="E3006" s="17">
        <v>10</v>
      </c>
      <c r="F3006" s="17">
        <v>35.35</v>
      </c>
      <c r="G3006" s="18">
        <v>353.5</v>
      </c>
      <c r="H3006" s="30" t="s">
        <v>2308</v>
      </c>
      <c r="J3006" s="34"/>
    </row>
    <row r="3007" spans="1:10" x14ac:dyDescent="0.25">
      <c r="A3007" s="15">
        <v>41016</v>
      </c>
      <c r="B3007" s="16" t="s">
        <v>867</v>
      </c>
      <c r="C3007" t="s">
        <v>868</v>
      </c>
      <c r="D3007" t="s">
        <v>48</v>
      </c>
      <c r="E3007" s="17">
        <v>6</v>
      </c>
      <c r="F3007" s="17">
        <v>90</v>
      </c>
      <c r="G3007" s="18">
        <v>540</v>
      </c>
      <c r="H3007" s="30" t="s">
        <v>2308</v>
      </c>
      <c r="J3007" s="34"/>
    </row>
    <row r="3008" spans="1:10" x14ac:dyDescent="0.25">
      <c r="A3008" s="15">
        <v>41016</v>
      </c>
      <c r="B3008" s="16" t="s">
        <v>865</v>
      </c>
      <c r="C3008" t="s">
        <v>8</v>
      </c>
      <c r="D3008" t="s">
        <v>48</v>
      </c>
      <c r="E3008" s="17">
        <v>6.5</v>
      </c>
      <c r="F3008" s="17">
        <v>35.35</v>
      </c>
      <c r="G3008" s="18">
        <v>229.77500000000001</v>
      </c>
      <c r="H3008" s="30" t="s">
        <v>2308</v>
      </c>
      <c r="J3008" s="34"/>
    </row>
    <row r="3009" spans="1:10" x14ac:dyDescent="0.25">
      <c r="A3009" s="15">
        <v>41016</v>
      </c>
      <c r="B3009" s="16" t="s">
        <v>865</v>
      </c>
      <c r="C3009" t="s">
        <v>8</v>
      </c>
      <c r="D3009" t="s">
        <v>48</v>
      </c>
      <c r="E3009" s="17">
        <v>6.5</v>
      </c>
      <c r="F3009" s="17">
        <v>48</v>
      </c>
      <c r="G3009" s="18">
        <v>312</v>
      </c>
      <c r="H3009" s="30" t="s">
        <v>2308</v>
      </c>
      <c r="J3009" s="34"/>
    </row>
    <row r="3010" spans="1:10" x14ac:dyDescent="0.25">
      <c r="A3010" s="15">
        <v>41016</v>
      </c>
      <c r="B3010" s="16" t="s">
        <v>865</v>
      </c>
      <c r="C3010" t="s">
        <v>8</v>
      </c>
      <c r="D3010" t="s">
        <v>48</v>
      </c>
      <c r="E3010" s="17">
        <v>6.5</v>
      </c>
      <c r="F3010" s="17">
        <v>35.35</v>
      </c>
      <c r="G3010" s="18">
        <v>229.77500000000001</v>
      </c>
      <c r="H3010" s="30" t="s">
        <v>2308</v>
      </c>
      <c r="J3010" s="34"/>
    </row>
    <row r="3011" spans="1:10" x14ac:dyDescent="0.25">
      <c r="A3011" s="15">
        <v>41017</v>
      </c>
      <c r="B3011" s="16" t="s">
        <v>867</v>
      </c>
      <c r="C3011" t="s">
        <v>868</v>
      </c>
      <c r="D3011" t="s">
        <v>48</v>
      </c>
      <c r="E3011" s="17">
        <v>3.5</v>
      </c>
      <c r="F3011" s="17">
        <v>90</v>
      </c>
      <c r="G3011" s="18">
        <v>315</v>
      </c>
      <c r="H3011" s="30" t="s">
        <v>2308</v>
      </c>
      <c r="J3011" s="34"/>
    </row>
    <row r="3012" spans="1:10" x14ac:dyDescent="0.25">
      <c r="A3012" s="15">
        <v>41017</v>
      </c>
      <c r="B3012" s="16" t="s">
        <v>865</v>
      </c>
      <c r="C3012" t="s">
        <v>8</v>
      </c>
      <c r="D3012" t="s">
        <v>48</v>
      </c>
      <c r="E3012" s="17">
        <v>4</v>
      </c>
      <c r="F3012" s="17">
        <v>35.35</v>
      </c>
      <c r="G3012" s="18">
        <v>141.4</v>
      </c>
      <c r="H3012" s="30" t="s">
        <v>2308</v>
      </c>
      <c r="J3012" s="34"/>
    </row>
    <row r="3013" spans="1:10" x14ac:dyDescent="0.25">
      <c r="A3013" s="15">
        <v>41017</v>
      </c>
      <c r="B3013" s="16" t="s">
        <v>865</v>
      </c>
      <c r="C3013" t="s">
        <v>8</v>
      </c>
      <c r="D3013" t="s">
        <v>48</v>
      </c>
      <c r="E3013" s="17">
        <v>4</v>
      </c>
      <c r="F3013" s="17">
        <v>35.35</v>
      </c>
      <c r="G3013" s="18">
        <v>141.4</v>
      </c>
      <c r="H3013" s="30" t="s">
        <v>2308</v>
      </c>
      <c r="J3013" s="34"/>
    </row>
    <row r="3014" spans="1:10" x14ac:dyDescent="0.25">
      <c r="A3014" s="15">
        <v>41025</v>
      </c>
      <c r="B3014" s="16" t="s">
        <v>865</v>
      </c>
      <c r="C3014" t="s">
        <v>8</v>
      </c>
      <c r="D3014" t="s">
        <v>48</v>
      </c>
      <c r="E3014" s="17">
        <v>2.5</v>
      </c>
      <c r="F3014" s="17">
        <v>35.35</v>
      </c>
      <c r="G3014" s="18">
        <v>88.375</v>
      </c>
      <c r="H3014" s="30" t="s">
        <v>2308</v>
      </c>
      <c r="J3014" s="34"/>
    </row>
    <row r="3015" spans="1:10" x14ac:dyDescent="0.25">
      <c r="A3015" s="15">
        <v>41025</v>
      </c>
      <c r="B3015" s="16" t="s">
        <v>865</v>
      </c>
      <c r="C3015" t="s">
        <v>8</v>
      </c>
      <c r="D3015" t="s">
        <v>48</v>
      </c>
      <c r="E3015" s="17">
        <v>2.5</v>
      </c>
      <c r="F3015" s="17">
        <v>35.35</v>
      </c>
      <c r="G3015" s="18">
        <v>88.375</v>
      </c>
      <c r="H3015" s="30" t="s">
        <v>2308</v>
      </c>
      <c r="J3015" s="34"/>
    </row>
    <row r="3016" spans="1:10" ht="30" x14ac:dyDescent="0.25">
      <c r="A3016" s="15">
        <v>41030</v>
      </c>
      <c r="B3016" s="16" t="s">
        <v>1180</v>
      </c>
      <c r="C3016" t="s">
        <v>1121</v>
      </c>
      <c r="D3016" t="s">
        <v>783</v>
      </c>
      <c r="E3016" s="17">
        <v>1</v>
      </c>
      <c r="F3016" s="17">
        <v>2520</v>
      </c>
      <c r="G3016" s="18">
        <v>2520</v>
      </c>
      <c r="H3016" s="30" t="s">
        <v>2308</v>
      </c>
      <c r="J3016" s="34"/>
    </row>
    <row r="3017" spans="1:10" x14ac:dyDescent="0.25">
      <c r="A3017" s="15">
        <v>41045</v>
      </c>
      <c r="B3017" s="16" t="s">
        <v>865</v>
      </c>
      <c r="C3017" t="s">
        <v>8</v>
      </c>
      <c r="D3017" t="s">
        <v>48</v>
      </c>
      <c r="E3017" s="17">
        <v>6</v>
      </c>
      <c r="F3017" s="17">
        <v>35.35</v>
      </c>
      <c r="G3017" s="18">
        <v>212.1</v>
      </c>
      <c r="H3017" s="30" t="s">
        <v>2308</v>
      </c>
      <c r="J3017" s="34"/>
    </row>
    <row r="3018" spans="1:10" x14ac:dyDescent="0.25">
      <c r="A3018" s="15">
        <v>41045</v>
      </c>
      <c r="B3018" s="16" t="s">
        <v>865</v>
      </c>
      <c r="C3018" t="s">
        <v>8</v>
      </c>
      <c r="D3018" t="s">
        <v>48</v>
      </c>
      <c r="E3018" s="17">
        <v>6</v>
      </c>
      <c r="F3018" s="17">
        <v>35.35</v>
      </c>
      <c r="G3018" s="18">
        <v>212.1</v>
      </c>
      <c r="H3018" s="30" t="s">
        <v>2308</v>
      </c>
      <c r="J3018" s="34"/>
    </row>
    <row r="3019" spans="1:10" x14ac:dyDescent="0.25">
      <c r="A3019" s="15">
        <v>41045</v>
      </c>
      <c r="B3019" s="16" t="s">
        <v>865</v>
      </c>
      <c r="C3019" t="s">
        <v>8</v>
      </c>
      <c r="D3019" t="s">
        <v>48</v>
      </c>
      <c r="E3019" s="17">
        <v>6</v>
      </c>
      <c r="F3019" s="17">
        <v>48</v>
      </c>
      <c r="G3019" s="18">
        <v>288</v>
      </c>
      <c r="H3019" s="30" t="s">
        <v>2308</v>
      </c>
      <c r="J3019" s="34"/>
    </row>
    <row r="3020" spans="1:10" x14ac:dyDescent="0.25">
      <c r="A3020" s="15">
        <v>41045</v>
      </c>
      <c r="B3020" s="16" t="s">
        <v>865</v>
      </c>
      <c r="C3020" t="s">
        <v>8</v>
      </c>
      <c r="D3020" t="s">
        <v>48</v>
      </c>
      <c r="E3020" s="17">
        <v>6</v>
      </c>
      <c r="F3020" s="17">
        <v>35.35</v>
      </c>
      <c r="G3020" s="18">
        <v>212.1</v>
      </c>
      <c r="H3020" s="30" t="s">
        <v>2308</v>
      </c>
      <c r="J3020" s="34"/>
    </row>
    <row r="3021" spans="1:10" x14ac:dyDescent="0.25">
      <c r="A3021" s="15">
        <v>41045</v>
      </c>
      <c r="B3021" s="16" t="s">
        <v>1181</v>
      </c>
      <c r="C3021" t="s">
        <v>1182</v>
      </c>
      <c r="D3021" t="s">
        <v>783</v>
      </c>
      <c r="E3021" s="17">
        <v>1</v>
      </c>
      <c r="F3021" s="17">
        <v>57.24</v>
      </c>
      <c r="G3021" s="18">
        <v>57.24</v>
      </c>
      <c r="H3021" s="30" t="s">
        <v>2308</v>
      </c>
      <c r="J3021" s="34"/>
    </row>
    <row r="3022" spans="1:10" ht="30" x14ac:dyDescent="0.25">
      <c r="A3022" s="15">
        <v>41045</v>
      </c>
      <c r="B3022" s="16" t="s">
        <v>1183</v>
      </c>
      <c r="C3022" t="s">
        <v>1184</v>
      </c>
      <c r="D3022" t="s">
        <v>783</v>
      </c>
      <c r="E3022" s="17">
        <v>1</v>
      </c>
      <c r="F3022" s="17">
        <v>57</v>
      </c>
      <c r="G3022" s="18">
        <v>57</v>
      </c>
      <c r="H3022" s="30" t="s">
        <v>2308</v>
      </c>
      <c r="J3022" s="34"/>
    </row>
    <row r="3023" spans="1:10" x14ac:dyDescent="0.25">
      <c r="A3023" s="15">
        <v>41045</v>
      </c>
      <c r="B3023" s="16" t="s">
        <v>865</v>
      </c>
      <c r="C3023" t="s">
        <v>8</v>
      </c>
      <c r="D3023" t="s">
        <v>48</v>
      </c>
      <c r="E3023" s="17">
        <v>6</v>
      </c>
      <c r="F3023" s="17">
        <v>35.35</v>
      </c>
      <c r="G3023" s="18">
        <v>212.1</v>
      </c>
      <c r="H3023" s="30" t="s">
        <v>2308</v>
      </c>
      <c r="J3023" s="34"/>
    </row>
    <row r="3024" spans="1:10" x14ac:dyDescent="0.25">
      <c r="A3024" s="15">
        <v>41046</v>
      </c>
      <c r="B3024" s="16" t="s">
        <v>865</v>
      </c>
      <c r="C3024" t="s">
        <v>8</v>
      </c>
      <c r="D3024" t="s">
        <v>48</v>
      </c>
      <c r="E3024" s="17">
        <v>2.5</v>
      </c>
      <c r="F3024" s="17">
        <v>35.35</v>
      </c>
      <c r="G3024" s="18">
        <v>88.375</v>
      </c>
      <c r="H3024" s="30" t="s">
        <v>2308</v>
      </c>
      <c r="J3024" s="34"/>
    </row>
    <row r="3025" spans="1:10" x14ac:dyDescent="0.25">
      <c r="A3025" s="15">
        <v>41046</v>
      </c>
      <c r="B3025" s="16" t="s">
        <v>865</v>
      </c>
      <c r="C3025" t="s">
        <v>8</v>
      </c>
      <c r="D3025" t="s">
        <v>48</v>
      </c>
      <c r="E3025" s="17">
        <v>2.5</v>
      </c>
      <c r="F3025" s="17">
        <v>35.35</v>
      </c>
      <c r="G3025" s="18">
        <v>88.375</v>
      </c>
      <c r="H3025" s="30" t="s">
        <v>2308</v>
      </c>
      <c r="J3025" s="34"/>
    </row>
    <row r="3026" spans="1:10" x14ac:dyDescent="0.25">
      <c r="A3026" s="15">
        <v>41092</v>
      </c>
      <c r="B3026" s="16" t="s">
        <v>865</v>
      </c>
      <c r="C3026" t="s">
        <v>8</v>
      </c>
      <c r="D3026" t="s">
        <v>48</v>
      </c>
      <c r="E3026" s="17">
        <v>4</v>
      </c>
      <c r="F3026" s="17">
        <v>35.35</v>
      </c>
      <c r="G3026" s="18">
        <v>141.4</v>
      </c>
      <c r="H3026" s="30" t="s">
        <v>2308</v>
      </c>
      <c r="J3026" s="34"/>
    </row>
    <row r="3027" spans="1:10" x14ac:dyDescent="0.25">
      <c r="A3027" s="15">
        <v>41092</v>
      </c>
      <c r="B3027" s="16" t="s">
        <v>865</v>
      </c>
      <c r="C3027" t="s">
        <v>8</v>
      </c>
      <c r="D3027" t="s">
        <v>48</v>
      </c>
      <c r="E3027" s="17">
        <v>4</v>
      </c>
      <c r="F3027" s="17">
        <v>35.35</v>
      </c>
      <c r="G3027" s="18">
        <v>141.4</v>
      </c>
      <c r="H3027" s="30" t="s">
        <v>2308</v>
      </c>
      <c r="J3027" s="34"/>
    </row>
    <row r="3028" spans="1:10" x14ac:dyDescent="0.25">
      <c r="A3028" s="15">
        <v>41184</v>
      </c>
      <c r="B3028" s="16" t="s">
        <v>882</v>
      </c>
      <c r="C3028" t="s">
        <v>8</v>
      </c>
      <c r="D3028" t="s">
        <v>48</v>
      </c>
      <c r="E3028" s="17">
        <v>3.5</v>
      </c>
      <c r="F3028" s="17">
        <v>48</v>
      </c>
      <c r="G3028" s="18">
        <v>168</v>
      </c>
      <c r="H3028" s="30" t="s">
        <v>2308</v>
      </c>
      <c r="J3028" s="34"/>
    </row>
    <row r="3029" spans="1:10" x14ac:dyDescent="0.25">
      <c r="A3029" s="15">
        <v>41184</v>
      </c>
      <c r="B3029" s="16" t="s">
        <v>865</v>
      </c>
      <c r="C3029" t="s">
        <v>8</v>
      </c>
      <c r="D3029" t="s">
        <v>48</v>
      </c>
      <c r="E3029" s="17">
        <v>3</v>
      </c>
      <c r="F3029" s="17">
        <v>35.35</v>
      </c>
      <c r="G3029" s="18">
        <v>106.05</v>
      </c>
      <c r="H3029" s="30" t="s">
        <v>2308</v>
      </c>
      <c r="J3029" s="34"/>
    </row>
    <row r="3030" spans="1:10" x14ac:dyDescent="0.25">
      <c r="A3030" s="15">
        <v>41184</v>
      </c>
      <c r="B3030" s="16" t="s">
        <v>865</v>
      </c>
      <c r="C3030" t="s">
        <v>8</v>
      </c>
      <c r="D3030" t="s">
        <v>48</v>
      </c>
      <c r="E3030" s="17">
        <v>3</v>
      </c>
      <c r="F3030" s="17">
        <v>35.35</v>
      </c>
      <c r="G3030" s="18">
        <v>106.05</v>
      </c>
      <c r="H3030" s="30" t="s">
        <v>2308</v>
      </c>
      <c r="J3030" s="34"/>
    </row>
    <row r="3031" spans="1:10" x14ac:dyDescent="0.25">
      <c r="A3031" s="15">
        <v>41184</v>
      </c>
      <c r="B3031" s="16" t="s">
        <v>878</v>
      </c>
      <c r="C3031" t="s">
        <v>879</v>
      </c>
      <c r="D3031" t="s">
        <v>48</v>
      </c>
      <c r="E3031" s="17">
        <v>3</v>
      </c>
      <c r="F3031" s="17">
        <v>110</v>
      </c>
      <c r="G3031" s="18">
        <v>330</v>
      </c>
      <c r="H3031" s="30" t="s">
        <v>2308</v>
      </c>
      <c r="J3031" s="34"/>
    </row>
    <row r="3032" spans="1:10" x14ac:dyDescent="0.25">
      <c r="A3032" s="15">
        <v>41187</v>
      </c>
      <c r="B3032" s="16" t="s">
        <v>882</v>
      </c>
      <c r="C3032" t="s">
        <v>8</v>
      </c>
      <c r="D3032" t="s">
        <v>48</v>
      </c>
      <c r="E3032" s="17">
        <v>4</v>
      </c>
      <c r="F3032" s="17">
        <v>48</v>
      </c>
      <c r="G3032" s="18">
        <v>192</v>
      </c>
      <c r="H3032" s="30" t="s">
        <v>2308</v>
      </c>
      <c r="J3032" s="34"/>
    </row>
    <row r="3033" spans="1:10" x14ac:dyDescent="0.25">
      <c r="A3033" s="15">
        <v>41187</v>
      </c>
      <c r="B3033" s="16" t="s">
        <v>865</v>
      </c>
      <c r="C3033" t="s">
        <v>8</v>
      </c>
      <c r="D3033" t="s">
        <v>48</v>
      </c>
      <c r="E3033" s="17">
        <v>4</v>
      </c>
      <c r="F3033" s="17">
        <v>35.35</v>
      </c>
      <c r="G3033" s="18">
        <v>141.4</v>
      </c>
      <c r="H3033" s="30" t="s">
        <v>2308</v>
      </c>
      <c r="J3033" s="34"/>
    </row>
    <row r="3034" spans="1:10" x14ac:dyDescent="0.25">
      <c r="A3034" s="15">
        <v>41187</v>
      </c>
      <c r="B3034" s="16" t="s">
        <v>878</v>
      </c>
      <c r="C3034" t="s">
        <v>879</v>
      </c>
      <c r="D3034" t="s">
        <v>48</v>
      </c>
      <c r="E3034" s="17">
        <v>4</v>
      </c>
      <c r="F3034" s="17">
        <v>110</v>
      </c>
      <c r="G3034" s="18">
        <v>440</v>
      </c>
      <c r="H3034" s="30" t="s">
        <v>2308</v>
      </c>
      <c r="J3034" s="34"/>
    </row>
    <row r="3035" spans="1:10" x14ac:dyDescent="0.25">
      <c r="A3035" s="15">
        <v>41187</v>
      </c>
      <c r="B3035" s="16" t="s">
        <v>865</v>
      </c>
      <c r="C3035" t="s">
        <v>8</v>
      </c>
      <c r="D3035" t="s">
        <v>48</v>
      </c>
      <c r="E3035" s="17">
        <v>4</v>
      </c>
      <c r="F3035" s="17">
        <v>35.35</v>
      </c>
      <c r="G3035" s="18">
        <v>141.4</v>
      </c>
      <c r="H3035" s="30" t="s">
        <v>2308</v>
      </c>
      <c r="J3035" s="34"/>
    </row>
    <row r="3036" spans="1:10" x14ac:dyDescent="0.25">
      <c r="A3036" s="15">
        <v>41212</v>
      </c>
      <c r="B3036" s="16" t="s">
        <v>1185</v>
      </c>
      <c r="C3036" t="s">
        <v>1121</v>
      </c>
      <c r="D3036" t="s">
        <v>783</v>
      </c>
      <c r="E3036" s="17">
        <v>1</v>
      </c>
      <c r="F3036" s="17">
        <v>4850</v>
      </c>
      <c r="G3036" s="18">
        <v>4850</v>
      </c>
      <c r="H3036" s="30" t="s">
        <v>2308</v>
      </c>
      <c r="J3036" s="34"/>
    </row>
    <row r="3037" spans="1:10" x14ac:dyDescent="0.25">
      <c r="A3037" s="19" t="s">
        <v>781</v>
      </c>
      <c r="B3037" s="20" t="s">
        <v>1186</v>
      </c>
      <c r="C3037" s="21" t="s">
        <v>781</v>
      </c>
      <c r="D3037" s="21" t="s">
        <v>781</v>
      </c>
      <c r="E3037" s="22"/>
      <c r="F3037" s="22"/>
      <c r="G3037" s="23">
        <v>16398.014999999999</v>
      </c>
      <c r="H3037" s="31" t="s">
        <v>2285</v>
      </c>
      <c r="J3037" s="34"/>
    </row>
    <row r="3038" spans="1:10" x14ac:dyDescent="0.25">
      <c r="A3038" s="15" t="s">
        <v>781</v>
      </c>
      <c r="B3038" s="16" t="s">
        <v>781</v>
      </c>
      <c r="C3038" t="s">
        <v>781</v>
      </c>
      <c r="D3038" t="s">
        <v>781</v>
      </c>
      <c r="E3038" s="17"/>
      <c r="F3038" s="17"/>
      <c r="G3038" s="18"/>
      <c r="H3038" s="30" t="s">
        <v>2285</v>
      </c>
      <c r="J3038" s="34"/>
    </row>
    <row r="3039" spans="1:10" x14ac:dyDescent="0.25">
      <c r="A3039" s="12" t="s">
        <v>781</v>
      </c>
      <c r="B3039" s="11" t="s">
        <v>1876</v>
      </c>
      <c r="C3039" s="10" t="s">
        <v>781</v>
      </c>
      <c r="D3039" s="10" t="s">
        <v>781</v>
      </c>
      <c r="E3039" s="13"/>
      <c r="F3039" s="13"/>
      <c r="G3039" s="14"/>
      <c r="H3039" s="29" t="s">
        <v>2285</v>
      </c>
      <c r="J3039" s="34"/>
    </row>
    <row r="3040" spans="1:10" x14ac:dyDescent="0.25">
      <c r="A3040" s="15">
        <v>41138</v>
      </c>
      <c r="B3040" s="16" t="s">
        <v>1187</v>
      </c>
      <c r="C3040" t="s">
        <v>1188</v>
      </c>
      <c r="D3040" t="s">
        <v>783</v>
      </c>
      <c r="E3040" s="17">
        <v>1</v>
      </c>
      <c r="F3040" s="17">
        <v>71.81</v>
      </c>
      <c r="G3040" s="18">
        <v>71.81</v>
      </c>
      <c r="H3040" s="30" t="s">
        <v>2309</v>
      </c>
      <c r="J3040" s="34"/>
    </row>
    <row r="3041" spans="1:10" x14ac:dyDescent="0.25">
      <c r="A3041" s="15">
        <v>41182</v>
      </c>
      <c r="B3041" s="16" t="s">
        <v>1189</v>
      </c>
      <c r="C3041" t="s">
        <v>1188</v>
      </c>
      <c r="D3041" t="s">
        <v>783</v>
      </c>
      <c r="E3041" s="17">
        <v>1</v>
      </c>
      <c r="F3041" s="17">
        <v>41840</v>
      </c>
      <c r="G3041" s="18">
        <v>41840</v>
      </c>
      <c r="H3041" s="30" t="s">
        <v>2309</v>
      </c>
      <c r="J3041" s="34"/>
    </row>
    <row r="3042" spans="1:10" x14ac:dyDescent="0.25">
      <c r="A3042" s="19" t="s">
        <v>781</v>
      </c>
      <c r="B3042" s="20" t="s">
        <v>1190</v>
      </c>
      <c r="C3042" s="21" t="s">
        <v>781</v>
      </c>
      <c r="D3042" s="21" t="s">
        <v>781</v>
      </c>
      <c r="E3042" s="22"/>
      <c r="F3042" s="22"/>
      <c r="G3042" s="23">
        <v>41911.81</v>
      </c>
      <c r="H3042" s="31" t="s">
        <v>2285</v>
      </c>
      <c r="J3042" s="34"/>
    </row>
    <row r="3043" spans="1:10" x14ac:dyDescent="0.25">
      <c r="A3043" s="15" t="s">
        <v>781</v>
      </c>
      <c r="B3043" s="16" t="s">
        <v>781</v>
      </c>
      <c r="C3043" t="s">
        <v>781</v>
      </c>
      <c r="D3043" t="s">
        <v>781</v>
      </c>
      <c r="E3043" s="17"/>
      <c r="F3043" s="17"/>
      <c r="G3043" s="18"/>
      <c r="H3043" s="30" t="s">
        <v>2285</v>
      </c>
      <c r="J3043" s="34"/>
    </row>
    <row r="3044" spans="1:10" x14ac:dyDescent="0.25">
      <c r="A3044" s="12" t="s">
        <v>781</v>
      </c>
      <c r="B3044" s="11" t="s">
        <v>1877</v>
      </c>
      <c r="C3044" s="10" t="s">
        <v>781</v>
      </c>
      <c r="D3044" s="10" t="s">
        <v>781</v>
      </c>
      <c r="E3044" s="13"/>
      <c r="F3044" s="13"/>
      <c r="G3044" s="14"/>
      <c r="H3044" s="29" t="s">
        <v>2285</v>
      </c>
      <c r="J3044" s="34"/>
    </row>
    <row r="3045" spans="1:10" x14ac:dyDescent="0.25">
      <c r="A3045" s="15">
        <v>40848</v>
      </c>
      <c r="B3045" s="16" t="s">
        <v>1191</v>
      </c>
      <c r="C3045" t="s">
        <v>1192</v>
      </c>
      <c r="D3045" t="s">
        <v>783</v>
      </c>
      <c r="E3045" s="17">
        <v>1</v>
      </c>
      <c r="F3045" s="17">
        <v>590</v>
      </c>
      <c r="G3045" s="18">
        <v>590</v>
      </c>
      <c r="H3045" s="30" t="s">
        <v>2310</v>
      </c>
      <c r="J3045" s="34"/>
    </row>
    <row r="3046" spans="1:10" x14ac:dyDescent="0.25">
      <c r="A3046" s="15">
        <v>40850</v>
      </c>
      <c r="B3046" s="16" t="s">
        <v>912</v>
      </c>
      <c r="C3046" t="s">
        <v>913</v>
      </c>
      <c r="D3046" t="s">
        <v>48</v>
      </c>
      <c r="E3046" s="17">
        <v>5</v>
      </c>
      <c r="F3046" s="17">
        <v>95</v>
      </c>
      <c r="G3046" s="18">
        <v>475</v>
      </c>
      <c r="H3046" s="30" t="s">
        <v>2310</v>
      </c>
      <c r="J3046" s="34"/>
    </row>
    <row r="3047" spans="1:10" x14ac:dyDescent="0.25">
      <c r="A3047" s="15">
        <v>40850</v>
      </c>
      <c r="B3047" s="16" t="s">
        <v>865</v>
      </c>
      <c r="C3047" t="s">
        <v>8</v>
      </c>
      <c r="D3047" t="s">
        <v>48</v>
      </c>
      <c r="E3047" s="17">
        <v>10.5</v>
      </c>
      <c r="F3047" s="17">
        <v>35.35</v>
      </c>
      <c r="G3047" s="18">
        <v>371.17500000000001</v>
      </c>
      <c r="H3047" s="30" t="s">
        <v>2310</v>
      </c>
      <c r="J3047" s="34"/>
    </row>
    <row r="3048" spans="1:10" x14ac:dyDescent="0.25">
      <c r="A3048" s="15">
        <v>40851</v>
      </c>
      <c r="B3048" s="16" t="s">
        <v>876</v>
      </c>
      <c r="C3048" t="s">
        <v>8</v>
      </c>
      <c r="D3048" t="s">
        <v>48</v>
      </c>
      <c r="E3048" s="17">
        <v>2</v>
      </c>
      <c r="F3048" s="17">
        <v>95</v>
      </c>
      <c r="G3048" s="18">
        <v>190</v>
      </c>
      <c r="H3048" s="30" t="s">
        <v>2310</v>
      </c>
      <c r="J3048" s="34"/>
    </row>
    <row r="3049" spans="1:10" x14ac:dyDescent="0.25">
      <c r="A3049" s="15">
        <v>40851</v>
      </c>
      <c r="B3049" s="16" t="s">
        <v>865</v>
      </c>
      <c r="C3049" t="s">
        <v>8</v>
      </c>
      <c r="D3049" t="s">
        <v>48</v>
      </c>
      <c r="E3049" s="17">
        <v>6</v>
      </c>
      <c r="F3049" s="17">
        <v>35.35</v>
      </c>
      <c r="G3049" s="18">
        <v>212.1</v>
      </c>
      <c r="H3049" s="30" t="s">
        <v>2310</v>
      </c>
      <c r="J3049" s="34"/>
    </row>
    <row r="3050" spans="1:10" x14ac:dyDescent="0.25">
      <c r="A3050" s="15">
        <v>40855</v>
      </c>
      <c r="B3050" s="16" t="s">
        <v>863</v>
      </c>
      <c r="C3050" t="s">
        <v>864</v>
      </c>
      <c r="D3050" t="s">
        <v>48</v>
      </c>
      <c r="E3050" s="17">
        <v>4</v>
      </c>
      <c r="F3050" s="17">
        <v>110</v>
      </c>
      <c r="G3050" s="18">
        <v>440</v>
      </c>
      <c r="H3050" s="30" t="s">
        <v>2310</v>
      </c>
      <c r="J3050" s="34"/>
    </row>
    <row r="3051" spans="1:10" x14ac:dyDescent="0.25">
      <c r="A3051" s="15">
        <v>40856</v>
      </c>
      <c r="B3051" s="16" t="s">
        <v>865</v>
      </c>
      <c r="C3051" t="s">
        <v>8</v>
      </c>
      <c r="D3051" t="s">
        <v>48</v>
      </c>
      <c r="E3051" s="17">
        <v>3</v>
      </c>
      <c r="F3051" s="17">
        <v>35.35</v>
      </c>
      <c r="G3051" s="18">
        <v>106.05</v>
      </c>
      <c r="H3051" s="30" t="s">
        <v>2310</v>
      </c>
      <c r="J3051" s="34"/>
    </row>
    <row r="3052" spans="1:10" x14ac:dyDescent="0.25">
      <c r="A3052" s="15">
        <v>40856</v>
      </c>
      <c r="B3052" s="16" t="s">
        <v>865</v>
      </c>
      <c r="C3052" t="s">
        <v>8</v>
      </c>
      <c r="D3052" t="s">
        <v>48</v>
      </c>
      <c r="E3052" s="17">
        <v>3</v>
      </c>
      <c r="F3052" s="17">
        <v>35.35</v>
      </c>
      <c r="G3052" s="18">
        <v>106.05</v>
      </c>
      <c r="H3052" s="30" t="s">
        <v>2310</v>
      </c>
      <c r="J3052" s="34"/>
    </row>
    <row r="3053" spans="1:10" x14ac:dyDescent="0.25">
      <c r="A3053" s="15">
        <v>40856</v>
      </c>
      <c r="B3053" s="16" t="s">
        <v>865</v>
      </c>
      <c r="C3053" t="s">
        <v>8</v>
      </c>
      <c r="D3053" t="s">
        <v>48</v>
      </c>
      <c r="E3053" s="17">
        <v>3</v>
      </c>
      <c r="F3053" s="17">
        <v>35.35</v>
      </c>
      <c r="G3053" s="18">
        <v>106.05</v>
      </c>
      <c r="H3053" s="30" t="s">
        <v>2310</v>
      </c>
      <c r="J3053" s="34"/>
    </row>
    <row r="3054" spans="1:10" x14ac:dyDescent="0.25">
      <c r="A3054" s="15">
        <v>40856</v>
      </c>
      <c r="B3054" s="16" t="s">
        <v>865</v>
      </c>
      <c r="C3054" t="s">
        <v>8</v>
      </c>
      <c r="D3054" t="s">
        <v>48</v>
      </c>
      <c r="E3054" s="17">
        <v>6</v>
      </c>
      <c r="F3054" s="17">
        <v>35.35</v>
      </c>
      <c r="G3054" s="18">
        <v>212.1</v>
      </c>
      <c r="H3054" s="30" t="s">
        <v>2310</v>
      </c>
      <c r="J3054" s="34"/>
    </row>
    <row r="3055" spans="1:10" x14ac:dyDescent="0.25">
      <c r="A3055" s="15">
        <v>40856</v>
      </c>
      <c r="B3055" s="16" t="s">
        <v>889</v>
      </c>
      <c r="C3055" t="s">
        <v>864</v>
      </c>
      <c r="D3055" t="s">
        <v>48</v>
      </c>
      <c r="E3055" s="17">
        <v>2</v>
      </c>
      <c r="F3055" s="17">
        <v>110</v>
      </c>
      <c r="G3055" s="18">
        <v>220</v>
      </c>
      <c r="H3055" s="30" t="s">
        <v>2310</v>
      </c>
      <c r="J3055" s="34"/>
    </row>
    <row r="3056" spans="1:10" x14ac:dyDescent="0.25">
      <c r="A3056" s="15">
        <v>40856</v>
      </c>
      <c r="B3056" s="16" t="s">
        <v>865</v>
      </c>
      <c r="C3056" t="s">
        <v>8</v>
      </c>
      <c r="D3056" t="s">
        <v>48</v>
      </c>
      <c r="E3056" s="17">
        <v>2</v>
      </c>
      <c r="F3056" s="17">
        <v>35.35</v>
      </c>
      <c r="G3056" s="18">
        <v>70.7</v>
      </c>
      <c r="H3056" s="30" t="s">
        <v>2310</v>
      </c>
      <c r="J3056" s="34"/>
    </row>
    <row r="3057" spans="1:10" x14ac:dyDescent="0.25">
      <c r="A3057" s="15">
        <v>40863</v>
      </c>
      <c r="B3057" s="16" t="s">
        <v>1193</v>
      </c>
      <c r="C3057" t="s">
        <v>629</v>
      </c>
      <c r="D3057" t="s">
        <v>783</v>
      </c>
      <c r="E3057" s="17">
        <v>1</v>
      </c>
      <c r="F3057" s="17">
        <v>1982.5</v>
      </c>
      <c r="G3057" s="18">
        <v>1982.5</v>
      </c>
      <c r="H3057" s="30" t="s">
        <v>2310</v>
      </c>
      <c r="J3057" s="34"/>
    </row>
    <row r="3058" spans="1:10" x14ac:dyDescent="0.25">
      <c r="A3058" s="15">
        <v>40865</v>
      </c>
      <c r="B3058" s="16" t="s">
        <v>915</v>
      </c>
      <c r="C3058" t="s">
        <v>8</v>
      </c>
      <c r="D3058" t="s">
        <v>48</v>
      </c>
      <c r="E3058" s="17">
        <v>8</v>
      </c>
      <c r="F3058" s="17">
        <v>65</v>
      </c>
      <c r="G3058" s="18">
        <v>520</v>
      </c>
      <c r="H3058" s="30" t="s">
        <v>2310</v>
      </c>
      <c r="J3058" s="34"/>
    </row>
    <row r="3059" spans="1:10" x14ac:dyDescent="0.25">
      <c r="A3059" s="15">
        <v>40865</v>
      </c>
      <c r="B3059" s="16" t="s">
        <v>865</v>
      </c>
      <c r="C3059" t="s">
        <v>8</v>
      </c>
      <c r="D3059" t="s">
        <v>48</v>
      </c>
      <c r="E3059" s="17">
        <v>8.5</v>
      </c>
      <c r="F3059" s="17">
        <v>35.35</v>
      </c>
      <c r="G3059" s="18">
        <v>300.47500000000002</v>
      </c>
      <c r="H3059" s="30" t="s">
        <v>2310</v>
      </c>
      <c r="J3059" s="34"/>
    </row>
    <row r="3060" spans="1:10" x14ac:dyDescent="0.25">
      <c r="A3060" s="15">
        <v>40865</v>
      </c>
      <c r="B3060" s="16" t="s">
        <v>865</v>
      </c>
      <c r="C3060" t="s">
        <v>8</v>
      </c>
      <c r="D3060" t="s">
        <v>48</v>
      </c>
      <c r="E3060" s="17">
        <v>4.5</v>
      </c>
      <c r="F3060" s="17">
        <v>35.35</v>
      </c>
      <c r="G3060" s="18">
        <v>159.07499999999999</v>
      </c>
      <c r="H3060" s="30" t="s">
        <v>2310</v>
      </c>
      <c r="J3060" s="34"/>
    </row>
    <row r="3061" spans="1:10" x14ac:dyDescent="0.25">
      <c r="A3061" s="15">
        <v>40865</v>
      </c>
      <c r="B3061" s="16" t="s">
        <v>1194</v>
      </c>
      <c r="C3061" t="s">
        <v>864</v>
      </c>
      <c r="D3061" t="s">
        <v>48</v>
      </c>
      <c r="E3061" s="17">
        <v>7.5</v>
      </c>
      <c r="F3061" s="17">
        <v>140</v>
      </c>
      <c r="G3061" s="18">
        <v>1050</v>
      </c>
      <c r="H3061" s="30" t="s">
        <v>2310</v>
      </c>
      <c r="J3061" s="34"/>
    </row>
    <row r="3062" spans="1:10" x14ac:dyDescent="0.25">
      <c r="A3062" s="15">
        <v>40865</v>
      </c>
      <c r="B3062" s="16" t="s">
        <v>921</v>
      </c>
      <c r="C3062" t="s">
        <v>8</v>
      </c>
      <c r="D3062" t="s">
        <v>48</v>
      </c>
      <c r="E3062" s="17">
        <v>8.5</v>
      </c>
      <c r="F3062" s="17">
        <v>44.2</v>
      </c>
      <c r="G3062" s="18">
        <v>375.7</v>
      </c>
      <c r="H3062" s="30" t="s">
        <v>2310</v>
      </c>
      <c r="J3062" s="34"/>
    </row>
    <row r="3063" spans="1:10" x14ac:dyDescent="0.25">
      <c r="A3063" s="15">
        <v>40866</v>
      </c>
      <c r="B3063" s="16" t="s">
        <v>915</v>
      </c>
      <c r="C3063" t="s">
        <v>8</v>
      </c>
      <c r="D3063" t="s">
        <v>48</v>
      </c>
      <c r="E3063" s="17">
        <v>5.5</v>
      </c>
      <c r="F3063" s="17">
        <v>65</v>
      </c>
      <c r="G3063" s="18">
        <v>357.5</v>
      </c>
      <c r="H3063" s="30" t="s">
        <v>2310</v>
      </c>
      <c r="J3063" s="34"/>
    </row>
    <row r="3064" spans="1:10" x14ac:dyDescent="0.25">
      <c r="A3064" s="15">
        <v>40866</v>
      </c>
      <c r="B3064" s="16" t="s">
        <v>869</v>
      </c>
      <c r="C3064" t="s">
        <v>8</v>
      </c>
      <c r="D3064" t="s">
        <v>48</v>
      </c>
      <c r="E3064" s="17">
        <v>7.5</v>
      </c>
      <c r="F3064" s="17">
        <v>35.35</v>
      </c>
      <c r="G3064" s="18">
        <v>265.125</v>
      </c>
      <c r="H3064" s="30" t="s">
        <v>2310</v>
      </c>
      <c r="J3064" s="34"/>
    </row>
    <row r="3065" spans="1:10" x14ac:dyDescent="0.25">
      <c r="A3065" s="15">
        <v>40866</v>
      </c>
      <c r="B3065" s="16" t="s">
        <v>916</v>
      </c>
      <c r="C3065" t="s">
        <v>864</v>
      </c>
      <c r="D3065" t="s">
        <v>48</v>
      </c>
      <c r="E3065" s="17">
        <v>6.5</v>
      </c>
      <c r="F3065" s="17">
        <v>140</v>
      </c>
      <c r="G3065" s="18">
        <v>910</v>
      </c>
      <c r="H3065" s="30" t="s">
        <v>2310</v>
      </c>
      <c r="J3065" s="34"/>
    </row>
    <row r="3066" spans="1:10" x14ac:dyDescent="0.25">
      <c r="A3066" s="15">
        <v>40866</v>
      </c>
      <c r="B3066" s="16" t="s">
        <v>921</v>
      </c>
      <c r="C3066" t="s">
        <v>8</v>
      </c>
      <c r="D3066" t="s">
        <v>48</v>
      </c>
      <c r="E3066" s="17">
        <v>7.5</v>
      </c>
      <c r="F3066" s="17">
        <v>44.2</v>
      </c>
      <c r="G3066" s="18">
        <v>331.5</v>
      </c>
      <c r="H3066" s="30" t="s">
        <v>2310</v>
      </c>
      <c r="J3066" s="34"/>
    </row>
    <row r="3067" spans="1:10" x14ac:dyDescent="0.25">
      <c r="A3067" s="15">
        <v>40866</v>
      </c>
      <c r="B3067" s="16" t="s">
        <v>865</v>
      </c>
      <c r="C3067" t="s">
        <v>8</v>
      </c>
      <c r="D3067" t="s">
        <v>48</v>
      </c>
      <c r="E3067" s="17">
        <v>7.5</v>
      </c>
      <c r="F3067" s="17">
        <v>35.35</v>
      </c>
      <c r="G3067" s="18">
        <v>265.125</v>
      </c>
      <c r="H3067" s="30" t="s">
        <v>2310</v>
      </c>
      <c r="J3067" s="34"/>
    </row>
    <row r="3068" spans="1:10" x14ac:dyDescent="0.25">
      <c r="A3068" s="15">
        <v>40868</v>
      </c>
      <c r="B3068" s="16" t="s">
        <v>1195</v>
      </c>
      <c r="C3068" t="s">
        <v>864</v>
      </c>
      <c r="D3068" t="s">
        <v>48</v>
      </c>
      <c r="E3068" s="17">
        <v>5.5</v>
      </c>
      <c r="F3068" s="17">
        <v>140</v>
      </c>
      <c r="G3068" s="18">
        <v>770</v>
      </c>
      <c r="H3068" s="30" t="s">
        <v>2310</v>
      </c>
      <c r="J3068" s="34"/>
    </row>
    <row r="3069" spans="1:10" x14ac:dyDescent="0.25">
      <c r="A3069" s="15">
        <v>40868</v>
      </c>
      <c r="B3069" s="16" t="s">
        <v>918</v>
      </c>
      <c r="C3069" t="s">
        <v>8</v>
      </c>
      <c r="D3069" t="s">
        <v>48</v>
      </c>
      <c r="E3069" s="17">
        <v>4.5</v>
      </c>
      <c r="F3069" s="17">
        <v>65</v>
      </c>
      <c r="G3069" s="18">
        <v>292.5</v>
      </c>
      <c r="H3069" s="30" t="s">
        <v>2310</v>
      </c>
      <c r="J3069" s="34"/>
    </row>
    <row r="3070" spans="1:10" x14ac:dyDescent="0.25">
      <c r="A3070" s="15">
        <v>40868</v>
      </c>
      <c r="B3070" s="16" t="s">
        <v>45</v>
      </c>
      <c r="C3070" t="s">
        <v>8</v>
      </c>
      <c r="D3070" t="s">
        <v>48</v>
      </c>
      <c r="E3070" s="17">
        <v>1.5</v>
      </c>
      <c r="F3070" s="17">
        <v>95</v>
      </c>
      <c r="G3070" s="18">
        <v>142.5</v>
      </c>
      <c r="H3070" s="30" t="s">
        <v>2310</v>
      </c>
      <c r="J3070" s="34"/>
    </row>
    <row r="3071" spans="1:10" x14ac:dyDescent="0.25">
      <c r="A3071" s="15">
        <v>40868</v>
      </c>
      <c r="B3071" s="16" t="s">
        <v>865</v>
      </c>
      <c r="C3071" t="s">
        <v>8</v>
      </c>
      <c r="D3071" t="s">
        <v>48</v>
      </c>
      <c r="E3071" s="17">
        <v>6.5</v>
      </c>
      <c r="F3071" s="17">
        <v>35.35</v>
      </c>
      <c r="G3071" s="18">
        <v>229.77500000000001</v>
      </c>
      <c r="H3071" s="30" t="s">
        <v>2310</v>
      </c>
      <c r="J3071" s="34"/>
    </row>
    <row r="3072" spans="1:10" x14ac:dyDescent="0.25">
      <c r="A3072" s="15">
        <v>40868</v>
      </c>
      <c r="B3072" s="16" t="s">
        <v>865</v>
      </c>
      <c r="C3072" t="s">
        <v>8</v>
      </c>
      <c r="D3072" t="s">
        <v>48</v>
      </c>
      <c r="E3072" s="17">
        <v>3.5</v>
      </c>
      <c r="F3072" s="17">
        <v>35.35</v>
      </c>
      <c r="G3072" s="18">
        <v>123.72499999999999</v>
      </c>
      <c r="H3072" s="30" t="s">
        <v>2310</v>
      </c>
      <c r="J3072" s="34"/>
    </row>
    <row r="3073" spans="1:10" x14ac:dyDescent="0.25">
      <c r="A3073" s="15">
        <v>40885</v>
      </c>
      <c r="B3073" s="16" t="s">
        <v>865</v>
      </c>
      <c r="C3073" t="s">
        <v>8</v>
      </c>
      <c r="D3073" t="s">
        <v>48</v>
      </c>
      <c r="E3073" s="17">
        <v>1</v>
      </c>
      <c r="F3073" s="17">
        <v>35.35</v>
      </c>
      <c r="G3073" s="18">
        <v>35.35</v>
      </c>
      <c r="H3073" s="30" t="s">
        <v>2310</v>
      </c>
      <c r="J3073" s="34"/>
    </row>
    <row r="3074" spans="1:10" ht="30" x14ac:dyDescent="0.25">
      <c r="A3074" s="15">
        <v>40885</v>
      </c>
      <c r="B3074" s="16" t="s">
        <v>1196</v>
      </c>
      <c r="C3074" t="s">
        <v>1197</v>
      </c>
      <c r="D3074" t="s">
        <v>783</v>
      </c>
      <c r="E3074" s="17">
        <v>5</v>
      </c>
      <c r="F3074" s="17">
        <v>80</v>
      </c>
      <c r="G3074" s="18">
        <v>400</v>
      </c>
      <c r="H3074" s="30" t="s">
        <v>2310</v>
      </c>
      <c r="J3074" s="34"/>
    </row>
    <row r="3075" spans="1:10" x14ac:dyDescent="0.25">
      <c r="A3075" s="15">
        <v>40886</v>
      </c>
      <c r="B3075" s="16" t="s">
        <v>865</v>
      </c>
      <c r="C3075" t="s">
        <v>8</v>
      </c>
      <c r="D3075" t="s">
        <v>48</v>
      </c>
      <c r="E3075" s="17">
        <v>2</v>
      </c>
      <c r="F3075" s="17">
        <v>35.35</v>
      </c>
      <c r="G3075" s="18">
        <v>70.7</v>
      </c>
      <c r="H3075" s="30" t="s">
        <v>2310</v>
      </c>
      <c r="J3075" s="34"/>
    </row>
    <row r="3076" spans="1:10" x14ac:dyDescent="0.25">
      <c r="A3076" s="15">
        <v>40886</v>
      </c>
      <c r="B3076" s="16" t="s">
        <v>865</v>
      </c>
      <c r="C3076" t="s">
        <v>8</v>
      </c>
      <c r="D3076" t="s">
        <v>48</v>
      </c>
      <c r="E3076" s="17">
        <v>6</v>
      </c>
      <c r="F3076" s="17">
        <v>35.35</v>
      </c>
      <c r="G3076" s="18">
        <v>212.1</v>
      </c>
      <c r="H3076" s="30" t="s">
        <v>2310</v>
      </c>
      <c r="J3076" s="34"/>
    </row>
    <row r="3077" spans="1:10" x14ac:dyDescent="0.25">
      <c r="A3077" s="15">
        <v>40935</v>
      </c>
      <c r="B3077" s="16" t="s">
        <v>869</v>
      </c>
      <c r="C3077" t="s">
        <v>8</v>
      </c>
      <c r="D3077" t="s">
        <v>48</v>
      </c>
      <c r="E3077" s="17">
        <v>9.5</v>
      </c>
      <c r="F3077" s="17">
        <v>35.35</v>
      </c>
      <c r="G3077" s="18">
        <v>335.82499999999999</v>
      </c>
      <c r="H3077" s="30" t="s">
        <v>2310</v>
      </c>
      <c r="J3077" s="34"/>
    </row>
    <row r="3078" spans="1:10" x14ac:dyDescent="0.25">
      <c r="A3078" s="15">
        <v>40935</v>
      </c>
      <c r="B3078" s="16" t="s">
        <v>865</v>
      </c>
      <c r="C3078" t="s">
        <v>8</v>
      </c>
      <c r="D3078" t="s">
        <v>48</v>
      </c>
      <c r="E3078" s="17">
        <v>6.5</v>
      </c>
      <c r="F3078" s="17">
        <v>35.35</v>
      </c>
      <c r="G3078" s="18">
        <v>229.77500000000001</v>
      </c>
      <c r="H3078" s="30" t="s">
        <v>2310</v>
      </c>
      <c r="J3078" s="34"/>
    </row>
    <row r="3079" spans="1:10" x14ac:dyDescent="0.25">
      <c r="A3079" s="15">
        <v>40935</v>
      </c>
      <c r="B3079" s="16" t="s">
        <v>863</v>
      </c>
      <c r="C3079" t="s">
        <v>864</v>
      </c>
      <c r="D3079" t="s">
        <v>48</v>
      </c>
      <c r="E3079" s="17">
        <v>6.25</v>
      </c>
      <c r="F3079" s="17">
        <v>110</v>
      </c>
      <c r="G3079" s="18">
        <v>687.5</v>
      </c>
      <c r="H3079" s="30" t="s">
        <v>2310</v>
      </c>
      <c r="J3079" s="34"/>
    </row>
    <row r="3080" spans="1:10" x14ac:dyDescent="0.25">
      <c r="A3080" s="15">
        <v>40938</v>
      </c>
      <c r="B3080" s="16" t="s">
        <v>869</v>
      </c>
      <c r="C3080" t="s">
        <v>8</v>
      </c>
      <c r="D3080" t="s">
        <v>48</v>
      </c>
      <c r="E3080" s="17">
        <v>6</v>
      </c>
      <c r="F3080" s="17">
        <v>35.35</v>
      </c>
      <c r="G3080" s="18">
        <v>212.1</v>
      </c>
      <c r="H3080" s="30" t="s">
        <v>2310</v>
      </c>
      <c r="J3080" s="34"/>
    </row>
    <row r="3081" spans="1:10" x14ac:dyDescent="0.25">
      <c r="A3081" s="15">
        <v>40938</v>
      </c>
      <c r="B3081" s="16" t="s">
        <v>863</v>
      </c>
      <c r="C3081" t="s">
        <v>864</v>
      </c>
      <c r="D3081" t="s">
        <v>48</v>
      </c>
      <c r="E3081" s="17">
        <v>5</v>
      </c>
      <c r="F3081" s="17">
        <v>110</v>
      </c>
      <c r="G3081" s="18">
        <v>550</v>
      </c>
      <c r="H3081" s="30" t="s">
        <v>2310</v>
      </c>
      <c r="J3081" s="34"/>
    </row>
    <row r="3082" spans="1:10" x14ac:dyDescent="0.25">
      <c r="A3082" s="15">
        <v>40939</v>
      </c>
      <c r="B3082" s="16" t="s">
        <v>865</v>
      </c>
      <c r="C3082" t="s">
        <v>8</v>
      </c>
      <c r="D3082" t="s">
        <v>48</v>
      </c>
      <c r="E3082" s="17">
        <v>2</v>
      </c>
      <c r="F3082" s="17">
        <v>35.35</v>
      </c>
      <c r="G3082" s="18">
        <v>70.7</v>
      </c>
      <c r="H3082" s="30" t="s">
        <v>2310</v>
      </c>
      <c r="J3082" s="34"/>
    </row>
    <row r="3083" spans="1:10" x14ac:dyDescent="0.25">
      <c r="A3083" s="15">
        <v>40939</v>
      </c>
      <c r="B3083" s="16" t="s">
        <v>865</v>
      </c>
      <c r="C3083" t="s">
        <v>8</v>
      </c>
      <c r="D3083" t="s">
        <v>48</v>
      </c>
      <c r="E3083" s="17">
        <v>2</v>
      </c>
      <c r="F3083" s="17">
        <v>35.35</v>
      </c>
      <c r="G3083" s="18">
        <v>70.7</v>
      </c>
      <c r="H3083" s="30" t="s">
        <v>2310</v>
      </c>
      <c r="J3083" s="34"/>
    </row>
    <row r="3084" spans="1:10" x14ac:dyDescent="0.25">
      <c r="A3084" s="15">
        <v>40939</v>
      </c>
      <c r="B3084" s="16" t="s">
        <v>865</v>
      </c>
      <c r="C3084" t="s">
        <v>8</v>
      </c>
      <c r="D3084" t="s">
        <v>48</v>
      </c>
      <c r="E3084" s="17">
        <v>2</v>
      </c>
      <c r="F3084" s="17">
        <v>35.35</v>
      </c>
      <c r="G3084" s="18">
        <v>70.7</v>
      </c>
      <c r="H3084" s="30" t="s">
        <v>2310</v>
      </c>
      <c r="J3084" s="34"/>
    </row>
    <row r="3085" spans="1:10" x14ac:dyDescent="0.25">
      <c r="A3085" s="15">
        <v>40939</v>
      </c>
      <c r="B3085" s="16" t="s">
        <v>863</v>
      </c>
      <c r="C3085" t="s">
        <v>864</v>
      </c>
      <c r="D3085" t="s">
        <v>48</v>
      </c>
      <c r="E3085" s="17">
        <v>5</v>
      </c>
      <c r="F3085" s="17">
        <v>110</v>
      </c>
      <c r="G3085" s="18">
        <v>550</v>
      </c>
      <c r="H3085" s="30" t="s">
        <v>2310</v>
      </c>
      <c r="J3085" s="34"/>
    </row>
    <row r="3086" spans="1:10" x14ac:dyDescent="0.25">
      <c r="A3086" s="15">
        <v>40942</v>
      </c>
      <c r="B3086" s="16" t="s">
        <v>1198</v>
      </c>
      <c r="C3086" t="s">
        <v>1199</v>
      </c>
      <c r="D3086" t="s">
        <v>783</v>
      </c>
      <c r="E3086" s="17">
        <v>1</v>
      </c>
      <c r="F3086" s="17">
        <v>510</v>
      </c>
      <c r="G3086" s="18">
        <v>510</v>
      </c>
      <c r="H3086" s="30" t="s">
        <v>2310</v>
      </c>
      <c r="J3086" s="34"/>
    </row>
    <row r="3087" spans="1:10" x14ac:dyDescent="0.25">
      <c r="A3087" s="15">
        <v>40947</v>
      </c>
      <c r="B3087" s="16" t="s">
        <v>1200</v>
      </c>
      <c r="C3087" t="s">
        <v>1201</v>
      </c>
      <c r="D3087" t="s">
        <v>783</v>
      </c>
      <c r="E3087" s="17">
        <v>4</v>
      </c>
      <c r="F3087" s="17">
        <v>229</v>
      </c>
      <c r="G3087" s="18">
        <v>916</v>
      </c>
      <c r="H3087" s="30" t="s">
        <v>2310</v>
      </c>
      <c r="J3087" s="34"/>
    </row>
    <row r="3088" spans="1:10" x14ac:dyDescent="0.25">
      <c r="A3088" s="15">
        <v>40947</v>
      </c>
      <c r="B3088" s="16" t="s">
        <v>869</v>
      </c>
      <c r="C3088" t="s">
        <v>8</v>
      </c>
      <c r="D3088" t="s">
        <v>48</v>
      </c>
      <c r="E3088" s="17">
        <v>3.5</v>
      </c>
      <c r="F3088" s="17">
        <v>35.35</v>
      </c>
      <c r="G3088" s="18">
        <v>123.72499999999999</v>
      </c>
      <c r="H3088" s="30" t="s">
        <v>2310</v>
      </c>
      <c r="J3088" s="34"/>
    </row>
    <row r="3089" spans="1:10" x14ac:dyDescent="0.25">
      <c r="A3089" s="15">
        <v>40947</v>
      </c>
      <c r="B3089" s="16" t="s">
        <v>867</v>
      </c>
      <c r="C3089" t="s">
        <v>868</v>
      </c>
      <c r="D3089" t="s">
        <v>48</v>
      </c>
      <c r="E3089" s="17">
        <v>6</v>
      </c>
      <c r="F3089" s="17">
        <v>90</v>
      </c>
      <c r="G3089" s="18">
        <v>540</v>
      </c>
      <c r="H3089" s="30" t="s">
        <v>2310</v>
      </c>
      <c r="J3089" s="34"/>
    </row>
    <row r="3090" spans="1:10" x14ac:dyDescent="0.25">
      <c r="A3090" s="15">
        <v>40947</v>
      </c>
      <c r="B3090" s="16" t="s">
        <v>865</v>
      </c>
      <c r="C3090" t="s">
        <v>8</v>
      </c>
      <c r="D3090" t="s">
        <v>48</v>
      </c>
      <c r="E3090" s="17">
        <v>8.5</v>
      </c>
      <c r="F3090" s="17">
        <v>35.35</v>
      </c>
      <c r="G3090" s="18">
        <v>300.47500000000002</v>
      </c>
      <c r="H3090" s="30" t="s">
        <v>2310</v>
      </c>
      <c r="J3090" s="34"/>
    </row>
    <row r="3091" spans="1:10" x14ac:dyDescent="0.25">
      <c r="A3091" s="15">
        <v>40947</v>
      </c>
      <c r="B3091" s="16" t="s">
        <v>865</v>
      </c>
      <c r="C3091" t="s">
        <v>8</v>
      </c>
      <c r="D3091" t="s">
        <v>48</v>
      </c>
      <c r="E3091" s="17">
        <v>8.5</v>
      </c>
      <c r="F3091" s="17">
        <v>35.35</v>
      </c>
      <c r="G3091" s="18">
        <v>300.47500000000002</v>
      </c>
      <c r="H3091" s="30" t="s">
        <v>2310</v>
      </c>
      <c r="J3091" s="34"/>
    </row>
    <row r="3092" spans="1:10" x14ac:dyDescent="0.25">
      <c r="A3092" s="15">
        <v>40949</v>
      </c>
      <c r="B3092" s="16" t="s">
        <v>865</v>
      </c>
      <c r="C3092" t="s">
        <v>8</v>
      </c>
      <c r="D3092" t="s">
        <v>48</v>
      </c>
      <c r="E3092" s="17">
        <v>3.5</v>
      </c>
      <c r="F3092" s="17">
        <v>35.35</v>
      </c>
      <c r="G3092" s="18">
        <v>123.72499999999999</v>
      </c>
      <c r="H3092" s="30" t="s">
        <v>2310</v>
      </c>
      <c r="J3092" s="34"/>
    </row>
    <row r="3093" spans="1:10" x14ac:dyDescent="0.25">
      <c r="A3093" s="15">
        <v>40949</v>
      </c>
      <c r="B3093" s="16" t="s">
        <v>867</v>
      </c>
      <c r="C3093" t="s">
        <v>868</v>
      </c>
      <c r="D3093" t="s">
        <v>48</v>
      </c>
      <c r="E3093" s="17">
        <v>3.5</v>
      </c>
      <c r="F3093" s="17">
        <v>90</v>
      </c>
      <c r="G3093" s="18">
        <v>315</v>
      </c>
      <c r="H3093" s="30" t="s">
        <v>2310</v>
      </c>
      <c r="J3093" s="34"/>
    </row>
    <row r="3094" spans="1:10" x14ac:dyDescent="0.25">
      <c r="A3094" s="15">
        <v>40949</v>
      </c>
      <c r="B3094" s="16" t="s">
        <v>930</v>
      </c>
      <c r="C3094" t="s">
        <v>864</v>
      </c>
      <c r="D3094" t="s">
        <v>48</v>
      </c>
      <c r="E3094" s="17">
        <v>7</v>
      </c>
      <c r="F3094" s="17">
        <v>110</v>
      </c>
      <c r="G3094" s="18">
        <v>770</v>
      </c>
      <c r="H3094" s="30" t="s">
        <v>2310</v>
      </c>
      <c r="J3094" s="34"/>
    </row>
    <row r="3095" spans="1:10" x14ac:dyDescent="0.25">
      <c r="A3095" s="15">
        <v>40949</v>
      </c>
      <c r="B3095" s="16" t="s">
        <v>865</v>
      </c>
      <c r="C3095" t="s">
        <v>8</v>
      </c>
      <c r="D3095" t="s">
        <v>48</v>
      </c>
      <c r="E3095" s="17">
        <v>8</v>
      </c>
      <c r="F3095" s="17">
        <v>35.35</v>
      </c>
      <c r="G3095" s="18">
        <v>282.8</v>
      </c>
      <c r="H3095" s="30" t="s">
        <v>2310</v>
      </c>
      <c r="J3095" s="34"/>
    </row>
    <row r="3096" spans="1:10" x14ac:dyDescent="0.25">
      <c r="A3096" s="15">
        <v>40949</v>
      </c>
      <c r="B3096" s="16" t="s">
        <v>865</v>
      </c>
      <c r="C3096" t="s">
        <v>8</v>
      </c>
      <c r="D3096" t="s">
        <v>48</v>
      </c>
      <c r="E3096" s="17">
        <v>3.5</v>
      </c>
      <c r="F3096" s="17">
        <v>35.35</v>
      </c>
      <c r="G3096" s="18">
        <v>123.72499999999999</v>
      </c>
      <c r="H3096" s="30" t="s">
        <v>2310</v>
      </c>
      <c r="J3096" s="34"/>
    </row>
    <row r="3097" spans="1:10" x14ac:dyDescent="0.25">
      <c r="A3097" s="15">
        <v>40949</v>
      </c>
      <c r="B3097" s="16" t="s">
        <v>865</v>
      </c>
      <c r="C3097" t="s">
        <v>8</v>
      </c>
      <c r="D3097" t="s">
        <v>48</v>
      </c>
      <c r="E3097" s="17">
        <v>3.5</v>
      </c>
      <c r="F3097" s="17">
        <v>35.35</v>
      </c>
      <c r="G3097" s="18">
        <v>123.72499999999999</v>
      </c>
      <c r="H3097" s="30" t="s">
        <v>2310</v>
      </c>
      <c r="J3097" s="34"/>
    </row>
    <row r="3098" spans="1:10" x14ac:dyDescent="0.25">
      <c r="A3098" s="15">
        <v>40949</v>
      </c>
      <c r="B3098" s="16" t="s">
        <v>865</v>
      </c>
      <c r="C3098" t="s">
        <v>8</v>
      </c>
      <c r="D3098" t="s">
        <v>48</v>
      </c>
      <c r="E3098" s="17">
        <v>3.5</v>
      </c>
      <c r="F3098" s="17">
        <v>35.35</v>
      </c>
      <c r="G3098" s="18">
        <v>123.72499999999999</v>
      </c>
      <c r="H3098" s="30" t="s">
        <v>2310</v>
      </c>
      <c r="J3098" s="34"/>
    </row>
    <row r="3099" spans="1:10" x14ac:dyDescent="0.25">
      <c r="A3099" s="15">
        <v>40952</v>
      </c>
      <c r="B3099" s="16" t="s">
        <v>867</v>
      </c>
      <c r="C3099" t="s">
        <v>868</v>
      </c>
      <c r="D3099" t="s">
        <v>48</v>
      </c>
      <c r="E3099" s="17">
        <v>6.5</v>
      </c>
      <c r="F3099" s="17">
        <v>90</v>
      </c>
      <c r="G3099" s="18">
        <v>585</v>
      </c>
      <c r="H3099" s="30" t="s">
        <v>2310</v>
      </c>
      <c r="J3099" s="34"/>
    </row>
    <row r="3100" spans="1:10" x14ac:dyDescent="0.25">
      <c r="A3100" s="15">
        <v>40952</v>
      </c>
      <c r="B3100" s="16" t="s">
        <v>930</v>
      </c>
      <c r="C3100" t="s">
        <v>864</v>
      </c>
      <c r="D3100" t="s">
        <v>48</v>
      </c>
      <c r="E3100" s="17">
        <v>7.75</v>
      </c>
      <c r="F3100" s="17">
        <v>110</v>
      </c>
      <c r="G3100" s="18">
        <v>852.5</v>
      </c>
      <c r="H3100" s="30" t="s">
        <v>2310</v>
      </c>
      <c r="J3100" s="34"/>
    </row>
    <row r="3101" spans="1:10" x14ac:dyDescent="0.25">
      <c r="A3101" s="15">
        <v>40952</v>
      </c>
      <c r="B3101" s="16" t="s">
        <v>869</v>
      </c>
      <c r="C3101" t="s">
        <v>8</v>
      </c>
      <c r="D3101" t="s">
        <v>48</v>
      </c>
      <c r="E3101" s="17">
        <v>6.5</v>
      </c>
      <c r="F3101" s="17">
        <v>35.35</v>
      </c>
      <c r="G3101" s="18">
        <v>229.77500000000001</v>
      </c>
      <c r="H3101" s="30" t="s">
        <v>2310</v>
      </c>
      <c r="J3101" s="34"/>
    </row>
    <row r="3102" spans="1:10" x14ac:dyDescent="0.25">
      <c r="A3102" s="15">
        <v>40952</v>
      </c>
      <c r="B3102" s="16" t="s">
        <v>865</v>
      </c>
      <c r="C3102" t="s">
        <v>8</v>
      </c>
      <c r="D3102" t="s">
        <v>48</v>
      </c>
      <c r="E3102" s="17">
        <v>4.5</v>
      </c>
      <c r="F3102" s="17">
        <v>35.35</v>
      </c>
      <c r="G3102" s="18">
        <v>159.07499999999999</v>
      </c>
      <c r="H3102" s="30" t="s">
        <v>2310</v>
      </c>
      <c r="J3102" s="34"/>
    </row>
    <row r="3103" spans="1:10" x14ac:dyDescent="0.25">
      <c r="A3103" s="15">
        <v>40952</v>
      </c>
      <c r="B3103" s="16" t="s">
        <v>865</v>
      </c>
      <c r="C3103" t="s">
        <v>8</v>
      </c>
      <c r="D3103" t="s">
        <v>48</v>
      </c>
      <c r="E3103" s="17">
        <v>6.5</v>
      </c>
      <c r="F3103" s="17">
        <v>35.35</v>
      </c>
      <c r="G3103" s="18">
        <v>229.77500000000001</v>
      </c>
      <c r="H3103" s="30" t="s">
        <v>2310</v>
      </c>
      <c r="J3103" s="34"/>
    </row>
    <row r="3104" spans="1:10" x14ac:dyDescent="0.25">
      <c r="A3104" s="15">
        <v>40953</v>
      </c>
      <c r="B3104" s="16" t="s">
        <v>867</v>
      </c>
      <c r="C3104" t="s">
        <v>868</v>
      </c>
      <c r="D3104" t="s">
        <v>48</v>
      </c>
      <c r="E3104" s="17">
        <v>8.5</v>
      </c>
      <c r="F3104" s="17">
        <v>90</v>
      </c>
      <c r="G3104" s="18">
        <v>765</v>
      </c>
      <c r="H3104" s="30" t="s">
        <v>2310</v>
      </c>
      <c r="J3104" s="34"/>
    </row>
    <row r="3105" spans="1:10" x14ac:dyDescent="0.25">
      <c r="A3105" s="15">
        <v>40953</v>
      </c>
      <c r="B3105" s="16" t="s">
        <v>863</v>
      </c>
      <c r="C3105" t="s">
        <v>864</v>
      </c>
      <c r="D3105" t="s">
        <v>48</v>
      </c>
      <c r="E3105" s="17">
        <v>8.5</v>
      </c>
      <c r="F3105" s="17">
        <v>110</v>
      </c>
      <c r="G3105" s="18">
        <v>935</v>
      </c>
      <c r="H3105" s="30" t="s">
        <v>2310</v>
      </c>
      <c r="J3105" s="34"/>
    </row>
    <row r="3106" spans="1:10" x14ac:dyDescent="0.25">
      <c r="A3106" s="15">
        <v>40953</v>
      </c>
      <c r="B3106" s="16" t="s">
        <v>869</v>
      </c>
      <c r="C3106" t="s">
        <v>8</v>
      </c>
      <c r="D3106" t="s">
        <v>48</v>
      </c>
      <c r="E3106" s="17">
        <v>9.5</v>
      </c>
      <c r="F3106" s="17">
        <v>35.35</v>
      </c>
      <c r="G3106" s="18">
        <v>335.82499999999999</v>
      </c>
      <c r="H3106" s="30" t="s">
        <v>2310</v>
      </c>
      <c r="J3106" s="34"/>
    </row>
    <row r="3107" spans="1:10" x14ac:dyDescent="0.25">
      <c r="A3107" s="15">
        <v>40953</v>
      </c>
      <c r="B3107" s="16" t="s">
        <v>865</v>
      </c>
      <c r="C3107" t="s">
        <v>8</v>
      </c>
      <c r="D3107" t="s">
        <v>48</v>
      </c>
      <c r="E3107" s="17">
        <v>9.5</v>
      </c>
      <c r="F3107" s="17">
        <v>35.35</v>
      </c>
      <c r="G3107" s="18">
        <v>335.82499999999999</v>
      </c>
      <c r="H3107" s="30" t="s">
        <v>2310</v>
      </c>
      <c r="J3107" s="34"/>
    </row>
    <row r="3108" spans="1:10" x14ac:dyDescent="0.25">
      <c r="A3108" s="15">
        <v>40953</v>
      </c>
      <c r="B3108" s="16" t="s">
        <v>865</v>
      </c>
      <c r="C3108" t="s">
        <v>8</v>
      </c>
      <c r="D3108" t="s">
        <v>48</v>
      </c>
      <c r="E3108" s="17">
        <v>9.5</v>
      </c>
      <c r="F3108" s="17">
        <v>35.35</v>
      </c>
      <c r="G3108" s="18">
        <v>335.82499999999999</v>
      </c>
      <c r="H3108" s="30" t="s">
        <v>2310</v>
      </c>
      <c r="J3108" s="34"/>
    </row>
    <row r="3109" spans="1:10" x14ac:dyDescent="0.25">
      <c r="A3109" s="15">
        <v>40956</v>
      </c>
      <c r="B3109" s="16" t="s">
        <v>865</v>
      </c>
      <c r="C3109" t="s">
        <v>8</v>
      </c>
      <c r="D3109" t="s">
        <v>48</v>
      </c>
      <c r="E3109" s="17">
        <v>2</v>
      </c>
      <c r="F3109" s="17">
        <v>35.35</v>
      </c>
      <c r="G3109" s="18">
        <v>70.7</v>
      </c>
      <c r="H3109" s="30" t="s">
        <v>2310</v>
      </c>
      <c r="J3109" s="34"/>
    </row>
    <row r="3110" spans="1:10" x14ac:dyDescent="0.25">
      <c r="A3110" s="15">
        <v>40962</v>
      </c>
      <c r="B3110" s="16" t="s">
        <v>867</v>
      </c>
      <c r="C3110" t="s">
        <v>868</v>
      </c>
      <c r="D3110" t="s">
        <v>48</v>
      </c>
      <c r="E3110" s="17">
        <v>3.75</v>
      </c>
      <c r="F3110" s="17">
        <v>90</v>
      </c>
      <c r="G3110" s="18">
        <v>337.5</v>
      </c>
      <c r="H3110" s="30" t="s">
        <v>2310</v>
      </c>
      <c r="J3110" s="34"/>
    </row>
    <row r="3111" spans="1:10" x14ac:dyDescent="0.25">
      <c r="A3111" s="15">
        <v>40962</v>
      </c>
      <c r="B3111" s="16" t="s">
        <v>865</v>
      </c>
      <c r="C3111" t="s">
        <v>8</v>
      </c>
      <c r="D3111" t="s">
        <v>48</v>
      </c>
      <c r="E3111" s="17">
        <v>5.5</v>
      </c>
      <c r="F3111" s="17">
        <v>35.35</v>
      </c>
      <c r="G3111" s="18">
        <v>194.42500000000001</v>
      </c>
      <c r="H3111" s="30" t="s">
        <v>2310</v>
      </c>
      <c r="J3111" s="34"/>
    </row>
    <row r="3112" spans="1:10" x14ac:dyDescent="0.25">
      <c r="A3112" s="15">
        <v>40962</v>
      </c>
      <c r="B3112" s="16" t="s">
        <v>880</v>
      </c>
      <c r="C3112" t="s">
        <v>881</v>
      </c>
      <c r="D3112" t="s">
        <v>48</v>
      </c>
      <c r="E3112" s="17">
        <v>4</v>
      </c>
      <c r="F3112" s="17">
        <v>95</v>
      </c>
      <c r="G3112" s="18">
        <v>380</v>
      </c>
      <c r="H3112" s="30" t="s">
        <v>2310</v>
      </c>
      <c r="J3112" s="34"/>
    </row>
    <row r="3113" spans="1:10" x14ac:dyDescent="0.25">
      <c r="A3113" s="15">
        <v>40962</v>
      </c>
      <c r="B3113" s="16" t="s">
        <v>865</v>
      </c>
      <c r="C3113" t="s">
        <v>8</v>
      </c>
      <c r="D3113" t="s">
        <v>48</v>
      </c>
      <c r="E3113" s="17">
        <v>2</v>
      </c>
      <c r="F3113" s="17">
        <v>35.35</v>
      </c>
      <c r="G3113" s="18">
        <v>70.7</v>
      </c>
      <c r="H3113" s="30" t="s">
        <v>2310</v>
      </c>
      <c r="J3113" s="34"/>
    </row>
    <row r="3114" spans="1:10" x14ac:dyDescent="0.25">
      <c r="A3114" s="15">
        <v>40962</v>
      </c>
      <c r="B3114" s="16" t="s">
        <v>869</v>
      </c>
      <c r="C3114" t="s">
        <v>8</v>
      </c>
      <c r="D3114" t="s">
        <v>48</v>
      </c>
      <c r="E3114" s="17">
        <v>5.5</v>
      </c>
      <c r="F3114" s="17">
        <v>35.35</v>
      </c>
      <c r="G3114" s="18">
        <v>194.42500000000001</v>
      </c>
      <c r="H3114" s="30" t="s">
        <v>2310</v>
      </c>
      <c r="J3114" s="34"/>
    </row>
    <row r="3115" spans="1:10" x14ac:dyDescent="0.25">
      <c r="A3115" s="15">
        <v>40967</v>
      </c>
      <c r="B3115" s="16" t="s">
        <v>869</v>
      </c>
      <c r="C3115" t="s">
        <v>8</v>
      </c>
      <c r="D3115" t="s">
        <v>48</v>
      </c>
      <c r="E3115" s="17">
        <v>3</v>
      </c>
      <c r="F3115" s="17">
        <v>35.35</v>
      </c>
      <c r="G3115" s="18">
        <v>106.05</v>
      </c>
      <c r="H3115" s="30" t="s">
        <v>2310</v>
      </c>
      <c r="J3115" s="34"/>
    </row>
    <row r="3116" spans="1:10" x14ac:dyDescent="0.25">
      <c r="A3116" s="15">
        <v>40967</v>
      </c>
      <c r="B3116" s="16" t="s">
        <v>867</v>
      </c>
      <c r="C3116" t="s">
        <v>868</v>
      </c>
      <c r="D3116" t="s">
        <v>48</v>
      </c>
      <c r="E3116" s="17">
        <v>2</v>
      </c>
      <c r="F3116" s="17">
        <v>90</v>
      </c>
      <c r="G3116" s="18">
        <v>180</v>
      </c>
      <c r="H3116" s="30" t="s">
        <v>2310</v>
      </c>
      <c r="J3116" s="34"/>
    </row>
    <row r="3117" spans="1:10" x14ac:dyDescent="0.25">
      <c r="A3117" s="15">
        <v>40967</v>
      </c>
      <c r="B3117" s="16" t="s">
        <v>865</v>
      </c>
      <c r="C3117" t="s">
        <v>8</v>
      </c>
      <c r="D3117" t="s">
        <v>48</v>
      </c>
      <c r="E3117" s="17">
        <v>3</v>
      </c>
      <c r="F3117" s="17">
        <v>35.35</v>
      </c>
      <c r="G3117" s="18">
        <v>106.05</v>
      </c>
      <c r="H3117" s="30" t="s">
        <v>2310</v>
      </c>
      <c r="J3117" s="34"/>
    </row>
    <row r="3118" spans="1:10" x14ac:dyDescent="0.25">
      <c r="A3118" s="15">
        <v>40976</v>
      </c>
      <c r="B3118" s="16" t="s">
        <v>865</v>
      </c>
      <c r="C3118" t="s">
        <v>8</v>
      </c>
      <c r="D3118" t="s">
        <v>48</v>
      </c>
      <c r="E3118" s="17">
        <v>2.5</v>
      </c>
      <c r="F3118" s="17">
        <v>35.35</v>
      </c>
      <c r="G3118" s="18">
        <v>88.375</v>
      </c>
      <c r="H3118" s="30" t="s">
        <v>2310</v>
      </c>
      <c r="J3118" s="34"/>
    </row>
    <row r="3119" spans="1:10" x14ac:dyDescent="0.25">
      <c r="A3119" s="15">
        <v>40976</v>
      </c>
      <c r="B3119" s="16" t="s">
        <v>865</v>
      </c>
      <c r="C3119" t="s">
        <v>8</v>
      </c>
      <c r="D3119" t="s">
        <v>48</v>
      </c>
      <c r="E3119" s="17">
        <v>1.5</v>
      </c>
      <c r="F3119" s="17">
        <v>35.35</v>
      </c>
      <c r="G3119" s="18">
        <v>53.024999999999999</v>
      </c>
      <c r="H3119" s="30" t="s">
        <v>2310</v>
      </c>
      <c r="J3119" s="34"/>
    </row>
    <row r="3120" spans="1:10" x14ac:dyDescent="0.25">
      <c r="A3120" s="15">
        <v>40976</v>
      </c>
      <c r="B3120" s="16" t="s">
        <v>865</v>
      </c>
      <c r="C3120" t="s">
        <v>8</v>
      </c>
      <c r="D3120" t="s">
        <v>48</v>
      </c>
      <c r="E3120" s="17">
        <v>2.5</v>
      </c>
      <c r="F3120" s="17">
        <v>35.35</v>
      </c>
      <c r="G3120" s="18">
        <v>88.375</v>
      </c>
      <c r="H3120" s="30" t="s">
        <v>2310</v>
      </c>
      <c r="J3120" s="34"/>
    </row>
    <row r="3121" spans="1:10" x14ac:dyDescent="0.25">
      <c r="A3121" s="15">
        <v>40977</v>
      </c>
      <c r="B3121" s="16" t="s">
        <v>865</v>
      </c>
      <c r="C3121" t="s">
        <v>8</v>
      </c>
      <c r="D3121" t="s">
        <v>48</v>
      </c>
      <c r="E3121" s="17">
        <v>3.5</v>
      </c>
      <c r="F3121" s="17">
        <v>35.35</v>
      </c>
      <c r="G3121" s="18">
        <v>123.72499999999999</v>
      </c>
      <c r="H3121" s="30" t="s">
        <v>2310</v>
      </c>
      <c r="J3121" s="34"/>
    </row>
    <row r="3122" spans="1:10" x14ac:dyDescent="0.25">
      <c r="A3122" s="15">
        <v>40977</v>
      </c>
      <c r="B3122" s="16" t="s">
        <v>865</v>
      </c>
      <c r="C3122" t="s">
        <v>8</v>
      </c>
      <c r="D3122" t="s">
        <v>48</v>
      </c>
      <c r="E3122" s="17">
        <v>10</v>
      </c>
      <c r="F3122" s="17">
        <v>35.35</v>
      </c>
      <c r="G3122" s="18">
        <v>353.5</v>
      </c>
      <c r="H3122" s="30" t="s">
        <v>2310</v>
      </c>
      <c r="J3122" s="34"/>
    </row>
    <row r="3123" spans="1:10" x14ac:dyDescent="0.25">
      <c r="A3123" s="15">
        <v>40977</v>
      </c>
      <c r="B3123" s="16" t="s">
        <v>870</v>
      </c>
      <c r="C3123" t="s">
        <v>871</v>
      </c>
      <c r="D3123" t="s">
        <v>48</v>
      </c>
      <c r="E3123" s="17">
        <v>10.5</v>
      </c>
      <c r="F3123" s="17">
        <v>85</v>
      </c>
      <c r="G3123" s="18">
        <v>892.5</v>
      </c>
      <c r="H3123" s="30" t="s">
        <v>2310</v>
      </c>
      <c r="J3123" s="34"/>
    </row>
    <row r="3124" spans="1:10" x14ac:dyDescent="0.25">
      <c r="A3124" s="15">
        <v>40977</v>
      </c>
      <c r="B3124" s="16" t="s">
        <v>869</v>
      </c>
      <c r="C3124" t="s">
        <v>8</v>
      </c>
      <c r="D3124" t="s">
        <v>48</v>
      </c>
      <c r="E3124" s="17">
        <v>6.5</v>
      </c>
      <c r="F3124" s="17">
        <v>35.35</v>
      </c>
      <c r="G3124" s="18">
        <v>229.77500000000001</v>
      </c>
      <c r="H3124" s="30" t="s">
        <v>2310</v>
      </c>
      <c r="J3124" s="34"/>
    </row>
    <row r="3125" spans="1:10" x14ac:dyDescent="0.25">
      <c r="A3125" s="15">
        <v>40977</v>
      </c>
      <c r="B3125" s="16" t="s">
        <v>872</v>
      </c>
      <c r="C3125" t="s">
        <v>864</v>
      </c>
      <c r="D3125" t="s">
        <v>48</v>
      </c>
      <c r="E3125" s="17">
        <v>10</v>
      </c>
      <c r="F3125" s="17">
        <v>100</v>
      </c>
      <c r="G3125" s="18">
        <v>1000</v>
      </c>
      <c r="H3125" s="30" t="s">
        <v>2310</v>
      </c>
      <c r="J3125" s="34"/>
    </row>
    <row r="3126" spans="1:10" x14ac:dyDescent="0.25">
      <c r="A3126" s="15">
        <v>40980</v>
      </c>
      <c r="B3126" s="16" t="s">
        <v>865</v>
      </c>
      <c r="C3126" t="s">
        <v>8</v>
      </c>
      <c r="D3126" t="s">
        <v>48</v>
      </c>
      <c r="E3126" s="17">
        <v>2</v>
      </c>
      <c r="F3126" s="17">
        <v>35.35</v>
      </c>
      <c r="G3126" s="18">
        <v>70.7</v>
      </c>
      <c r="H3126" s="30" t="s">
        <v>2310</v>
      </c>
      <c r="J3126" s="34"/>
    </row>
    <row r="3127" spans="1:10" x14ac:dyDescent="0.25">
      <c r="A3127" s="15">
        <v>40997</v>
      </c>
      <c r="B3127" s="16" t="s">
        <v>865</v>
      </c>
      <c r="C3127" t="s">
        <v>8</v>
      </c>
      <c r="D3127" t="s">
        <v>48</v>
      </c>
      <c r="E3127" s="17">
        <v>9.5</v>
      </c>
      <c r="F3127" s="17">
        <v>35.35</v>
      </c>
      <c r="G3127" s="18">
        <v>335.82499999999999</v>
      </c>
      <c r="H3127" s="30" t="s">
        <v>2310</v>
      </c>
      <c r="J3127" s="34"/>
    </row>
    <row r="3128" spans="1:10" x14ac:dyDescent="0.25">
      <c r="A3128" s="15">
        <v>40997</v>
      </c>
      <c r="B3128" s="16" t="s">
        <v>877</v>
      </c>
      <c r="C3128" t="s">
        <v>868</v>
      </c>
      <c r="D3128" t="s">
        <v>48</v>
      </c>
      <c r="E3128" s="17">
        <v>9</v>
      </c>
      <c r="F3128" s="17">
        <v>90</v>
      </c>
      <c r="G3128" s="18">
        <v>810</v>
      </c>
      <c r="H3128" s="30" t="s">
        <v>2310</v>
      </c>
      <c r="J3128" s="34"/>
    </row>
    <row r="3129" spans="1:10" x14ac:dyDescent="0.25">
      <c r="A3129" s="15">
        <v>40997</v>
      </c>
      <c r="B3129" s="16" t="s">
        <v>865</v>
      </c>
      <c r="C3129" t="s">
        <v>8</v>
      </c>
      <c r="D3129" t="s">
        <v>48</v>
      </c>
      <c r="E3129" s="17">
        <v>4</v>
      </c>
      <c r="F3129" s="17">
        <v>35.35</v>
      </c>
      <c r="G3129" s="18">
        <v>141.4</v>
      </c>
      <c r="H3129" s="30" t="s">
        <v>2310</v>
      </c>
      <c r="J3129" s="34"/>
    </row>
    <row r="3130" spans="1:10" x14ac:dyDescent="0.25">
      <c r="A3130" s="15">
        <v>40997</v>
      </c>
      <c r="B3130" s="16" t="s">
        <v>865</v>
      </c>
      <c r="C3130" t="s">
        <v>8</v>
      </c>
      <c r="D3130" t="s">
        <v>48</v>
      </c>
      <c r="E3130" s="17">
        <v>9.5</v>
      </c>
      <c r="F3130" s="17">
        <v>35.35</v>
      </c>
      <c r="G3130" s="18">
        <v>335.82499999999999</v>
      </c>
      <c r="H3130" s="30" t="s">
        <v>2310</v>
      </c>
      <c r="J3130" s="34"/>
    </row>
    <row r="3131" spans="1:10" x14ac:dyDescent="0.25">
      <c r="A3131" s="15">
        <v>40997</v>
      </c>
      <c r="B3131" s="16" t="s">
        <v>865</v>
      </c>
      <c r="C3131" t="s">
        <v>8</v>
      </c>
      <c r="D3131" t="s">
        <v>48</v>
      </c>
      <c r="E3131" s="17">
        <v>2.5</v>
      </c>
      <c r="F3131" s="17">
        <v>35.35</v>
      </c>
      <c r="G3131" s="18">
        <v>88.375</v>
      </c>
      <c r="H3131" s="30" t="s">
        <v>2310</v>
      </c>
      <c r="J3131" s="34"/>
    </row>
    <row r="3132" spans="1:10" x14ac:dyDescent="0.25">
      <c r="A3132" s="15">
        <v>41057</v>
      </c>
      <c r="B3132" s="16" t="s">
        <v>865</v>
      </c>
      <c r="C3132" t="s">
        <v>8</v>
      </c>
      <c r="D3132" t="s">
        <v>48</v>
      </c>
      <c r="E3132" s="17">
        <v>9.5</v>
      </c>
      <c r="F3132" s="17">
        <v>48</v>
      </c>
      <c r="G3132" s="18">
        <v>456</v>
      </c>
      <c r="H3132" s="30" t="s">
        <v>2310</v>
      </c>
      <c r="J3132" s="34"/>
    </row>
    <row r="3133" spans="1:10" x14ac:dyDescent="0.25">
      <c r="A3133" s="15">
        <v>41057</v>
      </c>
      <c r="B3133" s="16" t="s">
        <v>865</v>
      </c>
      <c r="C3133" t="s">
        <v>8</v>
      </c>
      <c r="D3133" t="s">
        <v>48</v>
      </c>
      <c r="E3133" s="17">
        <v>9.5</v>
      </c>
      <c r="F3133" s="17">
        <v>35.35</v>
      </c>
      <c r="G3133" s="18">
        <v>335.82499999999999</v>
      </c>
      <c r="H3133" s="30" t="s">
        <v>2310</v>
      </c>
      <c r="J3133" s="34"/>
    </row>
    <row r="3134" spans="1:10" x14ac:dyDescent="0.25">
      <c r="A3134" s="15">
        <v>41057</v>
      </c>
      <c r="B3134" s="16" t="s">
        <v>867</v>
      </c>
      <c r="C3134" t="s">
        <v>868</v>
      </c>
      <c r="D3134" t="s">
        <v>48</v>
      </c>
      <c r="E3134" s="17">
        <v>7.5</v>
      </c>
      <c r="F3134" s="17">
        <v>90</v>
      </c>
      <c r="G3134" s="18">
        <v>675</v>
      </c>
      <c r="H3134" s="30" t="s">
        <v>2310</v>
      </c>
      <c r="J3134" s="34"/>
    </row>
    <row r="3135" spans="1:10" x14ac:dyDescent="0.25">
      <c r="A3135" s="15">
        <v>41057</v>
      </c>
      <c r="B3135" s="16" t="s">
        <v>865</v>
      </c>
      <c r="C3135" t="s">
        <v>8</v>
      </c>
      <c r="D3135" t="s">
        <v>48</v>
      </c>
      <c r="E3135" s="17">
        <v>9.5</v>
      </c>
      <c r="F3135" s="17">
        <v>35.35</v>
      </c>
      <c r="G3135" s="18">
        <v>335.82499999999999</v>
      </c>
      <c r="H3135" s="30" t="s">
        <v>2310</v>
      </c>
      <c r="J3135" s="34"/>
    </row>
    <row r="3136" spans="1:10" x14ac:dyDescent="0.25">
      <c r="A3136" s="15">
        <v>41058</v>
      </c>
      <c r="B3136" s="16" t="s">
        <v>865</v>
      </c>
      <c r="C3136" t="s">
        <v>8</v>
      </c>
      <c r="D3136" t="s">
        <v>48</v>
      </c>
      <c r="E3136" s="17">
        <v>9.5</v>
      </c>
      <c r="F3136" s="17">
        <v>35.35</v>
      </c>
      <c r="G3136" s="18">
        <v>335.82499999999999</v>
      </c>
      <c r="H3136" s="30" t="s">
        <v>2310</v>
      </c>
      <c r="J3136" s="34"/>
    </row>
    <row r="3137" spans="1:10" x14ac:dyDescent="0.25">
      <c r="A3137" s="15">
        <v>41058</v>
      </c>
      <c r="B3137" s="16" t="s">
        <v>865</v>
      </c>
      <c r="C3137" t="s">
        <v>8</v>
      </c>
      <c r="D3137" t="s">
        <v>48</v>
      </c>
      <c r="E3137" s="17">
        <v>4</v>
      </c>
      <c r="F3137" s="17">
        <v>48</v>
      </c>
      <c r="G3137" s="18">
        <v>192</v>
      </c>
      <c r="H3137" s="30" t="s">
        <v>2310</v>
      </c>
      <c r="J3137" s="34"/>
    </row>
    <row r="3138" spans="1:10" x14ac:dyDescent="0.25">
      <c r="A3138" s="15">
        <v>41058</v>
      </c>
      <c r="B3138" s="16" t="s">
        <v>865</v>
      </c>
      <c r="C3138" t="s">
        <v>8</v>
      </c>
      <c r="D3138" t="s">
        <v>48</v>
      </c>
      <c r="E3138" s="17">
        <v>5.5</v>
      </c>
      <c r="F3138" s="17">
        <v>35.35</v>
      </c>
      <c r="G3138" s="18">
        <v>194.42500000000001</v>
      </c>
      <c r="H3138" s="30" t="s">
        <v>2310</v>
      </c>
      <c r="J3138" s="34"/>
    </row>
    <row r="3139" spans="1:10" x14ac:dyDescent="0.25">
      <c r="A3139" s="15">
        <v>41059</v>
      </c>
      <c r="B3139" s="16" t="s">
        <v>865</v>
      </c>
      <c r="C3139" t="s">
        <v>8</v>
      </c>
      <c r="D3139" t="s">
        <v>48</v>
      </c>
      <c r="E3139" s="17">
        <v>7</v>
      </c>
      <c r="F3139" s="17">
        <v>35.35</v>
      </c>
      <c r="G3139" s="18">
        <v>247.45</v>
      </c>
      <c r="H3139" s="30" t="s">
        <v>2310</v>
      </c>
      <c r="J3139" s="34"/>
    </row>
    <row r="3140" spans="1:10" x14ac:dyDescent="0.25">
      <c r="A3140" s="15">
        <v>41059</v>
      </c>
      <c r="B3140" s="16" t="s">
        <v>865</v>
      </c>
      <c r="C3140" t="s">
        <v>8</v>
      </c>
      <c r="D3140" t="s">
        <v>48</v>
      </c>
      <c r="E3140" s="17">
        <v>3</v>
      </c>
      <c r="F3140" s="17">
        <v>35.35</v>
      </c>
      <c r="G3140" s="18">
        <v>106.05</v>
      </c>
      <c r="H3140" s="30" t="s">
        <v>2310</v>
      </c>
      <c r="J3140" s="34"/>
    </row>
    <row r="3141" spans="1:10" x14ac:dyDescent="0.25">
      <c r="A3141" s="15">
        <v>41059</v>
      </c>
      <c r="B3141" s="16" t="s">
        <v>867</v>
      </c>
      <c r="C3141" t="s">
        <v>868</v>
      </c>
      <c r="D3141" t="s">
        <v>48</v>
      </c>
      <c r="E3141" s="17">
        <v>8.85</v>
      </c>
      <c r="F3141" s="17">
        <v>90</v>
      </c>
      <c r="G3141" s="18">
        <v>796.5</v>
      </c>
      <c r="H3141" s="30" t="s">
        <v>2310</v>
      </c>
      <c r="J3141" s="34"/>
    </row>
    <row r="3142" spans="1:10" x14ac:dyDescent="0.25">
      <c r="A3142" s="15">
        <v>41062</v>
      </c>
      <c r="B3142" s="16" t="s">
        <v>865</v>
      </c>
      <c r="C3142" t="s">
        <v>8</v>
      </c>
      <c r="D3142" t="s">
        <v>48</v>
      </c>
      <c r="E3142" s="17">
        <v>4</v>
      </c>
      <c r="F3142" s="17">
        <v>35.35</v>
      </c>
      <c r="G3142" s="18">
        <v>141.4</v>
      </c>
      <c r="H3142" s="30" t="s">
        <v>2310</v>
      </c>
      <c r="J3142" s="34"/>
    </row>
    <row r="3143" spans="1:10" x14ac:dyDescent="0.25">
      <c r="A3143" s="15">
        <v>41062</v>
      </c>
      <c r="B3143" s="16" t="s">
        <v>865</v>
      </c>
      <c r="C3143" t="s">
        <v>8</v>
      </c>
      <c r="D3143" t="s">
        <v>48</v>
      </c>
      <c r="E3143" s="17">
        <v>4</v>
      </c>
      <c r="F3143" s="17">
        <v>35.35</v>
      </c>
      <c r="G3143" s="18">
        <v>141.4</v>
      </c>
      <c r="H3143" s="30" t="s">
        <v>2310</v>
      </c>
      <c r="J3143" s="34"/>
    </row>
    <row r="3144" spans="1:10" x14ac:dyDescent="0.25">
      <c r="A3144" s="15">
        <v>41065</v>
      </c>
      <c r="B3144" s="16" t="s">
        <v>865</v>
      </c>
      <c r="C3144" t="s">
        <v>8</v>
      </c>
      <c r="D3144" t="s">
        <v>48</v>
      </c>
      <c r="E3144" s="17">
        <v>4</v>
      </c>
      <c r="F3144" s="17">
        <v>35.35</v>
      </c>
      <c r="G3144" s="18">
        <v>141.4</v>
      </c>
      <c r="H3144" s="30" t="s">
        <v>2310</v>
      </c>
      <c r="J3144" s="34"/>
    </row>
    <row r="3145" spans="1:10" x14ac:dyDescent="0.25">
      <c r="A3145" s="15">
        <v>41067</v>
      </c>
      <c r="B3145" s="16" t="s">
        <v>865</v>
      </c>
      <c r="C3145" t="s">
        <v>8</v>
      </c>
      <c r="D3145" t="s">
        <v>48</v>
      </c>
      <c r="E3145" s="17">
        <v>2.5</v>
      </c>
      <c r="F3145" s="17">
        <v>35.35</v>
      </c>
      <c r="G3145" s="18">
        <v>88.375</v>
      </c>
      <c r="H3145" s="30" t="s">
        <v>2310</v>
      </c>
      <c r="J3145" s="34"/>
    </row>
    <row r="3146" spans="1:10" x14ac:dyDescent="0.25">
      <c r="A3146" s="15">
        <v>41067</v>
      </c>
      <c r="B3146" s="16" t="s">
        <v>865</v>
      </c>
      <c r="C3146" t="s">
        <v>8</v>
      </c>
      <c r="D3146" t="s">
        <v>48</v>
      </c>
      <c r="E3146" s="17">
        <v>2.5</v>
      </c>
      <c r="F3146" s="17">
        <v>35.35</v>
      </c>
      <c r="G3146" s="18">
        <v>88.375</v>
      </c>
      <c r="H3146" s="30" t="s">
        <v>2310</v>
      </c>
      <c r="J3146" s="34"/>
    </row>
    <row r="3147" spans="1:10" x14ac:dyDescent="0.25">
      <c r="A3147" s="15">
        <v>41067</v>
      </c>
      <c r="B3147" s="16" t="s">
        <v>877</v>
      </c>
      <c r="C3147" t="s">
        <v>868</v>
      </c>
      <c r="D3147" t="s">
        <v>48</v>
      </c>
      <c r="E3147" s="17">
        <v>2.5</v>
      </c>
      <c r="F3147" s="17">
        <v>90</v>
      </c>
      <c r="G3147" s="18">
        <v>225</v>
      </c>
      <c r="H3147" s="30" t="s">
        <v>2310</v>
      </c>
      <c r="J3147" s="34"/>
    </row>
    <row r="3148" spans="1:10" x14ac:dyDescent="0.25">
      <c r="A3148" s="15">
        <v>41068</v>
      </c>
      <c r="B3148" s="16" t="s">
        <v>865</v>
      </c>
      <c r="C3148" t="s">
        <v>8</v>
      </c>
      <c r="D3148" t="s">
        <v>48</v>
      </c>
      <c r="E3148" s="17">
        <v>6</v>
      </c>
      <c r="F3148" s="17">
        <v>35.35</v>
      </c>
      <c r="G3148" s="18">
        <v>212.1</v>
      </c>
      <c r="H3148" s="30" t="s">
        <v>2310</v>
      </c>
      <c r="J3148" s="34"/>
    </row>
    <row r="3149" spans="1:10" x14ac:dyDescent="0.25">
      <c r="A3149" s="15">
        <v>41068</v>
      </c>
      <c r="B3149" s="16" t="s">
        <v>865</v>
      </c>
      <c r="C3149" t="s">
        <v>8</v>
      </c>
      <c r="D3149" t="s">
        <v>48</v>
      </c>
      <c r="E3149" s="17">
        <v>3</v>
      </c>
      <c r="F3149" s="17">
        <v>35.35</v>
      </c>
      <c r="G3149" s="18">
        <v>106.05</v>
      </c>
      <c r="H3149" s="30" t="s">
        <v>2310</v>
      </c>
      <c r="J3149" s="34"/>
    </row>
    <row r="3150" spans="1:10" x14ac:dyDescent="0.25">
      <c r="A3150" s="15">
        <v>41068</v>
      </c>
      <c r="B3150" s="16" t="s">
        <v>865</v>
      </c>
      <c r="C3150" t="s">
        <v>8</v>
      </c>
      <c r="D3150" t="s">
        <v>48</v>
      </c>
      <c r="E3150" s="17">
        <v>3</v>
      </c>
      <c r="F3150" s="17">
        <v>48</v>
      </c>
      <c r="G3150" s="18">
        <v>144</v>
      </c>
      <c r="H3150" s="30" t="s">
        <v>2310</v>
      </c>
      <c r="J3150" s="34"/>
    </row>
    <row r="3151" spans="1:10" x14ac:dyDescent="0.25">
      <c r="A3151" s="15">
        <v>41068</v>
      </c>
      <c r="B3151" s="16" t="s">
        <v>877</v>
      </c>
      <c r="C3151" t="s">
        <v>868</v>
      </c>
      <c r="D3151" t="s">
        <v>48</v>
      </c>
      <c r="E3151" s="17">
        <v>6</v>
      </c>
      <c r="F3151" s="17">
        <v>90</v>
      </c>
      <c r="G3151" s="18">
        <v>540</v>
      </c>
      <c r="H3151" s="30" t="s">
        <v>2310</v>
      </c>
      <c r="J3151" s="34"/>
    </row>
    <row r="3152" spans="1:10" x14ac:dyDescent="0.25">
      <c r="A3152" s="15">
        <v>41068</v>
      </c>
      <c r="B3152" s="16" t="s">
        <v>865</v>
      </c>
      <c r="C3152" t="s">
        <v>8</v>
      </c>
      <c r="D3152" t="s">
        <v>48</v>
      </c>
      <c r="E3152" s="17">
        <v>6</v>
      </c>
      <c r="F3152" s="17">
        <v>35.35</v>
      </c>
      <c r="G3152" s="18">
        <v>212.1</v>
      </c>
      <c r="H3152" s="30" t="s">
        <v>2310</v>
      </c>
      <c r="J3152" s="34"/>
    </row>
    <row r="3153" spans="1:10" x14ac:dyDescent="0.25">
      <c r="A3153" s="15">
        <v>41072</v>
      </c>
      <c r="B3153" s="16" t="s">
        <v>877</v>
      </c>
      <c r="C3153" t="s">
        <v>868</v>
      </c>
      <c r="D3153" t="s">
        <v>48</v>
      </c>
      <c r="E3153" s="17">
        <v>4</v>
      </c>
      <c r="F3153" s="17">
        <v>90</v>
      </c>
      <c r="G3153" s="18">
        <v>360</v>
      </c>
      <c r="H3153" s="30" t="s">
        <v>2310</v>
      </c>
      <c r="J3153" s="34"/>
    </row>
    <row r="3154" spans="1:10" x14ac:dyDescent="0.25">
      <c r="A3154" s="15">
        <v>41072</v>
      </c>
      <c r="B3154" s="16" t="s">
        <v>865</v>
      </c>
      <c r="C3154" t="s">
        <v>8</v>
      </c>
      <c r="D3154" t="s">
        <v>48</v>
      </c>
      <c r="E3154" s="17">
        <v>4</v>
      </c>
      <c r="F3154" s="17">
        <v>35.35</v>
      </c>
      <c r="G3154" s="18">
        <v>141.4</v>
      </c>
      <c r="H3154" s="30" t="s">
        <v>2310</v>
      </c>
      <c r="J3154" s="34"/>
    </row>
    <row r="3155" spans="1:10" x14ac:dyDescent="0.25">
      <c r="A3155" s="15">
        <v>41072</v>
      </c>
      <c r="B3155" s="16" t="s">
        <v>865</v>
      </c>
      <c r="C3155" t="s">
        <v>8</v>
      </c>
      <c r="D3155" t="s">
        <v>48</v>
      </c>
      <c r="E3155" s="17">
        <v>4</v>
      </c>
      <c r="F3155" s="17">
        <v>35.35</v>
      </c>
      <c r="G3155" s="18">
        <v>141.4</v>
      </c>
      <c r="H3155" s="30" t="s">
        <v>2310</v>
      </c>
      <c r="J3155" s="34"/>
    </row>
    <row r="3156" spans="1:10" x14ac:dyDescent="0.25">
      <c r="A3156" s="15">
        <v>41072</v>
      </c>
      <c r="B3156" s="16" t="s">
        <v>865</v>
      </c>
      <c r="C3156" t="s">
        <v>8</v>
      </c>
      <c r="D3156" t="s">
        <v>48</v>
      </c>
      <c r="E3156" s="17">
        <v>4</v>
      </c>
      <c r="F3156" s="17">
        <v>35.35</v>
      </c>
      <c r="G3156" s="18">
        <v>141.4</v>
      </c>
      <c r="H3156" s="30" t="s">
        <v>2310</v>
      </c>
      <c r="J3156" s="34"/>
    </row>
    <row r="3157" spans="1:10" x14ac:dyDescent="0.25">
      <c r="A3157" s="15">
        <v>41073</v>
      </c>
      <c r="B3157" s="16" t="s">
        <v>865</v>
      </c>
      <c r="C3157" t="s">
        <v>8</v>
      </c>
      <c r="D3157" t="s">
        <v>48</v>
      </c>
      <c r="E3157" s="17">
        <v>3</v>
      </c>
      <c r="F3157" s="17">
        <v>35.35</v>
      </c>
      <c r="G3157" s="18">
        <v>106.05</v>
      </c>
      <c r="H3157" s="30" t="s">
        <v>2310</v>
      </c>
      <c r="J3157" s="34"/>
    </row>
    <row r="3158" spans="1:10" x14ac:dyDescent="0.25">
      <c r="A3158" s="15">
        <v>41073</v>
      </c>
      <c r="B3158" s="16" t="s">
        <v>877</v>
      </c>
      <c r="C3158" t="s">
        <v>868</v>
      </c>
      <c r="D3158" t="s">
        <v>48</v>
      </c>
      <c r="E3158" s="17">
        <v>3</v>
      </c>
      <c r="F3158" s="17">
        <v>90</v>
      </c>
      <c r="G3158" s="18">
        <v>270</v>
      </c>
      <c r="H3158" s="30" t="s">
        <v>2310</v>
      </c>
      <c r="J3158" s="34"/>
    </row>
    <row r="3159" spans="1:10" x14ac:dyDescent="0.25">
      <c r="A3159" s="15">
        <v>41073</v>
      </c>
      <c r="B3159" s="16" t="s">
        <v>865</v>
      </c>
      <c r="C3159" t="s">
        <v>8</v>
      </c>
      <c r="D3159" t="s">
        <v>48</v>
      </c>
      <c r="E3159" s="17">
        <v>3</v>
      </c>
      <c r="F3159" s="17">
        <v>35.35</v>
      </c>
      <c r="G3159" s="18">
        <v>106.05</v>
      </c>
      <c r="H3159" s="30" t="s">
        <v>2310</v>
      </c>
      <c r="J3159" s="34"/>
    </row>
    <row r="3160" spans="1:10" x14ac:dyDescent="0.25">
      <c r="A3160" s="15">
        <v>41073</v>
      </c>
      <c r="B3160" s="16" t="s">
        <v>865</v>
      </c>
      <c r="C3160" t="s">
        <v>8</v>
      </c>
      <c r="D3160" t="s">
        <v>48</v>
      </c>
      <c r="E3160" s="17">
        <v>3</v>
      </c>
      <c r="F3160" s="17">
        <v>35.35</v>
      </c>
      <c r="G3160" s="18">
        <v>106.05</v>
      </c>
      <c r="H3160" s="30" t="s">
        <v>2310</v>
      </c>
      <c r="J3160" s="34"/>
    </row>
    <row r="3161" spans="1:10" x14ac:dyDescent="0.25">
      <c r="A3161" s="15">
        <v>41074</v>
      </c>
      <c r="B3161" s="16" t="s">
        <v>1202</v>
      </c>
      <c r="C3161" t="s">
        <v>1203</v>
      </c>
      <c r="D3161" t="s">
        <v>783</v>
      </c>
      <c r="E3161" s="17">
        <v>1</v>
      </c>
      <c r="F3161" s="17">
        <v>1720</v>
      </c>
      <c r="G3161" s="18">
        <v>1720</v>
      </c>
      <c r="H3161" s="30" t="s">
        <v>2310</v>
      </c>
      <c r="J3161" s="34"/>
    </row>
    <row r="3162" spans="1:10" x14ac:dyDescent="0.25">
      <c r="A3162" s="15">
        <v>41074</v>
      </c>
      <c r="B3162" s="16" t="s">
        <v>865</v>
      </c>
      <c r="C3162" t="s">
        <v>8</v>
      </c>
      <c r="D3162" t="s">
        <v>48</v>
      </c>
      <c r="E3162" s="17">
        <v>4</v>
      </c>
      <c r="F3162" s="17">
        <v>48</v>
      </c>
      <c r="G3162" s="18">
        <v>192</v>
      </c>
      <c r="H3162" s="30" t="s">
        <v>2310</v>
      </c>
      <c r="J3162" s="34"/>
    </row>
    <row r="3163" spans="1:10" x14ac:dyDescent="0.25">
      <c r="A3163" s="15">
        <v>41074</v>
      </c>
      <c r="B3163" s="16" t="s">
        <v>865</v>
      </c>
      <c r="C3163" t="s">
        <v>8</v>
      </c>
      <c r="D3163" t="s">
        <v>48</v>
      </c>
      <c r="E3163" s="17">
        <v>3</v>
      </c>
      <c r="F3163" s="17">
        <v>35.35</v>
      </c>
      <c r="G3163" s="18">
        <v>106.05</v>
      </c>
      <c r="H3163" s="30" t="s">
        <v>2310</v>
      </c>
      <c r="J3163" s="34"/>
    </row>
    <row r="3164" spans="1:10" x14ac:dyDescent="0.25">
      <c r="A3164" s="15">
        <v>41074</v>
      </c>
      <c r="B3164" s="16" t="s">
        <v>867</v>
      </c>
      <c r="C3164" t="s">
        <v>868</v>
      </c>
      <c r="D3164" t="s">
        <v>48</v>
      </c>
      <c r="E3164" s="17">
        <v>8.5</v>
      </c>
      <c r="F3164" s="17">
        <v>90</v>
      </c>
      <c r="G3164" s="18">
        <v>765</v>
      </c>
      <c r="H3164" s="30" t="s">
        <v>2310</v>
      </c>
      <c r="J3164" s="34"/>
    </row>
    <row r="3165" spans="1:10" x14ac:dyDescent="0.25">
      <c r="A3165" s="15">
        <v>41074</v>
      </c>
      <c r="B3165" s="16" t="s">
        <v>865</v>
      </c>
      <c r="C3165" t="s">
        <v>8</v>
      </c>
      <c r="D3165" t="s">
        <v>48</v>
      </c>
      <c r="E3165" s="17">
        <v>4</v>
      </c>
      <c r="F3165" s="17">
        <v>35.35</v>
      </c>
      <c r="G3165" s="18">
        <v>141.4</v>
      </c>
      <c r="H3165" s="30" t="s">
        <v>2310</v>
      </c>
      <c r="J3165" s="34"/>
    </row>
    <row r="3166" spans="1:10" x14ac:dyDescent="0.25">
      <c r="A3166" s="15">
        <v>41074</v>
      </c>
      <c r="B3166" s="16" t="s">
        <v>865</v>
      </c>
      <c r="C3166" t="s">
        <v>8</v>
      </c>
      <c r="D3166" t="s">
        <v>48</v>
      </c>
      <c r="E3166" s="17">
        <v>3</v>
      </c>
      <c r="F3166" s="17">
        <v>35.35</v>
      </c>
      <c r="G3166" s="18">
        <v>106.05</v>
      </c>
      <c r="H3166" s="30" t="s">
        <v>2310</v>
      </c>
      <c r="J3166" s="34"/>
    </row>
    <row r="3167" spans="1:10" x14ac:dyDescent="0.25">
      <c r="A3167" s="15">
        <v>41074</v>
      </c>
      <c r="B3167" s="16" t="s">
        <v>865</v>
      </c>
      <c r="C3167" t="s">
        <v>8</v>
      </c>
      <c r="D3167" t="s">
        <v>48</v>
      </c>
      <c r="E3167" s="17">
        <v>3</v>
      </c>
      <c r="F3167" s="17">
        <v>35.35</v>
      </c>
      <c r="G3167" s="18">
        <v>106.05</v>
      </c>
      <c r="H3167" s="30" t="s">
        <v>2310</v>
      </c>
      <c r="J3167" s="34"/>
    </row>
    <row r="3168" spans="1:10" x14ac:dyDescent="0.25">
      <c r="A3168" s="15">
        <v>41075</v>
      </c>
      <c r="B3168" s="16" t="s">
        <v>865</v>
      </c>
      <c r="C3168" t="s">
        <v>8</v>
      </c>
      <c r="D3168" t="s">
        <v>48</v>
      </c>
      <c r="E3168" s="17">
        <v>3</v>
      </c>
      <c r="F3168" s="17">
        <v>35.35</v>
      </c>
      <c r="G3168" s="18">
        <v>106.05</v>
      </c>
      <c r="H3168" s="30" t="s">
        <v>2310</v>
      </c>
      <c r="J3168" s="34"/>
    </row>
    <row r="3169" spans="1:10" x14ac:dyDescent="0.25">
      <c r="A3169" s="15">
        <v>41075</v>
      </c>
      <c r="B3169" s="16" t="s">
        <v>877</v>
      </c>
      <c r="C3169" t="s">
        <v>868</v>
      </c>
      <c r="D3169" t="s">
        <v>48</v>
      </c>
      <c r="E3169" s="17">
        <v>3</v>
      </c>
      <c r="F3169" s="17">
        <v>90</v>
      </c>
      <c r="G3169" s="18">
        <v>270</v>
      </c>
      <c r="H3169" s="30" t="s">
        <v>2310</v>
      </c>
      <c r="J3169" s="34"/>
    </row>
    <row r="3170" spans="1:10" x14ac:dyDescent="0.25">
      <c r="A3170" s="15">
        <v>41075</v>
      </c>
      <c r="B3170" s="16" t="s">
        <v>865</v>
      </c>
      <c r="C3170" t="s">
        <v>8</v>
      </c>
      <c r="D3170" t="s">
        <v>48</v>
      </c>
      <c r="E3170" s="17">
        <v>3</v>
      </c>
      <c r="F3170" s="17">
        <v>35.35</v>
      </c>
      <c r="G3170" s="18">
        <v>106.05</v>
      </c>
      <c r="H3170" s="30" t="s">
        <v>2310</v>
      </c>
      <c r="J3170" s="34"/>
    </row>
    <row r="3171" spans="1:10" x14ac:dyDescent="0.25">
      <c r="A3171" s="15">
        <v>41075</v>
      </c>
      <c r="B3171" s="16" t="s">
        <v>865</v>
      </c>
      <c r="C3171" t="s">
        <v>8</v>
      </c>
      <c r="D3171" t="s">
        <v>48</v>
      </c>
      <c r="E3171" s="17">
        <v>3</v>
      </c>
      <c r="F3171" s="17">
        <v>48</v>
      </c>
      <c r="G3171" s="18">
        <v>144</v>
      </c>
      <c r="H3171" s="30" t="s">
        <v>2310</v>
      </c>
      <c r="J3171" s="34"/>
    </row>
    <row r="3172" spans="1:10" x14ac:dyDescent="0.25">
      <c r="A3172" s="15">
        <v>41075</v>
      </c>
      <c r="B3172" s="16" t="s">
        <v>865</v>
      </c>
      <c r="C3172" t="s">
        <v>8</v>
      </c>
      <c r="D3172" t="s">
        <v>48</v>
      </c>
      <c r="E3172" s="17">
        <v>3</v>
      </c>
      <c r="F3172" s="17">
        <v>35.35</v>
      </c>
      <c r="G3172" s="18">
        <v>106.05</v>
      </c>
      <c r="H3172" s="30" t="s">
        <v>2310</v>
      </c>
      <c r="J3172" s="34"/>
    </row>
    <row r="3173" spans="1:10" x14ac:dyDescent="0.25">
      <c r="A3173" s="15">
        <v>41076</v>
      </c>
      <c r="B3173" s="16" t="s">
        <v>865</v>
      </c>
      <c r="C3173" t="s">
        <v>8</v>
      </c>
      <c r="D3173" t="s">
        <v>48</v>
      </c>
      <c r="E3173" s="17">
        <v>1</v>
      </c>
      <c r="F3173" s="17">
        <v>35.35</v>
      </c>
      <c r="G3173" s="18">
        <v>35.35</v>
      </c>
      <c r="H3173" s="30" t="s">
        <v>2310</v>
      </c>
      <c r="J3173" s="34"/>
    </row>
    <row r="3174" spans="1:10" x14ac:dyDescent="0.25">
      <c r="A3174" s="15">
        <v>41076</v>
      </c>
      <c r="B3174" s="16" t="s">
        <v>865</v>
      </c>
      <c r="C3174" t="s">
        <v>8</v>
      </c>
      <c r="D3174" t="s">
        <v>48</v>
      </c>
      <c r="E3174" s="17">
        <v>1</v>
      </c>
      <c r="F3174" s="17">
        <v>35.35</v>
      </c>
      <c r="G3174" s="18">
        <v>35.35</v>
      </c>
      <c r="H3174" s="30" t="s">
        <v>2310</v>
      </c>
      <c r="J3174" s="34"/>
    </row>
    <row r="3175" spans="1:10" x14ac:dyDescent="0.25">
      <c r="A3175" s="15">
        <v>41076</v>
      </c>
      <c r="B3175" s="16" t="s">
        <v>865</v>
      </c>
      <c r="C3175" t="s">
        <v>8</v>
      </c>
      <c r="D3175" t="s">
        <v>48</v>
      </c>
      <c r="E3175" s="17">
        <v>1</v>
      </c>
      <c r="F3175" s="17">
        <v>48</v>
      </c>
      <c r="G3175" s="18">
        <v>48</v>
      </c>
      <c r="H3175" s="30" t="s">
        <v>2310</v>
      </c>
      <c r="J3175" s="34"/>
    </row>
    <row r="3176" spans="1:10" x14ac:dyDescent="0.25">
      <c r="A3176" s="15">
        <v>41078</v>
      </c>
      <c r="B3176" s="16" t="s">
        <v>865</v>
      </c>
      <c r="C3176" t="s">
        <v>8</v>
      </c>
      <c r="D3176" t="s">
        <v>48</v>
      </c>
      <c r="E3176" s="17">
        <v>3</v>
      </c>
      <c r="F3176" s="17">
        <v>35.35</v>
      </c>
      <c r="G3176" s="18">
        <v>106.05</v>
      </c>
      <c r="H3176" s="30" t="s">
        <v>2310</v>
      </c>
      <c r="J3176" s="34"/>
    </row>
    <row r="3177" spans="1:10" x14ac:dyDescent="0.25">
      <c r="A3177" s="15">
        <v>41078</v>
      </c>
      <c r="B3177" s="16" t="s">
        <v>865</v>
      </c>
      <c r="C3177" t="s">
        <v>8</v>
      </c>
      <c r="D3177" t="s">
        <v>48</v>
      </c>
      <c r="E3177" s="17">
        <v>3</v>
      </c>
      <c r="F3177" s="17">
        <v>35.35</v>
      </c>
      <c r="G3177" s="18">
        <v>106.05</v>
      </c>
      <c r="H3177" s="30" t="s">
        <v>2310</v>
      </c>
      <c r="J3177" s="34"/>
    </row>
    <row r="3178" spans="1:10" x14ac:dyDescent="0.25">
      <c r="A3178" s="15">
        <v>41078</v>
      </c>
      <c r="B3178" s="16" t="s">
        <v>877</v>
      </c>
      <c r="C3178" t="s">
        <v>868</v>
      </c>
      <c r="D3178" t="s">
        <v>48</v>
      </c>
      <c r="E3178" s="17">
        <v>3</v>
      </c>
      <c r="F3178" s="17">
        <v>90</v>
      </c>
      <c r="G3178" s="18">
        <v>270</v>
      </c>
      <c r="H3178" s="30" t="s">
        <v>2310</v>
      </c>
      <c r="J3178" s="34"/>
    </row>
    <row r="3179" spans="1:10" x14ac:dyDescent="0.25">
      <c r="A3179" s="15">
        <v>41079</v>
      </c>
      <c r="B3179" s="16" t="s">
        <v>865</v>
      </c>
      <c r="C3179" t="s">
        <v>8</v>
      </c>
      <c r="D3179" t="s">
        <v>48</v>
      </c>
      <c r="E3179" s="17">
        <v>2</v>
      </c>
      <c r="F3179" s="17">
        <v>35.35</v>
      </c>
      <c r="G3179" s="18">
        <v>70.7</v>
      </c>
      <c r="H3179" s="30" t="s">
        <v>2310</v>
      </c>
      <c r="J3179" s="34"/>
    </row>
    <row r="3180" spans="1:10" x14ac:dyDescent="0.25">
      <c r="A3180" s="15">
        <v>41079</v>
      </c>
      <c r="B3180" s="16" t="s">
        <v>865</v>
      </c>
      <c r="C3180" t="s">
        <v>8</v>
      </c>
      <c r="D3180" t="s">
        <v>48</v>
      </c>
      <c r="E3180" s="17">
        <v>3</v>
      </c>
      <c r="F3180" s="17">
        <v>35.35</v>
      </c>
      <c r="G3180" s="18">
        <v>106.05</v>
      </c>
      <c r="H3180" s="30" t="s">
        <v>2310</v>
      </c>
      <c r="J3180" s="34"/>
    </row>
    <row r="3181" spans="1:10" x14ac:dyDescent="0.25">
      <c r="A3181" s="15">
        <v>41079</v>
      </c>
      <c r="B3181" s="16" t="s">
        <v>865</v>
      </c>
      <c r="C3181" t="s">
        <v>8</v>
      </c>
      <c r="D3181" t="s">
        <v>48</v>
      </c>
      <c r="E3181" s="17">
        <v>3</v>
      </c>
      <c r="F3181" s="17">
        <v>35.35</v>
      </c>
      <c r="G3181" s="18">
        <v>106.05</v>
      </c>
      <c r="H3181" s="30" t="s">
        <v>2310</v>
      </c>
      <c r="J3181" s="34"/>
    </row>
    <row r="3182" spans="1:10" x14ac:dyDescent="0.25">
      <c r="A3182" s="15">
        <v>41079</v>
      </c>
      <c r="B3182" s="16" t="s">
        <v>878</v>
      </c>
      <c r="C3182" t="s">
        <v>879</v>
      </c>
      <c r="D3182" t="s">
        <v>48</v>
      </c>
      <c r="E3182" s="17">
        <v>3.5</v>
      </c>
      <c r="F3182" s="17">
        <v>110</v>
      </c>
      <c r="G3182" s="18">
        <v>385</v>
      </c>
      <c r="H3182" s="30" t="s">
        <v>2310</v>
      </c>
      <c r="J3182" s="34"/>
    </row>
    <row r="3183" spans="1:10" x14ac:dyDescent="0.25">
      <c r="A3183" s="15">
        <v>41081</v>
      </c>
      <c r="B3183" s="16" t="s">
        <v>865</v>
      </c>
      <c r="C3183" t="s">
        <v>8</v>
      </c>
      <c r="D3183" t="s">
        <v>48</v>
      </c>
      <c r="E3183" s="17">
        <v>4</v>
      </c>
      <c r="F3183" s="17">
        <v>35.35</v>
      </c>
      <c r="G3183" s="18">
        <v>141.4</v>
      </c>
      <c r="H3183" s="30" t="s">
        <v>2310</v>
      </c>
      <c r="J3183" s="34"/>
    </row>
    <row r="3184" spans="1:10" x14ac:dyDescent="0.25">
      <c r="A3184" s="15">
        <v>41081</v>
      </c>
      <c r="B3184" s="16" t="s">
        <v>865</v>
      </c>
      <c r="C3184" t="s">
        <v>8</v>
      </c>
      <c r="D3184" t="s">
        <v>48</v>
      </c>
      <c r="E3184" s="17">
        <v>4</v>
      </c>
      <c r="F3184" s="17">
        <v>48</v>
      </c>
      <c r="G3184" s="18">
        <v>192</v>
      </c>
      <c r="H3184" s="30" t="s">
        <v>2310</v>
      </c>
      <c r="J3184" s="34"/>
    </row>
    <row r="3185" spans="1:10" x14ac:dyDescent="0.25">
      <c r="A3185" s="15">
        <v>41081</v>
      </c>
      <c r="B3185" s="16" t="s">
        <v>878</v>
      </c>
      <c r="C3185" t="s">
        <v>879</v>
      </c>
      <c r="D3185" t="s">
        <v>48</v>
      </c>
      <c r="E3185" s="17">
        <v>4.5</v>
      </c>
      <c r="F3185" s="17">
        <v>110</v>
      </c>
      <c r="G3185" s="18">
        <v>495</v>
      </c>
      <c r="H3185" s="30" t="s">
        <v>2310</v>
      </c>
      <c r="J3185" s="34"/>
    </row>
    <row r="3186" spans="1:10" x14ac:dyDescent="0.25">
      <c r="A3186" s="15">
        <v>41081</v>
      </c>
      <c r="B3186" s="16" t="s">
        <v>865</v>
      </c>
      <c r="C3186" t="s">
        <v>8</v>
      </c>
      <c r="D3186" t="s">
        <v>48</v>
      </c>
      <c r="E3186" s="17">
        <v>4</v>
      </c>
      <c r="F3186" s="17">
        <v>35.35</v>
      </c>
      <c r="G3186" s="18">
        <v>141.4</v>
      </c>
      <c r="H3186" s="30" t="s">
        <v>2310</v>
      </c>
      <c r="J3186" s="34"/>
    </row>
    <row r="3187" spans="1:10" x14ac:dyDescent="0.25">
      <c r="A3187" s="15">
        <v>41088</v>
      </c>
      <c r="B3187" s="16" t="s">
        <v>865</v>
      </c>
      <c r="C3187" t="s">
        <v>8</v>
      </c>
      <c r="D3187" t="s">
        <v>48</v>
      </c>
      <c r="E3187" s="17">
        <v>9.5</v>
      </c>
      <c r="F3187" s="17">
        <v>35.35</v>
      </c>
      <c r="G3187" s="18">
        <v>335.82499999999999</v>
      </c>
      <c r="H3187" s="30" t="s">
        <v>2310</v>
      </c>
      <c r="J3187" s="34"/>
    </row>
    <row r="3188" spans="1:10" x14ac:dyDescent="0.25">
      <c r="A3188" s="15">
        <v>41088</v>
      </c>
      <c r="B3188" s="16" t="s">
        <v>865</v>
      </c>
      <c r="C3188" t="s">
        <v>8</v>
      </c>
      <c r="D3188" t="s">
        <v>48</v>
      </c>
      <c r="E3188" s="17">
        <v>9.5</v>
      </c>
      <c r="F3188" s="17">
        <v>48</v>
      </c>
      <c r="G3188" s="18">
        <v>456</v>
      </c>
      <c r="H3188" s="30" t="s">
        <v>2310</v>
      </c>
      <c r="J3188" s="34"/>
    </row>
    <row r="3189" spans="1:10" x14ac:dyDescent="0.25">
      <c r="A3189" s="15">
        <v>41088</v>
      </c>
      <c r="B3189" s="16" t="s">
        <v>865</v>
      </c>
      <c r="C3189" t="s">
        <v>8</v>
      </c>
      <c r="D3189" t="s">
        <v>48</v>
      </c>
      <c r="E3189" s="17">
        <v>3</v>
      </c>
      <c r="F3189" s="17">
        <v>35.35</v>
      </c>
      <c r="G3189" s="18">
        <v>106.05</v>
      </c>
      <c r="H3189" s="30" t="s">
        <v>2310</v>
      </c>
      <c r="J3189" s="34"/>
    </row>
    <row r="3190" spans="1:10" x14ac:dyDescent="0.25">
      <c r="A3190" s="15">
        <v>41088</v>
      </c>
      <c r="B3190" s="16" t="s">
        <v>865</v>
      </c>
      <c r="C3190" t="s">
        <v>8</v>
      </c>
      <c r="D3190" t="s">
        <v>48</v>
      </c>
      <c r="E3190" s="17">
        <v>3</v>
      </c>
      <c r="F3190" s="17">
        <v>35.35</v>
      </c>
      <c r="G3190" s="18">
        <v>106.05</v>
      </c>
      <c r="H3190" s="30" t="s">
        <v>2310</v>
      </c>
      <c r="J3190" s="34"/>
    </row>
    <row r="3191" spans="1:10" x14ac:dyDescent="0.25">
      <c r="A3191" s="15">
        <v>41088</v>
      </c>
      <c r="B3191" s="16" t="s">
        <v>865</v>
      </c>
      <c r="C3191" t="s">
        <v>8</v>
      </c>
      <c r="D3191" t="s">
        <v>48</v>
      </c>
      <c r="E3191" s="17">
        <v>3</v>
      </c>
      <c r="F3191" s="17">
        <v>35.35</v>
      </c>
      <c r="G3191" s="18">
        <v>106.05</v>
      </c>
      <c r="H3191" s="30" t="s">
        <v>2310</v>
      </c>
      <c r="J3191" s="34"/>
    </row>
    <row r="3192" spans="1:10" x14ac:dyDescent="0.25">
      <c r="A3192" s="15">
        <v>41088</v>
      </c>
      <c r="B3192" s="16" t="s">
        <v>880</v>
      </c>
      <c r="C3192" t="s">
        <v>881</v>
      </c>
      <c r="D3192" t="s">
        <v>48</v>
      </c>
      <c r="E3192" s="17">
        <v>6</v>
      </c>
      <c r="F3192" s="17">
        <v>95</v>
      </c>
      <c r="G3192" s="18">
        <v>570</v>
      </c>
      <c r="H3192" s="30" t="s">
        <v>2310</v>
      </c>
      <c r="J3192" s="34"/>
    </row>
    <row r="3193" spans="1:10" x14ac:dyDescent="0.25">
      <c r="A3193" s="15">
        <v>41089</v>
      </c>
      <c r="B3193" s="16" t="s">
        <v>865</v>
      </c>
      <c r="C3193" t="s">
        <v>8</v>
      </c>
      <c r="D3193" t="s">
        <v>48</v>
      </c>
      <c r="E3193" s="17">
        <v>3</v>
      </c>
      <c r="F3193" s="17">
        <v>35.35</v>
      </c>
      <c r="G3193" s="18">
        <v>106.05</v>
      </c>
      <c r="H3193" s="30" t="s">
        <v>2310</v>
      </c>
      <c r="J3193" s="34"/>
    </row>
    <row r="3194" spans="1:10" x14ac:dyDescent="0.25">
      <c r="A3194" s="15">
        <v>41089</v>
      </c>
      <c r="B3194" s="16" t="s">
        <v>878</v>
      </c>
      <c r="C3194" t="s">
        <v>879</v>
      </c>
      <c r="D3194" t="s">
        <v>48</v>
      </c>
      <c r="E3194" s="17">
        <v>3</v>
      </c>
      <c r="F3194" s="17">
        <v>110</v>
      </c>
      <c r="G3194" s="18">
        <v>330</v>
      </c>
      <c r="H3194" s="30" t="s">
        <v>2310</v>
      </c>
      <c r="J3194" s="34"/>
    </row>
    <row r="3195" spans="1:10" x14ac:dyDescent="0.25">
      <c r="A3195" s="15">
        <v>41089</v>
      </c>
      <c r="B3195" s="16" t="s">
        <v>865</v>
      </c>
      <c r="C3195" t="s">
        <v>8</v>
      </c>
      <c r="D3195" t="s">
        <v>48</v>
      </c>
      <c r="E3195" s="17">
        <v>3</v>
      </c>
      <c r="F3195" s="17">
        <v>35.35</v>
      </c>
      <c r="G3195" s="18">
        <v>106.05</v>
      </c>
      <c r="H3195" s="30" t="s">
        <v>2310</v>
      </c>
      <c r="J3195" s="34"/>
    </row>
    <row r="3196" spans="1:10" x14ac:dyDescent="0.25">
      <c r="A3196" s="15">
        <v>41089</v>
      </c>
      <c r="B3196" s="16" t="s">
        <v>865</v>
      </c>
      <c r="C3196" t="s">
        <v>8</v>
      </c>
      <c r="D3196" t="s">
        <v>48</v>
      </c>
      <c r="E3196" s="17">
        <v>1</v>
      </c>
      <c r="F3196" s="17">
        <v>35.35</v>
      </c>
      <c r="G3196" s="18">
        <v>35.35</v>
      </c>
      <c r="H3196" s="30" t="s">
        <v>2310</v>
      </c>
      <c r="J3196" s="34"/>
    </row>
    <row r="3197" spans="1:10" x14ac:dyDescent="0.25">
      <c r="A3197" s="15">
        <v>41089</v>
      </c>
      <c r="B3197" s="16" t="s">
        <v>865</v>
      </c>
      <c r="C3197" t="s">
        <v>8</v>
      </c>
      <c r="D3197" t="s">
        <v>48</v>
      </c>
      <c r="E3197" s="17">
        <v>3</v>
      </c>
      <c r="F3197" s="17">
        <v>35.35</v>
      </c>
      <c r="G3197" s="18">
        <v>106.05</v>
      </c>
      <c r="H3197" s="30" t="s">
        <v>2310</v>
      </c>
      <c r="J3197" s="34"/>
    </row>
    <row r="3198" spans="1:10" x14ac:dyDescent="0.25">
      <c r="A3198" s="15">
        <v>41092</v>
      </c>
      <c r="B3198" s="16" t="s">
        <v>878</v>
      </c>
      <c r="C3198" t="s">
        <v>879</v>
      </c>
      <c r="D3198" t="s">
        <v>48</v>
      </c>
      <c r="E3198" s="17">
        <v>4.25</v>
      </c>
      <c r="F3198" s="17">
        <v>110</v>
      </c>
      <c r="G3198" s="18">
        <v>467.5</v>
      </c>
      <c r="H3198" s="30" t="s">
        <v>2310</v>
      </c>
      <c r="J3198" s="34"/>
    </row>
    <row r="3199" spans="1:10" ht="30" x14ac:dyDescent="0.25">
      <c r="A3199" s="15">
        <v>41127</v>
      </c>
      <c r="B3199" s="16" t="s">
        <v>1204</v>
      </c>
      <c r="C3199" t="s">
        <v>1192</v>
      </c>
      <c r="D3199" t="s">
        <v>783</v>
      </c>
      <c r="E3199" s="17">
        <v>1</v>
      </c>
      <c r="F3199" s="17">
        <v>259</v>
      </c>
      <c r="G3199" s="18">
        <v>259</v>
      </c>
      <c r="H3199" s="30" t="s">
        <v>2310</v>
      </c>
      <c r="J3199" s="34"/>
    </row>
    <row r="3200" spans="1:10" x14ac:dyDescent="0.25">
      <c r="A3200" s="15">
        <v>41137</v>
      </c>
      <c r="B3200" s="16" t="s">
        <v>865</v>
      </c>
      <c r="C3200" t="s">
        <v>8</v>
      </c>
      <c r="D3200" t="s">
        <v>48</v>
      </c>
      <c r="E3200" s="17">
        <v>10.5</v>
      </c>
      <c r="F3200" s="17">
        <v>35.35</v>
      </c>
      <c r="G3200" s="18">
        <v>371.17500000000001</v>
      </c>
      <c r="H3200" s="30" t="s">
        <v>2310</v>
      </c>
      <c r="J3200" s="34"/>
    </row>
    <row r="3201" spans="1:10" ht="30" x14ac:dyDescent="0.25">
      <c r="A3201" s="15">
        <v>41137</v>
      </c>
      <c r="B3201" s="16" t="s">
        <v>1205</v>
      </c>
      <c r="C3201" t="s">
        <v>1192</v>
      </c>
      <c r="D3201" t="s">
        <v>783</v>
      </c>
      <c r="E3201" s="17">
        <v>1</v>
      </c>
      <c r="F3201" s="17">
        <v>259</v>
      </c>
      <c r="G3201" s="18">
        <v>259</v>
      </c>
      <c r="H3201" s="30" t="s">
        <v>2310</v>
      </c>
      <c r="J3201" s="34"/>
    </row>
    <row r="3202" spans="1:10" x14ac:dyDescent="0.25">
      <c r="A3202" s="15">
        <v>41137</v>
      </c>
      <c r="B3202" s="16" t="s">
        <v>1048</v>
      </c>
      <c r="C3202" t="s">
        <v>8</v>
      </c>
      <c r="D3202" t="s">
        <v>48</v>
      </c>
      <c r="E3202" s="17">
        <v>7</v>
      </c>
      <c r="F3202" s="17">
        <v>48</v>
      </c>
      <c r="G3202" s="18">
        <v>336</v>
      </c>
      <c r="H3202" s="30" t="s">
        <v>2310</v>
      </c>
      <c r="J3202" s="34"/>
    </row>
    <row r="3203" spans="1:10" x14ac:dyDescent="0.25">
      <c r="A3203" s="15">
        <v>41137</v>
      </c>
      <c r="B3203" s="16" t="s">
        <v>865</v>
      </c>
      <c r="C3203" t="s">
        <v>8</v>
      </c>
      <c r="D3203" t="s">
        <v>48</v>
      </c>
      <c r="E3203" s="17">
        <v>4</v>
      </c>
      <c r="F3203" s="17">
        <v>35.35</v>
      </c>
      <c r="G3203" s="18">
        <v>141.4</v>
      </c>
      <c r="H3203" s="30" t="s">
        <v>2310</v>
      </c>
      <c r="J3203" s="34"/>
    </row>
    <row r="3204" spans="1:10" x14ac:dyDescent="0.25">
      <c r="A3204" s="15">
        <v>41137</v>
      </c>
      <c r="B3204" s="16" t="s">
        <v>878</v>
      </c>
      <c r="C3204" t="s">
        <v>879</v>
      </c>
      <c r="D3204" t="s">
        <v>48</v>
      </c>
      <c r="E3204" s="17">
        <v>7.5</v>
      </c>
      <c r="F3204" s="17">
        <v>110</v>
      </c>
      <c r="G3204" s="18">
        <v>825</v>
      </c>
      <c r="H3204" s="30" t="s">
        <v>2310</v>
      </c>
      <c r="J3204" s="34"/>
    </row>
    <row r="3205" spans="1:10" x14ac:dyDescent="0.25">
      <c r="A3205" s="15">
        <v>41137</v>
      </c>
      <c r="B3205" s="16" t="s">
        <v>865</v>
      </c>
      <c r="C3205" t="s">
        <v>8</v>
      </c>
      <c r="D3205" t="s">
        <v>48</v>
      </c>
      <c r="E3205" s="17">
        <v>10.5</v>
      </c>
      <c r="F3205" s="17">
        <v>35.35</v>
      </c>
      <c r="G3205" s="18">
        <v>371.17500000000001</v>
      </c>
      <c r="H3205" s="30" t="s">
        <v>2310</v>
      </c>
      <c r="J3205" s="34"/>
    </row>
    <row r="3206" spans="1:10" x14ac:dyDescent="0.25">
      <c r="A3206" s="15">
        <v>41137</v>
      </c>
      <c r="B3206" s="16" t="s">
        <v>887</v>
      </c>
      <c r="C3206" t="s">
        <v>873</v>
      </c>
      <c r="D3206" t="s">
        <v>48</v>
      </c>
      <c r="E3206" s="17">
        <v>2</v>
      </c>
      <c r="F3206" s="17">
        <v>95</v>
      </c>
      <c r="G3206" s="18">
        <v>190</v>
      </c>
      <c r="H3206" s="30" t="s">
        <v>2310</v>
      </c>
      <c r="J3206" s="34"/>
    </row>
    <row r="3207" spans="1:10" x14ac:dyDescent="0.25">
      <c r="A3207" s="15">
        <v>41138</v>
      </c>
      <c r="B3207" s="16" t="s">
        <v>878</v>
      </c>
      <c r="C3207" t="s">
        <v>879</v>
      </c>
      <c r="D3207" t="s">
        <v>48</v>
      </c>
      <c r="E3207" s="17">
        <v>6</v>
      </c>
      <c r="F3207" s="17">
        <v>110</v>
      </c>
      <c r="G3207" s="18">
        <v>660</v>
      </c>
      <c r="H3207" s="30" t="s">
        <v>2310</v>
      </c>
      <c r="J3207" s="34"/>
    </row>
    <row r="3208" spans="1:10" x14ac:dyDescent="0.25">
      <c r="A3208" s="15">
        <v>41138</v>
      </c>
      <c r="B3208" s="16" t="s">
        <v>920</v>
      </c>
      <c r="C3208" t="s">
        <v>871</v>
      </c>
      <c r="D3208" t="s">
        <v>48</v>
      </c>
      <c r="E3208" s="17">
        <v>2</v>
      </c>
      <c r="F3208" s="17">
        <v>130</v>
      </c>
      <c r="G3208" s="18">
        <v>260</v>
      </c>
      <c r="H3208" s="30" t="s">
        <v>2310</v>
      </c>
      <c r="J3208" s="34"/>
    </row>
    <row r="3209" spans="1:10" x14ac:dyDescent="0.25">
      <c r="A3209" s="15">
        <v>41138</v>
      </c>
      <c r="B3209" s="16" t="s">
        <v>865</v>
      </c>
      <c r="C3209" t="s">
        <v>8</v>
      </c>
      <c r="D3209" t="s">
        <v>48</v>
      </c>
      <c r="E3209" s="17">
        <v>3.5</v>
      </c>
      <c r="F3209" s="17">
        <v>35.35</v>
      </c>
      <c r="G3209" s="18">
        <v>123.72499999999999</v>
      </c>
      <c r="H3209" s="30" t="s">
        <v>2310</v>
      </c>
      <c r="J3209" s="34"/>
    </row>
    <row r="3210" spans="1:10" x14ac:dyDescent="0.25">
      <c r="A3210" s="15">
        <v>41138</v>
      </c>
      <c r="B3210" s="16" t="s">
        <v>1048</v>
      </c>
      <c r="C3210" t="s">
        <v>8</v>
      </c>
      <c r="D3210" t="s">
        <v>48</v>
      </c>
      <c r="E3210" s="17">
        <v>3.5</v>
      </c>
      <c r="F3210" s="17">
        <v>48</v>
      </c>
      <c r="G3210" s="18">
        <v>168</v>
      </c>
      <c r="H3210" s="30" t="s">
        <v>2310</v>
      </c>
      <c r="J3210" s="34"/>
    </row>
    <row r="3211" spans="1:10" x14ac:dyDescent="0.25">
      <c r="A3211" s="15">
        <v>41139</v>
      </c>
      <c r="B3211" s="16" t="s">
        <v>1048</v>
      </c>
      <c r="C3211" t="s">
        <v>8</v>
      </c>
      <c r="D3211" t="s">
        <v>48</v>
      </c>
      <c r="E3211" s="17">
        <v>5</v>
      </c>
      <c r="F3211" s="17">
        <v>48</v>
      </c>
      <c r="G3211" s="18">
        <v>240</v>
      </c>
      <c r="H3211" s="30" t="s">
        <v>2310</v>
      </c>
      <c r="J3211" s="34"/>
    </row>
    <row r="3212" spans="1:10" x14ac:dyDescent="0.25">
      <c r="A3212" s="15">
        <v>41139</v>
      </c>
      <c r="B3212" s="16" t="s">
        <v>865</v>
      </c>
      <c r="C3212" t="s">
        <v>8</v>
      </c>
      <c r="D3212" t="s">
        <v>48</v>
      </c>
      <c r="E3212" s="17">
        <v>4.5</v>
      </c>
      <c r="F3212" s="17">
        <v>35.35</v>
      </c>
      <c r="G3212" s="18">
        <v>159.07499999999999</v>
      </c>
      <c r="H3212" s="30" t="s">
        <v>2310</v>
      </c>
      <c r="J3212" s="34"/>
    </row>
    <row r="3213" spans="1:10" x14ac:dyDescent="0.25">
      <c r="A3213" s="15">
        <v>41139</v>
      </c>
      <c r="B3213" s="16" t="s">
        <v>878</v>
      </c>
      <c r="C3213" t="s">
        <v>879</v>
      </c>
      <c r="D3213" t="s">
        <v>48</v>
      </c>
      <c r="E3213" s="17">
        <v>4.5</v>
      </c>
      <c r="F3213" s="17">
        <v>110</v>
      </c>
      <c r="G3213" s="18">
        <v>495</v>
      </c>
      <c r="H3213" s="30" t="s">
        <v>2310</v>
      </c>
      <c r="J3213" s="34"/>
    </row>
    <row r="3214" spans="1:10" x14ac:dyDescent="0.25">
      <c r="A3214" s="15">
        <v>41142</v>
      </c>
      <c r="B3214" s="16" t="s">
        <v>865</v>
      </c>
      <c r="C3214" t="s">
        <v>8</v>
      </c>
      <c r="D3214" t="s">
        <v>48</v>
      </c>
      <c r="E3214" s="17">
        <v>4.5</v>
      </c>
      <c r="F3214" s="17">
        <v>35.35</v>
      </c>
      <c r="G3214" s="18">
        <v>159.07499999999999</v>
      </c>
      <c r="H3214" s="30" t="s">
        <v>2310</v>
      </c>
      <c r="J3214" s="34"/>
    </row>
    <row r="3215" spans="1:10" x14ac:dyDescent="0.25">
      <c r="A3215" s="15">
        <v>41142</v>
      </c>
      <c r="B3215" s="16" t="s">
        <v>878</v>
      </c>
      <c r="C3215" t="s">
        <v>879</v>
      </c>
      <c r="D3215" t="s">
        <v>48</v>
      </c>
      <c r="E3215" s="17">
        <v>4.5</v>
      </c>
      <c r="F3215" s="17">
        <v>110</v>
      </c>
      <c r="G3215" s="18">
        <v>495</v>
      </c>
      <c r="H3215" s="30" t="s">
        <v>2310</v>
      </c>
      <c r="J3215" s="34"/>
    </row>
    <row r="3216" spans="1:10" x14ac:dyDescent="0.25">
      <c r="A3216" s="15">
        <v>41142</v>
      </c>
      <c r="B3216" s="16" t="s">
        <v>865</v>
      </c>
      <c r="C3216" t="s">
        <v>8</v>
      </c>
      <c r="D3216" t="s">
        <v>48</v>
      </c>
      <c r="E3216" s="17">
        <v>4.5</v>
      </c>
      <c r="F3216" s="17">
        <v>35.35</v>
      </c>
      <c r="G3216" s="18">
        <v>159.07499999999999</v>
      </c>
      <c r="H3216" s="30" t="s">
        <v>2310</v>
      </c>
      <c r="J3216" s="34"/>
    </row>
    <row r="3217" spans="1:10" x14ac:dyDescent="0.25">
      <c r="A3217" s="15">
        <v>41142</v>
      </c>
      <c r="B3217" s="16" t="s">
        <v>882</v>
      </c>
      <c r="C3217" t="s">
        <v>8</v>
      </c>
      <c r="D3217" t="s">
        <v>48</v>
      </c>
      <c r="E3217" s="17">
        <v>2</v>
      </c>
      <c r="F3217" s="17">
        <v>48</v>
      </c>
      <c r="G3217" s="18">
        <v>96</v>
      </c>
      <c r="H3217" s="30" t="s">
        <v>2310</v>
      </c>
      <c r="J3217" s="34"/>
    </row>
    <row r="3218" spans="1:10" x14ac:dyDescent="0.25">
      <c r="A3218" s="15">
        <v>41142</v>
      </c>
      <c r="B3218" s="16" t="s">
        <v>865</v>
      </c>
      <c r="C3218" t="s">
        <v>8</v>
      </c>
      <c r="D3218" t="s">
        <v>48</v>
      </c>
      <c r="E3218" s="17">
        <v>4.5</v>
      </c>
      <c r="F3218" s="17">
        <v>35.35</v>
      </c>
      <c r="G3218" s="18">
        <v>159.07499999999999</v>
      </c>
      <c r="H3218" s="30" t="s">
        <v>2310</v>
      </c>
      <c r="J3218" s="34"/>
    </row>
    <row r="3219" spans="1:10" x14ac:dyDescent="0.25">
      <c r="A3219" s="15">
        <v>41142</v>
      </c>
      <c r="B3219" s="16" t="s">
        <v>865</v>
      </c>
      <c r="C3219" t="s">
        <v>8</v>
      </c>
      <c r="D3219" t="s">
        <v>48</v>
      </c>
      <c r="E3219" s="17">
        <v>4.5</v>
      </c>
      <c r="F3219" s="17">
        <v>35.35</v>
      </c>
      <c r="G3219" s="18">
        <v>159.07499999999999</v>
      </c>
      <c r="H3219" s="30" t="s">
        <v>2310</v>
      </c>
      <c r="J3219" s="34"/>
    </row>
    <row r="3220" spans="1:10" x14ac:dyDescent="0.25">
      <c r="A3220" s="15">
        <v>41144</v>
      </c>
      <c r="B3220" s="16" t="s">
        <v>878</v>
      </c>
      <c r="C3220" t="s">
        <v>879</v>
      </c>
      <c r="D3220" t="s">
        <v>48</v>
      </c>
      <c r="E3220" s="17">
        <v>6</v>
      </c>
      <c r="F3220" s="17">
        <v>110</v>
      </c>
      <c r="G3220" s="18">
        <v>660</v>
      </c>
      <c r="H3220" s="30" t="s">
        <v>2310</v>
      </c>
      <c r="J3220" s="34"/>
    </row>
    <row r="3221" spans="1:10" x14ac:dyDescent="0.25">
      <c r="A3221" s="15">
        <v>41144</v>
      </c>
      <c r="B3221" s="16" t="s">
        <v>865</v>
      </c>
      <c r="C3221" t="s">
        <v>8</v>
      </c>
      <c r="D3221" t="s">
        <v>48</v>
      </c>
      <c r="E3221" s="17">
        <v>4</v>
      </c>
      <c r="F3221" s="17">
        <v>35.35</v>
      </c>
      <c r="G3221" s="18">
        <v>141.4</v>
      </c>
      <c r="H3221" s="30" t="s">
        <v>2310</v>
      </c>
      <c r="J3221" s="34"/>
    </row>
    <row r="3222" spans="1:10" x14ac:dyDescent="0.25">
      <c r="A3222" s="15">
        <v>41144</v>
      </c>
      <c r="B3222" s="16" t="s">
        <v>865</v>
      </c>
      <c r="C3222" t="s">
        <v>8</v>
      </c>
      <c r="D3222" t="s">
        <v>48</v>
      </c>
      <c r="E3222" s="17">
        <v>4</v>
      </c>
      <c r="F3222" s="17">
        <v>35.35</v>
      </c>
      <c r="G3222" s="18">
        <v>141.4</v>
      </c>
      <c r="H3222" s="30" t="s">
        <v>2310</v>
      </c>
      <c r="J3222" s="34"/>
    </row>
    <row r="3223" spans="1:10" x14ac:dyDescent="0.25">
      <c r="A3223" s="15">
        <v>41144</v>
      </c>
      <c r="B3223" s="16" t="s">
        <v>865</v>
      </c>
      <c r="C3223" t="s">
        <v>8</v>
      </c>
      <c r="D3223" t="s">
        <v>48</v>
      </c>
      <c r="E3223" s="17">
        <v>6</v>
      </c>
      <c r="F3223" s="17">
        <v>35.35</v>
      </c>
      <c r="G3223" s="18">
        <v>212.1</v>
      </c>
      <c r="H3223" s="30" t="s">
        <v>2310</v>
      </c>
      <c r="J3223" s="34"/>
    </row>
    <row r="3224" spans="1:10" x14ac:dyDescent="0.25">
      <c r="A3224" s="15">
        <v>41149</v>
      </c>
      <c r="B3224" s="16" t="s">
        <v>865</v>
      </c>
      <c r="C3224" t="s">
        <v>8</v>
      </c>
      <c r="D3224" t="s">
        <v>48</v>
      </c>
      <c r="E3224" s="17">
        <v>8</v>
      </c>
      <c r="F3224" s="17">
        <v>35.35</v>
      </c>
      <c r="G3224" s="18">
        <v>282.8</v>
      </c>
      <c r="H3224" s="30" t="s">
        <v>2310</v>
      </c>
      <c r="J3224" s="34"/>
    </row>
    <row r="3225" spans="1:10" ht="30" x14ac:dyDescent="0.25">
      <c r="A3225" s="15">
        <v>41149</v>
      </c>
      <c r="B3225" s="16" t="s">
        <v>1206</v>
      </c>
      <c r="C3225" t="s">
        <v>1192</v>
      </c>
      <c r="D3225" t="s">
        <v>783</v>
      </c>
      <c r="E3225" s="17">
        <v>3</v>
      </c>
      <c r="F3225" s="17">
        <v>259</v>
      </c>
      <c r="G3225" s="18">
        <v>777</v>
      </c>
      <c r="H3225" s="30" t="s">
        <v>2310</v>
      </c>
      <c r="J3225" s="34"/>
    </row>
    <row r="3226" spans="1:10" x14ac:dyDescent="0.25">
      <c r="A3226" s="15">
        <v>41149</v>
      </c>
      <c r="B3226" s="16" t="s">
        <v>865</v>
      </c>
      <c r="C3226" t="s">
        <v>8</v>
      </c>
      <c r="D3226" t="s">
        <v>48</v>
      </c>
      <c r="E3226" s="17">
        <v>4.5</v>
      </c>
      <c r="F3226" s="17">
        <v>35.35</v>
      </c>
      <c r="G3226" s="18">
        <v>159.07499999999999</v>
      </c>
      <c r="H3226" s="30" t="s">
        <v>2310</v>
      </c>
      <c r="J3226" s="34"/>
    </row>
    <row r="3227" spans="1:10" x14ac:dyDescent="0.25">
      <c r="A3227" s="15">
        <v>41149</v>
      </c>
      <c r="B3227" s="16" t="s">
        <v>878</v>
      </c>
      <c r="C3227" t="s">
        <v>879</v>
      </c>
      <c r="D3227" t="s">
        <v>48</v>
      </c>
      <c r="E3227" s="17">
        <v>8</v>
      </c>
      <c r="F3227" s="17">
        <v>110</v>
      </c>
      <c r="G3227" s="18">
        <v>880</v>
      </c>
      <c r="H3227" s="30" t="s">
        <v>2310</v>
      </c>
      <c r="J3227" s="34"/>
    </row>
    <row r="3228" spans="1:10" x14ac:dyDescent="0.25">
      <c r="A3228" s="15">
        <v>41150</v>
      </c>
      <c r="B3228" s="16" t="s">
        <v>865</v>
      </c>
      <c r="C3228" t="s">
        <v>8</v>
      </c>
      <c r="D3228" t="s">
        <v>48</v>
      </c>
      <c r="E3228" s="17">
        <v>6</v>
      </c>
      <c r="F3228" s="17">
        <v>35.35</v>
      </c>
      <c r="G3228" s="18">
        <v>212.1</v>
      </c>
      <c r="H3228" s="30" t="s">
        <v>2310</v>
      </c>
      <c r="J3228" s="34"/>
    </row>
    <row r="3229" spans="1:10" x14ac:dyDescent="0.25">
      <c r="A3229" s="15">
        <v>41150</v>
      </c>
      <c r="B3229" s="16" t="s">
        <v>878</v>
      </c>
      <c r="C3229" t="s">
        <v>879</v>
      </c>
      <c r="D3229" t="s">
        <v>48</v>
      </c>
      <c r="E3229" s="17">
        <v>6</v>
      </c>
      <c r="F3229" s="17">
        <v>110</v>
      </c>
      <c r="G3229" s="18">
        <v>660</v>
      </c>
      <c r="H3229" s="30" t="s">
        <v>2310</v>
      </c>
      <c r="J3229" s="34"/>
    </row>
    <row r="3230" spans="1:10" x14ac:dyDescent="0.25">
      <c r="A3230" s="15">
        <v>41150</v>
      </c>
      <c r="B3230" s="16" t="s">
        <v>882</v>
      </c>
      <c r="C3230" t="s">
        <v>8</v>
      </c>
      <c r="D3230" t="s">
        <v>48</v>
      </c>
      <c r="E3230" s="17">
        <v>6</v>
      </c>
      <c r="F3230" s="17">
        <v>48</v>
      </c>
      <c r="G3230" s="18">
        <v>288</v>
      </c>
      <c r="H3230" s="30" t="s">
        <v>2310</v>
      </c>
      <c r="J3230" s="34"/>
    </row>
    <row r="3231" spans="1:10" x14ac:dyDescent="0.25">
      <c r="A3231" s="15">
        <v>41151</v>
      </c>
      <c r="B3231" s="16" t="s">
        <v>922</v>
      </c>
      <c r="C3231" t="s">
        <v>886</v>
      </c>
      <c r="D3231" t="s">
        <v>48</v>
      </c>
      <c r="E3231" s="17">
        <v>7.5</v>
      </c>
      <c r="F3231" s="17">
        <v>95</v>
      </c>
      <c r="G3231" s="18">
        <v>712.5</v>
      </c>
      <c r="H3231" s="30" t="s">
        <v>2310</v>
      </c>
      <c r="J3231" s="34"/>
    </row>
    <row r="3232" spans="1:10" x14ac:dyDescent="0.25">
      <c r="A3232" s="15">
        <v>41151</v>
      </c>
      <c r="B3232" s="16" t="s">
        <v>878</v>
      </c>
      <c r="C3232" t="s">
        <v>879</v>
      </c>
      <c r="D3232" t="s">
        <v>48</v>
      </c>
      <c r="E3232" s="17">
        <v>3.5</v>
      </c>
      <c r="F3232" s="17">
        <v>110</v>
      </c>
      <c r="G3232" s="18">
        <v>385</v>
      </c>
      <c r="H3232" s="30" t="s">
        <v>2310</v>
      </c>
      <c r="J3232" s="34"/>
    </row>
    <row r="3233" spans="1:10" x14ac:dyDescent="0.25">
      <c r="A3233" s="15">
        <v>41152</v>
      </c>
      <c r="B3233" s="16" t="s">
        <v>878</v>
      </c>
      <c r="C3233" t="s">
        <v>879</v>
      </c>
      <c r="D3233" t="s">
        <v>48</v>
      </c>
      <c r="E3233" s="17">
        <v>3.75</v>
      </c>
      <c r="F3233" s="17">
        <v>110</v>
      </c>
      <c r="G3233" s="18">
        <v>412.5</v>
      </c>
      <c r="H3233" s="30" t="s">
        <v>2310</v>
      </c>
      <c r="J3233" s="34"/>
    </row>
    <row r="3234" spans="1:10" x14ac:dyDescent="0.25">
      <c r="A3234" s="15">
        <v>41152</v>
      </c>
      <c r="B3234" s="16" t="s">
        <v>865</v>
      </c>
      <c r="C3234" t="s">
        <v>8</v>
      </c>
      <c r="D3234" t="s">
        <v>48</v>
      </c>
      <c r="E3234" s="17">
        <v>3.5</v>
      </c>
      <c r="F3234" s="17">
        <v>35.35</v>
      </c>
      <c r="G3234" s="18">
        <v>123.72499999999999</v>
      </c>
      <c r="H3234" s="30" t="s">
        <v>2310</v>
      </c>
      <c r="J3234" s="34"/>
    </row>
    <row r="3235" spans="1:10" x14ac:dyDescent="0.25">
      <c r="A3235" s="15">
        <v>41152</v>
      </c>
      <c r="B3235" s="16" t="s">
        <v>882</v>
      </c>
      <c r="C3235" t="s">
        <v>8</v>
      </c>
      <c r="D3235" t="s">
        <v>48</v>
      </c>
      <c r="E3235" s="17">
        <v>3.5</v>
      </c>
      <c r="F3235" s="17">
        <v>48</v>
      </c>
      <c r="G3235" s="18">
        <v>168</v>
      </c>
      <c r="H3235" s="30" t="s">
        <v>2310</v>
      </c>
      <c r="J3235" s="34"/>
    </row>
    <row r="3236" spans="1:10" x14ac:dyDescent="0.25">
      <c r="A3236" s="15">
        <v>41155</v>
      </c>
      <c r="B3236" s="16" t="s">
        <v>865</v>
      </c>
      <c r="C3236" t="s">
        <v>8</v>
      </c>
      <c r="D3236" t="s">
        <v>48</v>
      </c>
      <c r="E3236" s="17">
        <v>4.5</v>
      </c>
      <c r="F3236" s="17">
        <v>35.35</v>
      </c>
      <c r="G3236" s="18">
        <v>159.07499999999999</v>
      </c>
      <c r="H3236" s="30" t="s">
        <v>2310</v>
      </c>
      <c r="J3236" s="34"/>
    </row>
    <row r="3237" spans="1:10" x14ac:dyDescent="0.25">
      <c r="A3237" s="19" t="s">
        <v>781</v>
      </c>
      <c r="B3237" s="20" t="s">
        <v>1207</v>
      </c>
      <c r="C3237" s="21" t="s">
        <v>781</v>
      </c>
      <c r="D3237" s="21" t="s">
        <v>781</v>
      </c>
      <c r="E3237" s="22"/>
      <c r="F3237" s="22"/>
      <c r="G3237" s="23">
        <v>58724.45</v>
      </c>
      <c r="H3237" s="31" t="s">
        <v>2285</v>
      </c>
      <c r="J3237" s="34"/>
    </row>
    <row r="3238" spans="1:10" x14ac:dyDescent="0.25">
      <c r="A3238" s="15" t="s">
        <v>781</v>
      </c>
      <c r="B3238" s="16" t="s">
        <v>781</v>
      </c>
      <c r="C3238" t="s">
        <v>781</v>
      </c>
      <c r="D3238" t="s">
        <v>781</v>
      </c>
      <c r="E3238" s="17"/>
      <c r="F3238" s="17"/>
      <c r="G3238" s="18"/>
      <c r="H3238" s="30" t="s">
        <v>2285</v>
      </c>
      <c r="J3238" s="34"/>
    </row>
    <row r="3239" spans="1:10" x14ac:dyDescent="0.25">
      <c r="A3239" s="12" t="s">
        <v>781</v>
      </c>
      <c r="B3239" s="11" t="s">
        <v>1878</v>
      </c>
      <c r="C3239" s="10" t="s">
        <v>781</v>
      </c>
      <c r="D3239" s="10" t="s">
        <v>781</v>
      </c>
      <c r="E3239" s="13"/>
      <c r="F3239" s="13"/>
      <c r="G3239" s="14"/>
      <c r="H3239" s="29" t="s">
        <v>2285</v>
      </c>
      <c r="J3239" s="34"/>
    </row>
    <row r="3240" spans="1:10" x14ac:dyDescent="0.25">
      <c r="A3240" s="15">
        <v>40900</v>
      </c>
      <c r="B3240" s="16" t="s">
        <v>1208</v>
      </c>
      <c r="C3240" t="s">
        <v>1188</v>
      </c>
      <c r="D3240" t="s">
        <v>783</v>
      </c>
      <c r="E3240" s="17">
        <v>1</v>
      </c>
      <c r="F3240" s="17">
        <v>920</v>
      </c>
      <c r="G3240" s="18">
        <v>920</v>
      </c>
      <c r="H3240" s="30" t="s">
        <v>2311</v>
      </c>
      <c r="J3240" s="34"/>
    </row>
    <row r="3241" spans="1:10" x14ac:dyDescent="0.25">
      <c r="A3241" s="15">
        <v>40981</v>
      </c>
      <c r="B3241" s="16" t="s">
        <v>1209</v>
      </c>
      <c r="C3241" t="s">
        <v>1188</v>
      </c>
      <c r="D3241" t="s">
        <v>783</v>
      </c>
      <c r="E3241" s="17">
        <v>1</v>
      </c>
      <c r="F3241" s="17">
        <v>14705.7</v>
      </c>
      <c r="G3241" s="18">
        <v>14705.7</v>
      </c>
      <c r="H3241" s="30" t="s">
        <v>2311</v>
      </c>
      <c r="J3241" s="34"/>
    </row>
    <row r="3242" spans="1:10" x14ac:dyDescent="0.25">
      <c r="A3242" s="15">
        <v>40997</v>
      </c>
      <c r="B3242" s="16" t="s">
        <v>880</v>
      </c>
      <c r="C3242" t="s">
        <v>881</v>
      </c>
      <c r="D3242" t="s">
        <v>48</v>
      </c>
      <c r="E3242" s="17">
        <v>8</v>
      </c>
      <c r="F3242" s="17">
        <v>95</v>
      </c>
      <c r="G3242" s="18">
        <v>760</v>
      </c>
      <c r="H3242" s="30" t="s">
        <v>2311</v>
      </c>
      <c r="J3242" s="34"/>
    </row>
    <row r="3243" spans="1:10" x14ac:dyDescent="0.25">
      <c r="A3243" s="15">
        <v>40999</v>
      </c>
      <c r="B3243" s="16" t="s">
        <v>1210</v>
      </c>
      <c r="C3243" t="s">
        <v>1188</v>
      </c>
      <c r="D3243" t="s">
        <v>783</v>
      </c>
      <c r="E3243" s="17">
        <v>1</v>
      </c>
      <c r="F3243" s="17">
        <v>26711.4</v>
      </c>
      <c r="G3243" s="18">
        <v>26711.4</v>
      </c>
      <c r="H3243" s="30" t="s">
        <v>2311</v>
      </c>
      <c r="J3243" s="34"/>
    </row>
    <row r="3244" spans="1:10" x14ac:dyDescent="0.25">
      <c r="A3244" s="15">
        <v>41001</v>
      </c>
      <c r="B3244" s="16" t="s">
        <v>880</v>
      </c>
      <c r="C3244" t="s">
        <v>881</v>
      </c>
      <c r="D3244" t="s">
        <v>48</v>
      </c>
      <c r="E3244" s="17">
        <v>7.5</v>
      </c>
      <c r="F3244" s="17">
        <v>95</v>
      </c>
      <c r="G3244" s="18">
        <v>712.5</v>
      </c>
      <c r="H3244" s="30" t="s">
        <v>2311</v>
      </c>
      <c r="J3244" s="34"/>
    </row>
    <row r="3245" spans="1:10" x14ac:dyDescent="0.25">
      <c r="A3245" s="15">
        <v>41019</v>
      </c>
      <c r="B3245" s="16" t="s">
        <v>1211</v>
      </c>
      <c r="C3245" t="s">
        <v>1188</v>
      </c>
      <c r="D3245" t="s">
        <v>783</v>
      </c>
      <c r="E3245" s="17">
        <v>1</v>
      </c>
      <c r="F3245" s="17">
        <v>18603.900000000001</v>
      </c>
      <c r="G3245" s="18">
        <v>18603.900000000001</v>
      </c>
      <c r="H3245" s="30" t="s">
        <v>2311</v>
      </c>
      <c r="J3245" s="34"/>
    </row>
    <row r="3246" spans="1:10" x14ac:dyDescent="0.25">
      <c r="A3246" s="15">
        <v>41019</v>
      </c>
      <c r="B3246" s="16" t="s">
        <v>1212</v>
      </c>
      <c r="C3246" t="s">
        <v>1188</v>
      </c>
      <c r="D3246" t="s">
        <v>783</v>
      </c>
      <c r="E3246" s="17">
        <v>1</v>
      </c>
      <c r="F3246" s="17">
        <v>10800</v>
      </c>
      <c r="G3246" s="18">
        <v>10800</v>
      </c>
      <c r="H3246" s="30" t="s">
        <v>2311</v>
      </c>
      <c r="J3246" s="34"/>
    </row>
    <row r="3247" spans="1:10" ht="30" x14ac:dyDescent="0.25">
      <c r="A3247" s="15">
        <v>41052</v>
      </c>
      <c r="B3247" s="16" t="s">
        <v>1213</v>
      </c>
      <c r="C3247" t="s">
        <v>1188</v>
      </c>
      <c r="D3247" t="s">
        <v>783</v>
      </c>
      <c r="E3247" s="17">
        <v>1</v>
      </c>
      <c r="F3247" s="17">
        <v>78370</v>
      </c>
      <c r="G3247" s="18">
        <v>78370</v>
      </c>
      <c r="H3247" s="30" t="s">
        <v>2311</v>
      </c>
      <c r="J3247" s="34"/>
    </row>
    <row r="3248" spans="1:10" x14ac:dyDescent="0.25">
      <c r="A3248" s="15">
        <v>41086</v>
      </c>
      <c r="B3248" s="16" t="s">
        <v>878</v>
      </c>
      <c r="C3248" t="s">
        <v>879</v>
      </c>
      <c r="D3248" t="s">
        <v>48</v>
      </c>
      <c r="E3248" s="17">
        <v>4</v>
      </c>
      <c r="F3248" s="17">
        <v>110</v>
      </c>
      <c r="G3248" s="18">
        <v>440</v>
      </c>
      <c r="H3248" s="30" t="s">
        <v>2311</v>
      </c>
      <c r="J3248" s="34"/>
    </row>
    <row r="3249" spans="1:10" ht="30" x14ac:dyDescent="0.25">
      <c r="A3249" s="15">
        <v>41089</v>
      </c>
      <c r="B3249" s="16" t="s">
        <v>1214</v>
      </c>
      <c r="C3249" t="s">
        <v>1188</v>
      </c>
      <c r="D3249" t="s">
        <v>783</v>
      </c>
      <c r="E3249" s="17">
        <v>1</v>
      </c>
      <c r="F3249" s="17">
        <v>20800</v>
      </c>
      <c r="G3249" s="18">
        <v>20800</v>
      </c>
      <c r="H3249" s="30" t="s">
        <v>2311</v>
      </c>
      <c r="J3249" s="34"/>
    </row>
    <row r="3250" spans="1:10" ht="30" x14ac:dyDescent="0.25">
      <c r="A3250" s="15">
        <v>41089</v>
      </c>
      <c r="B3250" s="16" t="s">
        <v>1215</v>
      </c>
      <c r="C3250" t="s">
        <v>1188</v>
      </c>
      <c r="D3250" t="s">
        <v>783</v>
      </c>
      <c r="E3250" s="17">
        <v>1</v>
      </c>
      <c r="F3250" s="17">
        <v>15000</v>
      </c>
      <c r="G3250" s="18">
        <v>15000</v>
      </c>
      <c r="H3250" s="30" t="s">
        <v>2311</v>
      </c>
      <c r="J3250" s="34"/>
    </row>
    <row r="3251" spans="1:10" x14ac:dyDescent="0.25">
      <c r="A3251" s="15">
        <v>41089</v>
      </c>
      <c r="B3251" s="16" t="s">
        <v>1216</v>
      </c>
      <c r="C3251" t="s">
        <v>1217</v>
      </c>
      <c r="D3251" t="s">
        <v>783</v>
      </c>
      <c r="E3251" s="17">
        <v>1</v>
      </c>
      <c r="F3251" s="17">
        <v>110</v>
      </c>
      <c r="G3251" s="18">
        <v>110</v>
      </c>
      <c r="H3251" s="30" t="s">
        <v>2311</v>
      </c>
      <c r="J3251" s="34"/>
    </row>
    <row r="3252" spans="1:10" ht="30" x14ac:dyDescent="0.25">
      <c r="A3252" s="15">
        <v>41089</v>
      </c>
      <c r="B3252" s="16" t="s">
        <v>1218</v>
      </c>
      <c r="C3252" t="s">
        <v>1188</v>
      </c>
      <c r="D3252" t="s">
        <v>783</v>
      </c>
      <c r="E3252" s="17">
        <v>1</v>
      </c>
      <c r="F3252" s="17">
        <v>8978</v>
      </c>
      <c r="G3252" s="18">
        <v>8978</v>
      </c>
      <c r="H3252" s="30" t="s">
        <v>2311</v>
      </c>
      <c r="J3252" s="34"/>
    </row>
    <row r="3253" spans="1:10" x14ac:dyDescent="0.25">
      <c r="A3253" s="15">
        <v>41120</v>
      </c>
      <c r="B3253" s="16" t="s">
        <v>1219</v>
      </c>
      <c r="C3253" t="s">
        <v>1188</v>
      </c>
      <c r="D3253" t="s">
        <v>783</v>
      </c>
      <c r="E3253" s="17">
        <v>1</v>
      </c>
      <c r="F3253" s="17">
        <v>1800</v>
      </c>
      <c r="G3253" s="18">
        <v>1800</v>
      </c>
      <c r="H3253" s="30" t="s">
        <v>2311</v>
      </c>
      <c r="J3253" s="34"/>
    </row>
    <row r="3254" spans="1:10" x14ac:dyDescent="0.25">
      <c r="A3254" s="15">
        <v>41120</v>
      </c>
      <c r="B3254" s="16" t="s">
        <v>1220</v>
      </c>
      <c r="C3254" t="s">
        <v>1188</v>
      </c>
      <c r="D3254" t="s">
        <v>783</v>
      </c>
      <c r="E3254" s="17">
        <v>1</v>
      </c>
      <c r="F3254" s="17">
        <v>9110</v>
      </c>
      <c r="G3254" s="18">
        <v>9110</v>
      </c>
      <c r="H3254" s="30" t="s">
        <v>2311</v>
      </c>
      <c r="J3254" s="34"/>
    </row>
    <row r="3255" spans="1:10" x14ac:dyDescent="0.25">
      <c r="A3255" s="15">
        <v>41152</v>
      </c>
      <c r="B3255" s="16" t="s">
        <v>1221</v>
      </c>
      <c r="C3255" t="s">
        <v>1188</v>
      </c>
      <c r="D3255" t="s">
        <v>783</v>
      </c>
      <c r="E3255" s="17">
        <v>1</v>
      </c>
      <c r="F3255" s="17">
        <v>12800</v>
      </c>
      <c r="G3255" s="18">
        <v>12800</v>
      </c>
      <c r="H3255" s="30" t="s">
        <v>2311</v>
      </c>
      <c r="J3255" s="34"/>
    </row>
    <row r="3256" spans="1:10" x14ac:dyDescent="0.25">
      <c r="A3256" s="15">
        <v>41152</v>
      </c>
      <c r="B3256" s="16" t="s">
        <v>1222</v>
      </c>
      <c r="C3256" t="s">
        <v>1188</v>
      </c>
      <c r="D3256" t="s">
        <v>783</v>
      </c>
      <c r="E3256" s="17">
        <v>1</v>
      </c>
      <c r="F3256" s="17">
        <v>740</v>
      </c>
      <c r="G3256" s="18">
        <v>740</v>
      </c>
      <c r="H3256" s="30" t="s">
        <v>2311</v>
      </c>
      <c r="J3256" s="34"/>
    </row>
    <row r="3257" spans="1:10" x14ac:dyDescent="0.25">
      <c r="A3257" s="15">
        <v>41152</v>
      </c>
      <c r="B3257" s="16" t="s">
        <v>1223</v>
      </c>
      <c r="C3257" t="s">
        <v>1188</v>
      </c>
      <c r="D3257" t="s">
        <v>783</v>
      </c>
      <c r="E3257" s="17">
        <v>1</v>
      </c>
      <c r="F3257" s="17">
        <v>2031</v>
      </c>
      <c r="G3257" s="18">
        <v>2031</v>
      </c>
      <c r="H3257" s="30" t="s">
        <v>2311</v>
      </c>
      <c r="J3257" s="34"/>
    </row>
    <row r="3258" spans="1:10" x14ac:dyDescent="0.25">
      <c r="A3258" s="15">
        <v>41152</v>
      </c>
      <c r="B3258" s="16" t="s">
        <v>1224</v>
      </c>
      <c r="C3258" t="s">
        <v>1188</v>
      </c>
      <c r="D3258" t="s">
        <v>783</v>
      </c>
      <c r="E3258" s="17">
        <v>1</v>
      </c>
      <c r="F3258" s="17">
        <v>57445</v>
      </c>
      <c r="G3258" s="18">
        <v>57445</v>
      </c>
      <c r="H3258" s="30" t="s">
        <v>2311</v>
      </c>
      <c r="J3258" s="34"/>
    </row>
    <row r="3259" spans="1:10" ht="30" x14ac:dyDescent="0.25">
      <c r="A3259" s="15">
        <v>41243</v>
      </c>
      <c r="B3259" s="16" t="s">
        <v>1225</v>
      </c>
      <c r="C3259" t="s">
        <v>1188</v>
      </c>
      <c r="D3259" t="s">
        <v>783</v>
      </c>
      <c r="E3259" s="17">
        <v>1</v>
      </c>
      <c r="F3259" s="17">
        <v>6800</v>
      </c>
      <c r="G3259" s="18">
        <v>6800</v>
      </c>
      <c r="H3259" s="30" t="s">
        <v>2311</v>
      </c>
      <c r="J3259" s="34"/>
    </row>
    <row r="3260" spans="1:10" x14ac:dyDescent="0.25">
      <c r="A3260" s="19" t="s">
        <v>781</v>
      </c>
      <c r="B3260" s="20" t="s">
        <v>1226</v>
      </c>
      <c r="C3260" s="21" t="s">
        <v>781</v>
      </c>
      <c r="D3260" s="21" t="s">
        <v>781</v>
      </c>
      <c r="E3260" s="22"/>
      <c r="F3260" s="22"/>
      <c r="G3260" s="23">
        <v>287637.5</v>
      </c>
      <c r="H3260" s="31" t="s">
        <v>2285</v>
      </c>
      <c r="J3260" s="34"/>
    </row>
    <row r="3261" spans="1:10" x14ac:dyDescent="0.25">
      <c r="A3261" s="15" t="s">
        <v>781</v>
      </c>
      <c r="B3261" s="16" t="s">
        <v>781</v>
      </c>
      <c r="C3261" t="s">
        <v>781</v>
      </c>
      <c r="D3261" t="s">
        <v>781</v>
      </c>
      <c r="E3261" s="17"/>
      <c r="F3261" s="17"/>
      <c r="G3261" s="18"/>
      <c r="H3261" s="30" t="s">
        <v>2285</v>
      </c>
      <c r="J3261" s="34"/>
    </row>
    <row r="3262" spans="1:10" x14ac:dyDescent="0.25">
      <c r="A3262" s="12" t="s">
        <v>781</v>
      </c>
      <c r="B3262" s="11" t="s">
        <v>1879</v>
      </c>
      <c r="C3262" s="10" t="s">
        <v>781</v>
      </c>
      <c r="D3262" s="10" t="s">
        <v>781</v>
      </c>
      <c r="E3262" s="13"/>
      <c r="F3262" s="13"/>
      <c r="G3262" s="14"/>
      <c r="H3262" s="29" t="s">
        <v>2285</v>
      </c>
      <c r="J3262" s="34"/>
    </row>
    <row r="3263" spans="1:10" x14ac:dyDescent="0.25">
      <c r="A3263" s="15">
        <v>41089</v>
      </c>
      <c r="B3263" s="16" t="s">
        <v>1227</v>
      </c>
      <c r="C3263" t="s">
        <v>1217</v>
      </c>
      <c r="D3263" t="s">
        <v>783</v>
      </c>
      <c r="E3263" s="17">
        <v>1</v>
      </c>
      <c r="F3263" s="17">
        <v>110</v>
      </c>
      <c r="G3263" s="18">
        <v>110</v>
      </c>
      <c r="H3263" s="30" t="s">
        <v>2312</v>
      </c>
      <c r="J3263" s="34"/>
    </row>
    <row r="3264" spans="1:10" x14ac:dyDescent="0.25">
      <c r="A3264" s="19" t="s">
        <v>781</v>
      </c>
      <c r="B3264" s="20" t="s">
        <v>1228</v>
      </c>
      <c r="C3264" s="21" t="s">
        <v>781</v>
      </c>
      <c r="D3264" s="21" t="s">
        <v>781</v>
      </c>
      <c r="E3264" s="22"/>
      <c r="F3264" s="22"/>
      <c r="G3264" s="23">
        <v>110</v>
      </c>
      <c r="H3264" s="31" t="s">
        <v>2285</v>
      </c>
      <c r="J3264" s="34"/>
    </row>
    <row r="3265" spans="1:10" x14ac:dyDescent="0.25">
      <c r="A3265" s="15" t="s">
        <v>781</v>
      </c>
      <c r="B3265" s="16" t="s">
        <v>781</v>
      </c>
      <c r="C3265" t="s">
        <v>781</v>
      </c>
      <c r="D3265" t="s">
        <v>781</v>
      </c>
      <c r="E3265" s="17"/>
      <c r="F3265" s="17"/>
      <c r="G3265" s="18"/>
      <c r="H3265" s="30" t="s">
        <v>2285</v>
      </c>
      <c r="J3265" s="34"/>
    </row>
    <row r="3266" spans="1:10" x14ac:dyDescent="0.25">
      <c r="A3266" s="12" t="s">
        <v>781</v>
      </c>
      <c r="B3266" s="11" t="s">
        <v>1880</v>
      </c>
      <c r="C3266" s="10" t="s">
        <v>781</v>
      </c>
      <c r="D3266" s="10" t="s">
        <v>781</v>
      </c>
      <c r="E3266" s="13"/>
      <c r="F3266" s="13"/>
      <c r="G3266" s="14"/>
      <c r="H3266" s="29" t="s">
        <v>2285</v>
      </c>
      <c r="J3266" s="34"/>
    </row>
    <row r="3267" spans="1:10" x14ac:dyDescent="0.25">
      <c r="A3267" s="15">
        <v>41139</v>
      </c>
      <c r="B3267" s="16" t="s">
        <v>1229</v>
      </c>
      <c r="C3267" t="s">
        <v>1230</v>
      </c>
      <c r="D3267" t="s">
        <v>783</v>
      </c>
      <c r="E3267" s="17">
        <v>100</v>
      </c>
      <c r="F3267" s="17">
        <v>3.5</v>
      </c>
      <c r="G3267" s="18">
        <v>350</v>
      </c>
      <c r="H3267" s="30" t="s">
        <v>2313</v>
      </c>
      <c r="J3267" s="34"/>
    </row>
    <row r="3268" spans="1:10" x14ac:dyDescent="0.25">
      <c r="A3268" s="19" t="s">
        <v>781</v>
      </c>
      <c r="B3268" s="20" t="s">
        <v>1231</v>
      </c>
      <c r="C3268" s="21" t="s">
        <v>781</v>
      </c>
      <c r="D3268" s="21" t="s">
        <v>781</v>
      </c>
      <c r="E3268" s="22"/>
      <c r="F3268" s="22"/>
      <c r="G3268" s="23">
        <v>350</v>
      </c>
      <c r="H3268" s="31" t="s">
        <v>2285</v>
      </c>
      <c r="J3268" s="34"/>
    </row>
    <row r="3269" spans="1:10" x14ac:dyDescent="0.25">
      <c r="A3269" s="15" t="s">
        <v>781</v>
      </c>
      <c r="B3269" s="16" t="s">
        <v>781</v>
      </c>
      <c r="C3269" t="s">
        <v>781</v>
      </c>
      <c r="D3269" t="s">
        <v>781</v>
      </c>
      <c r="E3269" s="17"/>
      <c r="F3269" s="17"/>
      <c r="G3269" s="18"/>
      <c r="H3269" s="30" t="s">
        <v>2285</v>
      </c>
      <c r="J3269" s="34"/>
    </row>
    <row r="3270" spans="1:10" x14ac:dyDescent="0.25">
      <c r="A3270" s="12" t="s">
        <v>781</v>
      </c>
      <c r="B3270" s="11" t="s">
        <v>1881</v>
      </c>
      <c r="C3270" s="10" t="s">
        <v>781</v>
      </c>
      <c r="D3270" s="10" t="s">
        <v>781</v>
      </c>
      <c r="E3270" s="13"/>
      <c r="F3270" s="13"/>
      <c r="G3270" s="14"/>
      <c r="H3270" s="29" t="s">
        <v>2285</v>
      </c>
      <c r="J3270" s="34"/>
    </row>
    <row r="3271" spans="1:10" x14ac:dyDescent="0.25">
      <c r="A3271" s="15">
        <v>41138</v>
      </c>
      <c r="B3271" s="16" t="s">
        <v>865</v>
      </c>
      <c r="C3271" t="s">
        <v>8</v>
      </c>
      <c r="D3271" t="s">
        <v>48</v>
      </c>
      <c r="E3271" s="17">
        <v>5.5</v>
      </c>
      <c r="F3271" s="17">
        <v>35.35</v>
      </c>
      <c r="G3271" s="18">
        <v>194.42500000000001</v>
      </c>
      <c r="H3271" s="30" t="s">
        <v>2314</v>
      </c>
      <c r="J3271" s="34"/>
    </row>
    <row r="3272" spans="1:10" x14ac:dyDescent="0.25">
      <c r="A3272" s="15">
        <v>41138</v>
      </c>
      <c r="B3272" s="16" t="s">
        <v>865</v>
      </c>
      <c r="C3272" t="s">
        <v>8</v>
      </c>
      <c r="D3272" t="s">
        <v>48</v>
      </c>
      <c r="E3272" s="17">
        <v>5.5</v>
      </c>
      <c r="F3272" s="17">
        <v>35.35</v>
      </c>
      <c r="G3272" s="18">
        <v>194.42500000000001</v>
      </c>
      <c r="H3272" s="30" t="s">
        <v>2314</v>
      </c>
      <c r="J3272" s="34"/>
    </row>
    <row r="3273" spans="1:10" x14ac:dyDescent="0.25">
      <c r="A3273" s="15">
        <v>41199</v>
      </c>
      <c r="B3273" s="16" t="s">
        <v>917</v>
      </c>
      <c r="C3273" t="s">
        <v>913</v>
      </c>
      <c r="D3273" t="s">
        <v>48</v>
      </c>
      <c r="E3273" s="17">
        <v>5.5</v>
      </c>
      <c r="F3273" s="17">
        <v>95</v>
      </c>
      <c r="G3273" s="18">
        <v>522.5</v>
      </c>
      <c r="H3273" s="30" t="s">
        <v>2314</v>
      </c>
      <c r="J3273" s="34"/>
    </row>
    <row r="3274" spans="1:10" x14ac:dyDescent="0.25">
      <c r="A3274" s="15">
        <v>41200</v>
      </c>
      <c r="B3274" s="16" t="s">
        <v>917</v>
      </c>
      <c r="C3274" t="s">
        <v>913</v>
      </c>
      <c r="D3274" t="s">
        <v>48</v>
      </c>
      <c r="E3274" s="17">
        <v>3.5</v>
      </c>
      <c r="F3274" s="17">
        <v>95</v>
      </c>
      <c r="G3274" s="18">
        <v>332.5</v>
      </c>
      <c r="H3274" s="30" t="s">
        <v>2314</v>
      </c>
      <c r="J3274" s="34"/>
    </row>
    <row r="3275" spans="1:10" x14ac:dyDescent="0.25">
      <c r="A3275" s="15">
        <v>41200</v>
      </c>
      <c r="B3275" s="16" t="s">
        <v>878</v>
      </c>
      <c r="C3275" t="s">
        <v>879</v>
      </c>
      <c r="D3275" t="s">
        <v>48</v>
      </c>
      <c r="E3275" s="17">
        <v>5</v>
      </c>
      <c r="F3275" s="17">
        <v>110</v>
      </c>
      <c r="G3275" s="18">
        <v>550</v>
      </c>
      <c r="H3275" s="30" t="s">
        <v>2314</v>
      </c>
      <c r="J3275" s="34"/>
    </row>
    <row r="3276" spans="1:10" x14ac:dyDescent="0.25">
      <c r="A3276" s="15">
        <v>41200</v>
      </c>
      <c r="B3276" s="16" t="s">
        <v>1232</v>
      </c>
      <c r="C3276" t="s">
        <v>1233</v>
      </c>
      <c r="D3276" t="s">
        <v>783</v>
      </c>
      <c r="E3276" s="17">
        <v>100</v>
      </c>
      <c r="F3276" s="17">
        <v>3.5</v>
      </c>
      <c r="G3276" s="18">
        <v>350</v>
      </c>
      <c r="H3276" s="30" t="s">
        <v>2314</v>
      </c>
      <c r="J3276" s="34"/>
    </row>
    <row r="3277" spans="1:10" x14ac:dyDescent="0.25">
      <c r="A3277" s="15">
        <v>41200</v>
      </c>
      <c r="B3277" s="16" t="s">
        <v>865</v>
      </c>
      <c r="C3277" t="s">
        <v>8</v>
      </c>
      <c r="D3277" t="s">
        <v>48</v>
      </c>
      <c r="E3277" s="17">
        <v>8</v>
      </c>
      <c r="F3277" s="17">
        <v>35.35</v>
      </c>
      <c r="G3277" s="18">
        <v>282.8</v>
      </c>
      <c r="H3277" s="30" t="s">
        <v>2314</v>
      </c>
      <c r="J3277" s="34"/>
    </row>
    <row r="3278" spans="1:10" x14ac:dyDescent="0.25">
      <c r="A3278" s="15">
        <v>41201</v>
      </c>
      <c r="B3278" s="16" t="s">
        <v>917</v>
      </c>
      <c r="C3278" t="s">
        <v>913</v>
      </c>
      <c r="D3278" t="s">
        <v>48</v>
      </c>
      <c r="E3278" s="17">
        <v>1</v>
      </c>
      <c r="F3278" s="17">
        <v>100</v>
      </c>
      <c r="G3278" s="18">
        <v>100</v>
      </c>
      <c r="H3278" s="30" t="s">
        <v>2314</v>
      </c>
      <c r="J3278" s="34"/>
    </row>
    <row r="3279" spans="1:10" x14ac:dyDescent="0.25">
      <c r="A3279" s="15">
        <v>41201</v>
      </c>
      <c r="B3279" s="16" t="s">
        <v>917</v>
      </c>
      <c r="C3279" t="s">
        <v>913</v>
      </c>
      <c r="D3279" t="s">
        <v>48</v>
      </c>
      <c r="E3279" s="17">
        <v>2</v>
      </c>
      <c r="F3279" s="17">
        <v>95</v>
      </c>
      <c r="G3279" s="18">
        <v>190</v>
      </c>
      <c r="H3279" s="30" t="s">
        <v>2314</v>
      </c>
      <c r="J3279" s="34"/>
    </row>
    <row r="3280" spans="1:10" x14ac:dyDescent="0.25">
      <c r="A3280" s="15">
        <v>41201</v>
      </c>
      <c r="B3280" s="16" t="s">
        <v>1234</v>
      </c>
      <c r="C3280" t="s">
        <v>1233</v>
      </c>
      <c r="D3280" t="s">
        <v>783</v>
      </c>
      <c r="E3280" s="17">
        <v>150</v>
      </c>
      <c r="F3280" s="17">
        <v>3.3</v>
      </c>
      <c r="G3280" s="18">
        <v>495</v>
      </c>
      <c r="H3280" s="30" t="s">
        <v>2314</v>
      </c>
      <c r="J3280" s="34"/>
    </row>
    <row r="3281" spans="1:10" x14ac:dyDescent="0.25">
      <c r="A3281" s="15">
        <v>41204</v>
      </c>
      <c r="B3281" s="16" t="s">
        <v>917</v>
      </c>
      <c r="C3281" t="s">
        <v>913</v>
      </c>
      <c r="D3281" t="s">
        <v>48</v>
      </c>
      <c r="E3281" s="17">
        <v>2</v>
      </c>
      <c r="F3281" s="17">
        <v>100</v>
      </c>
      <c r="G3281" s="18">
        <v>200</v>
      </c>
      <c r="H3281" s="30" t="s">
        <v>2314</v>
      </c>
      <c r="J3281" s="34"/>
    </row>
    <row r="3282" spans="1:10" x14ac:dyDescent="0.25">
      <c r="A3282" s="15">
        <v>41205</v>
      </c>
      <c r="B3282" s="16" t="s">
        <v>917</v>
      </c>
      <c r="C3282" t="s">
        <v>913</v>
      </c>
      <c r="D3282" t="s">
        <v>48</v>
      </c>
      <c r="E3282" s="17">
        <v>2</v>
      </c>
      <c r="F3282" s="17">
        <v>100</v>
      </c>
      <c r="G3282" s="18">
        <v>200</v>
      </c>
      <c r="H3282" s="30" t="s">
        <v>2314</v>
      </c>
      <c r="J3282" s="34"/>
    </row>
    <row r="3283" spans="1:10" x14ac:dyDescent="0.25">
      <c r="A3283" s="15">
        <v>41206</v>
      </c>
      <c r="B3283" s="16" t="s">
        <v>917</v>
      </c>
      <c r="C3283" t="s">
        <v>913</v>
      </c>
      <c r="D3283" t="s">
        <v>48</v>
      </c>
      <c r="E3283" s="17">
        <v>1</v>
      </c>
      <c r="F3283" s="17">
        <v>100</v>
      </c>
      <c r="G3283" s="18">
        <v>100</v>
      </c>
      <c r="H3283" s="30" t="s">
        <v>2314</v>
      </c>
      <c r="J3283" s="34"/>
    </row>
    <row r="3284" spans="1:10" x14ac:dyDescent="0.25">
      <c r="A3284" s="15">
        <v>41207</v>
      </c>
      <c r="B3284" s="16" t="s">
        <v>47</v>
      </c>
      <c r="C3284" t="s">
        <v>2824</v>
      </c>
      <c r="D3284" t="s">
        <v>48</v>
      </c>
      <c r="E3284" s="17">
        <v>1</v>
      </c>
      <c r="F3284" s="17">
        <v>71.81</v>
      </c>
      <c r="G3284" s="18">
        <v>71.81</v>
      </c>
      <c r="H3284" s="30" t="s">
        <v>2314</v>
      </c>
      <c r="J3284" s="34"/>
    </row>
    <row r="3285" spans="1:10" x14ac:dyDescent="0.25">
      <c r="A3285" s="15">
        <v>41207</v>
      </c>
      <c r="B3285" s="16" t="s">
        <v>917</v>
      </c>
      <c r="C3285" t="s">
        <v>913</v>
      </c>
      <c r="D3285" t="s">
        <v>48</v>
      </c>
      <c r="E3285" s="17">
        <v>1</v>
      </c>
      <c r="F3285" s="17">
        <v>100</v>
      </c>
      <c r="G3285" s="18">
        <v>100</v>
      </c>
      <c r="H3285" s="30" t="s">
        <v>2314</v>
      </c>
      <c r="J3285" s="34"/>
    </row>
    <row r="3286" spans="1:10" x14ac:dyDescent="0.25">
      <c r="A3286" s="15">
        <v>41208</v>
      </c>
      <c r="B3286" s="16" t="s">
        <v>47</v>
      </c>
      <c r="C3286" t="s">
        <v>2824</v>
      </c>
      <c r="D3286" t="s">
        <v>48</v>
      </c>
      <c r="E3286" s="17">
        <v>2</v>
      </c>
      <c r="F3286" s="17">
        <v>71.81</v>
      </c>
      <c r="G3286" s="18">
        <v>143.62</v>
      </c>
      <c r="H3286" s="30" t="s">
        <v>2314</v>
      </c>
      <c r="J3286" s="34"/>
    </row>
    <row r="3287" spans="1:10" ht="30" x14ac:dyDescent="0.25">
      <c r="A3287" s="15">
        <v>41243</v>
      </c>
      <c r="B3287" s="16" t="s">
        <v>1235</v>
      </c>
      <c r="C3287" t="s">
        <v>1236</v>
      </c>
      <c r="D3287" t="s">
        <v>783</v>
      </c>
      <c r="E3287" s="17">
        <v>1</v>
      </c>
      <c r="F3287" s="17">
        <v>1950</v>
      </c>
      <c r="G3287" s="18">
        <v>1950</v>
      </c>
      <c r="H3287" s="30" t="s">
        <v>2314</v>
      </c>
      <c r="J3287" s="34"/>
    </row>
    <row r="3288" spans="1:10" x14ac:dyDescent="0.25">
      <c r="A3288" s="19" t="s">
        <v>781</v>
      </c>
      <c r="B3288" s="20" t="s">
        <v>1237</v>
      </c>
      <c r="C3288" s="21" t="s">
        <v>781</v>
      </c>
      <c r="D3288" s="21" t="s">
        <v>781</v>
      </c>
      <c r="E3288" s="22"/>
      <c r="F3288" s="22"/>
      <c r="G3288" s="23">
        <v>5977.08</v>
      </c>
      <c r="H3288" s="31" t="s">
        <v>2285</v>
      </c>
      <c r="J3288" s="34"/>
    </row>
    <row r="3289" spans="1:10" x14ac:dyDescent="0.25">
      <c r="A3289" s="15" t="s">
        <v>781</v>
      </c>
      <c r="B3289" s="16" t="s">
        <v>781</v>
      </c>
      <c r="C3289" t="s">
        <v>781</v>
      </c>
      <c r="D3289" t="s">
        <v>781</v>
      </c>
      <c r="E3289" s="17"/>
      <c r="F3289" s="17"/>
      <c r="G3289" s="18"/>
      <c r="H3289" s="30" t="s">
        <v>2285</v>
      </c>
      <c r="J3289" s="34"/>
    </row>
    <row r="3290" spans="1:10" x14ac:dyDescent="0.25">
      <c r="A3290" s="12" t="s">
        <v>781</v>
      </c>
      <c r="B3290" s="11" t="s">
        <v>1882</v>
      </c>
      <c r="C3290" s="10" t="s">
        <v>781</v>
      </c>
      <c r="D3290" s="10" t="s">
        <v>781</v>
      </c>
      <c r="E3290" s="13"/>
      <c r="F3290" s="13"/>
      <c r="G3290" s="14"/>
      <c r="H3290" s="29" t="s">
        <v>2285</v>
      </c>
      <c r="J3290" s="34"/>
    </row>
    <row r="3291" spans="1:10" x14ac:dyDescent="0.25">
      <c r="A3291" s="15">
        <v>40827</v>
      </c>
      <c r="B3291" s="16" t="s">
        <v>1238</v>
      </c>
      <c r="C3291" t="s">
        <v>1239</v>
      </c>
      <c r="D3291" t="s">
        <v>783</v>
      </c>
      <c r="E3291" s="17">
        <v>2</v>
      </c>
      <c r="F3291" s="17">
        <v>90</v>
      </c>
      <c r="G3291" s="18">
        <v>180</v>
      </c>
      <c r="H3291" s="30" t="s">
        <v>2315</v>
      </c>
      <c r="J3291" s="34"/>
    </row>
    <row r="3292" spans="1:10" x14ac:dyDescent="0.25">
      <c r="A3292" s="15">
        <v>40834</v>
      </c>
      <c r="B3292" s="16" t="s">
        <v>865</v>
      </c>
      <c r="C3292" t="s">
        <v>8</v>
      </c>
      <c r="D3292" t="s">
        <v>48</v>
      </c>
      <c r="E3292" s="17">
        <v>6</v>
      </c>
      <c r="F3292" s="17">
        <v>35.35</v>
      </c>
      <c r="G3292" s="18">
        <v>212.1</v>
      </c>
      <c r="H3292" s="30" t="s">
        <v>2315</v>
      </c>
      <c r="J3292" s="34"/>
    </row>
    <row r="3293" spans="1:10" x14ac:dyDescent="0.25">
      <c r="A3293" s="15">
        <v>40863</v>
      </c>
      <c r="B3293" s="16" t="s">
        <v>865</v>
      </c>
      <c r="C3293" t="s">
        <v>8</v>
      </c>
      <c r="D3293" t="s">
        <v>48</v>
      </c>
      <c r="E3293" s="17">
        <v>3.5</v>
      </c>
      <c r="F3293" s="17">
        <v>35.35</v>
      </c>
      <c r="G3293" s="18">
        <v>123.72499999999999</v>
      </c>
      <c r="H3293" s="30" t="s">
        <v>2315</v>
      </c>
      <c r="J3293" s="34"/>
    </row>
    <row r="3294" spans="1:10" x14ac:dyDescent="0.25">
      <c r="A3294" s="15">
        <v>40864</v>
      </c>
      <c r="B3294" s="16" t="s">
        <v>865</v>
      </c>
      <c r="C3294" t="s">
        <v>8</v>
      </c>
      <c r="D3294" t="s">
        <v>48</v>
      </c>
      <c r="E3294" s="17">
        <v>4</v>
      </c>
      <c r="F3294" s="17">
        <v>35.35</v>
      </c>
      <c r="G3294" s="18">
        <v>141.4</v>
      </c>
      <c r="H3294" s="30" t="s">
        <v>2315</v>
      </c>
      <c r="J3294" s="34"/>
    </row>
    <row r="3295" spans="1:10" x14ac:dyDescent="0.25">
      <c r="A3295" s="15">
        <v>40865</v>
      </c>
      <c r="B3295" s="16" t="s">
        <v>865</v>
      </c>
      <c r="C3295" t="s">
        <v>8</v>
      </c>
      <c r="D3295" t="s">
        <v>48</v>
      </c>
      <c r="E3295" s="17">
        <v>8.5</v>
      </c>
      <c r="F3295" s="17">
        <v>35.35</v>
      </c>
      <c r="G3295" s="18">
        <v>300.47500000000002</v>
      </c>
      <c r="H3295" s="30" t="s">
        <v>2315</v>
      </c>
      <c r="J3295" s="34"/>
    </row>
    <row r="3296" spans="1:10" x14ac:dyDescent="0.25">
      <c r="A3296" s="15">
        <v>40868</v>
      </c>
      <c r="B3296" s="16" t="s">
        <v>865</v>
      </c>
      <c r="C3296" t="s">
        <v>8</v>
      </c>
      <c r="D3296" t="s">
        <v>48</v>
      </c>
      <c r="E3296" s="17">
        <v>6</v>
      </c>
      <c r="F3296" s="17">
        <v>35.35</v>
      </c>
      <c r="G3296" s="18">
        <v>212.1</v>
      </c>
      <c r="H3296" s="30" t="s">
        <v>2315</v>
      </c>
      <c r="J3296" s="34"/>
    </row>
    <row r="3297" spans="1:10" x14ac:dyDescent="0.25">
      <c r="A3297" s="15">
        <v>40885</v>
      </c>
      <c r="B3297" s="16" t="s">
        <v>865</v>
      </c>
      <c r="C3297" t="s">
        <v>8</v>
      </c>
      <c r="D3297" t="s">
        <v>48</v>
      </c>
      <c r="E3297" s="17">
        <v>8</v>
      </c>
      <c r="F3297" s="17">
        <v>35.35</v>
      </c>
      <c r="G3297" s="18">
        <v>282.8</v>
      </c>
      <c r="H3297" s="30" t="s">
        <v>2315</v>
      </c>
      <c r="J3297" s="34"/>
    </row>
    <row r="3298" spans="1:10" x14ac:dyDescent="0.25">
      <c r="A3298" s="15">
        <v>40950</v>
      </c>
      <c r="B3298" s="16" t="s">
        <v>865</v>
      </c>
      <c r="C3298" t="s">
        <v>8</v>
      </c>
      <c r="D3298" t="s">
        <v>48</v>
      </c>
      <c r="E3298" s="17">
        <v>3</v>
      </c>
      <c r="F3298" s="17">
        <v>35.35</v>
      </c>
      <c r="G3298" s="18">
        <v>106.05</v>
      </c>
      <c r="H3298" s="30" t="s">
        <v>2315</v>
      </c>
      <c r="J3298" s="34"/>
    </row>
    <row r="3299" spans="1:10" x14ac:dyDescent="0.25">
      <c r="A3299" s="15">
        <v>40955</v>
      </c>
      <c r="B3299" s="16" t="s">
        <v>865</v>
      </c>
      <c r="C3299" t="s">
        <v>8</v>
      </c>
      <c r="D3299" t="s">
        <v>48</v>
      </c>
      <c r="E3299" s="17">
        <v>9.5</v>
      </c>
      <c r="F3299" s="17">
        <v>35.35</v>
      </c>
      <c r="G3299" s="18">
        <v>335.82499999999999</v>
      </c>
      <c r="H3299" s="30" t="s">
        <v>2315</v>
      </c>
      <c r="J3299" s="34"/>
    </row>
    <row r="3300" spans="1:10" x14ac:dyDescent="0.25">
      <c r="A3300" s="15">
        <v>40956</v>
      </c>
      <c r="B3300" s="16" t="s">
        <v>865</v>
      </c>
      <c r="C3300" t="s">
        <v>8</v>
      </c>
      <c r="D3300" t="s">
        <v>48</v>
      </c>
      <c r="E3300" s="17">
        <v>8</v>
      </c>
      <c r="F3300" s="17">
        <v>35.35</v>
      </c>
      <c r="G3300" s="18">
        <v>282.8</v>
      </c>
      <c r="H3300" s="30" t="s">
        <v>2315</v>
      </c>
      <c r="J3300" s="34"/>
    </row>
    <row r="3301" spans="1:10" x14ac:dyDescent="0.25">
      <c r="A3301" s="15">
        <v>40959</v>
      </c>
      <c r="B3301" s="16" t="s">
        <v>865</v>
      </c>
      <c r="C3301" t="s">
        <v>8</v>
      </c>
      <c r="D3301" t="s">
        <v>48</v>
      </c>
      <c r="E3301" s="17">
        <v>8.5</v>
      </c>
      <c r="F3301" s="17">
        <v>35.35</v>
      </c>
      <c r="G3301" s="18">
        <v>300.47500000000002</v>
      </c>
      <c r="H3301" s="30" t="s">
        <v>2315</v>
      </c>
      <c r="J3301" s="34"/>
    </row>
    <row r="3302" spans="1:10" x14ac:dyDescent="0.25">
      <c r="A3302" s="15">
        <v>40969</v>
      </c>
      <c r="B3302" s="16" t="s">
        <v>865</v>
      </c>
      <c r="C3302" t="s">
        <v>8</v>
      </c>
      <c r="D3302" t="s">
        <v>48</v>
      </c>
      <c r="E3302" s="17">
        <v>4.5</v>
      </c>
      <c r="F3302" s="17">
        <v>35.35</v>
      </c>
      <c r="G3302" s="18">
        <v>159.07499999999999</v>
      </c>
      <c r="H3302" s="30" t="s">
        <v>2315</v>
      </c>
      <c r="J3302" s="34"/>
    </row>
    <row r="3303" spans="1:10" x14ac:dyDescent="0.25">
      <c r="A3303" s="15">
        <v>40970</v>
      </c>
      <c r="B3303" s="16" t="s">
        <v>865</v>
      </c>
      <c r="C3303" t="s">
        <v>8</v>
      </c>
      <c r="D3303" t="s">
        <v>48</v>
      </c>
      <c r="E3303" s="17">
        <v>4.5</v>
      </c>
      <c r="F3303" s="17">
        <v>35.35</v>
      </c>
      <c r="G3303" s="18">
        <v>159.07499999999999</v>
      </c>
      <c r="H3303" s="30" t="s">
        <v>2315</v>
      </c>
      <c r="J3303" s="34"/>
    </row>
    <row r="3304" spans="1:10" x14ac:dyDescent="0.25">
      <c r="A3304" s="15">
        <v>40981</v>
      </c>
      <c r="B3304" s="16" t="s">
        <v>865</v>
      </c>
      <c r="C3304" t="s">
        <v>8</v>
      </c>
      <c r="D3304" t="s">
        <v>48</v>
      </c>
      <c r="E3304" s="17">
        <v>2</v>
      </c>
      <c r="F3304" s="17">
        <v>35.35</v>
      </c>
      <c r="G3304" s="18">
        <v>70.7</v>
      </c>
      <c r="H3304" s="30" t="s">
        <v>2315</v>
      </c>
      <c r="J3304" s="34"/>
    </row>
    <row r="3305" spans="1:10" x14ac:dyDescent="0.25">
      <c r="A3305" s="15">
        <v>40981</v>
      </c>
      <c r="B3305" s="16" t="s">
        <v>865</v>
      </c>
      <c r="C3305" t="s">
        <v>8</v>
      </c>
      <c r="D3305" t="s">
        <v>48</v>
      </c>
      <c r="E3305" s="17">
        <v>7.5</v>
      </c>
      <c r="F3305" s="17">
        <v>35.35</v>
      </c>
      <c r="G3305" s="18">
        <v>265.125</v>
      </c>
      <c r="H3305" s="30" t="s">
        <v>2315</v>
      </c>
      <c r="J3305" s="34"/>
    </row>
    <row r="3306" spans="1:10" x14ac:dyDescent="0.25">
      <c r="A3306" s="15">
        <v>40984</v>
      </c>
      <c r="B3306" s="16" t="s">
        <v>1240</v>
      </c>
      <c r="C3306" t="s">
        <v>1241</v>
      </c>
      <c r="D3306" t="s">
        <v>783</v>
      </c>
      <c r="E3306" s="17">
        <v>1</v>
      </c>
      <c r="F3306" s="17">
        <v>380</v>
      </c>
      <c r="G3306" s="18">
        <v>380</v>
      </c>
      <c r="H3306" s="30" t="s">
        <v>2315</v>
      </c>
      <c r="J3306" s="34"/>
    </row>
    <row r="3307" spans="1:10" x14ac:dyDescent="0.25">
      <c r="A3307" s="15">
        <v>41009</v>
      </c>
      <c r="B3307" s="16" t="s">
        <v>1242</v>
      </c>
      <c r="C3307" t="s">
        <v>1241</v>
      </c>
      <c r="D3307" t="s">
        <v>783</v>
      </c>
      <c r="E3307" s="17">
        <v>1</v>
      </c>
      <c r="F3307" s="17">
        <v>1472.8</v>
      </c>
      <c r="G3307" s="18">
        <v>1472.8</v>
      </c>
      <c r="H3307" s="30" t="s">
        <v>2315</v>
      </c>
      <c r="J3307" s="34"/>
    </row>
    <row r="3308" spans="1:10" x14ac:dyDescent="0.25">
      <c r="A3308" s="15">
        <v>41025</v>
      </c>
      <c r="B3308" s="16" t="s">
        <v>865</v>
      </c>
      <c r="C3308" t="s">
        <v>8</v>
      </c>
      <c r="D3308" t="s">
        <v>48</v>
      </c>
      <c r="E3308" s="17">
        <v>2.5</v>
      </c>
      <c r="F3308" s="17">
        <v>35.35</v>
      </c>
      <c r="G3308" s="18">
        <v>88.375</v>
      </c>
      <c r="H3308" s="30" t="s">
        <v>2315</v>
      </c>
      <c r="J3308" s="34"/>
    </row>
    <row r="3309" spans="1:10" x14ac:dyDescent="0.25">
      <c r="A3309" s="15">
        <v>41025</v>
      </c>
      <c r="B3309" s="16" t="s">
        <v>865</v>
      </c>
      <c r="C3309" t="s">
        <v>8</v>
      </c>
      <c r="D3309" t="s">
        <v>48</v>
      </c>
      <c r="E3309" s="17">
        <v>4.5</v>
      </c>
      <c r="F3309" s="17">
        <v>35.35</v>
      </c>
      <c r="G3309" s="18">
        <v>159.07499999999999</v>
      </c>
      <c r="H3309" s="30" t="s">
        <v>2315</v>
      </c>
      <c r="J3309" s="34"/>
    </row>
    <row r="3310" spans="1:10" x14ac:dyDescent="0.25">
      <c r="A3310" s="15">
        <v>41029</v>
      </c>
      <c r="B3310" s="16" t="s">
        <v>1243</v>
      </c>
      <c r="C3310" t="s">
        <v>1241</v>
      </c>
      <c r="D3310" t="s">
        <v>783</v>
      </c>
      <c r="E3310" s="17">
        <v>1</v>
      </c>
      <c r="F3310" s="17">
        <v>1249.9000000000001</v>
      </c>
      <c r="G3310" s="18">
        <v>1249.9000000000001</v>
      </c>
      <c r="H3310" s="30" t="s">
        <v>2315</v>
      </c>
      <c r="J3310" s="34"/>
    </row>
    <row r="3311" spans="1:10" x14ac:dyDescent="0.25">
      <c r="A3311" s="15">
        <v>41038</v>
      </c>
      <c r="B3311" s="16" t="s">
        <v>865</v>
      </c>
      <c r="C3311" t="s">
        <v>8</v>
      </c>
      <c r="D3311" t="s">
        <v>48</v>
      </c>
      <c r="E3311" s="17">
        <v>9</v>
      </c>
      <c r="F3311" s="17">
        <v>35.35</v>
      </c>
      <c r="G3311" s="18">
        <v>318.14999999999998</v>
      </c>
      <c r="H3311" s="30" t="s">
        <v>2315</v>
      </c>
      <c r="J3311" s="34"/>
    </row>
    <row r="3312" spans="1:10" x14ac:dyDescent="0.25">
      <c r="A3312" s="15">
        <v>41053</v>
      </c>
      <c r="B3312" s="16" t="s">
        <v>1244</v>
      </c>
      <c r="C3312" t="s">
        <v>1241</v>
      </c>
      <c r="D3312" t="s">
        <v>783</v>
      </c>
      <c r="E3312" s="17">
        <v>1</v>
      </c>
      <c r="F3312" s="17">
        <v>8944</v>
      </c>
      <c r="G3312" s="18">
        <v>8944</v>
      </c>
      <c r="H3312" s="30" t="s">
        <v>2315</v>
      </c>
      <c r="J3312" s="34"/>
    </row>
    <row r="3313" spans="1:10" x14ac:dyDescent="0.25">
      <c r="A3313" s="15">
        <v>41087</v>
      </c>
      <c r="B3313" s="16" t="s">
        <v>1245</v>
      </c>
      <c r="C3313" t="s">
        <v>1241</v>
      </c>
      <c r="D3313" t="s">
        <v>783</v>
      </c>
      <c r="E3313" s="17">
        <v>1</v>
      </c>
      <c r="F3313" s="17">
        <v>690.6</v>
      </c>
      <c r="G3313" s="18">
        <v>690.6</v>
      </c>
      <c r="H3313" s="30" t="s">
        <v>2315</v>
      </c>
      <c r="J3313" s="34"/>
    </row>
    <row r="3314" spans="1:10" x14ac:dyDescent="0.25">
      <c r="A3314" s="15">
        <v>41117</v>
      </c>
      <c r="B3314" s="16" t="s">
        <v>1246</v>
      </c>
      <c r="C3314" t="s">
        <v>1241</v>
      </c>
      <c r="D3314" t="s">
        <v>783</v>
      </c>
      <c r="E3314" s="17">
        <v>1</v>
      </c>
      <c r="F3314" s="17">
        <v>5148.2</v>
      </c>
      <c r="G3314" s="18">
        <v>5148.2</v>
      </c>
      <c r="H3314" s="30" t="s">
        <v>2315</v>
      </c>
      <c r="J3314" s="34"/>
    </row>
    <row r="3315" spans="1:10" x14ac:dyDescent="0.25">
      <c r="A3315" s="15">
        <v>41121</v>
      </c>
      <c r="B3315" s="16" t="s">
        <v>1247</v>
      </c>
      <c r="C3315" t="s">
        <v>1241</v>
      </c>
      <c r="D3315" t="s">
        <v>783</v>
      </c>
      <c r="E3315" s="17">
        <v>1</v>
      </c>
      <c r="F3315" s="17">
        <v>1212.75</v>
      </c>
      <c r="G3315" s="18">
        <v>1212.75</v>
      </c>
      <c r="H3315" s="30" t="s">
        <v>2315</v>
      </c>
      <c r="J3315" s="34"/>
    </row>
    <row r="3316" spans="1:10" x14ac:dyDescent="0.25">
      <c r="A3316" s="15">
        <v>41138</v>
      </c>
      <c r="B3316" s="16" t="s">
        <v>1248</v>
      </c>
      <c r="C3316" t="s">
        <v>1241</v>
      </c>
      <c r="D3316" t="s">
        <v>783</v>
      </c>
      <c r="E3316" s="17">
        <v>1</v>
      </c>
      <c r="F3316" s="17">
        <v>755.45</v>
      </c>
      <c r="G3316" s="18">
        <v>755.45</v>
      </c>
      <c r="H3316" s="30" t="s">
        <v>2315</v>
      </c>
      <c r="J3316" s="34"/>
    </row>
    <row r="3317" spans="1:10" x14ac:dyDescent="0.25">
      <c r="A3317" s="15">
        <v>41140</v>
      </c>
      <c r="B3317" s="16" t="s">
        <v>865</v>
      </c>
      <c r="C3317" t="s">
        <v>8</v>
      </c>
      <c r="D3317" t="s">
        <v>48</v>
      </c>
      <c r="E3317" s="17">
        <v>4.5</v>
      </c>
      <c r="F3317" s="17">
        <v>35.35</v>
      </c>
      <c r="G3317" s="18">
        <v>159.07499999999999</v>
      </c>
      <c r="H3317" s="30" t="s">
        <v>2315</v>
      </c>
      <c r="J3317" s="34"/>
    </row>
    <row r="3318" spans="1:10" x14ac:dyDescent="0.25">
      <c r="A3318" s="15">
        <v>41140</v>
      </c>
      <c r="B3318" s="16" t="s">
        <v>1249</v>
      </c>
      <c r="C3318" t="s">
        <v>1241</v>
      </c>
      <c r="D3318" t="s">
        <v>783</v>
      </c>
      <c r="E3318" s="17">
        <v>16</v>
      </c>
      <c r="F3318" s="17">
        <v>87</v>
      </c>
      <c r="G3318" s="18">
        <v>1392</v>
      </c>
      <c r="H3318" s="30" t="s">
        <v>2315</v>
      </c>
      <c r="J3318" s="34"/>
    </row>
    <row r="3319" spans="1:10" x14ac:dyDescent="0.25">
      <c r="A3319" s="15">
        <v>41152</v>
      </c>
      <c r="B3319" s="16" t="s">
        <v>1250</v>
      </c>
      <c r="C3319" t="s">
        <v>1241</v>
      </c>
      <c r="D3319" t="s">
        <v>783</v>
      </c>
      <c r="E3319" s="17">
        <v>1</v>
      </c>
      <c r="F3319" s="17">
        <v>4628.1000000000004</v>
      </c>
      <c r="G3319" s="18">
        <v>4628.1000000000004</v>
      </c>
      <c r="H3319" s="30" t="s">
        <v>2315</v>
      </c>
      <c r="J3319" s="34"/>
    </row>
    <row r="3320" spans="1:10" ht="30" x14ac:dyDescent="0.25">
      <c r="A3320" s="15">
        <v>41152</v>
      </c>
      <c r="B3320" s="16" t="s">
        <v>1251</v>
      </c>
      <c r="C3320" t="s">
        <v>1252</v>
      </c>
      <c r="D3320" t="s">
        <v>783</v>
      </c>
      <c r="E3320" s="17">
        <v>30</v>
      </c>
      <c r="F3320" s="17">
        <v>21.427</v>
      </c>
      <c r="G3320" s="18">
        <v>642.80999999999995</v>
      </c>
      <c r="H3320" s="30" t="s">
        <v>2315</v>
      </c>
      <c r="J3320" s="34"/>
    </row>
    <row r="3321" spans="1:10" x14ac:dyDescent="0.25">
      <c r="A3321" s="15">
        <v>41156</v>
      </c>
      <c r="B3321" s="16" t="s">
        <v>865</v>
      </c>
      <c r="C3321" t="s">
        <v>8</v>
      </c>
      <c r="D3321" t="s">
        <v>48</v>
      </c>
      <c r="E3321" s="17">
        <v>8</v>
      </c>
      <c r="F3321" s="17">
        <v>35.35</v>
      </c>
      <c r="G3321" s="18">
        <v>282.8</v>
      </c>
      <c r="H3321" s="30" t="s">
        <v>2315</v>
      </c>
      <c r="J3321" s="34"/>
    </row>
    <row r="3322" spans="1:10" x14ac:dyDescent="0.25">
      <c r="A3322" s="15">
        <v>41172</v>
      </c>
      <c r="B3322" s="16" t="s">
        <v>865</v>
      </c>
      <c r="C3322" t="s">
        <v>8</v>
      </c>
      <c r="D3322" t="s">
        <v>48</v>
      </c>
      <c r="E3322" s="17">
        <v>7</v>
      </c>
      <c r="F3322" s="17">
        <v>35.35</v>
      </c>
      <c r="G3322" s="18">
        <v>247.45</v>
      </c>
      <c r="H3322" s="30" t="s">
        <v>2315</v>
      </c>
      <c r="J3322" s="34"/>
    </row>
    <row r="3323" spans="1:10" x14ac:dyDescent="0.25">
      <c r="A3323" s="15">
        <v>41172</v>
      </c>
      <c r="B3323" s="16" t="s">
        <v>865</v>
      </c>
      <c r="C3323" t="s">
        <v>8</v>
      </c>
      <c r="D3323" t="s">
        <v>48</v>
      </c>
      <c r="E3323" s="17">
        <v>10</v>
      </c>
      <c r="F3323" s="17">
        <v>35.35</v>
      </c>
      <c r="G3323" s="18">
        <v>353.5</v>
      </c>
      <c r="H3323" s="30" t="s">
        <v>2315</v>
      </c>
      <c r="J3323" s="34"/>
    </row>
    <row r="3324" spans="1:10" x14ac:dyDescent="0.25">
      <c r="A3324" s="15">
        <v>41179</v>
      </c>
      <c r="B3324" s="16" t="s">
        <v>882</v>
      </c>
      <c r="C3324" t="s">
        <v>8</v>
      </c>
      <c r="D3324" t="s">
        <v>48</v>
      </c>
      <c r="E3324" s="17">
        <v>8.5</v>
      </c>
      <c r="F3324" s="17">
        <v>48</v>
      </c>
      <c r="G3324" s="18">
        <v>408</v>
      </c>
      <c r="H3324" s="30" t="s">
        <v>2315</v>
      </c>
      <c r="J3324" s="34"/>
    </row>
    <row r="3325" spans="1:10" x14ac:dyDescent="0.25">
      <c r="A3325" s="15">
        <v>41179</v>
      </c>
      <c r="B3325" s="16" t="s">
        <v>865</v>
      </c>
      <c r="C3325" t="s">
        <v>8</v>
      </c>
      <c r="D3325" t="s">
        <v>48</v>
      </c>
      <c r="E3325" s="17">
        <v>8</v>
      </c>
      <c r="F3325" s="17">
        <v>35.35</v>
      </c>
      <c r="G3325" s="18">
        <v>282.8</v>
      </c>
      <c r="H3325" s="30" t="s">
        <v>2315</v>
      </c>
      <c r="J3325" s="34"/>
    </row>
    <row r="3326" spans="1:10" x14ac:dyDescent="0.25">
      <c r="A3326" s="15">
        <v>41179</v>
      </c>
      <c r="B3326" s="16" t="s">
        <v>865</v>
      </c>
      <c r="C3326" t="s">
        <v>8</v>
      </c>
      <c r="D3326" t="s">
        <v>48</v>
      </c>
      <c r="E3326" s="17">
        <v>8</v>
      </c>
      <c r="F3326" s="17">
        <v>35.35</v>
      </c>
      <c r="G3326" s="18">
        <v>282.8</v>
      </c>
      <c r="H3326" s="30" t="s">
        <v>2315</v>
      </c>
      <c r="J3326" s="34"/>
    </row>
    <row r="3327" spans="1:10" ht="30" x14ac:dyDescent="0.25">
      <c r="A3327" s="15">
        <v>41180</v>
      </c>
      <c r="B3327" s="16" t="s">
        <v>1253</v>
      </c>
      <c r="C3327" t="s">
        <v>1252</v>
      </c>
      <c r="D3327" t="s">
        <v>783</v>
      </c>
      <c r="E3327" s="17">
        <v>1</v>
      </c>
      <c r="F3327" s="17">
        <v>617.12</v>
      </c>
      <c r="G3327" s="18">
        <v>617.12</v>
      </c>
      <c r="H3327" s="30" t="s">
        <v>2315</v>
      </c>
      <c r="J3327" s="34"/>
    </row>
    <row r="3328" spans="1:10" x14ac:dyDescent="0.25">
      <c r="A3328" s="15">
        <v>41182</v>
      </c>
      <c r="B3328" s="16" t="s">
        <v>1254</v>
      </c>
      <c r="C3328" t="s">
        <v>1255</v>
      </c>
      <c r="D3328" t="s">
        <v>783</v>
      </c>
      <c r="E3328" s="17">
        <v>29</v>
      </c>
      <c r="F3328" s="17">
        <v>158</v>
      </c>
      <c r="G3328" s="18">
        <v>4582</v>
      </c>
      <c r="H3328" s="30" t="s">
        <v>2315</v>
      </c>
      <c r="J3328" s="34"/>
    </row>
    <row r="3329" spans="1:10" ht="30" x14ac:dyDescent="0.25">
      <c r="A3329" s="15">
        <v>41186</v>
      </c>
      <c r="B3329" s="16" t="s">
        <v>1256</v>
      </c>
      <c r="C3329" t="s">
        <v>1255</v>
      </c>
      <c r="D3329" t="s">
        <v>783</v>
      </c>
      <c r="E3329" s="17">
        <v>1</v>
      </c>
      <c r="F3329" s="17">
        <v>316</v>
      </c>
      <c r="G3329" s="18">
        <v>316</v>
      </c>
      <c r="H3329" s="30" t="s">
        <v>2315</v>
      </c>
      <c r="J3329" s="34"/>
    </row>
    <row r="3330" spans="1:10" x14ac:dyDescent="0.25">
      <c r="A3330" s="15">
        <v>41190</v>
      </c>
      <c r="B3330" s="16" t="s">
        <v>865</v>
      </c>
      <c r="C3330" t="s">
        <v>8</v>
      </c>
      <c r="D3330" t="s">
        <v>48</v>
      </c>
      <c r="E3330" s="17">
        <v>5</v>
      </c>
      <c r="F3330" s="17">
        <v>35.35</v>
      </c>
      <c r="G3330" s="18">
        <v>176.75</v>
      </c>
      <c r="H3330" s="30" t="s">
        <v>2315</v>
      </c>
      <c r="J3330" s="34"/>
    </row>
    <row r="3331" spans="1:10" x14ac:dyDescent="0.25">
      <c r="A3331" s="15">
        <v>41190</v>
      </c>
      <c r="B3331" s="16" t="s">
        <v>865</v>
      </c>
      <c r="C3331" t="s">
        <v>8</v>
      </c>
      <c r="D3331" t="s">
        <v>48</v>
      </c>
      <c r="E3331" s="17">
        <v>5</v>
      </c>
      <c r="F3331" s="17">
        <v>35.35</v>
      </c>
      <c r="G3331" s="18">
        <v>176.75</v>
      </c>
      <c r="H3331" s="30" t="s">
        <v>2315</v>
      </c>
      <c r="J3331" s="34"/>
    </row>
    <row r="3332" spans="1:10" x14ac:dyDescent="0.25">
      <c r="A3332" s="15">
        <v>41220</v>
      </c>
      <c r="B3332" s="16" t="s">
        <v>865</v>
      </c>
      <c r="C3332" t="s">
        <v>8</v>
      </c>
      <c r="D3332" t="s">
        <v>48</v>
      </c>
      <c r="E3332" s="17">
        <v>5</v>
      </c>
      <c r="F3332" s="17">
        <v>35.35</v>
      </c>
      <c r="G3332" s="18">
        <v>176.75</v>
      </c>
      <c r="H3332" s="30" t="s">
        <v>2315</v>
      </c>
      <c r="J3332" s="34"/>
    </row>
    <row r="3333" spans="1:10" x14ac:dyDescent="0.25">
      <c r="A3333" s="19" t="s">
        <v>781</v>
      </c>
      <c r="B3333" s="20" t="s">
        <v>1257</v>
      </c>
      <c r="C3333" s="21" t="s">
        <v>781</v>
      </c>
      <c r="D3333" s="21" t="s">
        <v>781</v>
      </c>
      <c r="E3333" s="22"/>
      <c r="F3333" s="22"/>
      <c r="G3333" s="23">
        <v>38275.730000000003</v>
      </c>
      <c r="H3333" s="31" t="s">
        <v>2285</v>
      </c>
      <c r="J3333" s="34"/>
    </row>
    <row r="3334" spans="1:10" x14ac:dyDescent="0.25">
      <c r="A3334" s="15" t="s">
        <v>781</v>
      </c>
      <c r="B3334" s="16" t="s">
        <v>781</v>
      </c>
      <c r="C3334" t="s">
        <v>781</v>
      </c>
      <c r="D3334" t="s">
        <v>781</v>
      </c>
      <c r="E3334" s="17"/>
      <c r="F3334" s="17"/>
      <c r="G3334" s="18"/>
      <c r="H3334" s="30" t="s">
        <v>2285</v>
      </c>
      <c r="J3334" s="34"/>
    </row>
    <row r="3335" spans="1:10" x14ac:dyDescent="0.25">
      <c r="A3335" s="12" t="s">
        <v>781</v>
      </c>
      <c r="B3335" s="11" t="s">
        <v>1883</v>
      </c>
      <c r="C3335" s="10" t="s">
        <v>781</v>
      </c>
      <c r="D3335" s="10" t="s">
        <v>781</v>
      </c>
      <c r="E3335" s="13"/>
      <c r="F3335" s="13"/>
      <c r="G3335" s="14"/>
      <c r="H3335" s="29" t="s">
        <v>2285</v>
      </c>
      <c r="J3335" s="34"/>
    </row>
    <row r="3336" spans="1:10" x14ac:dyDescent="0.25">
      <c r="A3336" s="15">
        <v>40829</v>
      </c>
      <c r="B3336" s="16" t="s">
        <v>865</v>
      </c>
      <c r="C3336" t="s">
        <v>8</v>
      </c>
      <c r="D3336" t="s">
        <v>48</v>
      </c>
      <c r="E3336" s="17">
        <v>1.5</v>
      </c>
      <c r="F3336" s="17">
        <v>35.35</v>
      </c>
      <c r="G3336" s="18">
        <v>53.024999999999999</v>
      </c>
      <c r="H3336" s="30" t="s">
        <v>2316</v>
      </c>
      <c r="J3336" s="34"/>
    </row>
    <row r="3337" spans="1:10" x14ac:dyDescent="0.25">
      <c r="A3337" s="15">
        <v>40829</v>
      </c>
      <c r="B3337" s="16" t="s">
        <v>865</v>
      </c>
      <c r="C3337" t="s">
        <v>8</v>
      </c>
      <c r="D3337" t="s">
        <v>48</v>
      </c>
      <c r="E3337" s="17">
        <v>2</v>
      </c>
      <c r="F3337" s="17">
        <v>35.35</v>
      </c>
      <c r="G3337" s="18">
        <v>70.7</v>
      </c>
      <c r="H3337" s="30" t="s">
        <v>2316</v>
      </c>
      <c r="J3337" s="34"/>
    </row>
    <row r="3338" spans="1:10" x14ac:dyDescent="0.25">
      <c r="A3338" s="15">
        <v>40830</v>
      </c>
      <c r="B3338" s="16" t="s">
        <v>865</v>
      </c>
      <c r="C3338" t="s">
        <v>8</v>
      </c>
      <c r="D3338" t="s">
        <v>48</v>
      </c>
      <c r="E3338" s="17">
        <v>2</v>
      </c>
      <c r="F3338" s="17">
        <v>35.35</v>
      </c>
      <c r="G3338" s="18">
        <v>70.7</v>
      </c>
      <c r="H3338" s="30" t="s">
        <v>2316</v>
      </c>
      <c r="J3338" s="34"/>
    </row>
    <row r="3339" spans="1:10" x14ac:dyDescent="0.25">
      <c r="A3339" s="15">
        <v>40830</v>
      </c>
      <c r="B3339" s="16" t="s">
        <v>865</v>
      </c>
      <c r="C3339" t="s">
        <v>8</v>
      </c>
      <c r="D3339" t="s">
        <v>48</v>
      </c>
      <c r="E3339" s="17">
        <v>1.5</v>
      </c>
      <c r="F3339" s="17">
        <v>35.35</v>
      </c>
      <c r="G3339" s="18">
        <v>53.024999999999999</v>
      </c>
      <c r="H3339" s="30" t="s">
        <v>2316</v>
      </c>
      <c r="J3339" s="34"/>
    </row>
    <row r="3340" spans="1:10" x14ac:dyDescent="0.25">
      <c r="A3340" s="15">
        <v>40830</v>
      </c>
      <c r="B3340" s="16" t="s">
        <v>906</v>
      </c>
      <c r="C3340" t="s">
        <v>864</v>
      </c>
      <c r="D3340" t="s">
        <v>48</v>
      </c>
      <c r="E3340" s="17">
        <v>4.5</v>
      </c>
      <c r="F3340" s="17">
        <v>95</v>
      </c>
      <c r="G3340" s="18">
        <v>427.5</v>
      </c>
      <c r="H3340" s="30" t="s">
        <v>2316</v>
      </c>
      <c r="J3340" s="34"/>
    </row>
    <row r="3341" spans="1:10" x14ac:dyDescent="0.25">
      <c r="A3341" s="15">
        <v>40830</v>
      </c>
      <c r="B3341" s="16" t="s">
        <v>1258</v>
      </c>
      <c r="C3341" t="s">
        <v>864</v>
      </c>
      <c r="D3341" t="s">
        <v>48</v>
      </c>
      <c r="E3341" s="17">
        <v>5</v>
      </c>
      <c r="F3341" s="17">
        <v>110</v>
      </c>
      <c r="G3341" s="18">
        <v>550</v>
      </c>
      <c r="H3341" s="30" t="s">
        <v>2316</v>
      </c>
      <c r="J3341" s="34"/>
    </row>
    <row r="3342" spans="1:10" x14ac:dyDescent="0.25">
      <c r="A3342" s="15">
        <v>40833</v>
      </c>
      <c r="B3342" s="16" t="s">
        <v>865</v>
      </c>
      <c r="C3342" t="s">
        <v>8</v>
      </c>
      <c r="D3342" t="s">
        <v>48</v>
      </c>
      <c r="E3342" s="17">
        <v>9.5</v>
      </c>
      <c r="F3342" s="17">
        <v>35.35</v>
      </c>
      <c r="G3342" s="18">
        <v>335.82499999999999</v>
      </c>
      <c r="H3342" s="30" t="s">
        <v>2316</v>
      </c>
      <c r="J3342" s="34"/>
    </row>
    <row r="3343" spans="1:10" x14ac:dyDescent="0.25">
      <c r="A3343" s="15">
        <v>40833</v>
      </c>
      <c r="B3343" s="16" t="s">
        <v>865</v>
      </c>
      <c r="C3343" t="s">
        <v>8</v>
      </c>
      <c r="D3343" t="s">
        <v>48</v>
      </c>
      <c r="E3343" s="17">
        <v>8</v>
      </c>
      <c r="F3343" s="17">
        <v>35.35</v>
      </c>
      <c r="G3343" s="18">
        <v>282.8</v>
      </c>
      <c r="H3343" s="30" t="s">
        <v>2316</v>
      </c>
      <c r="J3343" s="34"/>
    </row>
    <row r="3344" spans="1:10" x14ac:dyDescent="0.25">
      <c r="A3344" s="15">
        <v>40876</v>
      </c>
      <c r="B3344" s="16" t="s">
        <v>865</v>
      </c>
      <c r="C3344" t="s">
        <v>8</v>
      </c>
      <c r="D3344" t="s">
        <v>48</v>
      </c>
      <c r="E3344" s="17">
        <v>1.5</v>
      </c>
      <c r="F3344" s="17">
        <v>35.35</v>
      </c>
      <c r="G3344" s="18">
        <v>53.024999999999999</v>
      </c>
      <c r="H3344" s="30" t="s">
        <v>2316</v>
      </c>
      <c r="J3344" s="34"/>
    </row>
    <row r="3345" spans="1:10" x14ac:dyDescent="0.25">
      <c r="A3345" s="15">
        <v>40876</v>
      </c>
      <c r="B3345" s="16" t="s">
        <v>865</v>
      </c>
      <c r="C3345" t="s">
        <v>8</v>
      </c>
      <c r="D3345" t="s">
        <v>48</v>
      </c>
      <c r="E3345" s="17">
        <v>1.5</v>
      </c>
      <c r="F3345" s="17">
        <v>35.35</v>
      </c>
      <c r="G3345" s="18">
        <v>53.024999999999999</v>
      </c>
      <c r="H3345" s="30" t="s">
        <v>2316</v>
      </c>
      <c r="J3345" s="34"/>
    </row>
    <row r="3346" spans="1:10" x14ac:dyDescent="0.25">
      <c r="A3346" s="15">
        <v>40876</v>
      </c>
      <c r="B3346" s="16" t="s">
        <v>865</v>
      </c>
      <c r="C3346" t="s">
        <v>8</v>
      </c>
      <c r="D3346" t="s">
        <v>48</v>
      </c>
      <c r="E3346" s="17">
        <v>1.5</v>
      </c>
      <c r="F3346" s="17">
        <v>35.35</v>
      </c>
      <c r="G3346" s="18">
        <v>53.024999999999999</v>
      </c>
      <c r="H3346" s="30" t="s">
        <v>2316</v>
      </c>
      <c r="J3346" s="34"/>
    </row>
    <row r="3347" spans="1:10" x14ac:dyDescent="0.25">
      <c r="A3347" s="15">
        <v>40920</v>
      </c>
      <c r="B3347" s="16" t="s">
        <v>1259</v>
      </c>
      <c r="C3347" t="s">
        <v>1260</v>
      </c>
      <c r="D3347" t="s">
        <v>783</v>
      </c>
      <c r="E3347" s="17">
        <v>1</v>
      </c>
      <c r="F3347" s="17">
        <v>60</v>
      </c>
      <c r="G3347" s="18">
        <v>60</v>
      </c>
      <c r="H3347" s="30" t="s">
        <v>2316</v>
      </c>
      <c r="J3347" s="34"/>
    </row>
    <row r="3348" spans="1:10" x14ac:dyDescent="0.25">
      <c r="A3348" s="15">
        <v>40924</v>
      </c>
      <c r="B3348" s="16" t="s">
        <v>865</v>
      </c>
      <c r="C3348" t="s">
        <v>8</v>
      </c>
      <c r="D3348" t="s">
        <v>48</v>
      </c>
      <c r="E3348" s="17">
        <v>2</v>
      </c>
      <c r="F3348" s="17">
        <v>35.35</v>
      </c>
      <c r="G3348" s="18">
        <v>70.7</v>
      </c>
      <c r="H3348" s="30" t="s">
        <v>2316</v>
      </c>
      <c r="J3348" s="34"/>
    </row>
    <row r="3349" spans="1:10" x14ac:dyDescent="0.25">
      <c r="A3349" s="15">
        <v>40924</v>
      </c>
      <c r="B3349" s="16" t="s">
        <v>954</v>
      </c>
      <c r="C3349" t="s">
        <v>8</v>
      </c>
      <c r="D3349" t="s">
        <v>48</v>
      </c>
      <c r="E3349" s="17">
        <v>2</v>
      </c>
      <c r="F3349" s="17">
        <v>40.97</v>
      </c>
      <c r="G3349" s="18">
        <v>81.94</v>
      </c>
      <c r="H3349" s="30" t="s">
        <v>2316</v>
      </c>
      <c r="J3349" s="34"/>
    </row>
    <row r="3350" spans="1:10" x14ac:dyDescent="0.25">
      <c r="A3350" s="15">
        <v>40924</v>
      </c>
      <c r="B3350" s="16" t="s">
        <v>869</v>
      </c>
      <c r="C3350" t="s">
        <v>8</v>
      </c>
      <c r="D3350" t="s">
        <v>48</v>
      </c>
      <c r="E3350" s="17">
        <v>2</v>
      </c>
      <c r="F3350" s="17">
        <v>35.35</v>
      </c>
      <c r="G3350" s="18">
        <v>70.7</v>
      </c>
      <c r="H3350" s="30" t="s">
        <v>2316</v>
      </c>
      <c r="J3350" s="34"/>
    </row>
    <row r="3351" spans="1:10" x14ac:dyDescent="0.25">
      <c r="A3351" s="15">
        <v>40924</v>
      </c>
      <c r="B3351" s="16" t="s">
        <v>921</v>
      </c>
      <c r="C3351" t="s">
        <v>8</v>
      </c>
      <c r="D3351" t="s">
        <v>48</v>
      </c>
      <c r="E3351" s="17">
        <v>2</v>
      </c>
      <c r="F3351" s="17">
        <v>44.2</v>
      </c>
      <c r="G3351" s="18">
        <v>88.4</v>
      </c>
      <c r="H3351" s="30" t="s">
        <v>2316</v>
      </c>
      <c r="J3351" s="34"/>
    </row>
    <row r="3352" spans="1:10" x14ac:dyDescent="0.25">
      <c r="A3352" s="15">
        <v>40990</v>
      </c>
      <c r="B3352" s="16" t="s">
        <v>865</v>
      </c>
      <c r="C3352" t="s">
        <v>8</v>
      </c>
      <c r="D3352" t="s">
        <v>48</v>
      </c>
      <c r="E3352" s="17">
        <v>3</v>
      </c>
      <c r="F3352" s="17">
        <v>35.35</v>
      </c>
      <c r="G3352" s="18">
        <v>106.05</v>
      </c>
      <c r="H3352" s="30" t="s">
        <v>2316</v>
      </c>
      <c r="J3352" s="34"/>
    </row>
    <row r="3353" spans="1:10" x14ac:dyDescent="0.25">
      <c r="A3353" s="15">
        <v>40990</v>
      </c>
      <c r="B3353" s="16" t="s">
        <v>865</v>
      </c>
      <c r="C3353" t="s">
        <v>8</v>
      </c>
      <c r="D3353" t="s">
        <v>48</v>
      </c>
      <c r="E3353" s="17">
        <v>3</v>
      </c>
      <c r="F3353" s="17">
        <v>35.35</v>
      </c>
      <c r="G3353" s="18">
        <v>106.05</v>
      </c>
      <c r="H3353" s="30" t="s">
        <v>2316</v>
      </c>
      <c r="J3353" s="34"/>
    </row>
    <row r="3354" spans="1:10" x14ac:dyDescent="0.25">
      <c r="A3354" s="15">
        <v>40990</v>
      </c>
      <c r="B3354" s="16" t="s">
        <v>865</v>
      </c>
      <c r="C3354" t="s">
        <v>8</v>
      </c>
      <c r="D3354" t="s">
        <v>48</v>
      </c>
      <c r="E3354" s="17">
        <v>3</v>
      </c>
      <c r="F3354" s="17">
        <v>35.35</v>
      </c>
      <c r="G3354" s="18">
        <v>106.05</v>
      </c>
      <c r="H3354" s="30" t="s">
        <v>2316</v>
      </c>
      <c r="J3354" s="34"/>
    </row>
    <row r="3355" spans="1:10" x14ac:dyDescent="0.25">
      <c r="A3355" s="15">
        <v>40994</v>
      </c>
      <c r="B3355" s="16" t="s">
        <v>865</v>
      </c>
      <c r="C3355" t="s">
        <v>8</v>
      </c>
      <c r="D3355" t="s">
        <v>48</v>
      </c>
      <c r="E3355" s="17">
        <v>2.5</v>
      </c>
      <c r="F3355" s="17">
        <v>35.35</v>
      </c>
      <c r="G3355" s="18">
        <v>88.375</v>
      </c>
      <c r="H3355" s="30" t="s">
        <v>2316</v>
      </c>
      <c r="J3355" s="34"/>
    </row>
    <row r="3356" spans="1:10" x14ac:dyDescent="0.25">
      <c r="A3356" s="15">
        <v>40994</v>
      </c>
      <c r="B3356" s="16" t="s">
        <v>865</v>
      </c>
      <c r="C3356" t="s">
        <v>8</v>
      </c>
      <c r="D3356" t="s">
        <v>48</v>
      </c>
      <c r="E3356" s="17">
        <v>2.5</v>
      </c>
      <c r="F3356" s="17">
        <v>35.35</v>
      </c>
      <c r="G3356" s="18">
        <v>88.375</v>
      </c>
      <c r="H3356" s="30" t="s">
        <v>2316</v>
      </c>
      <c r="J3356" s="34"/>
    </row>
    <row r="3357" spans="1:10" x14ac:dyDescent="0.25">
      <c r="A3357" s="15">
        <v>40994</v>
      </c>
      <c r="B3357" s="16" t="s">
        <v>865</v>
      </c>
      <c r="C3357" t="s">
        <v>8</v>
      </c>
      <c r="D3357" t="s">
        <v>48</v>
      </c>
      <c r="E3357" s="17">
        <v>2.5</v>
      </c>
      <c r="F3357" s="17">
        <v>35.35</v>
      </c>
      <c r="G3357" s="18">
        <v>88.375</v>
      </c>
      <c r="H3357" s="30" t="s">
        <v>2316</v>
      </c>
      <c r="J3357" s="34"/>
    </row>
    <row r="3358" spans="1:10" x14ac:dyDescent="0.25">
      <c r="A3358" s="15">
        <v>41044</v>
      </c>
      <c r="B3358" s="16" t="s">
        <v>865</v>
      </c>
      <c r="C3358" t="s">
        <v>8</v>
      </c>
      <c r="D3358" t="s">
        <v>48</v>
      </c>
      <c r="E3358" s="17">
        <v>3.35</v>
      </c>
      <c r="F3358" s="17">
        <v>48</v>
      </c>
      <c r="G3358" s="18">
        <v>160.80000000000001</v>
      </c>
      <c r="H3358" s="30" t="s">
        <v>2316</v>
      </c>
      <c r="J3358" s="34"/>
    </row>
    <row r="3359" spans="1:10" x14ac:dyDescent="0.25">
      <c r="A3359" s="15">
        <v>41044</v>
      </c>
      <c r="B3359" s="16" t="s">
        <v>865</v>
      </c>
      <c r="C3359" t="s">
        <v>8</v>
      </c>
      <c r="D3359" t="s">
        <v>48</v>
      </c>
      <c r="E3359" s="17">
        <v>3.5</v>
      </c>
      <c r="F3359" s="17">
        <v>35.35</v>
      </c>
      <c r="G3359" s="18">
        <v>123.72499999999999</v>
      </c>
      <c r="H3359" s="30" t="s">
        <v>2316</v>
      </c>
      <c r="J3359" s="34"/>
    </row>
    <row r="3360" spans="1:10" x14ac:dyDescent="0.25">
      <c r="A3360" s="15">
        <v>41044</v>
      </c>
      <c r="B3360" s="16" t="s">
        <v>865</v>
      </c>
      <c r="C3360" t="s">
        <v>8</v>
      </c>
      <c r="D3360" t="s">
        <v>48</v>
      </c>
      <c r="E3360" s="17">
        <v>3.5</v>
      </c>
      <c r="F3360" s="17">
        <v>35.35</v>
      </c>
      <c r="G3360" s="18">
        <v>123.72499999999999</v>
      </c>
      <c r="H3360" s="30" t="s">
        <v>2316</v>
      </c>
      <c r="J3360" s="34"/>
    </row>
    <row r="3361" spans="1:10" x14ac:dyDescent="0.25">
      <c r="A3361" s="15">
        <v>41044</v>
      </c>
      <c r="B3361" s="16" t="s">
        <v>865</v>
      </c>
      <c r="C3361" t="s">
        <v>8</v>
      </c>
      <c r="D3361" t="s">
        <v>48</v>
      </c>
      <c r="E3361" s="17">
        <v>3.5</v>
      </c>
      <c r="F3361" s="17">
        <v>35.35</v>
      </c>
      <c r="G3361" s="18">
        <v>123.72499999999999</v>
      </c>
      <c r="H3361" s="30" t="s">
        <v>2316</v>
      </c>
      <c r="J3361" s="34"/>
    </row>
    <row r="3362" spans="1:10" x14ac:dyDescent="0.25">
      <c r="A3362" s="15">
        <v>41044</v>
      </c>
      <c r="B3362" s="16" t="s">
        <v>877</v>
      </c>
      <c r="C3362" t="s">
        <v>868</v>
      </c>
      <c r="D3362" t="s">
        <v>48</v>
      </c>
      <c r="E3362" s="17">
        <v>3</v>
      </c>
      <c r="F3362" s="17">
        <v>90</v>
      </c>
      <c r="G3362" s="18">
        <v>270</v>
      </c>
      <c r="H3362" s="30" t="s">
        <v>2316</v>
      </c>
      <c r="J3362" s="34"/>
    </row>
    <row r="3363" spans="1:10" x14ac:dyDescent="0.25">
      <c r="A3363" s="15">
        <v>41053</v>
      </c>
      <c r="B3363" s="16" t="s">
        <v>865</v>
      </c>
      <c r="C3363" t="s">
        <v>8</v>
      </c>
      <c r="D3363" t="s">
        <v>48</v>
      </c>
      <c r="E3363" s="17">
        <v>3.5</v>
      </c>
      <c r="F3363" s="17">
        <v>35.35</v>
      </c>
      <c r="G3363" s="18">
        <v>123.72499999999999</v>
      </c>
      <c r="H3363" s="30" t="s">
        <v>2316</v>
      </c>
      <c r="J3363" s="34"/>
    </row>
    <row r="3364" spans="1:10" x14ac:dyDescent="0.25">
      <c r="A3364" s="15">
        <v>41053</v>
      </c>
      <c r="B3364" s="16" t="s">
        <v>865</v>
      </c>
      <c r="C3364" t="s">
        <v>8</v>
      </c>
      <c r="D3364" t="s">
        <v>48</v>
      </c>
      <c r="E3364" s="17">
        <v>3.5</v>
      </c>
      <c r="F3364" s="17">
        <v>35.35</v>
      </c>
      <c r="G3364" s="18">
        <v>123.72499999999999</v>
      </c>
      <c r="H3364" s="30" t="s">
        <v>2316</v>
      </c>
      <c r="J3364" s="34"/>
    </row>
    <row r="3365" spans="1:10" x14ac:dyDescent="0.25">
      <c r="A3365" s="15">
        <v>41054</v>
      </c>
      <c r="B3365" s="16" t="s">
        <v>865</v>
      </c>
      <c r="C3365" t="s">
        <v>8</v>
      </c>
      <c r="D3365" t="s">
        <v>48</v>
      </c>
      <c r="E3365" s="17">
        <v>2</v>
      </c>
      <c r="F3365" s="17">
        <v>35.35</v>
      </c>
      <c r="G3365" s="18">
        <v>70.7</v>
      </c>
      <c r="H3365" s="30" t="s">
        <v>2316</v>
      </c>
      <c r="J3365" s="34"/>
    </row>
    <row r="3366" spans="1:10" x14ac:dyDescent="0.25">
      <c r="A3366" s="15">
        <v>41054</v>
      </c>
      <c r="B3366" s="16" t="s">
        <v>865</v>
      </c>
      <c r="C3366" t="s">
        <v>8</v>
      </c>
      <c r="D3366" t="s">
        <v>48</v>
      </c>
      <c r="E3366" s="17">
        <v>2</v>
      </c>
      <c r="F3366" s="17">
        <v>35.35</v>
      </c>
      <c r="G3366" s="18">
        <v>70.7</v>
      </c>
      <c r="H3366" s="30" t="s">
        <v>2316</v>
      </c>
      <c r="J3366" s="34"/>
    </row>
    <row r="3367" spans="1:10" x14ac:dyDescent="0.25">
      <c r="A3367" s="15">
        <v>41054</v>
      </c>
      <c r="B3367" s="16" t="s">
        <v>865</v>
      </c>
      <c r="C3367" t="s">
        <v>8</v>
      </c>
      <c r="D3367" t="s">
        <v>48</v>
      </c>
      <c r="E3367" s="17">
        <v>2</v>
      </c>
      <c r="F3367" s="17">
        <v>35.35</v>
      </c>
      <c r="G3367" s="18">
        <v>70.7</v>
      </c>
      <c r="H3367" s="30" t="s">
        <v>2316</v>
      </c>
      <c r="J3367" s="34"/>
    </row>
    <row r="3368" spans="1:10" x14ac:dyDescent="0.25">
      <c r="A3368" s="15">
        <v>41054</v>
      </c>
      <c r="B3368" s="16" t="s">
        <v>865</v>
      </c>
      <c r="C3368" t="s">
        <v>8</v>
      </c>
      <c r="D3368" t="s">
        <v>48</v>
      </c>
      <c r="E3368" s="17">
        <v>2</v>
      </c>
      <c r="F3368" s="17">
        <v>48</v>
      </c>
      <c r="G3368" s="18">
        <v>96</v>
      </c>
      <c r="H3368" s="30" t="s">
        <v>2316</v>
      </c>
      <c r="J3368" s="34"/>
    </row>
    <row r="3369" spans="1:10" x14ac:dyDescent="0.25">
      <c r="A3369" s="15">
        <v>41054</v>
      </c>
      <c r="B3369" s="16" t="s">
        <v>865</v>
      </c>
      <c r="C3369" t="s">
        <v>8</v>
      </c>
      <c r="D3369" t="s">
        <v>48</v>
      </c>
      <c r="E3369" s="17">
        <v>2</v>
      </c>
      <c r="F3369" s="17">
        <v>35.35</v>
      </c>
      <c r="G3369" s="18">
        <v>70.7</v>
      </c>
      <c r="H3369" s="30" t="s">
        <v>2316</v>
      </c>
      <c r="J3369" s="34"/>
    </row>
    <row r="3370" spans="1:10" x14ac:dyDescent="0.25">
      <c r="A3370" s="15">
        <v>41054</v>
      </c>
      <c r="B3370" s="16" t="s">
        <v>874</v>
      </c>
      <c r="C3370" t="s">
        <v>875</v>
      </c>
      <c r="D3370" t="s">
        <v>48</v>
      </c>
      <c r="E3370" s="17">
        <v>1</v>
      </c>
      <c r="F3370" s="17">
        <v>25.78</v>
      </c>
      <c r="G3370" s="18">
        <v>25.78</v>
      </c>
      <c r="H3370" s="30" t="s">
        <v>2316</v>
      </c>
      <c r="J3370" s="34"/>
    </row>
    <row r="3371" spans="1:10" x14ac:dyDescent="0.25">
      <c r="A3371" s="15">
        <v>41100</v>
      </c>
      <c r="B3371" s="16" t="s">
        <v>865</v>
      </c>
      <c r="C3371" t="s">
        <v>8</v>
      </c>
      <c r="D3371" t="s">
        <v>48</v>
      </c>
      <c r="E3371" s="17">
        <v>1</v>
      </c>
      <c r="F3371" s="17">
        <v>48</v>
      </c>
      <c r="G3371" s="18">
        <v>48</v>
      </c>
      <c r="H3371" s="30" t="s">
        <v>2316</v>
      </c>
      <c r="J3371" s="34"/>
    </row>
    <row r="3372" spans="1:10" x14ac:dyDescent="0.25">
      <c r="A3372" s="15">
        <v>41100</v>
      </c>
      <c r="B3372" s="16" t="s">
        <v>865</v>
      </c>
      <c r="C3372" t="s">
        <v>8</v>
      </c>
      <c r="D3372" t="s">
        <v>48</v>
      </c>
      <c r="E3372" s="17">
        <v>1</v>
      </c>
      <c r="F3372" s="17">
        <v>35.35</v>
      </c>
      <c r="G3372" s="18">
        <v>35.35</v>
      </c>
      <c r="H3372" s="30" t="s">
        <v>2316</v>
      </c>
      <c r="J3372" s="34"/>
    </row>
    <row r="3373" spans="1:10" x14ac:dyDescent="0.25">
      <c r="A3373" s="15">
        <v>41100</v>
      </c>
      <c r="B3373" s="16" t="s">
        <v>865</v>
      </c>
      <c r="C3373" t="s">
        <v>8</v>
      </c>
      <c r="D3373" t="s">
        <v>48</v>
      </c>
      <c r="E3373" s="17">
        <v>1</v>
      </c>
      <c r="F3373" s="17">
        <v>35.35</v>
      </c>
      <c r="G3373" s="18">
        <v>35.35</v>
      </c>
      <c r="H3373" s="30" t="s">
        <v>2316</v>
      </c>
      <c r="J3373" s="34"/>
    </row>
    <row r="3374" spans="1:10" x14ac:dyDescent="0.25">
      <c r="A3374" s="15">
        <v>41102</v>
      </c>
      <c r="B3374" s="16" t="s">
        <v>865</v>
      </c>
      <c r="C3374" t="s">
        <v>8</v>
      </c>
      <c r="D3374" t="s">
        <v>48</v>
      </c>
      <c r="E3374" s="17">
        <v>1</v>
      </c>
      <c r="F3374" s="17">
        <v>48</v>
      </c>
      <c r="G3374" s="18">
        <v>48</v>
      </c>
      <c r="H3374" s="30" t="s">
        <v>2316</v>
      </c>
      <c r="J3374" s="34"/>
    </row>
    <row r="3375" spans="1:10" x14ac:dyDescent="0.25">
      <c r="A3375" s="15">
        <v>41102</v>
      </c>
      <c r="B3375" s="16" t="s">
        <v>865</v>
      </c>
      <c r="C3375" t="s">
        <v>8</v>
      </c>
      <c r="D3375" t="s">
        <v>48</v>
      </c>
      <c r="E3375" s="17">
        <v>1</v>
      </c>
      <c r="F3375" s="17">
        <v>35.35</v>
      </c>
      <c r="G3375" s="18">
        <v>35.35</v>
      </c>
      <c r="H3375" s="30" t="s">
        <v>2316</v>
      </c>
      <c r="J3375" s="34"/>
    </row>
    <row r="3376" spans="1:10" x14ac:dyDescent="0.25">
      <c r="A3376" s="15">
        <v>41184</v>
      </c>
      <c r="B3376" s="16" t="s">
        <v>865</v>
      </c>
      <c r="C3376" t="s">
        <v>8</v>
      </c>
      <c r="D3376" t="s">
        <v>48</v>
      </c>
      <c r="E3376" s="17">
        <v>3</v>
      </c>
      <c r="F3376" s="17">
        <v>35.35</v>
      </c>
      <c r="G3376" s="18">
        <v>106.05</v>
      </c>
      <c r="H3376" s="30" t="s">
        <v>2316</v>
      </c>
      <c r="J3376" s="34"/>
    </row>
    <row r="3377" spans="1:10" x14ac:dyDescent="0.25">
      <c r="A3377" s="15">
        <v>41184</v>
      </c>
      <c r="B3377" s="16" t="s">
        <v>865</v>
      </c>
      <c r="C3377" t="s">
        <v>8</v>
      </c>
      <c r="D3377" t="s">
        <v>48</v>
      </c>
      <c r="E3377" s="17">
        <v>3</v>
      </c>
      <c r="F3377" s="17">
        <v>35.35</v>
      </c>
      <c r="G3377" s="18">
        <v>106.05</v>
      </c>
      <c r="H3377" s="30" t="s">
        <v>2316</v>
      </c>
      <c r="J3377" s="34"/>
    </row>
    <row r="3378" spans="1:10" x14ac:dyDescent="0.25">
      <c r="A3378" s="19" t="s">
        <v>781</v>
      </c>
      <c r="B3378" s="20" t="s">
        <v>1261</v>
      </c>
      <c r="C3378" s="21" t="s">
        <v>781</v>
      </c>
      <c r="D3378" s="21" t="s">
        <v>781</v>
      </c>
      <c r="E3378" s="22"/>
      <c r="F3378" s="22"/>
      <c r="G3378" s="23">
        <v>4825.82</v>
      </c>
      <c r="H3378" s="31" t="s">
        <v>2285</v>
      </c>
      <c r="J3378" s="34"/>
    </row>
    <row r="3379" spans="1:10" x14ac:dyDescent="0.25">
      <c r="A3379" s="15" t="s">
        <v>781</v>
      </c>
      <c r="B3379" s="16" t="s">
        <v>781</v>
      </c>
      <c r="C3379" t="s">
        <v>781</v>
      </c>
      <c r="D3379" t="s">
        <v>781</v>
      </c>
      <c r="E3379" s="17"/>
      <c r="F3379" s="17"/>
      <c r="G3379" s="18"/>
      <c r="H3379" s="30" t="s">
        <v>2285</v>
      </c>
      <c r="J3379" s="34"/>
    </row>
    <row r="3380" spans="1:10" x14ac:dyDescent="0.25">
      <c r="A3380" s="12" t="s">
        <v>781</v>
      </c>
      <c r="B3380" s="11" t="s">
        <v>1884</v>
      </c>
      <c r="C3380" s="10" t="s">
        <v>781</v>
      </c>
      <c r="D3380" s="10" t="s">
        <v>781</v>
      </c>
      <c r="E3380" s="13"/>
      <c r="F3380" s="13"/>
      <c r="G3380" s="14"/>
      <c r="H3380" s="29" t="s">
        <v>2285</v>
      </c>
      <c r="J3380" s="34"/>
    </row>
    <row r="3381" spans="1:10" x14ac:dyDescent="0.25">
      <c r="A3381" s="15">
        <v>40828</v>
      </c>
      <c r="B3381" s="16" t="s">
        <v>906</v>
      </c>
      <c r="C3381" t="s">
        <v>864</v>
      </c>
      <c r="D3381" t="s">
        <v>48</v>
      </c>
      <c r="E3381" s="17">
        <v>7.5</v>
      </c>
      <c r="F3381" s="17">
        <v>110</v>
      </c>
      <c r="G3381" s="18">
        <v>825</v>
      </c>
      <c r="H3381" s="30" t="s">
        <v>2317</v>
      </c>
      <c r="J3381" s="34"/>
    </row>
    <row r="3382" spans="1:10" x14ac:dyDescent="0.25">
      <c r="A3382" s="15">
        <v>40828</v>
      </c>
      <c r="B3382" s="16" t="s">
        <v>903</v>
      </c>
      <c r="C3382" t="s">
        <v>864</v>
      </c>
      <c r="D3382" t="s">
        <v>48</v>
      </c>
      <c r="E3382" s="17">
        <v>8</v>
      </c>
      <c r="F3382" s="17">
        <v>95</v>
      </c>
      <c r="G3382" s="18">
        <v>760</v>
      </c>
      <c r="H3382" s="30" t="s">
        <v>2317</v>
      </c>
      <c r="J3382" s="34"/>
    </row>
    <row r="3383" spans="1:10" x14ac:dyDescent="0.25">
      <c r="A3383" s="15">
        <v>40828</v>
      </c>
      <c r="B3383" s="16" t="s">
        <v>865</v>
      </c>
      <c r="C3383" t="s">
        <v>8</v>
      </c>
      <c r="D3383" t="s">
        <v>48</v>
      </c>
      <c r="E3383" s="17">
        <v>8.5</v>
      </c>
      <c r="F3383" s="17">
        <v>35.35</v>
      </c>
      <c r="G3383" s="18">
        <v>300.47500000000002</v>
      </c>
      <c r="H3383" s="30" t="s">
        <v>2317</v>
      </c>
      <c r="J3383" s="34"/>
    </row>
    <row r="3384" spans="1:10" ht="30" x14ac:dyDescent="0.25">
      <c r="A3384" s="15">
        <v>40830</v>
      </c>
      <c r="B3384" s="16" t="s">
        <v>1262</v>
      </c>
      <c r="C3384" t="s">
        <v>976</v>
      </c>
      <c r="D3384" t="s">
        <v>783</v>
      </c>
      <c r="E3384" s="17">
        <v>1</v>
      </c>
      <c r="F3384" s="17">
        <v>5317.9</v>
      </c>
      <c r="G3384" s="18">
        <v>5317.9</v>
      </c>
      <c r="H3384" s="30" t="s">
        <v>2317</v>
      </c>
      <c r="J3384" s="34"/>
    </row>
    <row r="3385" spans="1:10" x14ac:dyDescent="0.25">
      <c r="A3385" s="15">
        <v>40834</v>
      </c>
      <c r="B3385" s="16" t="s">
        <v>906</v>
      </c>
      <c r="C3385" t="s">
        <v>864</v>
      </c>
      <c r="D3385" t="s">
        <v>48</v>
      </c>
      <c r="E3385" s="17">
        <v>2.5</v>
      </c>
      <c r="F3385" s="17">
        <v>110</v>
      </c>
      <c r="G3385" s="18">
        <v>275</v>
      </c>
      <c r="H3385" s="30" t="s">
        <v>2317</v>
      </c>
      <c r="J3385" s="34"/>
    </row>
    <row r="3386" spans="1:10" x14ac:dyDescent="0.25">
      <c r="A3386" s="15">
        <v>40834</v>
      </c>
      <c r="B3386" s="16" t="s">
        <v>865</v>
      </c>
      <c r="C3386" t="s">
        <v>8</v>
      </c>
      <c r="D3386" t="s">
        <v>48</v>
      </c>
      <c r="E3386" s="17">
        <v>2</v>
      </c>
      <c r="F3386" s="17">
        <v>35.35</v>
      </c>
      <c r="G3386" s="18">
        <v>70.7</v>
      </c>
      <c r="H3386" s="30" t="s">
        <v>2317</v>
      </c>
      <c r="J3386" s="34"/>
    </row>
    <row r="3387" spans="1:10" x14ac:dyDescent="0.25">
      <c r="A3387" s="15">
        <v>40834</v>
      </c>
      <c r="B3387" s="16" t="s">
        <v>865</v>
      </c>
      <c r="C3387" t="s">
        <v>8</v>
      </c>
      <c r="D3387" t="s">
        <v>48</v>
      </c>
      <c r="E3387" s="17">
        <v>2</v>
      </c>
      <c r="F3387" s="17">
        <v>35.35</v>
      </c>
      <c r="G3387" s="18">
        <v>70.7</v>
      </c>
      <c r="H3387" s="30" t="s">
        <v>2317</v>
      </c>
      <c r="J3387" s="34"/>
    </row>
    <row r="3388" spans="1:10" x14ac:dyDescent="0.25">
      <c r="A3388" s="15">
        <v>40835</v>
      </c>
      <c r="B3388" s="16" t="s">
        <v>865</v>
      </c>
      <c r="C3388" t="s">
        <v>8</v>
      </c>
      <c r="D3388" t="s">
        <v>48</v>
      </c>
      <c r="E3388" s="17">
        <v>3.5</v>
      </c>
      <c r="F3388" s="17">
        <v>35.35</v>
      </c>
      <c r="G3388" s="18">
        <v>123.72499999999999</v>
      </c>
      <c r="H3388" s="30" t="s">
        <v>2317</v>
      </c>
      <c r="J3388" s="34"/>
    </row>
    <row r="3389" spans="1:10" x14ac:dyDescent="0.25">
      <c r="A3389" s="15">
        <v>40835</v>
      </c>
      <c r="B3389" s="16" t="s">
        <v>902</v>
      </c>
      <c r="C3389" t="s">
        <v>864</v>
      </c>
      <c r="D3389" t="s">
        <v>48</v>
      </c>
      <c r="E3389" s="17">
        <v>2</v>
      </c>
      <c r="F3389" s="17">
        <v>110</v>
      </c>
      <c r="G3389" s="18">
        <v>220</v>
      </c>
      <c r="H3389" s="30" t="s">
        <v>2317</v>
      </c>
      <c r="J3389" s="34"/>
    </row>
    <row r="3390" spans="1:10" x14ac:dyDescent="0.25">
      <c r="A3390" s="15">
        <v>40835</v>
      </c>
      <c r="B3390" s="16" t="s">
        <v>1263</v>
      </c>
      <c r="C3390" t="s">
        <v>976</v>
      </c>
      <c r="D3390" t="s">
        <v>783</v>
      </c>
      <c r="E3390" s="17">
        <v>2</v>
      </c>
      <c r="F3390" s="17">
        <v>100</v>
      </c>
      <c r="G3390" s="18">
        <v>200</v>
      </c>
      <c r="H3390" s="30" t="s">
        <v>2317</v>
      </c>
      <c r="J3390" s="34"/>
    </row>
    <row r="3391" spans="1:10" x14ac:dyDescent="0.25">
      <c r="A3391" s="15">
        <v>40835</v>
      </c>
      <c r="B3391" s="16" t="s">
        <v>865</v>
      </c>
      <c r="C3391" t="s">
        <v>8</v>
      </c>
      <c r="D3391" t="s">
        <v>48</v>
      </c>
      <c r="E3391" s="17">
        <v>6</v>
      </c>
      <c r="F3391" s="17">
        <v>35.35</v>
      </c>
      <c r="G3391" s="18">
        <v>212.1</v>
      </c>
      <c r="H3391" s="30" t="s">
        <v>2317</v>
      </c>
      <c r="J3391" s="34"/>
    </row>
    <row r="3392" spans="1:10" x14ac:dyDescent="0.25">
      <c r="A3392" s="15">
        <v>40835</v>
      </c>
      <c r="B3392" s="16" t="s">
        <v>865</v>
      </c>
      <c r="C3392" t="s">
        <v>8</v>
      </c>
      <c r="D3392" t="s">
        <v>48</v>
      </c>
      <c r="E3392" s="17">
        <v>3.5</v>
      </c>
      <c r="F3392" s="17">
        <v>35.35</v>
      </c>
      <c r="G3392" s="18">
        <v>123.72499999999999</v>
      </c>
      <c r="H3392" s="30" t="s">
        <v>2317</v>
      </c>
      <c r="J3392" s="34"/>
    </row>
    <row r="3393" spans="1:10" x14ac:dyDescent="0.25">
      <c r="A3393" s="15">
        <v>40835</v>
      </c>
      <c r="B3393" s="16" t="s">
        <v>865</v>
      </c>
      <c r="C3393" t="s">
        <v>8</v>
      </c>
      <c r="D3393" t="s">
        <v>48</v>
      </c>
      <c r="E3393" s="17">
        <v>2</v>
      </c>
      <c r="F3393" s="17">
        <v>35.35</v>
      </c>
      <c r="G3393" s="18">
        <v>70.7</v>
      </c>
      <c r="H3393" s="30" t="s">
        <v>2317</v>
      </c>
      <c r="J3393" s="34"/>
    </row>
    <row r="3394" spans="1:10" x14ac:dyDescent="0.25">
      <c r="A3394" s="15">
        <v>40835</v>
      </c>
      <c r="B3394" s="16" t="s">
        <v>865</v>
      </c>
      <c r="C3394" t="s">
        <v>8</v>
      </c>
      <c r="D3394" t="s">
        <v>48</v>
      </c>
      <c r="E3394" s="17">
        <v>3.5</v>
      </c>
      <c r="F3394" s="17">
        <v>35.35</v>
      </c>
      <c r="G3394" s="18">
        <v>123.72499999999999</v>
      </c>
      <c r="H3394" s="30" t="s">
        <v>2317</v>
      </c>
      <c r="J3394" s="34"/>
    </row>
    <row r="3395" spans="1:10" x14ac:dyDescent="0.25">
      <c r="A3395" s="15">
        <v>40835</v>
      </c>
      <c r="B3395" s="16" t="s">
        <v>865</v>
      </c>
      <c r="C3395" t="s">
        <v>8</v>
      </c>
      <c r="D3395" t="s">
        <v>48</v>
      </c>
      <c r="E3395" s="17">
        <v>6.5</v>
      </c>
      <c r="F3395" s="17">
        <v>35.35</v>
      </c>
      <c r="G3395" s="18">
        <v>229.77500000000001</v>
      </c>
      <c r="H3395" s="30" t="s">
        <v>2317</v>
      </c>
      <c r="J3395" s="34"/>
    </row>
    <row r="3396" spans="1:10" x14ac:dyDescent="0.25">
      <c r="A3396" s="15">
        <v>40836</v>
      </c>
      <c r="B3396" s="16" t="s">
        <v>1264</v>
      </c>
      <c r="C3396" t="s">
        <v>995</v>
      </c>
      <c r="D3396" t="s">
        <v>783</v>
      </c>
      <c r="E3396" s="17">
        <v>1</v>
      </c>
      <c r="F3396" s="17">
        <v>79.5</v>
      </c>
      <c r="G3396" s="18">
        <v>79.5</v>
      </c>
      <c r="H3396" s="30" t="s">
        <v>2317</v>
      </c>
      <c r="J3396" s="34"/>
    </row>
    <row r="3397" spans="1:10" x14ac:dyDescent="0.25">
      <c r="A3397" s="15">
        <v>40848</v>
      </c>
      <c r="B3397" s="16" t="s">
        <v>1265</v>
      </c>
      <c r="C3397" t="s">
        <v>1121</v>
      </c>
      <c r="D3397" t="s">
        <v>783</v>
      </c>
      <c r="E3397" s="17">
        <v>1</v>
      </c>
      <c r="F3397" s="17">
        <v>2250</v>
      </c>
      <c r="G3397" s="18">
        <v>2250</v>
      </c>
      <c r="H3397" s="30" t="s">
        <v>2317</v>
      </c>
      <c r="J3397" s="34"/>
    </row>
    <row r="3398" spans="1:10" x14ac:dyDescent="0.25">
      <c r="A3398" s="15">
        <v>40868</v>
      </c>
      <c r="B3398" s="16" t="s">
        <v>869</v>
      </c>
      <c r="C3398" t="s">
        <v>8</v>
      </c>
      <c r="D3398" t="s">
        <v>48</v>
      </c>
      <c r="E3398" s="17">
        <v>3</v>
      </c>
      <c r="F3398" s="17">
        <v>35.35</v>
      </c>
      <c r="G3398" s="18">
        <v>106.05</v>
      </c>
      <c r="H3398" s="30" t="s">
        <v>2317</v>
      </c>
      <c r="J3398" s="34"/>
    </row>
    <row r="3399" spans="1:10" x14ac:dyDescent="0.25">
      <c r="A3399" s="15">
        <v>40868</v>
      </c>
      <c r="B3399" s="16" t="s">
        <v>921</v>
      </c>
      <c r="C3399" t="s">
        <v>8</v>
      </c>
      <c r="D3399" t="s">
        <v>48</v>
      </c>
      <c r="E3399" s="17">
        <v>3</v>
      </c>
      <c r="F3399" s="17">
        <v>44.2</v>
      </c>
      <c r="G3399" s="18">
        <v>132.6</v>
      </c>
      <c r="H3399" s="30" t="s">
        <v>2317</v>
      </c>
      <c r="J3399" s="34"/>
    </row>
    <row r="3400" spans="1:10" x14ac:dyDescent="0.25">
      <c r="A3400" s="15">
        <v>40868</v>
      </c>
      <c r="B3400" s="16" t="s">
        <v>918</v>
      </c>
      <c r="C3400" t="s">
        <v>8</v>
      </c>
      <c r="D3400" t="s">
        <v>48</v>
      </c>
      <c r="E3400" s="17">
        <v>3</v>
      </c>
      <c r="F3400" s="17">
        <v>65</v>
      </c>
      <c r="G3400" s="18">
        <v>195</v>
      </c>
      <c r="H3400" s="30" t="s">
        <v>2317</v>
      </c>
      <c r="J3400" s="34"/>
    </row>
    <row r="3401" spans="1:10" x14ac:dyDescent="0.25">
      <c r="A3401" s="15">
        <v>40868</v>
      </c>
      <c r="B3401" s="16" t="s">
        <v>1060</v>
      </c>
      <c r="C3401" t="s">
        <v>864</v>
      </c>
      <c r="D3401" t="s">
        <v>48</v>
      </c>
      <c r="E3401" s="17">
        <v>3</v>
      </c>
      <c r="F3401" s="17">
        <v>140</v>
      </c>
      <c r="G3401" s="18">
        <v>420</v>
      </c>
      <c r="H3401" s="30" t="s">
        <v>2317</v>
      </c>
      <c r="J3401" s="34"/>
    </row>
    <row r="3402" spans="1:10" x14ac:dyDescent="0.25">
      <c r="A3402" s="15">
        <v>40868</v>
      </c>
      <c r="B3402" s="16" t="s">
        <v>865</v>
      </c>
      <c r="C3402" t="s">
        <v>8</v>
      </c>
      <c r="D3402" t="s">
        <v>48</v>
      </c>
      <c r="E3402" s="17">
        <v>3</v>
      </c>
      <c r="F3402" s="17">
        <v>35.35</v>
      </c>
      <c r="G3402" s="18">
        <v>106.05</v>
      </c>
      <c r="H3402" s="30" t="s">
        <v>2317</v>
      </c>
      <c r="J3402" s="34"/>
    </row>
    <row r="3403" spans="1:10" x14ac:dyDescent="0.25">
      <c r="A3403" s="15">
        <v>40871</v>
      </c>
      <c r="B3403" s="16" t="s">
        <v>865</v>
      </c>
      <c r="C3403" t="s">
        <v>8</v>
      </c>
      <c r="D3403" t="s">
        <v>48</v>
      </c>
      <c r="E3403" s="17">
        <v>2</v>
      </c>
      <c r="F3403" s="17">
        <v>35.35</v>
      </c>
      <c r="G3403" s="18">
        <v>70.7</v>
      </c>
      <c r="H3403" s="30" t="s">
        <v>2317</v>
      </c>
      <c r="J3403" s="34"/>
    </row>
    <row r="3404" spans="1:10" x14ac:dyDescent="0.25">
      <c r="A3404" s="15">
        <v>40871</v>
      </c>
      <c r="B3404" s="16" t="s">
        <v>865</v>
      </c>
      <c r="C3404" t="s">
        <v>8</v>
      </c>
      <c r="D3404" t="s">
        <v>48</v>
      </c>
      <c r="E3404" s="17">
        <v>2</v>
      </c>
      <c r="F3404" s="17">
        <v>35.35</v>
      </c>
      <c r="G3404" s="18">
        <v>70.7</v>
      </c>
      <c r="H3404" s="30" t="s">
        <v>2317</v>
      </c>
      <c r="J3404" s="34"/>
    </row>
    <row r="3405" spans="1:10" x14ac:dyDescent="0.25">
      <c r="A3405" s="15">
        <v>40871</v>
      </c>
      <c r="B3405" s="16" t="s">
        <v>865</v>
      </c>
      <c r="C3405" t="s">
        <v>8</v>
      </c>
      <c r="D3405" t="s">
        <v>48</v>
      </c>
      <c r="E3405" s="17">
        <v>2</v>
      </c>
      <c r="F3405" s="17">
        <v>35.35</v>
      </c>
      <c r="G3405" s="18">
        <v>70.7</v>
      </c>
      <c r="H3405" s="30" t="s">
        <v>2317</v>
      </c>
      <c r="J3405" s="34"/>
    </row>
    <row r="3406" spans="1:10" x14ac:dyDescent="0.25">
      <c r="A3406" s="15">
        <v>40872</v>
      </c>
      <c r="B3406" s="16" t="s">
        <v>902</v>
      </c>
      <c r="C3406" t="s">
        <v>864</v>
      </c>
      <c r="D3406" t="s">
        <v>48</v>
      </c>
      <c r="E3406" s="17">
        <v>1</v>
      </c>
      <c r="F3406" s="17">
        <v>110</v>
      </c>
      <c r="G3406" s="18">
        <v>110</v>
      </c>
      <c r="H3406" s="30" t="s">
        <v>2317</v>
      </c>
      <c r="J3406" s="34"/>
    </row>
    <row r="3407" spans="1:10" x14ac:dyDescent="0.25">
      <c r="A3407" s="15">
        <v>40879</v>
      </c>
      <c r="B3407" s="16" t="s">
        <v>880</v>
      </c>
      <c r="C3407" t="s">
        <v>881</v>
      </c>
      <c r="D3407" t="s">
        <v>48</v>
      </c>
      <c r="E3407" s="17">
        <v>9</v>
      </c>
      <c r="F3407" s="17">
        <v>100</v>
      </c>
      <c r="G3407" s="18">
        <v>900</v>
      </c>
      <c r="H3407" s="30" t="s">
        <v>2317</v>
      </c>
      <c r="J3407" s="34"/>
    </row>
    <row r="3408" spans="1:10" x14ac:dyDescent="0.25">
      <c r="A3408" s="15">
        <v>40879</v>
      </c>
      <c r="B3408" s="16" t="s">
        <v>865</v>
      </c>
      <c r="C3408" t="s">
        <v>8</v>
      </c>
      <c r="D3408" t="s">
        <v>48</v>
      </c>
      <c r="E3408" s="17">
        <v>8.5</v>
      </c>
      <c r="F3408" s="17">
        <v>35.35</v>
      </c>
      <c r="G3408" s="18">
        <v>300.47500000000002</v>
      </c>
      <c r="H3408" s="30" t="s">
        <v>2317</v>
      </c>
      <c r="J3408" s="34"/>
    </row>
    <row r="3409" spans="1:10" x14ac:dyDescent="0.25">
      <c r="A3409" s="15">
        <v>40879</v>
      </c>
      <c r="B3409" s="16" t="s">
        <v>865</v>
      </c>
      <c r="C3409" t="s">
        <v>8</v>
      </c>
      <c r="D3409" t="s">
        <v>48</v>
      </c>
      <c r="E3409" s="17">
        <v>8.5</v>
      </c>
      <c r="F3409" s="17">
        <v>35.35</v>
      </c>
      <c r="G3409" s="18">
        <v>300.47500000000002</v>
      </c>
      <c r="H3409" s="30" t="s">
        <v>2317</v>
      </c>
      <c r="J3409" s="34"/>
    </row>
    <row r="3410" spans="1:10" x14ac:dyDescent="0.25">
      <c r="A3410" s="15">
        <v>40885</v>
      </c>
      <c r="B3410" s="16" t="s">
        <v>865</v>
      </c>
      <c r="C3410" t="s">
        <v>8</v>
      </c>
      <c r="D3410" t="s">
        <v>48</v>
      </c>
      <c r="E3410" s="17">
        <v>2</v>
      </c>
      <c r="F3410" s="17">
        <v>35.35</v>
      </c>
      <c r="G3410" s="18">
        <v>70.7</v>
      </c>
      <c r="H3410" s="30" t="s">
        <v>2317</v>
      </c>
      <c r="J3410" s="34"/>
    </row>
    <row r="3411" spans="1:10" x14ac:dyDescent="0.25">
      <c r="A3411" s="15">
        <v>40886</v>
      </c>
      <c r="B3411" s="16" t="s">
        <v>863</v>
      </c>
      <c r="C3411" t="s">
        <v>864</v>
      </c>
      <c r="D3411" t="s">
        <v>48</v>
      </c>
      <c r="E3411" s="17">
        <v>2</v>
      </c>
      <c r="F3411" s="17">
        <v>110</v>
      </c>
      <c r="G3411" s="18">
        <v>220</v>
      </c>
      <c r="H3411" s="30" t="s">
        <v>2317</v>
      </c>
      <c r="J3411" s="34"/>
    </row>
    <row r="3412" spans="1:10" x14ac:dyDescent="0.25">
      <c r="A3412" s="15">
        <v>40886</v>
      </c>
      <c r="B3412" s="16" t="s">
        <v>865</v>
      </c>
      <c r="C3412" t="s">
        <v>8</v>
      </c>
      <c r="D3412" t="s">
        <v>48</v>
      </c>
      <c r="E3412" s="17">
        <v>2</v>
      </c>
      <c r="F3412" s="17">
        <v>35.35</v>
      </c>
      <c r="G3412" s="18">
        <v>70.7</v>
      </c>
      <c r="H3412" s="30" t="s">
        <v>2317</v>
      </c>
      <c r="J3412" s="34"/>
    </row>
    <row r="3413" spans="1:10" x14ac:dyDescent="0.25">
      <c r="A3413" s="15">
        <v>40886</v>
      </c>
      <c r="B3413" s="16" t="s">
        <v>865</v>
      </c>
      <c r="C3413" t="s">
        <v>8</v>
      </c>
      <c r="D3413" t="s">
        <v>48</v>
      </c>
      <c r="E3413" s="17">
        <v>2</v>
      </c>
      <c r="F3413" s="17">
        <v>35.35</v>
      </c>
      <c r="G3413" s="18">
        <v>70.7</v>
      </c>
      <c r="H3413" s="30" t="s">
        <v>2317</v>
      </c>
      <c r="J3413" s="34"/>
    </row>
    <row r="3414" spans="1:10" x14ac:dyDescent="0.25">
      <c r="A3414" s="15">
        <v>40955</v>
      </c>
      <c r="B3414" s="16" t="s">
        <v>869</v>
      </c>
      <c r="C3414" t="s">
        <v>8</v>
      </c>
      <c r="D3414" t="s">
        <v>48</v>
      </c>
      <c r="E3414" s="17">
        <v>8</v>
      </c>
      <c r="F3414" s="17">
        <v>35.35</v>
      </c>
      <c r="G3414" s="18">
        <v>282.8</v>
      </c>
      <c r="H3414" s="30" t="s">
        <v>2317</v>
      </c>
      <c r="J3414" s="34"/>
    </row>
    <row r="3415" spans="1:10" x14ac:dyDescent="0.25">
      <c r="A3415" s="15">
        <v>40955</v>
      </c>
      <c r="B3415" s="16" t="s">
        <v>865</v>
      </c>
      <c r="C3415" t="s">
        <v>8</v>
      </c>
      <c r="D3415" t="s">
        <v>48</v>
      </c>
      <c r="E3415" s="17">
        <v>9.5</v>
      </c>
      <c r="F3415" s="17">
        <v>35.35</v>
      </c>
      <c r="G3415" s="18">
        <v>335.82499999999999</v>
      </c>
      <c r="H3415" s="30" t="s">
        <v>2317</v>
      </c>
      <c r="J3415" s="34"/>
    </row>
    <row r="3416" spans="1:10" x14ac:dyDescent="0.25">
      <c r="A3416" s="15">
        <v>40955</v>
      </c>
      <c r="B3416" s="16" t="s">
        <v>1266</v>
      </c>
      <c r="C3416" t="s">
        <v>864</v>
      </c>
      <c r="D3416" t="s">
        <v>48</v>
      </c>
      <c r="E3416" s="17">
        <v>7.5</v>
      </c>
      <c r="F3416" s="17">
        <v>110</v>
      </c>
      <c r="G3416" s="18">
        <v>825</v>
      </c>
      <c r="H3416" s="30" t="s">
        <v>2317</v>
      </c>
      <c r="J3416" s="34"/>
    </row>
    <row r="3417" spans="1:10" x14ac:dyDescent="0.25">
      <c r="A3417" s="15">
        <v>40956</v>
      </c>
      <c r="B3417" s="16" t="s">
        <v>869</v>
      </c>
      <c r="C3417" t="s">
        <v>8</v>
      </c>
      <c r="D3417" t="s">
        <v>48</v>
      </c>
      <c r="E3417" s="17">
        <v>8</v>
      </c>
      <c r="F3417" s="17">
        <v>35.35</v>
      </c>
      <c r="G3417" s="18">
        <v>282.8</v>
      </c>
      <c r="H3417" s="30" t="s">
        <v>2317</v>
      </c>
      <c r="J3417" s="34"/>
    </row>
    <row r="3418" spans="1:10" x14ac:dyDescent="0.25">
      <c r="A3418" s="15">
        <v>40956</v>
      </c>
      <c r="B3418" s="16" t="s">
        <v>865</v>
      </c>
      <c r="C3418" t="s">
        <v>8</v>
      </c>
      <c r="D3418" t="s">
        <v>48</v>
      </c>
      <c r="E3418" s="17">
        <v>8</v>
      </c>
      <c r="F3418" s="17">
        <v>35.35</v>
      </c>
      <c r="G3418" s="18">
        <v>282.8</v>
      </c>
      <c r="H3418" s="30" t="s">
        <v>2317</v>
      </c>
      <c r="J3418" s="34"/>
    </row>
    <row r="3419" spans="1:10" x14ac:dyDescent="0.25">
      <c r="A3419" s="15">
        <v>40956</v>
      </c>
      <c r="B3419" s="16" t="s">
        <v>865</v>
      </c>
      <c r="C3419" t="s">
        <v>8</v>
      </c>
      <c r="D3419" t="s">
        <v>48</v>
      </c>
      <c r="E3419" s="17">
        <v>4</v>
      </c>
      <c r="F3419" s="17">
        <v>35.35</v>
      </c>
      <c r="G3419" s="18">
        <v>141.4</v>
      </c>
      <c r="H3419" s="30" t="s">
        <v>2317</v>
      </c>
      <c r="J3419" s="34"/>
    </row>
    <row r="3420" spans="1:10" x14ac:dyDescent="0.25">
      <c r="A3420" s="15">
        <v>40956</v>
      </c>
      <c r="B3420" s="16" t="s">
        <v>880</v>
      </c>
      <c r="C3420" t="s">
        <v>881</v>
      </c>
      <c r="D3420" t="s">
        <v>48</v>
      </c>
      <c r="E3420" s="17">
        <v>4</v>
      </c>
      <c r="F3420" s="17">
        <v>95</v>
      </c>
      <c r="G3420" s="18">
        <v>380</v>
      </c>
      <c r="H3420" s="30" t="s">
        <v>2317</v>
      </c>
      <c r="J3420" s="34"/>
    </row>
    <row r="3421" spans="1:10" x14ac:dyDescent="0.25">
      <c r="A3421" s="15">
        <v>40956</v>
      </c>
      <c r="B3421" s="16" t="s">
        <v>1267</v>
      </c>
      <c r="C3421" t="s">
        <v>864</v>
      </c>
      <c r="D3421" t="s">
        <v>48</v>
      </c>
      <c r="E3421" s="17">
        <v>6.5</v>
      </c>
      <c r="F3421" s="17">
        <v>110</v>
      </c>
      <c r="G3421" s="18">
        <v>715</v>
      </c>
      <c r="H3421" s="30" t="s">
        <v>2317</v>
      </c>
      <c r="J3421" s="34"/>
    </row>
    <row r="3422" spans="1:10" x14ac:dyDescent="0.25">
      <c r="A3422" s="15">
        <v>40956</v>
      </c>
      <c r="B3422" s="16" t="s">
        <v>867</v>
      </c>
      <c r="C3422" t="s">
        <v>868</v>
      </c>
      <c r="D3422" t="s">
        <v>48</v>
      </c>
      <c r="E3422" s="17">
        <v>2.5</v>
      </c>
      <c r="F3422" s="17">
        <v>90</v>
      </c>
      <c r="G3422" s="18">
        <v>225</v>
      </c>
      <c r="H3422" s="30" t="s">
        <v>2317</v>
      </c>
      <c r="J3422" s="34"/>
    </row>
    <row r="3423" spans="1:10" x14ac:dyDescent="0.25">
      <c r="A3423" s="15">
        <v>40959</v>
      </c>
      <c r="B3423" s="16" t="s">
        <v>880</v>
      </c>
      <c r="C3423" t="s">
        <v>881</v>
      </c>
      <c r="D3423" t="s">
        <v>48</v>
      </c>
      <c r="E3423" s="17">
        <v>4.5</v>
      </c>
      <c r="F3423" s="17">
        <v>95</v>
      </c>
      <c r="G3423" s="18">
        <v>427.5</v>
      </c>
      <c r="H3423" s="30" t="s">
        <v>2317</v>
      </c>
      <c r="J3423" s="34"/>
    </row>
    <row r="3424" spans="1:10" x14ac:dyDescent="0.25">
      <c r="A3424" s="15">
        <v>40959</v>
      </c>
      <c r="B3424" s="16" t="s">
        <v>867</v>
      </c>
      <c r="C3424" t="s">
        <v>868</v>
      </c>
      <c r="D3424" t="s">
        <v>48</v>
      </c>
      <c r="E3424" s="17">
        <v>4</v>
      </c>
      <c r="F3424" s="17">
        <v>90</v>
      </c>
      <c r="G3424" s="18">
        <v>360</v>
      </c>
      <c r="H3424" s="30" t="s">
        <v>2317</v>
      </c>
      <c r="J3424" s="34"/>
    </row>
    <row r="3425" spans="1:10" x14ac:dyDescent="0.25">
      <c r="A3425" s="15">
        <v>40959</v>
      </c>
      <c r="B3425" s="16" t="s">
        <v>1267</v>
      </c>
      <c r="C3425" t="s">
        <v>864</v>
      </c>
      <c r="D3425" t="s">
        <v>48</v>
      </c>
      <c r="E3425" s="17">
        <v>7</v>
      </c>
      <c r="F3425" s="17">
        <v>110</v>
      </c>
      <c r="G3425" s="18">
        <v>770</v>
      </c>
      <c r="H3425" s="30" t="s">
        <v>2317</v>
      </c>
      <c r="J3425" s="34"/>
    </row>
    <row r="3426" spans="1:10" x14ac:dyDescent="0.25">
      <c r="A3426" s="15">
        <v>40959</v>
      </c>
      <c r="B3426" s="16" t="s">
        <v>865</v>
      </c>
      <c r="C3426" t="s">
        <v>8</v>
      </c>
      <c r="D3426" t="s">
        <v>48</v>
      </c>
      <c r="E3426" s="17">
        <v>8.5</v>
      </c>
      <c r="F3426" s="17">
        <v>35.35</v>
      </c>
      <c r="G3426" s="18">
        <v>300.47500000000002</v>
      </c>
      <c r="H3426" s="30" t="s">
        <v>2317</v>
      </c>
      <c r="J3426" s="34"/>
    </row>
    <row r="3427" spans="1:10" x14ac:dyDescent="0.25">
      <c r="A3427" s="15">
        <v>40959</v>
      </c>
      <c r="B3427" s="16" t="s">
        <v>865</v>
      </c>
      <c r="C3427" t="s">
        <v>8</v>
      </c>
      <c r="D3427" t="s">
        <v>48</v>
      </c>
      <c r="E3427" s="17">
        <v>8</v>
      </c>
      <c r="F3427" s="17">
        <v>35.35</v>
      </c>
      <c r="G3427" s="18">
        <v>282.8</v>
      </c>
      <c r="H3427" s="30" t="s">
        <v>2317</v>
      </c>
      <c r="J3427" s="34"/>
    </row>
    <row r="3428" spans="1:10" x14ac:dyDescent="0.25">
      <c r="A3428" s="15">
        <v>40980</v>
      </c>
      <c r="B3428" s="16" t="s">
        <v>877</v>
      </c>
      <c r="C3428" t="s">
        <v>868</v>
      </c>
      <c r="D3428" t="s">
        <v>48</v>
      </c>
      <c r="E3428" s="17">
        <v>2</v>
      </c>
      <c r="F3428" s="17">
        <v>90</v>
      </c>
      <c r="G3428" s="18">
        <v>180</v>
      </c>
      <c r="H3428" s="30" t="s">
        <v>2317</v>
      </c>
      <c r="J3428" s="34"/>
    </row>
    <row r="3429" spans="1:10" x14ac:dyDescent="0.25">
      <c r="A3429" s="15">
        <v>40980</v>
      </c>
      <c r="B3429" s="16" t="s">
        <v>865</v>
      </c>
      <c r="C3429" t="s">
        <v>8</v>
      </c>
      <c r="D3429" t="s">
        <v>48</v>
      </c>
      <c r="E3429" s="17">
        <v>2</v>
      </c>
      <c r="F3429" s="17">
        <v>35.35</v>
      </c>
      <c r="G3429" s="18">
        <v>70.7</v>
      </c>
      <c r="H3429" s="30" t="s">
        <v>2317</v>
      </c>
      <c r="J3429" s="34"/>
    </row>
    <row r="3430" spans="1:10" x14ac:dyDescent="0.25">
      <c r="A3430" s="15">
        <v>40980</v>
      </c>
      <c r="B3430" s="16" t="s">
        <v>865</v>
      </c>
      <c r="C3430" t="s">
        <v>8</v>
      </c>
      <c r="D3430" t="s">
        <v>48</v>
      </c>
      <c r="E3430" s="17">
        <v>2</v>
      </c>
      <c r="F3430" s="17">
        <v>35.35</v>
      </c>
      <c r="G3430" s="18">
        <v>70.7</v>
      </c>
      <c r="H3430" s="30" t="s">
        <v>2317</v>
      </c>
      <c r="J3430" s="34"/>
    </row>
    <row r="3431" spans="1:10" x14ac:dyDescent="0.25">
      <c r="A3431" s="15">
        <v>40980</v>
      </c>
      <c r="B3431" s="16" t="s">
        <v>865</v>
      </c>
      <c r="C3431" t="s">
        <v>8</v>
      </c>
      <c r="D3431" t="s">
        <v>48</v>
      </c>
      <c r="E3431" s="17">
        <v>2</v>
      </c>
      <c r="F3431" s="17">
        <v>35.35</v>
      </c>
      <c r="G3431" s="18">
        <v>70.7</v>
      </c>
      <c r="H3431" s="30" t="s">
        <v>2317</v>
      </c>
      <c r="J3431" s="34"/>
    </row>
    <row r="3432" spans="1:10" x14ac:dyDescent="0.25">
      <c r="A3432" s="15">
        <v>41120</v>
      </c>
      <c r="B3432" s="16" t="s">
        <v>1219</v>
      </c>
      <c r="C3432" t="s">
        <v>1188</v>
      </c>
      <c r="D3432" t="s">
        <v>783</v>
      </c>
      <c r="E3432" s="17">
        <v>1</v>
      </c>
      <c r="F3432" s="17">
        <v>44075</v>
      </c>
      <c r="G3432" s="18">
        <v>44075</v>
      </c>
      <c r="H3432" s="30" t="s">
        <v>2317</v>
      </c>
      <c r="J3432" s="34"/>
    </row>
    <row r="3433" spans="1:10" x14ac:dyDescent="0.25">
      <c r="A3433" s="15">
        <v>41169</v>
      </c>
      <c r="B3433" s="16" t="s">
        <v>865</v>
      </c>
      <c r="C3433" t="s">
        <v>8</v>
      </c>
      <c r="D3433" t="s">
        <v>48</v>
      </c>
      <c r="E3433" s="17">
        <v>5</v>
      </c>
      <c r="F3433" s="17">
        <v>35.35</v>
      </c>
      <c r="G3433" s="18">
        <v>176.75</v>
      </c>
      <c r="H3433" s="30" t="s">
        <v>2317</v>
      </c>
      <c r="J3433" s="34"/>
    </row>
    <row r="3434" spans="1:10" x14ac:dyDescent="0.25">
      <c r="A3434" s="15">
        <v>41169</v>
      </c>
      <c r="B3434" s="16" t="s">
        <v>865</v>
      </c>
      <c r="C3434" t="s">
        <v>8</v>
      </c>
      <c r="D3434" t="s">
        <v>48</v>
      </c>
      <c r="E3434" s="17">
        <v>5</v>
      </c>
      <c r="F3434" s="17">
        <v>35.35</v>
      </c>
      <c r="G3434" s="18">
        <v>176.75</v>
      </c>
      <c r="H3434" s="30" t="s">
        <v>2317</v>
      </c>
      <c r="J3434" s="34"/>
    </row>
    <row r="3435" spans="1:10" x14ac:dyDescent="0.25">
      <c r="A3435" s="15">
        <v>41171</v>
      </c>
      <c r="B3435" s="16" t="s">
        <v>865</v>
      </c>
      <c r="C3435" t="s">
        <v>8</v>
      </c>
      <c r="D3435" t="s">
        <v>48</v>
      </c>
      <c r="E3435" s="17">
        <v>2.5</v>
      </c>
      <c r="F3435" s="17">
        <v>35.35</v>
      </c>
      <c r="G3435" s="18">
        <v>88.375</v>
      </c>
      <c r="H3435" s="30" t="s">
        <v>2317</v>
      </c>
      <c r="J3435" s="34"/>
    </row>
    <row r="3436" spans="1:10" x14ac:dyDescent="0.25">
      <c r="A3436" s="15">
        <v>41171</v>
      </c>
      <c r="B3436" s="16" t="s">
        <v>882</v>
      </c>
      <c r="C3436" t="s">
        <v>8</v>
      </c>
      <c r="D3436" t="s">
        <v>48</v>
      </c>
      <c r="E3436" s="17">
        <v>4</v>
      </c>
      <c r="F3436" s="17">
        <v>48</v>
      </c>
      <c r="G3436" s="18">
        <v>192</v>
      </c>
      <c r="H3436" s="30" t="s">
        <v>2317</v>
      </c>
      <c r="J3436" s="34"/>
    </row>
    <row r="3437" spans="1:10" x14ac:dyDescent="0.25">
      <c r="A3437" s="15">
        <v>41171</v>
      </c>
      <c r="B3437" s="16" t="s">
        <v>865</v>
      </c>
      <c r="C3437" t="s">
        <v>8</v>
      </c>
      <c r="D3437" t="s">
        <v>48</v>
      </c>
      <c r="E3437" s="17">
        <v>4</v>
      </c>
      <c r="F3437" s="17">
        <v>35.35</v>
      </c>
      <c r="G3437" s="18">
        <v>141.4</v>
      </c>
      <c r="H3437" s="30" t="s">
        <v>2317</v>
      </c>
      <c r="J3437" s="34"/>
    </row>
    <row r="3438" spans="1:10" x14ac:dyDescent="0.25">
      <c r="A3438" s="19" t="s">
        <v>781</v>
      </c>
      <c r="B3438" s="20" t="s">
        <v>1268</v>
      </c>
      <c r="C3438" s="21" t="s">
        <v>781</v>
      </c>
      <c r="D3438" s="21" t="s">
        <v>781</v>
      </c>
      <c r="E3438" s="22"/>
      <c r="F3438" s="22"/>
      <c r="G3438" s="23">
        <v>65321.65</v>
      </c>
      <c r="H3438" s="31" t="s">
        <v>2285</v>
      </c>
      <c r="J3438" s="34"/>
    </row>
    <row r="3439" spans="1:10" x14ac:dyDescent="0.25">
      <c r="A3439" s="15" t="s">
        <v>781</v>
      </c>
      <c r="B3439" s="16" t="s">
        <v>781</v>
      </c>
      <c r="C3439" t="s">
        <v>781</v>
      </c>
      <c r="D3439" t="s">
        <v>781</v>
      </c>
      <c r="E3439" s="17"/>
      <c r="F3439" s="17"/>
      <c r="G3439" s="18"/>
      <c r="H3439" s="30" t="s">
        <v>2285</v>
      </c>
      <c r="J3439" s="34"/>
    </row>
    <row r="3440" spans="1:10" x14ac:dyDescent="0.25">
      <c r="A3440" s="12" t="s">
        <v>781</v>
      </c>
      <c r="B3440" s="11" t="s">
        <v>1885</v>
      </c>
      <c r="C3440" s="10" t="s">
        <v>781</v>
      </c>
      <c r="D3440" s="10" t="s">
        <v>781</v>
      </c>
      <c r="E3440" s="13"/>
      <c r="F3440" s="13"/>
      <c r="G3440" s="14"/>
      <c r="H3440" s="29" t="s">
        <v>2285</v>
      </c>
      <c r="J3440" s="34"/>
    </row>
    <row r="3441" spans="1:10" x14ac:dyDescent="0.25">
      <c r="A3441" s="15">
        <v>40915</v>
      </c>
      <c r="B3441" s="16" t="s">
        <v>1269</v>
      </c>
      <c r="C3441" t="s">
        <v>1121</v>
      </c>
      <c r="D3441" t="s">
        <v>783</v>
      </c>
      <c r="E3441" s="17">
        <v>1</v>
      </c>
      <c r="F3441" s="17">
        <v>570</v>
      </c>
      <c r="G3441" s="18">
        <v>570</v>
      </c>
      <c r="H3441" s="30" t="s">
        <v>2318</v>
      </c>
      <c r="J3441" s="34"/>
    </row>
    <row r="3442" spans="1:10" x14ac:dyDescent="0.25">
      <c r="A3442" s="19" t="s">
        <v>781</v>
      </c>
      <c r="B3442" s="20" t="s">
        <v>1270</v>
      </c>
      <c r="C3442" s="21" t="s">
        <v>781</v>
      </c>
      <c r="D3442" s="21" t="s">
        <v>781</v>
      </c>
      <c r="E3442" s="22"/>
      <c r="F3442" s="22"/>
      <c r="G3442" s="23">
        <v>570</v>
      </c>
      <c r="H3442" s="31" t="s">
        <v>2285</v>
      </c>
      <c r="J3442" s="34"/>
    </row>
    <row r="3443" spans="1:10" x14ac:dyDescent="0.25">
      <c r="A3443" s="15" t="s">
        <v>781</v>
      </c>
      <c r="B3443" s="16" t="s">
        <v>781</v>
      </c>
      <c r="C3443" t="s">
        <v>781</v>
      </c>
      <c r="D3443" t="s">
        <v>781</v>
      </c>
      <c r="E3443" s="17"/>
      <c r="F3443" s="17"/>
      <c r="G3443" s="18"/>
      <c r="H3443" s="30" t="s">
        <v>2285</v>
      </c>
      <c r="J3443" s="34"/>
    </row>
    <row r="3444" spans="1:10" x14ac:dyDescent="0.25">
      <c r="A3444" s="12" t="s">
        <v>781</v>
      </c>
      <c r="B3444" s="11" t="s">
        <v>1886</v>
      </c>
      <c r="C3444" s="10" t="s">
        <v>781</v>
      </c>
      <c r="D3444" s="10" t="s">
        <v>781</v>
      </c>
      <c r="E3444" s="13"/>
      <c r="F3444" s="13"/>
      <c r="G3444" s="14"/>
      <c r="H3444" s="29" t="s">
        <v>2285</v>
      </c>
      <c r="J3444" s="34"/>
    </row>
    <row r="3445" spans="1:10" x14ac:dyDescent="0.25">
      <c r="A3445" s="15">
        <v>41243</v>
      </c>
      <c r="B3445" s="16" t="s">
        <v>1271</v>
      </c>
      <c r="C3445" t="s">
        <v>1272</v>
      </c>
      <c r="D3445" t="s">
        <v>48</v>
      </c>
      <c r="E3445" s="17">
        <v>9</v>
      </c>
      <c r="F3445" s="17">
        <v>95</v>
      </c>
      <c r="G3445" s="18">
        <v>855</v>
      </c>
      <c r="H3445" s="30" t="s">
        <v>2319</v>
      </c>
      <c r="J3445" s="34"/>
    </row>
    <row r="3446" spans="1:10" x14ac:dyDescent="0.25">
      <c r="A3446" s="15">
        <v>41243</v>
      </c>
      <c r="B3446" s="16" t="s">
        <v>1273</v>
      </c>
      <c r="C3446" t="s">
        <v>1274</v>
      </c>
      <c r="D3446" t="s">
        <v>783</v>
      </c>
      <c r="E3446" s="17">
        <v>1</v>
      </c>
      <c r="F3446" s="17">
        <v>131.63</v>
      </c>
      <c r="G3446" s="18">
        <v>131.63</v>
      </c>
      <c r="H3446" s="30" t="s">
        <v>2319</v>
      </c>
      <c r="J3446" s="34"/>
    </row>
    <row r="3447" spans="1:10" ht="30" x14ac:dyDescent="0.25">
      <c r="A3447" s="15">
        <v>41243</v>
      </c>
      <c r="B3447" s="16" t="s">
        <v>1275</v>
      </c>
      <c r="C3447" t="s">
        <v>629</v>
      </c>
      <c r="D3447" t="s">
        <v>48</v>
      </c>
      <c r="E3447" s="17">
        <v>7</v>
      </c>
      <c r="F3447" s="17">
        <v>65</v>
      </c>
      <c r="G3447" s="18">
        <v>455</v>
      </c>
      <c r="H3447" s="30" t="s">
        <v>2319</v>
      </c>
      <c r="J3447" s="34"/>
    </row>
    <row r="3448" spans="1:10" x14ac:dyDescent="0.25">
      <c r="A3448" s="15">
        <v>41243</v>
      </c>
      <c r="B3448" s="16" t="s">
        <v>918</v>
      </c>
      <c r="C3448" t="s">
        <v>629</v>
      </c>
      <c r="D3448" t="s">
        <v>48</v>
      </c>
      <c r="E3448" s="17">
        <v>7</v>
      </c>
      <c r="F3448" s="17">
        <v>65</v>
      </c>
      <c r="G3448" s="18">
        <v>455</v>
      </c>
      <c r="H3448" s="30" t="s">
        <v>2319</v>
      </c>
      <c r="J3448" s="34"/>
    </row>
    <row r="3449" spans="1:10" x14ac:dyDescent="0.25">
      <c r="A3449" s="15">
        <v>41243</v>
      </c>
      <c r="B3449" s="16" t="s">
        <v>1276</v>
      </c>
      <c r="C3449" t="s">
        <v>1272</v>
      </c>
      <c r="D3449" t="s">
        <v>48</v>
      </c>
      <c r="E3449" s="17">
        <v>9</v>
      </c>
      <c r="F3449" s="17">
        <v>95</v>
      </c>
      <c r="G3449" s="18">
        <v>855</v>
      </c>
      <c r="H3449" s="30" t="s">
        <v>2319</v>
      </c>
      <c r="J3449" s="34"/>
    </row>
    <row r="3450" spans="1:10" x14ac:dyDescent="0.25">
      <c r="A3450" s="15">
        <v>41243</v>
      </c>
      <c r="B3450" s="16" t="s">
        <v>1277</v>
      </c>
      <c r="C3450" t="s">
        <v>1274</v>
      </c>
      <c r="D3450" t="s">
        <v>783</v>
      </c>
      <c r="E3450" s="17">
        <v>1</v>
      </c>
      <c r="F3450" s="17">
        <v>1</v>
      </c>
      <c r="G3450" s="18">
        <v>164.31</v>
      </c>
      <c r="H3450" s="30" t="s">
        <v>2319</v>
      </c>
      <c r="J3450" s="34"/>
    </row>
    <row r="3451" spans="1:10" x14ac:dyDescent="0.25">
      <c r="A3451" s="15">
        <v>41243</v>
      </c>
      <c r="B3451" s="16" t="s">
        <v>1276</v>
      </c>
      <c r="C3451" t="s">
        <v>1272</v>
      </c>
      <c r="D3451" t="s">
        <v>48</v>
      </c>
      <c r="E3451" s="17">
        <v>8.5</v>
      </c>
      <c r="F3451" s="17">
        <v>95</v>
      </c>
      <c r="G3451" s="18">
        <v>807.5</v>
      </c>
      <c r="H3451" s="30" t="s">
        <v>2319</v>
      </c>
      <c r="J3451" s="34"/>
    </row>
    <row r="3452" spans="1:10" x14ac:dyDescent="0.25">
      <c r="A3452" s="15">
        <v>41243</v>
      </c>
      <c r="B3452" s="16" t="s">
        <v>918</v>
      </c>
      <c r="C3452" t="s">
        <v>629</v>
      </c>
      <c r="D3452" t="s">
        <v>48</v>
      </c>
      <c r="E3452" s="17">
        <v>8</v>
      </c>
      <c r="F3452" s="17">
        <v>65</v>
      </c>
      <c r="G3452" s="18">
        <v>520</v>
      </c>
      <c r="H3452" s="30" t="s">
        <v>2319</v>
      </c>
      <c r="J3452" s="34"/>
    </row>
    <row r="3453" spans="1:10" x14ac:dyDescent="0.25">
      <c r="A3453" s="15">
        <v>41243</v>
      </c>
      <c r="B3453" s="16" t="s">
        <v>1278</v>
      </c>
      <c r="C3453" t="s">
        <v>1274</v>
      </c>
      <c r="D3453" t="s">
        <v>783</v>
      </c>
      <c r="E3453" s="17">
        <v>1</v>
      </c>
      <c r="F3453" s="17">
        <v>7.27</v>
      </c>
      <c r="G3453" s="18">
        <v>7.27</v>
      </c>
      <c r="H3453" s="30" t="s">
        <v>2319</v>
      </c>
      <c r="J3453" s="34"/>
    </row>
    <row r="3454" spans="1:10" x14ac:dyDescent="0.25">
      <c r="A3454" s="15">
        <v>41243</v>
      </c>
      <c r="B3454" s="16" t="s">
        <v>1279</v>
      </c>
      <c r="C3454" t="s">
        <v>1241</v>
      </c>
      <c r="D3454" t="s">
        <v>783</v>
      </c>
      <c r="E3454" s="17">
        <v>53</v>
      </c>
      <c r="F3454" s="17">
        <v>62</v>
      </c>
      <c r="G3454" s="18">
        <v>3286</v>
      </c>
      <c r="H3454" s="30" t="s">
        <v>2319</v>
      </c>
      <c r="J3454" s="34"/>
    </row>
    <row r="3455" spans="1:10" x14ac:dyDescent="0.25">
      <c r="A3455" s="15">
        <v>41243</v>
      </c>
      <c r="B3455" s="16" t="s">
        <v>1280</v>
      </c>
      <c r="C3455" t="s">
        <v>1281</v>
      </c>
      <c r="D3455" t="s">
        <v>48</v>
      </c>
      <c r="E3455" s="17">
        <v>2</v>
      </c>
      <c r="F3455" s="17">
        <v>67</v>
      </c>
      <c r="G3455" s="18">
        <v>134</v>
      </c>
      <c r="H3455" s="30" t="s">
        <v>2319</v>
      </c>
      <c r="J3455" s="34"/>
    </row>
    <row r="3456" spans="1:10" x14ac:dyDescent="0.25">
      <c r="A3456" s="15">
        <v>41243</v>
      </c>
      <c r="B3456" s="16" t="s">
        <v>1282</v>
      </c>
      <c r="C3456" t="s">
        <v>1085</v>
      </c>
      <c r="D3456" t="s">
        <v>783</v>
      </c>
      <c r="E3456" s="17">
        <v>16</v>
      </c>
      <c r="F3456" s="17">
        <v>160.5</v>
      </c>
      <c r="G3456" s="18">
        <v>2568</v>
      </c>
      <c r="H3456" s="30" t="s">
        <v>2319</v>
      </c>
      <c r="J3456" s="34"/>
    </row>
    <row r="3457" spans="1:10" x14ac:dyDescent="0.25">
      <c r="A3457" s="15">
        <v>41243</v>
      </c>
      <c r="B3457" s="16" t="s">
        <v>1283</v>
      </c>
      <c r="C3457" t="s">
        <v>1284</v>
      </c>
      <c r="D3457" t="s">
        <v>783</v>
      </c>
      <c r="E3457" s="17">
        <v>1</v>
      </c>
      <c r="F3457" s="17">
        <v>260</v>
      </c>
      <c r="G3457" s="18">
        <v>260</v>
      </c>
      <c r="H3457" s="30" t="s">
        <v>2319</v>
      </c>
      <c r="J3457" s="34"/>
    </row>
    <row r="3458" spans="1:10" x14ac:dyDescent="0.25">
      <c r="A3458" s="15">
        <v>41243</v>
      </c>
      <c r="B3458" s="16" t="s">
        <v>1285</v>
      </c>
      <c r="C3458" t="s">
        <v>1286</v>
      </c>
      <c r="D3458" t="s">
        <v>783</v>
      </c>
      <c r="E3458" s="17">
        <v>1</v>
      </c>
      <c r="F3458" s="17">
        <v>328</v>
      </c>
      <c r="G3458" s="18">
        <v>328</v>
      </c>
      <c r="H3458" s="30" t="s">
        <v>2319</v>
      </c>
      <c r="J3458" s="34"/>
    </row>
    <row r="3459" spans="1:10" x14ac:dyDescent="0.25">
      <c r="A3459" s="15">
        <v>41243</v>
      </c>
      <c r="B3459" s="16" t="s">
        <v>1287</v>
      </c>
      <c r="C3459" t="s">
        <v>785</v>
      </c>
      <c r="D3459" t="s">
        <v>783</v>
      </c>
      <c r="E3459" s="17">
        <v>1</v>
      </c>
      <c r="F3459" s="17">
        <v>2823.91</v>
      </c>
      <c r="G3459" s="18">
        <v>2823.91</v>
      </c>
      <c r="H3459" s="30" t="s">
        <v>2319</v>
      </c>
      <c r="J3459" s="34"/>
    </row>
    <row r="3460" spans="1:10" x14ac:dyDescent="0.25">
      <c r="A3460" s="19" t="s">
        <v>781</v>
      </c>
      <c r="B3460" s="20" t="s">
        <v>1288</v>
      </c>
      <c r="C3460" s="21" t="s">
        <v>781</v>
      </c>
      <c r="D3460" s="21" t="s">
        <v>781</v>
      </c>
      <c r="E3460" s="22"/>
      <c r="F3460" s="22"/>
      <c r="G3460" s="23">
        <v>13650.62</v>
      </c>
      <c r="H3460" s="31" t="s">
        <v>2285</v>
      </c>
      <c r="J3460" s="34"/>
    </row>
    <row r="3461" spans="1:10" x14ac:dyDescent="0.25">
      <c r="A3461" s="15" t="s">
        <v>781</v>
      </c>
      <c r="B3461" s="16" t="s">
        <v>781</v>
      </c>
      <c r="C3461" t="s">
        <v>781</v>
      </c>
      <c r="D3461" t="s">
        <v>781</v>
      </c>
      <c r="E3461" s="17"/>
      <c r="F3461" s="17"/>
      <c r="G3461" s="18"/>
      <c r="H3461" s="30" t="s">
        <v>2285</v>
      </c>
      <c r="J3461" s="34"/>
    </row>
    <row r="3462" spans="1:10" x14ac:dyDescent="0.25">
      <c r="A3462" s="12" t="s">
        <v>781</v>
      </c>
      <c r="B3462" s="11" t="s">
        <v>1887</v>
      </c>
      <c r="C3462" s="10" t="s">
        <v>781</v>
      </c>
      <c r="D3462" s="10" t="s">
        <v>781</v>
      </c>
      <c r="E3462" s="13"/>
      <c r="F3462" s="13"/>
      <c r="G3462" s="14"/>
      <c r="H3462" s="29" t="s">
        <v>2285</v>
      </c>
      <c r="J3462" s="34"/>
    </row>
    <row r="3463" spans="1:10" ht="30" x14ac:dyDescent="0.25">
      <c r="A3463" s="15">
        <v>41061</v>
      </c>
      <c r="B3463" s="16" t="s">
        <v>1289</v>
      </c>
      <c r="C3463" t="s">
        <v>1290</v>
      </c>
      <c r="D3463" t="s">
        <v>783</v>
      </c>
      <c r="E3463" s="17">
        <v>1</v>
      </c>
      <c r="F3463" s="17">
        <v>1500</v>
      </c>
      <c r="G3463" s="18">
        <v>1500</v>
      </c>
      <c r="H3463" s="30" t="s">
        <v>2320</v>
      </c>
      <c r="J3463" s="34"/>
    </row>
    <row r="3464" spans="1:10" x14ac:dyDescent="0.25">
      <c r="A3464" s="19" t="s">
        <v>781</v>
      </c>
      <c r="B3464" s="20" t="s">
        <v>1291</v>
      </c>
      <c r="C3464" s="21" t="s">
        <v>781</v>
      </c>
      <c r="D3464" s="21" t="s">
        <v>781</v>
      </c>
      <c r="E3464" s="22"/>
      <c r="F3464" s="22"/>
      <c r="G3464" s="23">
        <v>1500</v>
      </c>
      <c r="H3464" s="31" t="s">
        <v>2285</v>
      </c>
      <c r="J3464" s="34"/>
    </row>
    <row r="3465" spans="1:10" x14ac:dyDescent="0.25">
      <c r="A3465" s="15" t="s">
        <v>781</v>
      </c>
      <c r="B3465" s="16" t="s">
        <v>781</v>
      </c>
      <c r="C3465" t="s">
        <v>781</v>
      </c>
      <c r="D3465" t="s">
        <v>781</v>
      </c>
      <c r="E3465" s="17"/>
      <c r="F3465" s="17"/>
      <c r="G3465" s="18"/>
      <c r="H3465" s="30" t="s">
        <v>2285</v>
      </c>
      <c r="J3465" s="34"/>
    </row>
    <row r="3466" spans="1:10" x14ac:dyDescent="0.25">
      <c r="A3466" s="12" t="s">
        <v>781</v>
      </c>
      <c r="B3466" s="11" t="s">
        <v>1888</v>
      </c>
      <c r="C3466" s="10" t="s">
        <v>781</v>
      </c>
      <c r="D3466" s="10" t="s">
        <v>781</v>
      </c>
      <c r="E3466" s="13"/>
      <c r="F3466" s="13"/>
      <c r="G3466" s="14"/>
      <c r="H3466" s="29" t="s">
        <v>2285</v>
      </c>
      <c r="J3466" s="34"/>
    </row>
    <row r="3467" spans="1:10" x14ac:dyDescent="0.25">
      <c r="A3467" s="15">
        <v>40915</v>
      </c>
      <c r="B3467" s="16" t="s">
        <v>1292</v>
      </c>
      <c r="C3467" t="s">
        <v>1121</v>
      </c>
      <c r="D3467" t="s">
        <v>783</v>
      </c>
      <c r="E3467" s="17">
        <v>1</v>
      </c>
      <c r="F3467" s="17">
        <v>420</v>
      </c>
      <c r="G3467" s="18">
        <v>420</v>
      </c>
      <c r="H3467" s="30" t="s">
        <v>2321</v>
      </c>
      <c r="J3467" s="34"/>
    </row>
    <row r="3468" spans="1:10" x14ac:dyDescent="0.25">
      <c r="A3468" s="15">
        <v>41004</v>
      </c>
      <c r="B3468" s="16" t="s">
        <v>1293</v>
      </c>
      <c r="C3468" t="s">
        <v>1294</v>
      </c>
      <c r="D3468" t="s">
        <v>783</v>
      </c>
      <c r="E3468" s="17">
        <v>6811.68</v>
      </c>
      <c r="F3468" s="17">
        <v>4.5999999999999996</v>
      </c>
      <c r="G3468" s="18">
        <v>31333.727999999999</v>
      </c>
      <c r="H3468" s="30" t="s">
        <v>2321</v>
      </c>
      <c r="J3468" s="34"/>
    </row>
    <row r="3469" spans="1:10" x14ac:dyDescent="0.25">
      <c r="A3469" s="19" t="s">
        <v>781</v>
      </c>
      <c r="B3469" s="20" t="s">
        <v>1295</v>
      </c>
      <c r="C3469" s="21" t="s">
        <v>781</v>
      </c>
      <c r="D3469" s="21" t="s">
        <v>781</v>
      </c>
      <c r="E3469" s="22"/>
      <c r="F3469" s="22"/>
      <c r="G3469" s="23">
        <v>31753.727999999999</v>
      </c>
      <c r="H3469" s="31" t="s">
        <v>2285</v>
      </c>
      <c r="J3469" s="34"/>
    </row>
    <row r="3470" spans="1:10" x14ac:dyDescent="0.25">
      <c r="A3470" s="15" t="s">
        <v>781</v>
      </c>
      <c r="B3470" s="16" t="s">
        <v>781</v>
      </c>
      <c r="C3470" t="s">
        <v>781</v>
      </c>
      <c r="D3470" t="s">
        <v>781</v>
      </c>
      <c r="E3470" s="17"/>
      <c r="F3470" s="17"/>
      <c r="G3470" s="18"/>
      <c r="H3470" s="30" t="s">
        <v>2285</v>
      </c>
      <c r="J3470" s="34"/>
    </row>
    <row r="3471" spans="1:10" x14ac:dyDescent="0.25">
      <c r="A3471" s="12" t="s">
        <v>781</v>
      </c>
      <c r="B3471" s="11" t="s">
        <v>1889</v>
      </c>
      <c r="C3471" s="10" t="s">
        <v>781</v>
      </c>
      <c r="D3471" s="10" t="s">
        <v>781</v>
      </c>
      <c r="E3471" s="13"/>
      <c r="F3471" s="13"/>
      <c r="G3471" s="14"/>
      <c r="H3471" s="29" t="s">
        <v>2285</v>
      </c>
      <c r="J3471" s="34"/>
    </row>
    <row r="3472" spans="1:10" ht="30" x14ac:dyDescent="0.25">
      <c r="A3472" s="15">
        <v>40871</v>
      </c>
      <c r="B3472" s="16" t="s">
        <v>1296</v>
      </c>
      <c r="C3472" t="s">
        <v>1297</v>
      </c>
      <c r="D3472" t="s">
        <v>783</v>
      </c>
      <c r="E3472" s="17">
        <v>1600</v>
      </c>
      <c r="F3472" s="17">
        <v>2.25</v>
      </c>
      <c r="G3472" s="18">
        <v>3600</v>
      </c>
      <c r="H3472" s="30" t="s">
        <v>2322</v>
      </c>
      <c r="J3472" s="34"/>
    </row>
    <row r="3473" spans="1:10" x14ac:dyDescent="0.25">
      <c r="A3473" s="15">
        <v>40871</v>
      </c>
      <c r="B3473" s="16" t="s">
        <v>1298</v>
      </c>
      <c r="C3473" t="s">
        <v>1294</v>
      </c>
      <c r="D3473" t="s">
        <v>783</v>
      </c>
      <c r="E3473" s="17">
        <v>1710</v>
      </c>
      <c r="F3473" s="17">
        <v>4.6500000000000004</v>
      </c>
      <c r="G3473" s="18">
        <v>7951.5</v>
      </c>
      <c r="H3473" s="30" t="s">
        <v>2322</v>
      </c>
      <c r="J3473" s="34"/>
    </row>
    <row r="3474" spans="1:10" x14ac:dyDescent="0.25">
      <c r="A3474" s="15">
        <v>40921</v>
      </c>
      <c r="B3474" s="16" t="s">
        <v>1299</v>
      </c>
      <c r="C3474" t="s">
        <v>1294</v>
      </c>
      <c r="D3474" t="s">
        <v>783</v>
      </c>
      <c r="E3474" s="17">
        <v>1710</v>
      </c>
      <c r="F3474" s="17">
        <v>4.6500000000000004</v>
      </c>
      <c r="G3474" s="18">
        <v>7951.5</v>
      </c>
      <c r="H3474" s="30" t="s">
        <v>2322</v>
      </c>
      <c r="J3474" s="34"/>
    </row>
    <row r="3475" spans="1:10" x14ac:dyDescent="0.25">
      <c r="A3475" s="15">
        <v>40921</v>
      </c>
      <c r="B3475" s="16" t="s">
        <v>1300</v>
      </c>
      <c r="C3475" t="s">
        <v>1301</v>
      </c>
      <c r="D3475" t="s">
        <v>783</v>
      </c>
      <c r="E3475" s="17">
        <v>2700</v>
      </c>
      <c r="F3475" s="17">
        <v>1.47</v>
      </c>
      <c r="G3475" s="18">
        <v>3969</v>
      </c>
      <c r="H3475" s="30" t="s">
        <v>2322</v>
      </c>
      <c r="J3475" s="34"/>
    </row>
    <row r="3476" spans="1:10" x14ac:dyDescent="0.25">
      <c r="A3476" s="15">
        <v>40931</v>
      </c>
      <c r="B3476" s="16" t="s">
        <v>865</v>
      </c>
      <c r="C3476" t="s">
        <v>8</v>
      </c>
      <c r="D3476" t="s">
        <v>48</v>
      </c>
      <c r="E3476" s="17">
        <v>2</v>
      </c>
      <c r="F3476" s="17">
        <v>35.35</v>
      </c>
      <c r="G3476" s="18">
        <v>70.7</v>
      </c>
      <c r="H3476" s="30" t="s">
        <v>2322</v>
      </c>
      <c r="J3476" s="34"/>
    </row>
    <row r="3477" spans="1:10" x14ac:dyDescent="0.25">
      <c r="A3477" s="15">
        <v>40931</v>
      </c>
      <c r="B3477" s="16" t="s">
        <v>865</v>
      </c>
      <c r="C3477" t="s">
        <v>8</v>
      </c>
      <c r="D3477" t="s">
        <v>48</v>
      </c>
      <c r="E3477" s="17">
        <v>2</v>
      </c>
      <c r="F3477" s="17">
        <v>35.35</v>
      </c>
      <c r="G3477" s="18">
        <v>70.7</v>
      </c>
      <c r="H3477" s="30" t="s">
        <v>2322</v>
      </c>
      <c r="J3477" s="34"/>
    </row>
    <row r="3478" spans="1:10" x14ac:dyDescent="0.25">
      <c r="A3478" s="15">
        <v>40931</v>
      </c>
      <c r="B3478" s="16" t="s">
        <v>865</v>
      </c>
      <c r="C3478" t="s">
        <v>8</v>
      </c>
      <c r="D3478" t="s">
        <v>48</v>
      </c>
      <c r="E3478" s="17">
        <v>2</v>
      </c>
      <c r="F3478" s="17">
        <v>35.35</v>
      </c>
      <c r="G3478" s="18">
        <v>70.7</v>
      </c>
      <c r="H3478" s="30" t="s">
        <v>2322</v>
      </c>
      <c r="J3478" s="34"/>
    </row>
    <row r="3479" spans="1:10" x14ac:dyDescent="0.25">
      <c r="A3479" s="15">
        <v>40931</v>
      </c>
      <c r="B3479" s="16" t="s">
        <v>865</v>
      </c>
      <c r="C3479" t="s">
        <v>8</v>
      </c>
      <c r="D3479" t="s">
        <v>48</v>
      </c>
      <c r="E3479" s="17">
        <v>2</v>
      </c>
      <c r="F3479" s="17">
        <v>35.35</v>
      </c>
      <c r="G3479" s="18">
        <v>70.7</v>
      </c>
      <c r="H3479" s="30" t="s">
        <v>2322</v>
      </c>
      <c r="J3479" s="34"/>
    </row>
    <row r="3480" spans="1:10" x14ac:dyDescent="0.25">
      <c r="A3480" s="15">
        <v>40940</v>
      </c>
      <c r="B3480" s="16" t="s">
        <v>865</v>
      </c>
      <c r="C3480" t="s">
        <v>8</v>
      </c>
      <c r="D3480" t="s">
        <v>48</v>
      </c>
      <c r="E3480" s="17">
        <v>2</v>
      </c>
      <c r="F3480" s="17">
        <v>35.35</v>
      </c>
      <c r="G3480" s="18">
        <v>70.7</v>
      </c>
      <c r="H3480" s="30" t="s">
        <v>2322</v>
      </c>
      <c r="J3480" s="34"/>
    </row>
    <row r="3481" spans="1:10" x14ac:dyDescent="0.25">
      <c r="A3481" s="15">
        <v>40940</v>
      </c>
      <c r="B3481" s="16" t="s">
        <v>865</v>
      </c>
      <c r="C3481" t="s">
        <v>8</v>
      </c>
      <c r="D3481" t="s">
        <v>48</v>
      </c>
      <c r="E3481" s="17">
        <v>2</v>
      </c>
      <c r="F3481" s="17">
        <v>35.35</v>
      </c>
      <c r="G3481" s="18">
        <v>70.7</v>
      </c>
      <c r="H3481" s="30" t="s">
        <v>2322</v>
      </c>
      <c r="J3481" s="34"/>
    </row>
    <row r="3482" spans="1:10" x14ac:dyDescent="0.25">
      <c r="A3482" s="15">
        <v>40940</v>
      </c>
      <c r="B3482" s="16" t="s">
        <v>865</v>
      </c>
      <c r="C3482" t="s">
        <v>8</v>
      </c>
      <c r="D3482" t="s">
        <v>48</v>
      </c>
      <c r="E3482" s="17">
        <v>2</v>
      </c>
      <c r="F3482" s="17">
        <v>35.35</v>
      </c>
      <c r="G3482" s="18">
        <v>70.7</v>
      </c>
      <c r="H3482" s="30" t="s">
        <v>2322</v>
      </c>
      <c r="J3482" s="34"/>
    </row>
    <row r="3483" spans="1:10" x14ac:dyDescent="0.25">
      <c r="A3483" s="15">
        <v>40948</v>
      </c>
      <c r="B3483" s="16" t="s">
        <v>1302</v>
      </c>
      <c r="C3483" t="s">
        <v>1301</v>
      </c>
      <c r="D3483" t="s">
        <v>783</v>
      </c>
      <c r="E3483" s="17">
        <v>3600</v>
      </c>
      <c r="F3483" s="17">
        <v>1.47</v>
      </c>
      <c r="G3483" s="18">
        <v>5292</v>
      </c>
      <c r="H3483" s="30" t="s">
        <v>2322</v>
      </c>
      <c r="J3483" s="34"/>
    </row>
    <row r="3484" spans="1:10" x14ac:dyDescent="0.25">
      <c r="A3484" s="15">
        <v>40948</v>
      </c>
      <c r="B3484" s="16" t="s">
        <v>1303</v>
      </c>
      <c r="C3484" t="s">
        <v>1294</v>
      </c>
      <c r="D3484" t="s">
        <v>783</v>
      </c>
      <c r="E3484" s="17">
        <v>3135</v>
      </c>
      <c r="F3484" s="17">
        <v>4.5999999999999996</v>
      </c>
      <c r="G3484" s="18">
        <v>14421</v>
      </c>
      <c r="H3484" s="30" t="s">
        <v>2322</v>
      </c>
      <c r="J3484" s="34"/>
    </row>
    <row r="3485" spans="1:10" x14ac:dyDescent="0.25">
      <c r="A3485" s="15">
        <v>40952</v>
      </c>
      <c r="B3485" s="16" t="s">
        <v>865</v>
      </c>
      <c r="C3485" t="s">
        <v>8</v>
      </c>
      <c r="D3485" t="s">
        <v>48</v>
      </c>
      <c r="E3485" s="17">
        <v>2</v>
      </c>
      <c r="F3485" s="17">
        <v>35.35</v>
      </c>
      <c r="G3485" s="18">
        <v>70.7</v>
      </c>
      <c r="H3485" s="30" t="s">
        <v>2322</v>
      </c>
      <c r="J3485" s="34"/>
    </row>
    <row r="3486" spans="1:10" x14ac:dyDescent="0.25">
      <c r="A3486" s="15">
        <v>40970</v>
      </c>
      <c r="B3486" s="16" t="s">
        <v>1304</v>
      </c>
      <c r="C3486" t="s">
        <v>1305</v>
      </c>
      <c r="D3486" t="s">
        <v>783</v>
      </c>
      <c r="E3486" s="17">
        <v>4500</v>
      </c>
      <c r="F3486" s="17">
        <v>1.1000000000000001</v>
      </c>
      <c r="G3486" s="18">
        <v>4950</v>
      </c>
      <c r="H3486" s="30" t="s">
        <v>2322</v>
      </c>
      <c r="J3486" s="34"/>
    </row>
    <row r="3487" spans="1:10" x14ac:dyDescent="0.25">
      <c r="A3487" s="15">
        <v>40970</v>
      </c>
      <c r="B3487" s="16" t="s">
        <v>1306</v>
      </c>
      <c r="C3487" t="s">
        <v>1294</v>
      </c>
      <c r="D3487" t="s">
        <v>783</v>
      </c>
      <c r="E3487" s="17">
        <v>1710</v>
      </c>
      <c r="F3487" s="17">
        <v>4.5999999999999996</v>
      </c>
      <c r="G3487" s="18">
        <v>7866</v>
      </c>
      <c r="H3487" s="30" t="s">
        <v>2322</v>
      </c>
      <c r="J3487" s="34"/>
    </row>
    <row r="3488" spans="1:10" x14ac:dyDescent="0.25">
      <c r="A3488" s="15">
        <v>40970</v>
      </c>
      <c r="B3488" s="16" t="s">
        <v>1307</v>
      </c>
      <c r="C3488" t="s">
        <v>1308</v>
      </c>
      <c r="D3488" t="s">
        <v>783</v>
      </c>
      <c r="E3488" s="17">
        <v>1575</v>
      </c>
      <c r="F3488" s="17">
        <v>1.1000000000000001</v>
      </c>
      <c r="G3488" s="18">
        <v>1732.5</v>
      </c>
      <c r="H3488" s="30" t="s">
        <v>2322</v>
      </c>
      <c r="J3488" s="34"/>
    </row>
    <row r="3489" spans="1:10" x14ac:dyDescent="0.25">
      <c r="A3489" s="15">
        <v>40973</v>
      </c>
      <c r="B3489" s="16" t="s">
        <v>1309</v>
      </c>
      <c r="C3489" t="s">
        <v>1301</v>
      </c>
      <c r="D3489" t="s">
        <v>783</v>
      </c>
      <c r="E3489" s="17">
        <v>1</v>
      </c>
      <c r="F3489" s="17">
        <v>4196</v>
      </c>
      <c r="G3489" s="18">
        <v>4196</v>
      </c>
      <c r="H3489" s="30" t="s">
        <v>2322</v>
      </c>
      <c r="J3489" s="34"/>
    </row>
    <row r="3490" spans="1:10" x14ac:dyDescent="0.25">
      <c r="A3490" s="15">
        <v>40997</v>
      </c>
      <c r="B3490" s="16" t="s">
        <v>865</v>
      </c>
      <c r="C3490" t="s">
        <v>8</v>
      </c>
      <c r="D3490" t="s">
        <v>48</v>
      </c>
      <c r="E3490" s="17">
        <v>3</v>
      </c>
      <c r="F3490" s="17">
        <v>35.35</v>
      </c>
      <c r="G3490" s="18">
        <v>106.05</v>
      </c>
      <c r="H3490" s="30" t="s">
        <v>2322</v>
      </c>
      <c r="J3490" s="34"/>
    </row>
    <row r="3491" spans="1:10" x14ac:dyDescent="0.25">
      <c r="A3491" s="15">
        <v>40997</v>
      </c>
      <c r="B3491" s="16" t="s">
        <v>865</v>
      </c>
      <c r="C3491" t="s">
        <v>8</v>
      </c>
      <c r="D3491" t="s">
        <v>48</v>
      </c>
      <c r="E3491" s="17">
        <v>2</v>
      </c>
      <c r="F3491" s="17">
        <v>35.35</v>
      </c>
      <c r="G3491" s="18">
        <v>70.7</v>
      </c>
      <c r="H3491" s="30" t="s">
        <v>2322</v>
      </c>
      <c r="J3491" s="34"/>
    </row>
    <row r="3492" spans="1:10" x14ac:dyDescent="0.25">
      <c r="A3492" s="15">
        <v>41009</v>
      </c>
      <c r="B3492" s="16" t="s">
        <v>865</v>
      </c>
      <c r="C3492" t="s">
        <v>8</v>
      </c>
      <c r="D3492" t="s">
        <v>48</v>
      </c>
      <c r="E3492" s="17">
        <v>4.5</v>
      </c>
      <c r="F3492" s="17">
        <v>35.35</v>
      </c>
      <c r="G3492" s="18">
        <v>159.07499999999999</v>
      </c>
      <c r="H3492" s="30" t="s">
        <v>2322</v>
      </c>
      <c r="J3492" s="34"/>
    </row>
    <row r="3493" spans="1:10" x14ac:dyDescent="0.25">
      <c r="A3493" s="15">
        <v>41009</v>
      </c>
      <c r="B3493" s="16" t="s">
        <v>865</v>
      </c>
      <c r="C3493" t="s">
        <v>8</v>
      </c>
      <c r="D3493" t="s">
        <v>48</v>
      </c>
      <c r="E3493" s="17">
        <v>3.5</v>
      </c>
      <c r="F3493" s="17">
        <v>35.35</v>
      </c>
      <c r="G3493" s="18">
        <v>123.72499999999999</v>
      </c>
      <c r="H3493" s="30" t="s">
        <v>2322</v>
      </c>
      <c r="J3493" s="34"/>
    </row>
    <row r="3494" spans="1:10" x14ac:dyDescent="0.25">
      <c r="A3494" s="15">
        <v>41009</v>
      </c>
      <c r="B3494" s="16" t="s">
        <v>865</v>
      </c>
      <c r="C3494" t="s">
        <v>8</v>
      </c>
      <c r="D3494" t="s">
        <v>48</v>
      </c>
      <c r="E3494" s="17">
        <v>4.5</v>
      </c>
      <c r="F3494" s="17">
        <v>35.35</v>
      </c>
      <c r="G3494" s="18">
        <v>159.07499999999999</v>
      </c>
      <c r="H3494" s="30" t="s">
        <v>2322</v>
      </c>
      <c r="J3494" s="34"/>
    </row>
    <row r="3495" spans="1:10" x14ac:dyDescent="0.25">
      <c r="A3495" s="15">
        <v>41010</v>
      </c>
      <c r="B3495" s="16" t="s">
        <v>865</v>
      </c>
      <c r="C3495" t="s">
        <v>8</v>
      </c>
      <c r="D3495" t="s">
        <v>48</v>
      </c>
      <c r="E3495" s="17">
        <v>4.5</v>
      </c>
      <c r="F3495" s="17">
        <v>35.35</v>
      </c>
      <c r="G3495" s="18">
        <v>159.07499999999999</v>
      </c>
      <c r="H3495" s="30" t="s">
        <v>2322</v>
      </c>
      <c r="J3495" s="34"/>
    </row>
    <row r="3496" spans="1:10" x14ac:dyDescent="0.25">
      <c r="A3496" s="15">
        <v>41010</v>
      </c>
      <c r="B3496" s="16" t="s">
        <v>865</v>
      </c>
      <c r="C3496" t="s">
        <v>8</v>
      </c>
      <c r="D3496" t="s">
        <v>48</v>
      </c>
      <c r="E3496" s="17">
        <v>3.5</v>
      </c>
      <c r="F3496" s="17">
        <v>35.35</v>
      </c>
      <c r="G3496" s="18">
        <v>123.72499999999999</v>
      </c>
      <c r="H3496" s="30" t="s">
        <v>2322</v>
      </c>
      <c r="J3496" s="34"/>
    </row>
    <row r="3497" spans="1:10" x14ac:dyDescent="0.25">
      <c r="A3497" s="15">
        <v>41011</v>
      </c>
      <c r="B3497" s="16" t="s">
        <v>865</v>
      </c>
      <c r="C3497" t="s">
        <v>8</v>
      </c>
      <c r="D3497" t="s">
        <v>48</v>
      </c>
      <c r="E3497" s="17">
        <v>2</v>
      </c>
      <c r="F3497" s="17">
        <v>35.35</v>
      </c>
      <c r="G3497" s="18">
        <v>70.7</v>
      </c>
      <c r="H3497" s="30" t="s">
        <v>2322</v>
      </c>
      <c r="J3497" s="34"/>
    </row>
    <row r="3498" spans="1:10" x14ac:dyDescent="0.25">
      <c r="A3498" s="15">
        <v>41011</v>
      </c>
      <c r="B3498" s="16" t="s">
        <v>865</v>
      </c>
      <c r="C3498" t="s">
        <v>8</v>
      </c>
      <c r="D3498" t="s">
        <v>48</v>
      </c>
      <c r="E3498" s="17">
        <v>2</v>
      </c>
      <c r="F3498" s="17">
        <v>35.35</v>
      </c>
      <c r="G3498" s="18">
        <v>70.7</v>
      </c>
      <c r="H3498" s="30" t="s">
        <v>2322</v>
      </c>
      <c r="J3498" s="34"/>
    </row>
    <row r="3499" spans="1:10" x14ac:dyDescent="0.25">
      <c r="A3499" s="15">
        <v>41011</v>
      </c>
      <c r="B3499" s="16" t="s">
        <v>865</v>
      </c>
      <c r="C3499" t="s">
        <v>8</v>
      </c>
      <c r="D3499" t="s">
        <v>48</v>
      </c>
      <c r="E3499" s="17">
        <v>2</v>
      </c>
      <c r="F3499" s="17">
        <v>35.35</v>
      </c>
      <c r="G3499" s="18">
        <v>70.7</v>
      </c>
      <c r="H3499" s="30" t="s">
        <v>2322</v>
      </c>
      <c r="J3499" s="34"/>
    </row>
    <row r="3500" spans="1:10" x14ac:dyDescent="0.25">
      <c r="A3500" s="15">
        <v>41012</v>
      </c>
      <c r="B3500" s="16" t="s">
        <v>865</v>
      </c>
      <c r="C3500" t="s">
        <v>8</v>
      </c>
      <c r="D3500" t="s">
        <v>48</v>
      </c>
      <c r="E3500" s="17">
        <v>2</v>
      </c>
      <c r="F3500" s="17">
        <v>35.35</v>
      </c>
      <c r="G3500" s="18">
        <v>70.7</v>
      </c>
      <c r="H3500" s="30" t="s">
        <v>2322</v>
      </c>
      <c r="J3500" s="34"/>
    </row>
    <row r="3501" spans="1:10" x14ac:dyDescent="0.25">
      <c r="A3501" s="15">
        <v>41012</v>
      </c>
      <c r="B3501" s="16" t="s">
        <v>865</v>
      </c>
      <c r="C3501" t="s">
        <v>8</v>
      </c>
      <c r="D3501" t="s">
        <v>48</v>
      </c>
      <c r="E3501" s="17">
        <v>2</v>
      </c>
      <c r="F3501" s="17">
        <v>35.35</v>
      </c>
      <c r="G3501" s="18">
        <v>70.7</v>
      </c>
      <c r="H3501" s="30" t="s">
        <v>2322</v>
      </c>
      <c r="J3501" s="34"/>
    </row>
    <row r="3502" spans="1:10" x14ac:dyDescent="0.25">
      <c r="A3502" s="15">
        <v>41012</v>
      </c>
      <c r="B3502" s="16" t="s">
        <v>865</v>
      </c>
      <c r="C3502" t="s">
        <v>8</v>
      </c>
      <c r="D3502" t="s">
        <v>48</v>
      </c>
      <c r="E3502" s="17">
        <v>2</v>
      </c>
      <c r="F3502" s="17">
        <v>35.35</v>
      </c>
      <c r="G3502" s="18">
        <v>70.7</v>
      </c>
      <c r="H3502" s="30" t="s">
        <v>2322</v>
      </c>
      <c r="J3502" s="34"/>
    </row>
    <row r="3503" spans="1:10" x14ac:dyDescent="0.25">
      <c r="A3503" s="15">
        <v>41012</v>
      </c>
      <c r="B3503" s="16" t="s">
        <v>865</v>
      </c>
      <c r="C3503" t="s">
        <v>8</v>
      </c>
      <c r="D3503" t="s">
        <v>48</v>
      </c>
      <c r="E3503" s="17">
        <v>2</v>
      </c>
      <c r="F3503" s="17">
        <v>35.35</v>
      </c>
      <c r="G3503" s="18">
        <v>70.7</v>
      </c>
      <c r="H3503" s="30" t="s">
        <v>2322</v>
      </c>
      <c r="J3503" s="34"/>
    </row>
    <row r="3504" spans="1:10" x14ac:dyDescent="0.25">
      <c r="A3504" s="15">
        <v>41013</v>
      </c>
      <c r="B3504" s="16" t="s">
        <v>865</v>
      </c>
      <c r="C3504" t="s">
        <v>8</v>
      </c>
      <c r="D3504" t="s">
        <v>48</v>
      </c>
      <c r="E3504" s="17">
        <v>2</v>
      </c>
      <c r="F3504" s="17">
        <v>35.35</v>
      </c>
      <c r="G3504" s="18">
        <v>70.7</v>
      </c>
      <c r="H3504" s="30" t="s">
        <v>2322</v>
      </c>
      <c r="J3504" s="34"/>
    </row>
    <row r="3505" spans="1:10" x14ac:dyDescent="0.25">
      <c r="A3505" s="15">
        <v>41015</v>
      </c>
      <c r="B3505" s="16" t="s">
        <v>865</v>
      </c>
      <c r="C3505" t="s">
        <v>8</v>
      </c>
      <c r="D3505" t="s">
        <v>48</v>
      </c>
      <c r="E3505" s="17">
        <v>2</v>
      </c>
      <c r="F3505" s="17">
        <v>35.35</v>
      </c>
      <c r="G3505" s="18">
        <v>70.7</v>
      </c>
      <c r="H3505" s="30" t="s">
        <v>2322</v>
      </c>
      <c r="J3505" s="34"/>
    </row>
    <row r="3506" spans="1:10" x14ac:dyDescent="0.25">
      <c r="A3506" s="15">
        <v>41015</v>
      </c>
      <c r="B3506" s="16" t="s">
        <v>865</v>
      </c>
      <c r="C3506" t="s">
        <v>8</v>
      </c>
      <c r="D3506" t="s">
        <v>48</v>
      </c>
      <c r="E3506" s="17">
        <v>2</v>
      </c>
      <c r="F3506" s="17">
        <v>35.35</v>
      </c>
      <c r="G3506" s="18">
        <v>70.7</v>
      </c>
      <c r="H3506" s="30" t="s">
        <v>2322</v>
      </c>
      <c r="J3506" s="34"/>
    </row>
    <row r="3507" spans="1:10" x14ac:dyDescent="0.25">
      <c r="A3507" s="15">
        <v>41016</v>
      </c>
      <c r="B3507" s="16" t="s">
        <v>865</v>
      </c>
      <c r="C3507" t="s">
        <v>8</v>
      </c>
      <c r="D3507" t="s">
        <v>48</v>
      </c>
      <c r="E3507" s="17">
        <v>2</v>
      </c>
      <c r="F3507" s="17">
        <v>35.35</v>
      </c>
      <c r="G3507" s="18">
        <v>70.7</v>
      </c>
      <c r="H3507" s="30" t="s">
        <v>2322</v>
      </c>
      <c r="J3507" s="34"/>
    </row>
    <row r="3508" spans="1:10" x14ac:dyDescent="0.25">
      <c r="A3508" s="15">
        <v>41016</v>
      </c>
      <c r="B3508" s="16" t="s">
        <v>865</v>
      </c>
      <c r="C3508" t="s">
        <v>8</v>
      </c>
      <c r="D3508" t="s">
        <v>48</v>
      </c>
      <c r="E3508" s="17">
        <v>2</v>
      </c>
      <c r="F3508" s="17">
        <v>35.35</v>
      </c>
      <c r="G3508" s="18">
        <v>70.7</v>
      </c>
      <c r="H3508" s="30" t="s">
        <v>2322</v>
      </c>
      <c r="J3508" s="34"/>
    </row>
    <row r="3509" spans="1:10" x14ac:dyDescent="0.25">
      <c r="A3509" s="15">
        <v>41023</v>
      </c>
      <c r="B3509" s="16" t="s">
        <v>1310</v>
      </c>
      <c r="C3509" t="s">
        <v>1301</v>
      </c>
      <c r="D3509" t="s">
        <v>783</v>
      </c>
      <c r="E3509" s="17">
        <v>1</v>
      </c>
      <c r="F3509" s="17">
        <v>9026.25</v>
      </c>
      <c r="G3509" s="18">
        <v>9026.25</v>
      </c>
      <c r="H3509" s="30" t="s">
        <v>2322</v>
      </c>
      <c r="J3509" s="34"/>
    </row>
    <row r="3510" spans="1:10" x14ac:dyDescent="0.25">
      <c r="A3510" s="15">
        <v>41023</v>
      </c>
      <c r="B3510" s="16" t="s">
        <v>1311</v>
      </c>
      <c r="C3510" t="s">
        <v>1301</v>
      </c>
      <c r="D3510" t="s">
        <v>783</v>
      </c>
      <c r="E3510" s="17">
        <v>1</v>
      </c>
      <c r="F3510" s="17">
        <v>5895</v>
      </c>
      <c r="G3510" s="18">
        <v>5895</v>
      </c>
      <c r="H3510" s="30" t="s">
        <v>2322</v>
      </c>
      <c r="J3510" s="34"/>
    </row>
    <row r="3511" spans="1:10" x14ac:dyDescent="0.25">
      <c r="A3511" s="15">
        <v>41026</v>
      </c>
      <c r="B3511" s="16" t="s">
        <v>865</v>
      </c>
      <c r="C3511" t="s">
        <v>8</v>
      </c>
      <c r="D3511" t="s">
        <v>48</v>
      </c>
      <c r="E3511" s="17">
        <v>2.5</v>
      </c>
      <c r="F3511" s="17">
        <v>35.35</v>
      </c>
      <c r="G3511" s="18">
        <v>88.375</v>
      </c>
      <c r="H3511" s="30" t="s">
        <v>2322</v>
      </c>
      <c r="J3511" s="34"/>
    </row>
    <row r="3512" spans="1:10" x14ac:dyDescent="0.25">
      <c r="A3512" s="15">
        <v>41026</v>
      </c>
      <c r="B3512" s="16" t="s">
        <v>865</v>
      </c>
      <c r="C3512" t="s">
        <v>8</v>
      </c>
      <c r="D3512" t="s">
        <v>48</v>
      </c>
      <c r="E3512" s="17">
        <v>2.5</v>
      </c>
      <c r="F3512" s="17">
        <v>48</v>
      </c>
      <c r="G3512" s="18">
        <v>120</v>
      </c>
      <c r="H3512" s="30" t="s">
        <v>2322</v>
      </c>
      <c r="J3512" s="34"/>
    </row>
    <row r="3513" spans="1:10" x14ac:dyDescent="0.25">
      <c r="A3513" s="15">
        <v>41026</v>
      </c>
      <c r="B3513" s="16" t="s">
        <v>865</v>
      </c>
      <c r="C3513" t="s">
        <v>8</v>
      </c>
      <c r="D3513" t="s">
        <v>48</v>
      </c>
      <c r="E3513" s="17">
        <v>2.5</v>
      </c>
      <c r="F3513" s="17">
        <v>35.35</v>
      </c>
      <c r="G3513" s="18">
        <v>88.375</v>
      </c>
      <c r="H3513" s="30" t="s">
        <v>2322</v>
      </c>
      <c r="J3513" s="34"/>
    </row>
    <row r="3514" spans="1:10" x14ac:dyDescent="0.25">
      <c r="A3514" s="15">
        <v>41026</v>
      </c>
      <c r="B3514" s="16" t="s">
        <v>865</v>
      </c>
      <c r="C3514" t="s">
        <v>8</v>
      </c>
      <c r="D3514" t="s">
        <v>48</v>
      </c>
      <c r="E3514" s="17">
        <v>2.5</v>
      </c>
      <c r="F3514" s="17">
        <v>35.35</v>
      </c>
      <c r="G3514" s="18">
        <v>88.375</v>
      </c>
      <c r="H3514" s="30" t="s">
        <v>2322</v>
      </c>
      <c r="J3514" s="34"/>
    </row>
    <row r="3515" spans="1:10" x14ac:dyDescent="0.25">
      <c r="A3515" s="15">
        <v>41026</v>
      </c>
      <c r="B3515" s="16" t="s">
        <v>877</v>
      </c>
      <c r="C3515" t="s">
        <v>868</v>
      </c>
      <c r="D3515" t="s">
        <v>48</v>
      </c>
      <c r="E3515" s="17">
        <v>1</v>
      </c>
      <c r="F3515" s="17">
        <v>90</v>
      </c>
      <c r="G3515" s="18">
        <v>90</v>
      </c>
      <c r="H3515" s="30" t="s">
        <v>2322</v>
      </c>
      <c r="J3515" s="34"/>
    </row>
    <row r="3516" spans="1:10" x14ac:dyDescent="0.25">
      <c r="A3516" s="15">
        <v>41026</v>
      </c>
      <c r="B3516" s="16" t="s">
        <v>874</v>
      </c>
      <c r="C3516" t="s">
        <v>875</v>
      </c>
      <c r="D3516" t="s">
        <v>48</v>
      </c>
      <c r="E3516" s="17">
        <v>2</v>
      </c>
      <c r="F3516" s="17">
        <v>25.78</v>
      </c>
      <c r="G3516" s="18">
        <v>51.56</v>
      </c>
      <c r="H3516" s="30" t="s">
        <v>2322</v>
      </c>
      <c r="J3516" s="34"/>
    </row>
    <row r="3517" spans="1:10" x14ac:dyDescent="0.25">
      <c r="A3517" s="15">
        <v>41026</v>
      </c>
      <c r="B3517" s="16" t="s">
        <v>872</v>
      </c>
      <c r="C3517" t="s">
        <v>873</v>
      </c>
      <c r="D3517" t="s">
        <v>48</v>
      </c>
      <c r="E3517" s="17">
        <v>8</v>
      </c>
      <c r="F3517" s="17">
        <v>95</v>
      </c>
      <c r="G3517" s="18">
        <v>760</v>
      </c>
      <c r="H3517" s="30" t="s">
        <v>2322</v>
      </c>
      <c r="J3517" s="34"/>
    </row>
    <row r="3518" spans="1:10" x14ac:dyDescent="0.25">
      <c r="A3518" s="15">
        <v>41031</v>
      </c>
      <c r="B3518" s="16" t="s">
        <v>1312</v>
      </c>
      <c r="C3518" t="s">
        <v>1313</v>
      </c>
      <c r="D3518" t="s">
        <v>783</v>
      </c>
      <c r="E3518" s="17">
        <v>1710</v>
      </c>
      <c r="F3518" s="17">
        <v>4.25</v>
      </c>
      <c r="G3518" s="18">
        <v>7267.5</v>
      </c>
      <c r="H3518" s="30" t="s">
        <v>2322</v>
      </c>
      <c r="J3518" s="34"/>
    </row>
    <row r="3519" spans="1:10" ht="30" x14ac:dyDescent="0.25">
      <c r="A3519" s="15">
        <v>41031</v>
      </c>
      <c r="B3519" s="16" t="s">
        <v>1314</v>
      </c>
      <c r="C3519" t="s">
        <v>1313</v>
      </c>
      <c r="D3519" t="s">
        <v>783</v>
      </c>
      <c r="E3519" s="17">
        <v>1</v>
      </c>
      <c r="F3519" s="17">
        <v>307.5</v>
      </c>
      <c r="G3519" s="18">
        <v>307.5</v>
      </c>
      <c r="H3519" s="30" t="s">
        <v>2322</v>
      </c>
      <c r="J3519" s="34"/>
    </row>
    <row r="3520" spans="1:10" x14ac:dyDescent="0.25">
      <c r="A3520" s="15">
        <v>41033</v>
      </c>
      <c r="B3520" s="16" t="s">
        <v>1315</v>
      </c>
      <c r="C3520" t="s">
        <v>871</v>
      </c>
      <c r="D3520" t="s">
        <v>48</v>
      </c>
      <c r="E3520" s="17">
        <v>4</v>
      </c>
      <c r="F3520" s="17">
        <v>85</v>
      </c>
      <c r="G3520" s="18">
        <v>340</v>
      </c>
      <c r="H3520" s="30" t="s">
        <v>2322</v>
      </c>
      <c r="J3520" s="34"/>
    </row>
    <row r="3521" spans="1:10" x14ac:dyDescent="0.25">
      <c r="A3521" s="15">
        <v>41046</v>
      </c>
      <c r="B3521" s="16" t="s">
        <v>865</v>
      </c>
      <c r="C3521" t="s">
        <v>8</v>
      </c>
      <c r="D3521" t="s">
        <v>48</v>
      </c>
      <c r="E3521" s="17">
        <v>3</v>
      </c>
      <c r="F3521" s="17">
        <v>35.35</v>
      </c>
      <c r="G3521" s="18">
        <v>106.05</v>
      </c>
      <c r="H3521" s="30" t="s">
        <v>2322</v>
      </c>
      <c r="J3521" s="34"/>
    </row>
    <row r="3522" spans="1:10" x14ac:dyDescent="0.25">
      <c r="A3522" s="15">
        <v>41046</v>
      </c>
      <c r="B3522" s="16" t="s">
        <v>865</v>
      </c>
      <c r="C3522" t="s">
        <v>8</v>
      </c>
      <c r="D3522" t="s">
        <v>48</v>
      </c>
      <c r="E3522" s="17">
        <v>3</v>
      </c>
      <c r="F3522" s="17">
        <v>35.35</v>
      </c>
      <c r="G3522" s="18">
        <v>106.05</v>
      </c>
      <c r="H3522" s="30" t="s">
        <v>2322</v>
      </c>
      <c r="J3522" s="34"/>
    </row>
    <row r="3523" spans="1:10" x14ac:dyDescent="0.25">
      <c r="A3523" s="15">
        <v>41046</v>
      </c>
      <c r="B3523" s="16" t="s">
        <v>865</v>
      </c>
      <c r="C3523" t="s">
        <v>8</v>
      </c>
      <c r="D3523" t="s">
        <v>48</v>
      </c>
      <c r="E3523" s="17">
        <v>3</v>
      </c>
      <c r="F3523" s="17">
        <v>35.35</v>
      </c>
      <c r="G3523" s="18">
        <v>106.05</v>
      </c>
      <c r="H3523" s="30" t="s">
        <v>2322</v>
      </c>
      <c r="J3523" s="34"/>
    </row>
    <row r="3524" spans="1:10" x14ac:dyDescent="0.25">
      <c r="A3524" s="15">
        <v>41046</v>
      </c>
      <c r="B3524" s="16" t="s">
        <v>865</v>
      </c>
      <c r="C3524" t="s">
        <v>8</v>
      </c>
      <c r="D3524" t="s">
        <v>48</v>
      </c>
      <c r="E3524" s="17">
        <v>1</v>
      </c>
      <c r="F3524" s="17">
        <v>48</v>
      </c>
      <c r="G3524" s="18">
        <v>48</v>
      </c>
      <c r="H3524" s="30" t="s">
        <v>2322</v>
      </c>
      <c r="J3524" s="34"/>
    </row>
    <row r="3525" spans="1:10" x14ac:dyDescent="0.25">
      <c r="A3525" s="15">
        <v>41047</v>
      </c>
      <c r="B3525" s="16" t="s">
        <v>865</v>
      </c>
      <c r="C3525" t="s">
        <v>8</v>
      </c>
      <c r="D3525" t="s">
        <v>48</v>
      </c>
      <c r="E3525" s="17">
        <v>1</v>
      </c>
      <c r="F3525" s="17">
        <v>35.35</v>
      </c>
      <c r="G3525" s="18">
        <v>35.35</v>
      </c>
      <c r="H3525" s="30" t="s">
        <v>2322</v>
      </c>
      <c r="J3525" s="34"/>
    </row>
    <row r="3526" spans="1:10" x14ac:dyDescent="0.25">
      <c r="A3526" s="15">
        <v>41047</v>
      </c>
      <c r="B3526" s="16" t="s">
        <v>865</v>
      </c>
      <c r="C3526" t="s">
        <v>8</v>
      </c>
      <c r="D3526" t="s">
        <v>48</v>
      </c>
      <c r="E3526" s="17">
        <v>1</v>
      </c>
      <c r="F3526" s="17">
        <v>35.35</v>
      </c>
      <c r="G3526" s="18">
        <v>35.35</v>
      </c>
      <c r="H3526" s="30" t="s">
        <v>2322</v>
      </c>
      <c r="J3526" s="34"/>
    </row>
    <row r="3527" spans="1:10" x14ac:dyDescent="0.25">
      <c r="A3527" s="15">
        <v>41047</v>
      </c>
      <c r="B3527" s="16" t="s">
        <v>865</v>
      </c>
      <c r="C3527" t="s">
        <v>8</v>
      </c>
      <c r="D3527" t="s">
        <v>48</v>
      </c>
      <c r="E3527" s="17">
        <v>1</v>
      </c>
      <c r="F3527" s="17">
        <v>35.35</v>
      </c>
      <c r="G3527" s="18">
        <v>35.35</v>
      </c>
      <c r="H3527" s="30" t="s">
        <v>2322</v>
      </c>
      <c r="J3527" s="34"/>
    </row>
    <row r="3528" spans="1:10" x14ac:dyDescent="0.25">
      <c r="A3528" s="15">
        <v>41047</v>
      </c>
      <c r="B3528" s="16" t="s">
        <v>865</v>
      </c>
      <c r="C3528" t="s">
        <v>8</v>
      </c>
      <c r="D3528" t="s">
        <v>48</v>
      </c>
      <c r="E3528" s="17">
        <v>1</v>
      </c>
      <c r="F3528" s="17">
        <v>35.35</v>
      </c>
      <c r="G3528" s="18">
        <v>35.35</v>
      </c>
      <c r="H3528" s="30" t="s">
        <v>2322</v>
      </c>
      <c r="J3528" s="34"/>
    </row>
    <row r="3529" spans="1:10" x14ac:dyDescent="0.25">
      <c r="A3529" s="15">
        <v>41047</v>
      </c>
      <c r="B3529" s="16" t="s">
        <v>865</v>
      </c>
      <c r="C3529" t="s">
        <v>8</v>
      </c>
      <c r="D3529" t="s">
        <v>48</v>
      </c>
      <c r="E3529" s="17">
        <v>1</v>
      </c>
      <c r="F3529" s="17">
        <v>48</v>
      </c>
      <c r="G3529" s="18">
        <v>48</v>
      </c>
      <c r="H3529" s="30" t="s">
        <v>2322</v>
      </c>
      <c r="J3529" s="34"/>
    </row>
    <row r="3530" spans="1:10" x14ac:dyDescent="0.25">
      <c r="A3530" s="15">
        <v>41048</v>
      </c>
      <c r="B3530" s="16" t="s">
        <v>865</v>
      </c>
      <c r="C3530" t="s">
        <v>8</v>
      </c>
      <c r="D3530" t="s">
        <v>48</v>
      </c>
      <c r="E3530" s="17">
        <v>1</v>
      </c>
      <c r="F3530" s="17">
        <v>35.35</v>
      </c>
      <c r="G3530" s="18">
        <v>35.35</v>
      </c>
      <c r="H3530" s="30" t="s">
        <v>2322</v>
      </c>
      <c r="J3530" s="34"/>
    </row>
    <row r="3531" spans="1:10" x14ac:dyDescent="0.25">
      <c r="A3531" s="15">
        <v>41048</v>
      </c>
      <c r="B3531" s="16" t="s">
        <v>865</v>
      </c>
      <c r="C3531" t="s">
        <v>8</v>
      </c>
      <c r="D3531" t="s">
        <v>48</v>
      </c>
      <c r="E3531" s="17">
        <v>1</v>
      </c>
      <c r="F3531" s="17">
        <v>35.35</v>
      </c>
      <c r="G3531" s="18">
        <v>35.35</v>
      </c>
      <c r="H3531" s="30" t="s">
        <v>2322</v>
      </c>
      <c r="J3531" s="34"/>
    </row>
    <row r="3532" spans="1:10" x14ac:dyDescent="0.25">
      <c r="A3532" s="15">
        <v>41048</v>
      </c>
      <c r="B3532" s="16" t="s">
        <v>865</v>
      </c>
      <c r="C3532" t="s">
        <v>8</v>
      </c>
      <c r="D3532" t="s">
        <v>48</v>
      </c>
      <c r="E3532" s="17">
        <v>1</v>
      </c>
      <c r="F3532" s="17">
        <v>35.35</v>
      </c>
      <c r="G3532" s="18">
        <v>35.35</v>
      </c>
      <c r="H3532" s="30" t="s">
        <v>2322</v>
      </c>
      <c r="J3532" s="34"/>
    </row>
    <row r="3533" spans="1:10" x14ac:dyDescent="0.25">
      <c r="A3533" s="15">
        <v>41053</v>
      </c>
      <c r="B3533" s="16" t="s">
        <v>1316</v>
      </c>
      <c r="C3533" t="s">
        <v>1301</v>
      </c>
      <c r="D3533" t="s">
        <v>783</v>
      </c>
      <c r="E3533" s="17">
        <v>1</v>
      </c>
      <c r="F3533" s="17">
        <v>90</v>
      </c>
      <c r="G3533" s="18">
        <v>90</v>
      </c>
      <c r="H3533" s="30" t="s">
        <v>2322</v>
      </c>
      <c r="J3533" s="34"/>
    </row>
    <row r="3534" spans="1:10" x14ac:dyDescent="0.25">
      <c r="A3534" s="15">
        <v>41053</v>
      </c>
      <c r="B3534" s="16" t="s">
        <v>1317</v>
      </c>
      <c r="C3534" t="s">
        <v>1294</v>
      </c>
      <c r="D3534" t="s">
        <v>783</v>
      </c>
      <c r="E3534" s="17">
        <v>2280</v>
      </c>
      <c r="F3534" s="17">
        <v>4.5999999999999996</v>
      </c>
      <c r="G3534" s="18">
        <v>10488</v>
      </c>
      <c r="H3534" s="30" t="s">
        <v>2322</v>
      </c>
      <c r="J3534" s="34"/>
    </row>
    <row r="3535" spans="1:10" x14ac:dyDescent="0.25">
      <c r="A3535" s="15">
        <v>41078</v>
      </c>
      <c r="B3535" s="16" t="s">
        <v>865</v>
      </c>
      <c r="C3535" t="s">
        <v>8</v>
      </c>
      <c r="D3535" t="s">
        <v>48</v>
      </c>
      <c r="E3535" s="17">
        <v>2</v>
      </c>
      <c r="F3535" s="17">
        <v>35.35</v>
      </c>
      <c r="G3535" s="18">
        <v>70.7</v>
      </c>
      <c r="H3535" s="30" t="s">
        <v>2322</v>
      </c>
      <c r="J3535" s="34"/>
    </row>
    <row r="3536" spans="1:10" x14ac:dyDescent="0.25">
      <c r="A3536" s="15">
        <v>41078</v>
      </c>
      <c r="B3536" s="16" t="s">
        <v>865</v>
      </c>
      <c r="C3536" t="s">
        <v>8</v>
      </c>
      <c r="D3536" t="s">
        <v>48</v>
      </c>
      <c r="E3536" s="17">
        <v>2</v>
      </c>
      <c r="F3536" s="17">
        <v>48</v>
      </c>
      <c r="G3536" s="18">
        <v>96</v>
      </c>
      <c r="H3536" s="30" t="s">
        <v>2322</v>
      </c>
      <c r="J3536" s="34"/>
    </row>
    <row r="3537" spans="1:10" x14ac:dyDescent="0.25">
      <c r="A3537" s="15">
        <v>41078</v>
      </c>
      <c r="B3537" s="16" t="s">
        <v>865</v>
      </c>
      <c r="C3537" t="s">
        <v>8</v>
      </c>
      <c r="D3537" t="s">
        <v>48</v>
      </c>
      <c r="E3537" s="17">
        <v>2</v>
      </c>
      <c r="F3537" s="17">
        <v>35.35</v>
      </c>
      <c r="G3537" s="18">
        <v>70.7</v>
      </c>
      <c r="H3537" s="30" t="s">
        <v>2322</v>
      </c>
      <c r="J3537" s="34"/>
    </row>
    <row r="3538" spans="1:10" x14ac:dyDescent="0.25">
      <c r="A3538" s="15">
        <v>41078</v>
      </c>
      <c r="B3538" s="16" t="s">
        <v>865</v>
      </c>
      <c r="C3538" t="s">
        <v>8</v>
      </c>
      <c r="D3538" t="s">
        <v>48</v>
      </c>
      <c r="E3538" s="17">
        <v>2</v>
      </c>
      <c r="F3538" s="17">
        <v>35.35</v>
      </c>
      <c r="G3538" s="18">
        <v>70.7</v>
      </c>
      <c r="H3538" s="30" t="s">
        <v>2322</v>
      </c>
      <c r="J3538" s="34"/>
    </row>
    <row r="3539" spans="1:10" x14ac:dyDescent="0.25">
      <c r="A3539" s="15">
        <v>41080</v>
      </c>
      <c r="B3539" s="16" t="s">
        <v>1318</v>
      </c>
      <c r="C3539" t="s">
        <v>1294</v>
      </c>
      <c r="D3539" t="s">
        <v>783</v>
      </c>
      <c r="E3539" s="17">
        <v>1</v>
      </c>
      <c r="F3539" s="17">
        <v>19765</v>
      </c>
      <c r="G3539" s="18">
        <v>19765</v>
      </c>
      <c r="H3539" s="30" t="s">
        <v>2322</v>
      </c>
      <c r="J3539" s="34"/>
    </row>
    <row r="3540" spans="1:10" x14ac:dyDescent="0.25">
      <c r="A3540" s="15">
        <v>41080</v>
      </c>
      <c r="B3540" s="16" t="s">
        <v>1319</v>
      </c>
      <c r="C3540" t="s">
        <v>1294</v>
      </c>
      <c r="D3540" t="s">
        <v>783</v>
      </c>
      <c r="E3540" s="17">
        <v>855</v>
      </c>
      <c r="F3540" s="17">
        <v>4.5999999999999996</v>
      </c>
      <c r="G3540" s="18">
        <v>3933</v>
      </c>
      <c r="H3540" s="30" t="s">
        <v>2322</v>
      </c>
      <c r="J3540" s="34"/>
    </row>
    <row r="3541" spans="1:10" x14ac:dyDescent="0.25">
      <c r="A3541" s="15">
        <v>41093</v>
      </c>
      <c r="B3541" s="16" t="s">
        <v>865</v>
      </c>
      <c r="C3541" t="s">
        <v>8</v>
      </c>
      <c r="D3541" t="s">
        <v>48</v>
      </c>
      <c r="E3541" s="17">
        <v>2</v>
      </c>
      <c r="F3541" s="17">
        <v>35.35</v>
      </c>
      <c r="G3541" s="18">
        <v>70.7</v>
      </c>
      <c r="H3541" s="30" t="s">
        <v>2322</v>
      </c>
      <c r="J3541" s="34"/>
    </row>
    <row r="3542" spans="1:10" x14ac:dyDescent="0.25">
      <c r="A3542" s="15">
        <v>41093</v>
      </c>
      <c r="B3542" s="16" t="s">
        <v>865</v>
      </c>
      <c r="C3542" t="s">
        <v>8</v>
      </c>
      <c r="D3542" t="s">
        <v>48</v>
      </c>
      <c r="E3542" s="17">
        <v>2</v>
      </c>
      <c r="F3542" s="17">
        <v>35.35</v>
      </c>
      <c r="G3542" s="18">
        <v>70.7</v>
      </c>
      <c r="H3542" s="30" t="s">
        <v>2322</v>
      </c>
      <c r="J3542" s="34"/>
    </row>
    <row r="3543" spans="1:10" x14ac:dyDescent="0.25">
      <c r="A3543" s="15">
        <v>41107</v>
      </c>
      <c r="B3543" s="16" t="s">
        <v>1320</v>
      </c>
      <c r="C3543" t="s">
        <v>1301</v>
      </c>
      <c r="D3543" t="s">
        <v>783</v>
      </c>
      <c r="E3543" s="17">
        <v>2</v>
      </c>
      <c r="F3543" s="17">
        <v>1466</v>
      </c>
      <c r="G3543" s="18">
        <v>2932</v>
      </c>
      <c r="H3543" s="30" t="s">
        <v>2322</v>
      </c>
      <c r="J3543" s="34"/>
    </row>
    <row r="3544" spans="1:10" x14ac:dyDescent="0.25">
      <c r="A3544" s="15">
        <v>41137</v>
      </c>
      <c r="B3544" s="16" t="s">
        <v>1321</v>
      </c>
      <c r="C3544" t="s">
        <v>1305</v>
      </c>
      <c r="D3544" t="s">
        <v>783</v>
      </c>
      <c r="E3544" s="17">
        <v>1</v>
      </c>
      <c r="F3544" s="17">
        <v>1354</v>
      </c>
      <c r="G3544" s="18">
        <v>1354</v>
      </c>
      <c r="H3544" s="30" t="s">
        <v>2322</v>
      </c>
      <c r="J3544" s="34"/>
    </row>
    <row r="3545" spans="1:10" x14ac:dyDescent="0.25">
      <c r="A3545" s="15">
        <v>41141</v>
      </c>
      <c r="B3545" s="16" t="s">
        <v>882</v>
      </c>
      <c r="C3545" t="s">
        <v>8</v>
      </c>
      <c r="D3545" t="s">
        <v>48</v>
      </c>
      <c r="E3545" s="17">
        <v>2.5</v>
      </c>
      <c r="F3545" s="17">
        <v>48</v>
      </c>
      <c r="G3545" s="18">
        <v>120</v>
      </c>
      <c r="H3545" s="30" t="s">
        <v>2322</v>
      </c>
      <c r="J3545" s="34"/>
    </row>
    <row r="3546" spans="1:10" x14ac:dyDescent="0.25">
      <c r="A3546" s="15">
        <v>41158</v>
      </c>
      <c r="B3546" s="16" t="s">
        <v>1322</v>
      </c>
      <c r="C3546" t="s">
        <v>1305</v>
      </c>
      <c r="D3546" t="s">
        <v>783</v>
      </c>
      <c r="E3546" s="17">
        <v>1</v>
      </c>
      <c r="F3546" s="17">
        <v>1326.5</v>
      </c>
      <c r="G3546" s="18">
        <v>1326.5</v>
      </c>
      <c r="H3546" s="30" t="s">
        <v>2322</v>
      </c>
      <c r="J3546" s="34"/>
    </row>
    <row r="3547" spans="1:10" x14ac:dyDescent="0.25">
      <c r="A3547" s="19" t="s">
        <v>781</v>
      </c>
      <c r="B3547" s="20" t="s">
        <v>1323</v>
      </c>
      <c r="C3547" s="21" t="s">
        <v>781</v>
      </c>
      <c r="D3547" s="21" t="s">
        <v>781</v>
      </c>
      <c r="E3547" s="22"/>
      <c r="F3547" s="22"/>
      <c r="G3547" s="23">
        <v>129487.46</v>
      </c>
      <c r="H3547" s="31" t="s">
        <v>2285</v>
      </c>
      <c r="J3547" s="34"/>
    </row>
    <row r="3548" spans="1:10" x14ac:dyDescent="0.25">
      <c r="A3548" s="15" t="s">
        <v>781</v>
      </c>
      <c r="B3548" s="16" t="s">
        <v>781</v>
      </c>
      <c r="C3548" t="s">
        <v>781</v>
      </c>
      <c r="D3548" t="s">
        <v>781</v>
      </c>
      <c r="E3548" s="17"/>
      <c r="F3548" s="17"/>
      <c r="G3548" s="18"/>
      <c r="H3548" s="30" t="s">
        <v>2285</v>
      </c>
      <c r="J3548" s="34"/>
    </row>
    <row r="3549" spans="1:10" x14ac:dyDescent="0.25">
      <c r="A3549" s="12" t="s">
        <v>781</v>
      </c>
      <c r="B3549" s="11" t="s">
        <v>1890</v>
      </c>
      <c r="C3549" s="10" t="s">
        <v>781</v>
      </c>
      <c r="D3549" s="10" t="s">
        <v>781</v>
      </c>
      <c r="E3549" s="13"/>
      <c r="F3549" s="13"/>
      <c r="G3549" s="14"/>
      <c r="H3549" s="29" t="s">
        <v>2285</v>
      </c>
      <c r="J3549" s="34"/>
    </row>
    <row r="3550" spans="1:10" x14ac:dyDescent="0.25">
      <c r="A3550" s="15">
        <v>40828</v>
      </c>
      <c r="B3550" s="16" t="s">
        <v>1324</v>
      </c>
      <c r="C3550" t="s">
        <v>1325</v>
      </c>
      <c r="D3550" t="s">
        <v>22</v>
      </c>
      <c r="E3550" s="17">
        <v>4</v>
      </c>
      <c r="F3550" s="17">
        <v>45</v>
      </c>
      <c r="G3550" s="18">
        <v>180</v>
      </c>
      <c r="H3550" s="30" t="s">
        <v>2323</v>
      </c>
      <c r="J3550" s="34"/>
    </row>
    <row r="3551" spans="1:10" x14ac:dyDescent="0.25">
      <c r="A3551" s="15">
        <v>40835</v>
      </c>
      <c r="B3551" s="16" t="s">
        <v>1324</v>
      </c>
      <c r="C3551" t="s">
        <v>1325</v>
      </c>
      <c r="D3551" t="s">
        <v>22</v>
      </c>
      <c r="E3551" s="17">
        <v>5</v>
      </c>
      <c r="F3551" s="17">
        <v>45</v>
      </c>
      <c r="G3551" s="18">
        <v>225</v>
      </c>
      <c r="H3551" s="30" t="s">
        <v>2323</v>
      </c>
      <c r="J3551" s="34"/>
    </row>
    <row r="3552" spans="1:10" x14ac:dyDescent="0.25">
      <c r="A3552" s="15">
        <v>41243</v>
      </c>
      <c r="B3552" s="16" t="s">
        <v>1326</v>
      </c>
      <c r="C3552" t="s">
        <v>23</v>
      </c>
      <c r="D3552" t="s">
        <v>783</v>
      </c>
      <c r="E3552" s="17">
        <v>1.5</v>
      </c>
      <c r="F3552" s="17">
        <v>46</v>
      </c>
      <c r="G3552" s="18">
        <v>69</v>
      </c>
      <c r="H3552" s="30" t="s">
        <v>2323</v>
      </c>
      <c r="J3552" s="34"/>
    </row>
    <row r="3553" spans="1:10" x14ac:dyDescent="0.25">
      <c r="A3553" s="15">
        <v>41243</v>
      </c>
      <c r="B3553" s="16" t="s">
        <v>1327</v>
      </c>
      <c r="C3553" t="s">
        <v>23</v>
      </c>
      <c r="D3553" t="s">
        <v>783</v>
      </c>
      <c r="E3553" s="17">
        <v>2</v>
      </c>
      <c r="F3553" s="17">
        <v>46</v>
      </c>
      <c r="G3553" s="18">
        <v>92</v>
      </c>
      <c r="H3553" s="30" t="s">
        <v>2323</v>
      </c>
      <c r="J3553" s="34"/>
    </row>
    <row r="3554" spans="1:10" x14ac:dyDescent="0.25">
      <c r="A3554" s="15">
        <v>41243</v>
      </c>
      <c r="B3554" s="16" t="s">
        <v>1328</v>
      </c>
      <c r="C3554" t="s">
        <v>23</v>
      </c>
      <c r="D3554" t="s">
        <v>783</v>
      </c>
      <c r="E3554" s="17">
        <v>1</v>
      </c>
      <c r="F3554" s="17">
        <v>46</v>
      </c>
      <c r="G3554" s="18">
        <v>46</v>
      </c>
      <c r="H3554" s="30" t="s">
        <v>2323</v>
      </c>
      <c r="J3554" s="34"/>
    </row>
    <row r="3555" spans="1:10" x14ac:dyDescent="0.25">
      <c r="A3555" s="15">
        <v>41243</v>
      </c>
      <c r="B3555" s="16" t="s">
        <v>1329</v>
      </c>
      <c r="C3555" t="s">
        <v>23</v>
      </c>
      <c r="D3555" t="s">
        <v>783</v>
      </c>
      <c r="E3555" s="17">
        <v>1</v>
      </c>
      <c r="F3555" s="17">
        <v>46</v>
      </c>
      <c r="G3555" s="18">
        <v>46</v>
      </c>
      <c r="H3555" s="30" t="s">
        <v>2323</v>
      </c>
      <c r="J3555" s="34"/>
    </row>
    <row r="3556" spans="1:10" x14ac:dyDescent="0.25">
      <c r="A3556" s="19" t="s">
        <v>781</v>
      </c>
      <c r="B3556" s="20" t="s">
        <v>1330</v>
      </c>
      <c r="C3556" s="21" t="s">
        <v>781</v>
      </c>
      <c r="D3556" s="21" t="s">
        <v>781</v>
      </c>
      <c r="E3556" s="22"/>
      <c r="F3556" s="22"/>
      <c r="G3556" s="23">
        <v>658</v>
      </c>
      <c r="H3556" s="31" t="s">
        <v>2285</v>
      </c>
      <c r="J3556" s="34"/>
    </row>
    <row r="3557" spans="1:10" x14ac:dyDescent="0.25">
      <c r="A3557" s="15" t="s">
        <v>781</v>
      </c>
      <c r="B3557" s="16" t="s">
        <v>781</v>
      </c>
      <c r="C3557" t="s">
        <v>781</v>
      </c>
      <c r="D3557" t="s">
        <v>781</v>
      </c>
      <c r="E3557" s="17"/>
      <c r="F3557" s="17"/>
      <c r="G3557" s="18"/>
      <c r="H3557" s="30" t="s">
        <v>2285</v>
      </c>
      <c r="J3557" s="34"/>
    </row>
    <row r="3558" spans="1:10" x14ac:dyDescent="0.25">
      <c r="A3558" s="12" t="s">
        <v>781</v>
      </c>
      <c r="B3558" s="11" t="s">
        <v>1891</v>
      </c>
      <c r="C3558" s="10" t="s">
        <v>781</v>
      </c>
      <c r="D3558" s="10" t="s">
        <v>781</v>
      </c>
      <c r="E3558" s="13"/>
      <c r="F3558" s="13"/>
      <c r="G3558" s="14"/>
      <c r="H3558" s="29" t="s">
        <v>2285</v>
      </c>
      <c r="J3558" s="34"/>
    </row>
    <row r="3559" spans="1:10" x14ac:dyDescent="0.25">
      <c r="A3559" s="15">
        <v>40826</v>
      </c>
      <c r="B3559" s="16" t="s">
        <v>47</v>
      </c>
      <c r="C3559" t="s">
        <v>921</v>
      </c>
      <c r="D3559" t="s">
        <v>774</v>
      </c>
      <c r="E3559" s="17">
        <v>1</v>
      </c>
      <c r="F3559" s="17">
        <v>580</v>
      </c>
      <c r="G3559" s="18">
        <v>580</v>
      </c>
      <c r="H3559" s="30" t="s">
        <v>2324</v>
      </c>
      <c r="J3559" s="34"/>
    </row>
    <row r="3560" spans="1:10" x14ac:dyDescent="0.25">
      <c r="A3560" s="15">
        <v>40827</v>
      </c>
      <c r="B3560" s="16" t="s">
        <v>47</v>
      </c>
      <c r="C3560" t="s">
        <v>921</v>
      </c>
      <c r="D3560" t="s">
        <v>774</v>
      </c>
      <c r="E3560" s="17">
        <v>1</v>
      </c>
      <c r="F3560" s="17">
        <v>580</v>
      </c>
      <c r="G3560" s="18">
        <v>580</v>
      </c>
      <c r="H3560" s="30" t="s">
        <v>2324</v>
      </c>
      <c r="J3560" s="34"/>
    </row>
    <row r="3561" spans="1:10" x14ac:dyDescent="0.25">
      <c r="A3561" s="15">
        <v>40828</v>
      </c>
      <c r="B3561" s="16" t="s">
        <v>47</v>
      </c>
      <c r="C3561" t="s">
        <v>921</v>
      </c>
      <c r="D3561" t="s">
        <v>774</v>
      </c>
      <c r="E3561" s="17">
        <v>1</v>
      </c>
      <c r="F3561" s="17">
        <v>580</v>
      </c>
      <c r="G3561" s="18">
        <v>580</v>
      </c>
      <c r="H3561" s="30" t="s">
        <v>2324</v>
      </c>
      <c r="J3561" s="34"/>
    </row>
    <row r="3562" spans="1:10" x14ac:dyDescent="0.25">
      <c r="A3562" s="15">
        <v>40829</v>
      </c>
      <c r="B3562" s="16" t="s">
        <v>47</v>
      </c>
      <c r="C3562" t="s">
        <v>921</v>
      </c>
      <c r="D3562" t="s">
        <v>774</v>
      </c>
      <c r="E3562" s="17">
        <v>1</v>
      </c>
      <c r="F3562" s="17">
        <v>580</v>
      </c>
      <c r="G3562" s="18">
        <v>580</v>
      </c>
      <c r="H3562" s="30" t="s">
        <v>2324</v>
      </c>
      <c r="J3562" s="34"/>
    </row>
    <row r="3563" spans="1:10" x14ac:dyDescent="0.25">
      <c r="A3563" s="15">
        <v>40830</v>
      </c>
      <c r="B3563" s="16" t="s">
        <v>47</v>
      </c>
      <c r="C3563" t="s">
        <v>921</v>
      </c>
      <c r="D3563" t="s">
        <v>774</v>
      </c>
      <c r="E3563" s="17">
        <v>1</v>
      </c>
      <c r="F3563" s="17">
        <v>580</v>
      </c>
      <c r="G3563" s="18">
        <v>580</v>
      </c>
      <c r="H3563" s="30" t="s">
        <v>2324</v>
      </c>
      <c r="J3563" s="34"/>
    </row>
    <row r="3564" spans="1:10" x14ac:dyDescent="0.25">
      <c r="A3564" s="15">
        <v>40833</v>
      </c>
      <c r="B3564" s="16" t="s">
        <v>47</v>
      </c>
      <c r="C3564" t="s">
        <v>921</v>
      </c>
      <c r="D3564" t="s">
        <v>774</v>
      </c>
      <c r="E3564" s="17">
        <v>1</v>
      </c>
      <c r="F3564" s="17">
        <v>580</v>
      </c>
      <c r="G3564" s="18">
        <v>580</v>
      </c>
      <c r="H3564" s="30" t="s">
        <v>2324</v>
      </c>
      <c r="J3564" s="34"/>
    </row>
    <row r="3565" spans="1:10" x14ac:dyDescent="0.25">
      <c r="A3565" s="15">
        <v>40834</v>
      </c>
      <c r="B3565" s="16" t="s">
        <v>1331</v>
      </c>
      <c r="C3565" t="s">
        <v>921</v>
      </c>
      <c r="D3565" t="s">
        <v>774</v>
      </c>
      <c r="E3565" s="17">
        <v>1</v>
      </c>
      <c r="F3565" s="17">
        <v>580</v>
      </c>
      <c r="G3565" s="18">
        <v>580</v>
      </c>
      <c r="H3565" s="30" t="s">
        <v>2324</v>
      </c>
      <c r="J3565" s="34"/>
    </row>
    <row r="3566" spans="1:10" x14ac:dyDescent="0.25">
      <c r="A3566" s="15">
        <v>40834</v>
      </c>
      <c r="B3566" s="16" t="s">
        <v>1332</v>
      </c>
      <c r="C3566" t="s">
        <v>1333</v>
      </c>
      <c r="D3566" t="s">
        <v>48</v>
      </c>
      <c r="E3566" s="17">
        <v>6</v>
      </c>
      <c r="F3566" s="17">
        <v>11.67</v>
      </c>
      <c r="G3566" s="18">
        <v>70.02</v>
      </c>
      <c r="H3566" s="30" t="s">
        <v>2324</v>
      </c>
      <c r="J3566" s="34"/>
    </row>
    <row r="3567" spans="1:10" x14ac:dyDescent="0.25">
      <c r="A3567" s="15">
        <v>40834</v>
      </c>
      <c r="B3567" s="16" t="s">
        <v>47</v>
      </c>
      <c r="C3567" t="s">
        <v>2824</v>
      </c>
      <c r="D3567" t="s">
        <v>48</v>
      </c>
      <c r="E3567" s="17">
        <v>7</v>
      </c>
      <c r="F3567" s="17">
        <v>71.81</v>
      </c>
      <c r="G3567" s="18">
        <v>502.67</v>
      </c>
      <c r="H3567" s="30" t="s">
        <v>2324</v>
      </c>
      <c r="J3567" s="34"/>
    </row>
    <row r="3568" spans="1:10" x14ac:dyDescent="0.25">
      <c r="A3568" s="15">
        <v>40835</v>
      </c>
      <c r="B3568" s="16" t="s">
        <v>47</v>
      </c>
      <c r="C3568" t="s">
        <v>2824</v>
      </c>
      <c r="D3568" t="s">
        <v>48</v>
      </c>
      <c r="E3568" s="17">
        <v>15</v>
      </c>
      <c r="F3568" s="17">
        <v>71.81</v>
      </c>
      <c r="G3568" s="18">
        <v>1077.1500000000001</v>
      </c>
      <c r="H3568" s="30" t="s">
        <v>2324</v>
      </c>
      <c r="J3568" s="34"/>
    </row>
    <row r="3569" spans="1:10" x14ac:dyDescent="0.25">
      <c r="A3569" s="15">
        <v>40835</v>
      </c>
      <c r="B3569" s="16" t="s">
        <v>1332</v>
      </c>
      <c r="C3569" t="s">
        <v>1333</v>
      </c>
      <c r="D3569" t="s">
        <v>48</v>
      </c>
      <c r="E3569" s="17">
        <v>9</v>
      </c>
      <c r="F3569" s="17">
        <v>11.67</v>
      </c>
      <c r="G3569" s="18">
        <v>105.03</v>
      </c>
      <c r="H3569" s="30" t="s">
        <v>2324</v>
      </c>
      <c r="J3569" s="34"/>
    </row>
    <row r="3570" spans="1:10" x14ac:dyDescent="0.25">
      <c r="A3570" s="15">
        <v>40835</v>
      </c>
      <c r="B3570" s="16" t="s">
        <v>1331</v>
      </c>
      <c r="C3570" t="s">
        <v>921</v>
      </c>
      <c r="D3570" t="s">
        <v>774</v>
      </c>
      <c r="E3570" s="17">
        <v>1</v>
      </c>
      <c r="F3570" s="17">
        <v>580</v>
      </c>
      <c r="G3570" s="18">
        <v>580</v>
      </c>
      <c r="H3570" s="30" t="s">
        <v>2324</v>
      </c>
      <c r="J3570" s="34"/>
    </row>
    <row r="3571" spans="1:10" x14ac:dyDescent="0.25">
      <c r="A3571" s="15">
        <v>40835</v>
      </c>
      <c r="B3571" s="16" t="s">
        <v>1331</v>
      </c>
      <c r="C3571" t="s">
        <v>921</v>
      </c>
      <c r="D3571" t="s">
        <v>774</v>
      </c>
      <c r="E3571" s="17">
        <v>1</v>
      </c>
      <c r="F3571" s="17">
        <v>580</v>
      </c>
      <c r="G3571" s="18">
        <v>580</v>
      </c>
      <c r="H3571" s="30" t="s">
        <v>2324</v>
      </c>
      <c r="J3571" s="34"/>
    </row>
    <row r="3572" spans="1:10" x14ac:dyDescent="0.25">
      <c r="A3572" s="15">
        <v>40837</v>
      </c>
      <c r="B3572" s="16" t="s">
        <v>47</v>
      </c>
      <c r="C3572" t="s">
        <v>2824</v>
      </c>
      <c r="D3572" t="s">
        <v>48</v>
      </c>
      <c r="E3572" s="17">
        <v>6</v>
      </c>
      <c r="F3572" s="17">
        <v>71.81</v>
      </c>
      <c r="G3572" s="18">
        <v>430.86</v>
      </c>
      <c r="H3572" s="30" t="s">
        <v>2324</v>
      </c>
      <c r="J3572" s="34"/>
    </row>
    <row r="3573" spans="1:10" x14ac:dyDescent="0.25">
      <c r="A3573" s="15">
        <v>40838</v>
      </c>
      <c r="B3573" s="16" t="s">
        <v>47</v>
      </c>
      <c r="C3573" t="s">
        <v>2824</v>
      </c>
      <c r="D3573" t="s">
        <v>48</v>
      </c>
      <c r="E3573" s="17">
        <v>2</v>
      </c>
      <c r="F3573" s="17">
        <v>71.81</v>
      </c>
      <c r="G3573" s="18">
        <v>143.62</v>
      </c>
      <c r="H3573" s="30" t="s">
        <v>2324</v>
      </c>
      <c r="J3573" s="34"/>
    </row>
    <row r="3574" spans="1:10" x14ac:dyDescent="0.25">
      <c r="A3574" s="15">
        <v>40840</v>
      </c>
      <c r="B3574" s="16" t="s">
        <v>1332</v>
      </c>
      <c r="C3574" t="s">
        <v>1333</v>
      </c>
      <c r="D3574" t="s">
        <v>48</v>
      </c>
      <c r="E3574" s="17">
        <v>10</v>
      </c>
      <c r="F3574" s="17">
        <v>11.67</v>
      </c>
      <c r="G3574" s="18">
        <v>116.7</v>
      </c>
      <c r="H3574" s="30" t="s">
        <v>2324</v>
      </c>
      <c r="J3574" s="34"/>
    </row>
    <row r="3575" spans="1:10" x14ac:dyDescent="0.25">
      <c r="A3575" s="15">
        <v>40840</v>
      </c>
      <c r="B3575" s="16" t="s">
        <v>47</v>
      </c>
      <c r="C3575" t="s">
        <v>2824</v>
      </c>
      <c r="D3575" t="s">
        <v>48</v>
      </c>
      <c r="E3575" s="17">
        <v>10.5</v>
      </c>
      <c r="F3575" s="17">
        <v>71.81</v>
      </c>
      <c r="G3575" s="18">
        <v>754.005</v>
      </c>
      <c r="H3575" s="30" t="s">
        <v>2324</v>
      </c>
      <c r="J3575" s="34"/>
    </row>
    <row r="3576" spans="1:10" x14ac:dyDescent="0.25">
      <c r="A3576" s="15">
        <v>40840</v>
      </c>
      <c r="B3576" s="16" t="s">
        <v>1331</v>
      </c>
      <c r="C3576" t="s">
        <v>921</v>
      </c>
      <c r="D3576" t="s">
        <v>774</v>
      </c>
      <c r="E3576" s="17">
        <v>1</v>
      </c>
      <c r="F3576" s="17">
        <v>580</v>
      </c>
      <c r="G3576" s="18">
        <v>580</v>
      </c>
      <c r="H3576" s="30" t="s">
        <v>2324</v>
      </c>
      <c r="J3576" s="34"/>
    </row>
    <row r="3577" spans="1:10" x14ac:dyDescent="0.25">
      <c r="A3577" s="15">
        <v>40841</v>
      </c>
      <c r="B3577" s="16" t="s">
        <v>1332</v>
      </c>
      <c r="C3577" t="s">
        <v>1333</v>
      </c>
      <c r="D3577" t="s">
        <v>48</v>
      </c>
      <c r="E3577" s="17">
        <v>10</v>
      </c>
      <c r="F3577" s="17">
        <v>11.67</v>
      </c>
      <c r="G3577" s="18">
        <v>116.7</v>
      </c>
      <c r="H3577" s="30" t="s">
        <v>2324</v>
      </c>
      <c r="J3577" s="34"/>
    </row>
    <row r="3578" spans="1:10" x14ac:dyDescent="0.25">
      <c r="A3578" s="15">
        <v>40841</v>
      </c>
      <c r="B3578" s="16" t="s">
        <v>1331</v>
      </c>
      <c r="C3578" t="s">
        <v>921</v>
      </c>
      <c r="D3578" t="s">
        <v>774</v>
      </c>
      <c r="E3578" s="17">
        <v>1</v>
      </c>
      <c r="F3578" s="17">
        <v>580</v>
      </c>
      <c r="G3578" s="18">
        <v>580</v>
      </c>
      <c r="H3578" s="30" t="s">
        <v>2324</v>
      </c>
      <c r="J3578" s="34"/>
    </row>
    <row r="3579" spans="1:10" x14ac:dyDescent="0.25">
      <c r="A3579" s="15">
        <v>40842</v>
      </c>
      <c r="B3579" s="16" t="s">
        <v>1332</v>
      </c>
      <c r="C3579" t="s">
        <v>1333</v>
      </c>
      <c r="D3579" t="s">
        <v>48</v>
      </c>
      <c r="E3579" s="17">
        <v>5</v>
      </c>
      <c r="F3579" s="17">
        <v>11.67</v>
      </c>
      <c r="G3579" s="18">
        <v>58.35</v>
      </c>
      <c r="H3579" s="30" t="s">
        <v>2324</v>
      </c>
      <c r="J3579" s="34"/>
    </row>
    <row r="3580" spans="1:10" x14ac:dyDescent="0.25">
      <c r="A3580" s="15">
        <v>40842</v>
      </c>
      <c r="B3580" s="16" t="s">
        <v>1331</v>
      </c>
      <c r="C3580" t="s">
        <v>921</v>
      </c>
      <c r="D3580" t="s">
        <v>774</v>
      </c>
      <c r="E3580" s="17">
        <v>1</v>
      </c>
      <c r="F3580" s="17">
        <v>580</v>
      </c>
      <c r="G3580" s="18">
        <v>580</v>
      </c>
      <c r="H3580" s="30" t="s">
        <v>2324</v>
      </c>
      <c r="J3580" s="34"/>
    </row>
    <row r="3581" spans="1:10" x14ac:dyDescent="0.25">
      <c r="A3581" s="15">
        <v>40843</v>
      </c>
      <c r="B3581" s="16" t="s">
        <v>1331</v>
      </c>
      <c r="C3581" t="s">
        <v>921</v>
      </c>
      <c r="D3581" t="s">
        <v>774</v>
      </c>
      <c r="E3581" s="17">
        <v>1</v>
      </c>
      <c r="F3581" s="17">
        <v>580</v>
      </c>
      <c r="G3581" s="18">
        <v>580</v>
      </c>
      <c r="H3581" s="30" t="s">
        <v>2324</v>
      </c>
      <c r="J3581" s="34"/>
    </row>
    <row r="3582" spans="1:10" x14ac:dyDescent="0.25">
      <c r="A3582" s="15">
        <v>40843</v>
      </c>
      <c r="B3582" s="16" t="s">
        <v>1332</v>
      </c>
      <c r="C3582" t="s">
        <v>1333</v>
      </c>
      <c r="D3582" t="s">
        <v>48</v>
      </c>
      <c r="E3582" s="17">
        <v>10</v>
      </c>
      <c r="F3582" s="17">
        <v>11.67</v>
      </c>
      <c r="G3582" s="18">
        <v>116.7</v>
      </c>
      <c r="H3582" s="30" t="s">
        <v>2324</v>
      </c>
      <c r="J3582" s="34"/>
    </row>
    <row r="3583" spans="1:10" x14ac:dyDescent="0.25">
      <c r="A3583" s="15">
        <v>40844</v>
      </c>
      <c r="B3583" s="16" t="s">
        <v>1331</v>
      </c>
      <c r="C3583" t="s">
        <v>921</v>
      </c>
      <c r="D3583" t="s">
        <v>774</v>
      </c>
      <c r="E3583" s="17">
        <v>1</v>
      </c>
      <c r="F3583" s="17">
        <v>580</v>
      </c>
      <c r="G3583" s="18">
        <v>580</v>
      </c>
      <c r="H3583" s="30" t="s">
        <v>2324</v>
      </c>
      <c r="J3583" s="34"/>
    </row>
    <row r="3584" spans="1:10" x14ac:dyDescent="0.25">
      <c r="A3584" s="15">
        <v>40844</v>
      </c>
      <c r="B3584" s="16" t="s">
        <v>1332</v>
      </c>
      <c r="C3584" t="s">
        <v>1333</v>
      </c>
      <c r="D3584" t="s">
        <v>48</v>
      </c>
      <c r="E3584" s="17">
        <v>5</v>
      </c>
      <c r="F3584" s="17">
        <v>11.67</v>
      </c>
      <c r="G3584" s="18">
        <v>58.35</v>
      </c>
      <c r="H3584" s="30" t="s">
        <v>2324</v>
      </c>
      <c r="J3584" s="34"/>
    </row>
    <row r="3585" spans="1:10" x14ac:dyDescent="0.25">
      <c r="A3585" s="15">
        <v>40845</v>
      </c>
      <c r="B3585" s="16" t="s">
        <v>1332</v>
      </c>
      <c r="C3585" t="s">
        <v>1333</v>
      </c>
      <c r="D3585" t="s">
        <v>48</v>
      </c>
      <c r="E3585" s="17">
        <v>5</v>
      </c>
      <c r="F3585" s="17">
        <v>11.67</v>
      </c>
      <c r="G3585" s="18">
        <v>58.35</v>
      </c>
      <c r="H3585" s="30" t="s">
        <v>2324</v>
      </c>
      <c r="J3585" s="34"/>
    </row>
    <row r="3586" spans="1:10" x14ac:dyDescent="0.25">
      <c r="A3586" s="15">
        <v>40845</v>
      </c>
      <c r="B3586" s="16" t="s">
        <v>1331</v>
      </c>
      <c r="C3586" t="s">
        <v>921</v>
      </c>
      <c r="D3586" t="s">
        <v>774</v>
      </c>
      <c r="E3586" s="17">
        <v>1</v>
      </c>
      <c r="F3586" s="17">
        <v>580</v>
      </c>
      <c r="G3586" s="18">
        <v>580</v>
      </c>
      <c r="H3586" s="30" t="s">
        <v>2324</v>
      </c>
      <c r="J3586" s="34"/>
    </row>
    <row r="3587" spans="1:10" x14ac:dyDescent="0.25">
      <c r="A3587" s="15">
        <v>40845</v>
      </c>
      <c r="B3587" s="16" t="s">
        <v>1332</v>
      </c>
      <c r="C3587" t="s">
        <v>1333</v>
      </c>
      <c r="D3587" t="s">
        <v>48</v>
      </c>
      <c r="E3587" s="17">
        <v>5</v>
      </c>
      <c r="F3587" s="17">
        <v>11.67</v>
      </c>
      <c r="G3587" s="18">
        <v>58.35</v>
      </c>
      <c r="H3587" s="30" t="s">
        <v>2324</v>
      </c>
      <c r="J3587" s="34"/>
    </row>
    <row r="3588" spans="1:10" x14ac:dyDescent="0.25">
      <c r="A3588" s="15">
        <v>40845</v>
      </c>
      <c r="B3588" s="16" t="s">
        <v>1331</v>
      </c>
      <c r="C3588" t="s">
        <v>921</v>
      </c>
      <c r="D3588" t="s">
        <v>774</v>
      </c>
      <c r="E3588" s="17">
        <v>1</v>
      </c>
      <c r="F3588" s="17">
        <v>580</v>
      </c>
      <c r="G3588" s="18">
        <v>580</v>
      </c>
      <c r="H3588" s="30" t="s">
        <v>2324</v>
      </c>
      <c r="J3588" s="34"/>
    </row>
    <row r="3589" spans="1:10" x14ac:dyDescent="0.25">
      <c r="A3589" s="15">
        <v>40847</v>
      </c>
      <c r="B3589" s="16" t="s">
        <v>1331</v>
      </c>
      <c r="C3589" t="s">
        <v>921</v>
      </c>
      <c r="D3589" t="s">
        <v>774</v>
      </c>
      <c r="E3589" s="17">
        <v>1</v>
      </c>
      <c r="F3589" s="17">
        <v>580</v>
      </c>
      <c r="G3589" s="18">
        <v>580</v>
      </c>
      <c r="H3589" s="30" t="s">
        <v>2324</v>
      </c>
      <c r="J3589" s="34"/>
    </row>
    <row r="3590" spans="1:10" x14ac:dyDescent="0.25">
      <c r="A3590" s="15">
        <v>40848</v>
      </c>
      <c r="B3590" s="16" t="s">
        <v>1331</v>
      </c>
      <c r="C3590" t="s">
        <v>921</v>
      </c>
      <c r="D3590" t="s">
        <v>774</v>
      </c>
      <c r="E3590" s="17">
        <v>1</v>
      </c>
      <c r="F3590" s="17">
        <v>580</v>
      </c>
      <c r="G3590" s="18">
        <v>580</v>
      </c>
      <c r="H3590" s="30" t="s">
        <v>2324</v>
      </c>
      <c r="J3590" s="34"/>
    </row>
    <row r="3591" spans="1:10" x14ac:dyDescent="0.25">
      <c r="A3591" s="15">
        <v>40849</v>
      </c>
      <c r="B3591" s="16" t="s">
        <v>921</v>
      </c>
      <c r="C3591" t="s">
        <v>921</v>
      </c>
      <c r="D3591" t="s">
        <v>774</v>
      </c>
      <c r="E3591" s="17">
        <v>0.6</v>
      </c>
      <c r="F3591" s="17">
        <v>580</v>
      </c>
      <c r="G3591" s="18">
        <v>348</v>
      </c>
      <c r="H3591" s="30" t="s">
        <v>2324</v>
      </c>
      <c r="J3591" s="34"/>
    </row>
    <row r="3592" spans="1:10" x14ac:dyDescent="0.25">
      <c r="A3592" s="15">
        <v>40856</v>
      </c>
      <c r="B3592" s="16" t="s">
        <v>47</v>
      </c>
      <c r="C3592" t="s">
        <v>2824</v>
      </c>
      <c r="D3592" t="s">
        <v>48</v>
      </c>
      <c r="E3592" s="17">
        <v>5</v>
      </c>
      <c r="F3592" s="17">
        <v>71.81</v>
      </c>
      <c r="G3592" s="18">
        <v>359.05</v>
      </c>
      <c r="H3592" s="30" t="s">
        <v>2324</v>
      </c>
      <c r="J3592" s="34"/>
    </row>
    <row r="3593" spans="1:10" x14ac:dyDescent="0.25">
      <c r="A3593" s="15">
        <v>40861</v>
      </c>
      <c r="B3593" s="16" t="s">
        <v>47</v>
      </c>
      <c r="C3593" t="s">
        <v>2824</v>
      </c>
      <c r="D3593" t="s">
        <v>48</v>
      </c>
      <c r="E3593" s="17">
        <v>8.5</v>
      </c>
      <c r="F3593" s="17">
        <v>71.81</v>
      </c>
      <c r="G3593" s="18">
        <v>610.38499999999999</v>
      </c>
      <c r="H3593" s="30" t="s">
        <v>2324</v>
      </c>
      <c r="J3593" s="34"/>
    </row>
    <row r="3594" spans="1:10" x14ac:dyDescent="0.25">
      <c r="A3594" s="15">
        <v>40862</v>
      </c>
      <c r="B3594" s="16" t="s">
        <v>47</v>
      </c>
      <c r="C3594" t="s">
        <v>2824</v>
      </c>
      <c r="D3594" t="s">
        <v>48</v>
      </c>
      <c r="E3594" s="17">
        <v>9.5</v>
      </c>
      <c r="F3594" s="17">
        <v>71.81</v>
      </c>
      <c r="G3594" s="18">
        <v>682.19500000000005</v>
      </c>
      <c r="H3594" s="30" t="s">
        <v>2324</v>
      </c>
      <c r="J3594" s="34"/>
    </row>
    <row r="3595" spans="1:10" x14ac:dyDescent="0.25">
      <c r="A3595" s="15">
        <v>40863</v>
      </c>
      <c r="B3595" s="16" t="s">
        <v>47</v>
      </c>
      <c r="C3595" t="s">
        <v>2824</v>
      </c>
      <c r="D3595" t="s">
        <v>48</v>
      </c>
      <c r="E3595" s="17">
        <v>6</v>
      </c>
      <c r="F3595" s="17">
        <v>71.81</v>
      </c>
      <c r="G3595" s="18">
        <v>430.86</v>
      </c>
      <c r="H3595" s="30" t="s">
        <v>2324</v>
      </c>
      <c r="J3595" s="34"/>
    </row>
    <row r="3596" spans="1:10" x14ac:dyDescent="0.25">
      <c r="A3596" s="15">
        <v>40864</v>
      </c>
      <c r="B3596" s="16" t="s">
        <v>47</v>
      </c>
      <c r="C3596" t="s">
        <v>2824</v>
      </c>
      <c r="D3596" t="s">
        <v>48</v>
      </c>
      <c r="E3596" s="17">
        <v>10</v>
      </c>
      <c r="F3596" s="17">
        <v>71.81</v>
      </c>
      <c r="G3596" s="18">
        <v>718.1</v>
      </c>
      <c r="H3596" s="30" t="s">
        <v>2324</v>
      </c>
      <c r="J3596" s="34"/>
    </row>
    <row r="3597" spans="1:10" x14ac:dyDescent="0.25">
      <c r="A3597" s="15">
        <v>40865</v>
      </c>
      <c r="B3597" s="16" t="s">
        <v>47</v>
      </c>
      <c r="C3597" t="s">
        <v>2824</v>
      </c>
      <c r="D3597" t="s">
        <v>48</v>
      </c>
      <c r="E3597" s="17">
        <v>8.5</v>
      </c>
      <c r="F3597" s="17">
        <v>71.81</v>
      </c>
      <c r="G3597" s="18">
        <v>610.38499999999999</v>
      </c>
      <c r="H3597" s="30" t="s">
        <v>2324</v>
      </c>
      <c r="J3597" s="34"/>
    </row>
    <row r="3598" spans="1:10" x14ac:dyDescent="0.25">
      <c r="A3598" s="15">
        <v>40866</v>
      </c>
      <c r="B3598" s="16" t="s">
        <v>47</v>
      </c>
      <c r="C3598" t="s">
        <v>2824</v>
      </c>
      <c r="D3598" t="s">
        <v>48</v>
      </c>
      <c r="E3598" s="17">
        <v>7.5</v>
      </c>
      <c r="F3598" s="17">
        <v>71.81</v>
      </c>
      <c r="G3598" s="18">
        <v>538.57500000000005</v>
      </c>
      <c r="H3598" s="30" t="s">
        <v>2324</v>
      </c>
      <c r="J3598" s="34"/>
    </row>
    <row r="3599" spans="1:10" x14ac:dyDescent="0.25">
      <c r="A3599" s="15">
        <v>40868</v>
      </c>
      <c r="B3599" s="16" t="s">
        <v>47</v>
      </c>
      <c r="C3599" t="s">
        <v>2824</v>
      </c>
      <c r="D3599" t="s">
        <v>48</v>
      </c>
      <c r="E3599" s="17">
        <v>9.5</v>
      </c>
      <c r="F3599" s="17">
        <v>71.81</v>
      </c>
      <c r="G3599" s="18">
        <v>682.19500000000005</v>
      </c>
      <c r="H3599" s="30" t="s">
        <v>2324</v>
      </c>
      <c r="J3599" s="34"/>
    </row>
    <row r="3600" spans="1:10" x14ac:dyDescent="0.25">
      <c r="A3600" s="15">
        <v>40869</v>
      </c>
      <c r="B3600" s="16" t="s">
        <v>47</v>
      </c>
      <c r="C3600" t="s">
        <v>2824</v>
      </c>
      <c r="D3600" t="s">
        <v>48</v>
      </c>
      <c r="E3600" s="17">
        <v>8</v>
      </c>
      <c r="F3600" s="17">
        <v>71.81</v>
      </c>
      <c r="G3600" s="18">
        <v>574.48</v>
      </c>
      <c r="H3600" s="30" t="s">
        <v>2324</v>
      </c>
      <c r="J3600" s="34"/>
    </row>
    <row r="3601" spans="1:10" x14ac:dyDescent="0.25">
      <c r="A3601" s="15">
        <v>40870</v>
      </c>
      <c r="B3601" s="16" t="s">
        <v>47</v>
      </c>
      <c r="C3601" t="s">
        <v>2824</v>
      </c>
      <c r="D3601" t="s">
        <v>48</v>
      </c>
      <c r="E3601" s="17">
        <v>9.5</v>
      </c>
      <c r="F3601" s="17">
        <v>71.81</v>
      </c>
      <c r="G3601" s="18">
        <v>682.19500000000005</v>
      </c>
      <c r="H3601" s="30" t="s">
        <v>2324</v>
      </c>
      <c r="J3601" s="34"/>
    </row>
    <row r="3602" spans="1:10" x14ac:dyDescent="0.25">
      <c r="A3602" s="15">
        <v>40871</v>
      </c>
      <c r="B3602" s="16" t="s">
        <v>47</v>
      </c>
      <c r="C3602" t="s">
        <v>2824</v>
      </c>
      <c r="D3602" t="s">
        <v>48</v>
      </c>
      <c r="E3602" s="17">
        <v>10</v>
      </c>
      <c r="F3602" s="17">
        <v>71.81</v>
      </c>
      <c r="G3602" s="18">
        <v>718.1</v>
      </c>
      <c r="H3602" s="30" t="s">
        <v>2324</v>
      </c>
      <c r="J3602" s="34"/>
    </row>
    <row r="3603" spans="1:10" x14ac:dyDescent="0.25">
      <c r="A3603" s="15">
        <v>40872</v>
      </c>
      <c r="B3603" s="16" t="s">
        <v>47</v>
      </c>
      <c r="C3603" t="s">
        <v>2824</v>
      </c>
      <c r="D3603" t="s">
        <v>48</v>
      </c>
      <c r="E3603" s="17">
        <v>4</v>
      </c>
      <c r="F3603" s="17">
        <v>71.81</v>
      </c>
      <c r="G3603" s="18">
        <v>287.24</v>
      </c>
      <c r="H3603" s="30" t="s">
        <v>2324</v>
      </c>
      <c r="J3603" s="34"/>
    </row>
    <row r="3604" spans="1:10" x14ac:dyDescent="0.25">
      <c r="A3604" s="15">
        <v>40875</v>
      </c>
      <c r="B3604" s="16" t="s">
        <v>47</v>
      </c>
      <c r="C3604" t="s">
        <v>2824</v>
      </c>
      <c r="D3604" t="s">
        <v>48</v>
      </c>
      <c r="E3604" s="17">
        <v>3</v>
      </c>
      <c r="F3604" s="17">
        <v>71.81</v>
      </c>
      <c r="G3604" s="18">
        <v>215.43</v>
      </c>
      <c r="H3604" s="30" t="s">
        <v>2324</v>
      </c>
      <c r="J3604" s="34"/>
    </row>
    <row r="3605" spans="1:10" x14ac:dyDescent="0.25">
      <c r="A3605" s="15">
        <v>40876</v>
      </c>
      <c r="B3605" s="16" t="s">
        <v>47</v>
      </c>
      <c r="C3605" t="s">
        <v>2824</v>
      </c>
      <c r="D3605" t="s">
        <v>48</v>
      </c>
      <c r="E3605" s="17">
        <v>8</v>
      </c>
      <c r="F3605" s="17">
        <v>71.81</v>
      </c>
      <c r="G3605" s="18">
        <v>574.48</v>
      </c>
      <c r="H3605" s="30" t="s">
        <v>2324</v>
      </c>
      <c r="J3605" s="34"/>
    </row>
    <row r="3606" spans="1:10" x14ac:dyDescent="0.25">
      <c r="A3606" s="15">
        <v>40877</v>
      </c>
      <c r="B3606" s="16" t="s">
        <v>47</v>
      </c>
      <c r="C3606" t="s">
        <v>2824</v>
      </c>
      <c r="D3606" t="s">
        <v>48</v>
      </c>
      <c r="E3606" s="17">
        <v>8</v>
      </c>
      <c r="F3606" s="17">
        <v>71.81</v>
      </c>
      <c r="G3606" s="18">
        <v>574.48</v>
      </c>
      <c r="H3606" s="30" t="s">
        <v>2324</v>
      </c>
      <c r="J3606" s="34"/>
    </row>
    <row r="3607" spans="1:10" x14ac:dyDescent="0.25">
      <c r="A3607" s="15">
        <v>40878</v>
      </c>
      <c r="B3607" s="16" t="s">
        <v>47</v>
      </c>
      <c r="C3607" t="s">
        <v>2824</v>
      </c>
      <c r="D3607" t="s">
        <v>48</v>
      </c>
      <c r="E3607" s="17">
        <v>8</v>
      </c>
      <c r="F3607" s="17">
        <v>71.81</v>
      </c>
      <c r="G3607" s="18">
        <v>574.48</v>
      </c>
      <c r="H3607" s="30" t="s">
        <v>2324</v>
      </c>
      <c r="J3607" s="34"/>
    </row>
    <row r="3608" spans="1:10" x14ac:dyDescent="0.25">
      <c r="A3608" s="15">
        <v>40879</v>
      </c>
      <c r="B3608" s="16" t="s">
        <v>47</v>
      </c>
      <c r="C3608" t="s">
        <v>2824</v>
      </c>
      <c r="D3608" t="s">
        <v>48</v>
      </c>
      <c r="E3608" s="17">
        <v>9.5</v>
      </c>
      <c r="F3608" s="17">
        <v>71.81</v>
      </c>
      <c r="G3608" s="18">
        <v>682.19500000000005</v>
      </c>
      <c r="H3608" s="30" t="s">
        <v>2324</v>
      </c>
      <c r="J3608" s="34"/>
    </row>
    <row r="3609" spans="1:10" x14ac:dyDescent="0.25">
      <c r="A3609" s="15">
        <v>40882</v>
      </c>
      <c r="B3609" s="16" t="s">
        <v>47</v>
      </c>
      <c r="C3609" t="s">
        <v>2824</v>
      </c>
      <c r="D3609" t="s">
        <v>48</v>
      </c>
      <c r="E3609" s="17">
        <v>8</v>
      </c>
      <c r="F3609" s="17">
        <v>71.81</v>
      </c>
      <c r="G3609" s="18">
        <v>574.48</v>
      </c>
      <c r="H3609" s="30" t="s">
        <v>2324</v>
      </c>
      <c r="J3609" s="34"/>
    </row>
    <row r="3610" spans="1:10" x14ac:dyDescent="0.25">
      <c r="A3610" s="15">
        <v>40884</v>
      </c>
      <c r="B3610" s="16" t="s">
        <v>47</v>
      </c>
      <c r="C3610" t="s">
        <v>2824</v>
      </c>
      <c r="D3610" t="s">
        <v>48</v>
      </c>
      <c r="E3610" s="17">
        <v>9.5</v>
      </c>
      <c r="F3610" s="17">
        <v>71.81</v>
      </c>
      <c r="G3610" s="18">
        <v>682.19500000000005</v>
      </c>
      <c r="H3610" s="30" t="s">
        <v>2324</v>
      </c>
      <c r="J3610" s="34"/>
    </row>
    <row r="3611" spans="1:10" x14ac:dyDescent="0.25">
      <c r="A3611" s="15">
        <v>40885</v>
      </c>
      <c r="B3611" s="16" t="s">
        <v>47</v>
      </c>
      <c r="C3611" t="s">
        <v>2824</v>
      </c>
      <c r="D3611" t="s">
        <v>48</v>
      </c>
      <c r="E3611" s="17">
        <v>9.5</v>
      </c>
      <c r="F3611" s="17">
        <v>71.81</v>
      </c>
      <c r="G3611" s="18">
        <v>682.19500000000005</v>
      </c>
      <c r="H3611" s="30" t="s">
        <v>2324</v>
      </c>
      <c r="J3611" s="34"/>
    </row>
    <row r="3612" spans="1:10" x14ac:dyDescent="0.25">
      <c r="A3612" s="15">
        <v>40886</v>
      </c>
      <c r="B3612" s="16" t="s">
        <v>47</v>
      </c>
      <c r="C3612" t="s">
        <v>2824</v>
      </c>
      <c r="D3612" t="s">
        <v>48</v>
      </c>
      <c r="E3612" s="17">
        <v>10</v>
      </c>
      <c r="F3612" s="17">
        <v>71.81</v>
      </c>
      <c r="G3612" s="18">
        <v>718.1</v>
      </c>
      <c r="H3612" s="30" t="s">
        <v>2324</v>
      </c>
      <c r="J3612" s="34"/>
    </row>
    <row r="3613" spans="1:10" x14ac:dyDescent="0.25">
      <c r="A3613" s="15">
        <v>40889</v>
      </c>
      <c r="B3613" s="16" t="s">
        <v>47</v>
      </c>
      <c r="C3613" t="s">
        <v>2824</v>
      </c>
      <c r="D3613" t="s">
        <v>48</v>
      </c>
      <c r="E3613" s="17">
        <v>5.5</v>
      </c>
      <c r="F3613" s="17">
        <v>71.81</v>
      </c>
      <c r="G3613" s="18">
        <v>394.95499999999998</v>
      </c>
      <c r="H3613" s="30" t="s">
        <v>2324</v>
      </c>
      <c r="J3613" s="34"/>
    </row>
    <row r="3614" spans="1:10" x14ac:dyDescent="0.25">
      <c r="A3614" s="15">
        <v>40918</v>
      </c>
      <c r="B3614" s="16" t="s">
        <v>47</v>
      </c>
      <c r="C3614" t="s">
        <v>2824</v>
      </c>
      <c r="D3614" t="s">
        <v>48</v>
      </c>
      <c r="E3614" s="17">
        <v>5</v>
      </c>
      <c r="F3614" s="17">
        <v>71.81</v>
      </c>
      <c r="G3614" s="18">
        <v>359.05</v>
      </c>
      <c r="H3614" s="30" t="s">
        <v>2324</v>
      </c>
      <c r="J3614" s="34"/>
    </row>
    <row r="3615" spans="1:10" x14ac:dyDescent="0.25">
      <c r="A3615" s="15">
        <v>40919</v>
      </c>
      <c r="B3615" s="16" t="s">
        <v>47</v>
      </c>
      <c r="C3615" t="s">
        <v>2824</v>
      </c>
      <c r="D3615" t="s">
        <v>48</v>
      </c>
      <c r="E3615" s="17">
        <v>4.5</v>
      </c>
      <c r="F3615" s="17">
        <v>71.81</v>
      </c>
      <c r="G3615" s="18">
        <v>323.14499999999998</v>
      </c>
      <c r="H3615" s="30" t="s">
        <v>2324</v>
      </c>
      <c r="J3615" s="34"/>
    </row>
    <row r="3616" spans="1:10" x14ac:dyDescent="0.25">
      <c r="A3616" s="15">
        <v>40920</v>
      </c>
      <c r="B3616" s="16" t="s">
        <v>47</v>
      </c>
      <c r="C3616" t="s">
        <v>2824</v>
      </c>
      <c r="D3616" t="s">
        <v>48</v>
      </c>
      <c r="E3616" s="17">
        <v>5</v>
      </c>
      <c r="F3616" s="17">
        <v>71.81</v>
      </c>
      <c r="G3616" s="18">
        <v>359.05</v>
      </c>
      <c r="H3616" s="30" t="s">
        <v>2324</v>
      </c>
      <c r="J3616" s="34"/>
    </row>
    <row r="3617" spans="1:10" x14ac:dyDescent="0.25">
      <c r="A3617" s="15">
        <v>40921</v>
      </c>
      <c r="B3617" s="16" t="s">
        <v>47</v>
      </c>
      <c r="C3617" t="s">
        <v>2824</v>
      </c>
      <c r="D3617" t="s">
        <v>48</v>
      </c>
      <c r="E3617" s="17">
        <v>5.5</v>
      </c>
      <c r="F3617" s="17">
        <v>71.81</v>
      </c>
      <c r="G3617" s="18">
        <v>394.95499999999998</v>
      </c>
      <c r="H3617" s="30" t="s">
        <v>2324</v>
      </c>
      <c r="J3617" s="34"/>
    </row>
    <row r="3618" spans="1:10" x14ac:dyDescent="0.25">
      <c r="A3618" s="15">
        <v>40924</v>
      </c>
      <c r="B3618" s="16" t="s">
        <v>47</v>
      </c>
      <c r="C3618" t="s">
        <v>2824</v>
      </c>
      <c r="D3618" t="s">
        <v>48</v>
      </c>
      <c r="E3618" s="17">
        <v>8</v>
      </c>
      <c r="F3618" s="17">
        <v>71.81</v>
      </c>
      <c r="G3618" s="18">
        <v>574.48</v>
      </c>
      <c r="H3618" s="30" t="s">
        <v>2324</v>
      </c>
      <c r="J3618" s="34"/>
    </row>
    <row r="3619" spans="1:10" x14ac:dyDescent="0.25">
      <c r="A3619" s="15">
        <v>40926</v>
      </c>
      <c r="B3619" s="16" t="s">
        <v>47</v>
      </c>
      <c r="C3619" t="s">
        <v>2824</v>
      </c>
      <c r="D3619" t="s">
        <v>48</v>
      </c>
      <c r="E3619" s="17">
        <v>7.5</v>
      </c>
      <c r="F3619" s="17">
        <v>71.81</v>
      </c>
      <c r="G3619" s="18">
        <v>538.57500000000005</v>
      </c>
      <c r="H3619" s="30" t="s">
        <v>2324</v>
      </c>
      <c r="J3619" s="34"/>
    </row>
    <row r="3620" spans="1:10" x14ac:dyDescent="0.25">
      <c r="A3620" s="15">
        <v>40927</v>
      </c>
      <c r="B3620" s="16" t="s">
        <v>47</v>
      </c>
      <c r="C3620" t="s">
        <v>2824</v>
      </c>
      <c r="D3620" t="s">
        <v>48</v>
      </c>
      <c r="E3620" s="17">
        <v>7.5</v>
      </c>
      <c r="F3620" s="17">
        <v>71.81</v>
      </c>
      <c r="G3620" s="18">
        <v>538.57500000000005</v>
      </c>
      <c r="H3620" s="30" t="s">
        <v>2324</v>
      </c>
      <c r="J3620" s="34"/>
    </row>
    <row r="3621" spans="1:10" x14ac:dyDescent="0.25">
      <c r="A3621" s="15">
        <v>40928</v>
      </c>
      <c r="B3621" s="16" t="s">
        <v>47</v>
      </c>
      <c r="C3621" t="s">
        <v>2824</v>
      </c>
      <c r="D3621" t="s">
        <v>48</v>
      </c>
      <c r="E3621" s="17">
        <v>6.5</v>
      </c>
      <c r="F3621" s="17">
        <v>71.81</v>
      </c>
      <c r="G3621" s="18">
        <v>466.76499999999999</v>
      </c>
      <c r="H3621" s="30" t="s">
        <v>2324</v>
      </c>
      <c r="J3621" s="34"/>
    </row>
    <row r="3622" spans="1:10" x14ac:dyDescent="0.25">
      <c r="A3622" s="15">
        <v>40929</v>
      </c>
      <c r="B3622" s="16" t="s">
        <v>47</v>
      </c>
      <c r="C3622" t="s">
        <v>2824</v>
      </c>
      <c r="D3622" t="s">
        <v>48</v>
      </c>
      <c r="E3622" s="17">
        <v>6.5</v>
      </c>
      <c r="F3622" s="17">
        <v>71.81</v>
      </c>
      <c r="G3622" s="18">
        <v>466.76499999999999</v>
      </c>
      <c r="H3622" s="30" t="s">
        <v>2324</v>
      </c>
      <c r="J3622" s="34"/>
    </row>
    <row r="3623" spans="1:10" x14ac:dyDescent="0.25">
      <c r="A3623" s="15">
        <v>40931</v>
      </c>
      <c r="B3623" s="16" t="s">
        <v>47</v>
      </c>
      <c r="C3623" t="s">
        <v>2824</v>
      </c>
      <c r="D3623" t="s">
        <v>48</v>
      </c>
      <c r="E3623" s="17">
        <v>5</v>
      </c>
      <c r="F3623" s="17">
        <v>71.81</v>
      </c>
      <c r="G3623" s="18">
        <v>359.05</v>
      </c>
      <c r="H3623" s="30" t="s">
        <v>2324</v>
      </c>
      <c r="J3623" s="34"/>
    </row>
    <row r="3624" spans="1:10" x14ac:dyDescent="0.25">
      <c r="A3624" s="15">
        <v>40932</v>
      </c>
      <c r="B3624" s="16" t="s">
        <v>47</v>
      </c>
      <c r="C3624" t="s">
        <v>2824</v>
      </c>
      <c r="D3624" t="s">
        <v>48</v>
      </c>
      <c r="E3624" s="17">
        <v>5</v>
      </c>
      <c r="F3624" s="17">
        <v>71.81</v>
      </c>
      <c r="G3624" s="18">
        <v>359.05</v>
      </c>
      <c r="H3624" s="30" t="s">
        <v>2324</v>
      </c>
      <c r="J3624" s="34"/>
    </row>
    <row r="3625" spans="1:10" x14ac:dyDescent="0.25">
      <c r="A3625" s="15">
        <v>40933</v>
      </c>
      <c r="B3625" s="16" t="s">
        <v>47</v>
      </c>
      <c r="C3625" t="s">
        <v>2824</v>
      </c>
      <c r="D3625" t="s">
        <v>48</v>
      </c>
      <c r="E3625" s="17">
        <v>4</v>
      </c>
      <c r="F3625" s="17">
        <v>71.81</v>
      </c>
      <c r="G3625" s="18">
        <v>287.24</v>
      </c>
      <c r="H3625" s="30" t="s">
        <v>2324</v>
      </c>
      <c r="J3625" s="34"/>
    </row>
    <row r="3626" spans="1:10" x14ac:dyDescent="0.25">
      <c r="A3626" s="15">
        <v>40935</v>
      </c>
      <c r="B3626" s="16" t="s">
        <v>47</v>
      </c>
      <c r="C3626" t="s">
        <v>2824</v>
      </c>
      <c r="D3626" t="s">
        <v>48</v>
      </c>
      <c r="E3626" s="17">
        <v>6</v>
      </c>
      <c r="F3626" s="17">
        <v>71.81</v>
      </c>
      <c r="G3626" s="18">
        <v>430.86</v>
      </c>
      <c r="H3626" s="30" t="s">
        <v>2324</v>
      </c>
      <c r="J3626" s="34"/>
    </row>
    <row r="3627" spans="1:10" x14ac:dyDescent="0.25">
      <c r="A3627" s="15">
        <v>40936</v>
      </c>
      <c r="B3627" s="16" t="s">
        <v>47</v>
      </c>
      <c r="C3627" t="s">
        <v>2824</v>
      </c>
      <c r="D3627" t="s">
        <v>48</v>
      </c>
      <c r="E3627" s="17">
        <v>4.5</v>
      </c>
      <c r="F3627" s="17">
        <v>71.81</v>
      </c>
      <c r="G3627" s="18">
        <v>323.14499999999998</v>
      </c>
      <c r="H3627" s="30" t="s">
        <v>2324</v>
      </c>
      <c r="J3627" s="34"/>
    </row>
    <row r="3628" spans="1:10" x14ac:dyDescent="0.25">
      <c r="A3628" s="15">
        <v>40938</v>
      </c>
      <c r="B3628" s="16" t="s">
        <v>47</v>
      </c>
      <c r="C3628" t="s">
        <v>2824</v>
      </c>
      <c r="D3628" t="s">
        <v>48</v>
      </c>
      <c r="E3628" s="17">
        <v>3</v>
      </c>
      <c r="F3628" s="17">
        <v>71.81</v>
      </c>
      <c r="G3628" s="18">
        <v>215.43</v>
      </c>
      <c r="H3628" s="30" t="s">
        <v>2324</v>
      </c>
      <c r="J3628" s="34"/>
    </row>
    <row r="3629" spans="1:10" x14ac:dyDescent="0.25">
      <c r="A3629" s="15">
        <v>40939</v>
      </c>
      <c r="B3629" s="16" t="s">
        <v>47</v>
      </c>
      <c r="C3629" t="s">
        <v>2824</v>
      </c>
      <c r="D3629" t="s">
        <v>48</v>
      </c>
      <c r="E3629" s="17">
        <v>7</v>
      </c>
      <c r="F3629" s="17">
        <v>71.81</v>
      </c>
      <c r="G3629" s="18">
        <v>502.67</v>
      </c>
      <c r="H3629" s="30" t="s">
        <v>2324</v>
      </c>
      <c r="J3629" s="34"/>
    </row>
    <row r="3630" spans="1:10" x14ac:dyDescent="0.25">
      <c r="A3630" s="15">
        <v>40940</v>
      </c>
      <c r="B3630" s="16" t="s">
        <v>47</v>
      </c>
      <c r="C3630" t="s">
        <v>2824</v>
      </c>
      <c r="D3630" t="s">
        <v>48</v>
      </c>
      <c r="E3630" s="17">
        <v>7</v>
      </c>
      <c r="F3630" s="17">
        <v>71.81</v>
      </c>
      <c r="G3630" s="18">
        <v>502.67</v>
      </c>
      <c r="H3630" s="30" t="s">
        <v>2324</v>
      </c>
      <c r="J3630" s="34"/>
    </row>
    <row r="3631" spans="1:10" x14ac:dyDescent="0.25">
      <c r="A3631" s="15">
        <v>40941</v>
      </c>
      <c r="B3631" s="16" t="s">
        <v>47</v>
      </c>
      <c r="C3631" t="s">
        <v>2824</v>
      </c>
      <c r="D3631" t="s">
        <v>48</v>
      </c>
      <c r="E3631" s="17">
        <v>8</v>
      </c>
      <c r="F3631" s="17">
        <v>71.81</v>
      </c>
      <c r="G3631" s="18">
        <v>574.48</v>
      </c>
      <c r="H3631" s="30" t="s">
        <v>2324</v>
      </c>
      <c r="J3631" s="34"/>
    </row>
    <row r="3632" spans="1:10" x14ac:dyDescent="0.25">
      <c r="A3632" s="15">
        <v>40942</v>
      </c>
      <c r="B3632" s="16" t="s">
        <v>47</v>
      </c>
      <c r="C3632" t="s">
        <v>2824</v>
      </c>
      <c r="D3632" t="s">
        <v>48</v>
      </c>
      <c r="E3632" s="17">
        <v>6.5</v>
      </c>
      <c r="F3632" s="17">
        <v>71.81</v>
      </c>
      <c r="G3632" s="18">
        <v>466.76499999999999</v>
      </c>
      <c r="H3632" s="30" t="s">
        <v>2324</v>
      </c>
      <c r="J3632" s="34"/>
    </row>
    <row r="3633" spans="1:10" x14ac:dyDescent="0.25">
      <c r="A3633" s="15">
        <v>40945</v>
      </c>
      <c r="B3633" s="16" t="s">
        <v>47</v>
      </c>
      <c r="C3633" t="s">
        <v>2824</v>
      </c>
      <c r="D3633" t="s">
        <v>48</v>
      </c>
      <c r="E3633" s="17">
        <v>8</v>
      </c>
      <c r="F3633" s="17">
        <v>71.81</v>
      </c>
      <c r="G3633" s="18">
        <v>574.48</v>
      </c>
      <c r="H3633" s="30" t="s">
        <v>2324</v>
      </c>
      <c r="J3633" s="34"/>
    </row>
    <row r="3634" spans="1:10" x14ac:dyDescent="0.25">
      <c r="A3634" s="15">
        <v>40946</v>
      </c>
      <c r="B3634" s="16" t="s">
        <v>47</v>
      </c>
      <c r="C3634" t="s">
        <v>2824</v>
      </c>
      <c r="D3634" t="s">
        <v>48</v>
      </c>
      <c r="E3634" s="17">
        <v>9.5</v>
      </c>
      <c r="F3634" s="17">
        <v>71.81</v>
      </c>
      <c r="G3634" s="18">
        <v>682.19500000000005</v>
      </c>
      <c r="H3634" s="30" t="s">
        <v>2324</v>
      </c>
      <c r="J3634" s="34"/>
    </row>
    <row r="3635" spans="1:10" x14ac:dyDescent="0.25">
      <c r="A3635" s="15">
        <v>40947</v>
      </c>
      <c r="B3635" s="16" t="s">
        <v>47</v>
      </c>
      <c r="C3635" t="s">
        <v>2824</v>
      </c>
      <c r="D3635" t="s">
        <v>48</v>
      </c>
      <c r="E3635" s="17">
        <v>9.5</v>
      </c>
      <c r="F3635" s="17">
        <v>71.81</v>
      </c>
      <c r="G3635" s="18">
        <v>682.19500000000005</v>
      </c>
      <c r="H3635" s="30" t="s">
        <v>2324</v>
      </c>
      <c r="J3635" s="34"/>
    </row>
    <row r="3636" spans="1:10" x14ac:dyDescent="0.25">
      <c r="A3636" s="15">
        <v>40949</v>
      </c>
      <c r="B3636" s="16" t="s">
        <v>47</v>
      </c>
      <c r="C3636" t="s">
        <v>2824</v>
      </c>
      <c r="D3636" t="s">
        <v>48</v>
      </c>
      <c r="E3636" s="17">
        <v>8.5</v>
      </c>
      <c r="F3636" s="17">
        <v>71.81</v>
      </c>
      <c r="G3636" s="18">
        <v>610.38499999999999</v>
      </c>
      <c r="H3636" s="30" t="s">
        <v>2324</v>
      </c>
      <c r="J3636" s="34"/>
    </row>
    <row r="3637" spans="1:10" x14ac:dyDescent="0.25">
      <c r="A3637" s="15">
        <v>40950</v>
      </c>
      <c r="B3637" s="16" t="s">
        <v>47</v>
      </c>
      <c r="C3637" t="s">
        <v>2824</v>
      </c>
      <c r="D3637" t="s">
        <v>48</v>
      </c>
      <c r="E3637" s="17">
        <v>5</v>
      </c>
      <c r="F3637" s="17">
        <v>71.81</v>
      </c>
      <c r="G3637" s="18">
        <v>359.05</v>
      </c>
      <c r="H3637" s="30" t="s">
        <v>2324</v>
      </c>
      <c r="J3637" s="34"/>
    </row>
    <row r="3638" spans="1:10" x14ac:dyDescent="0.25">
      <c r="A3638" s="15">
        <v>40952</v>
      </c>
      <c r="B3638" s="16" t="s">
        <v>47</v>
      </c>
      <c r="C3638" t="s">
        <v>2824</v>
      </c>
      <c r="D3638" t="s">
        <v>48</v>
      </c>
      <c r="E3638" s="17">
        <v>9.5</v>
      </c>
      <c r="F3638" s="17">
        <v>71.81</v>
      </c>
      <c r="G3638" s="18">
        <v>682.19500000000005</v>
      </c>
      <c r="H3638" s="30" t="s">
        <v>2324</v>
      </c>
      <c r="J3638" s="34"/>
    </row>
    <row r="3639" spans="1:10" x14ac:dyDescent="0.25">
      <c r="A3639" s="15">
        <v>40953</v>
      </c>
      <c r="B3639" s="16" t="s">
        <v>47</v>
      </c>
      <c r="C3639" t="s">
        <v>2824</v>
      </c>
      <c r="D3639" t="s">
        <v>48</v>
      </c>
      <c r="E3639" s="17">
        <v>9.5</v>
      </c>
      <c r="F3639" s="17">
        <v>71.81</v>
      </c>
      <c r="G3639" s="18">
        <v>682.19500000000005</v>
      </c>
      <c r="H3639" s="30" t="s">
        <v>2324</v>
      </c>
      <c r="J3639" s="34"/>
    </row>
    <row r="3640" spans="1:10" x14ac:dyDescent="0.25">
      <c r="A3640" s="15">
        <v>40955</v>
      </c>
      <c r="B3640" s="16" t="s">
        <v>47</v>
      </c>
      <c r="C3640" t="s">
        <v>2824</v>
      </c>
      <c r="D3640" t="s">
        <v>48</v>
      </c>
      <c r="E3640" s="17">
        <v>8.5</v>
      </c>
      <c r="F3640" s="17">
        <v>71.81</v>
      </c>
      <c r="G3640" s="18">
        <v>610.38499999999999</v>
      </c>
      <c r="H3640" s="30" t="s">
        <v>2324</v>
      </c>
      <c r="J3640" s="34"/>
    </row>
    <row r="3641" spans="1:10" x14ac:dyDescent="0.25">
      <c r="A3641" s="15">
        <v>40956</v>
      </c>
      <c r="B3641" s="16" t="s">
        <v>47</v>
      </c>
      <c r="C3641" t="s">
        <v>2824</v>
      </c>
      <c r="D3641" t="s">
        <v>48</v>
      </c>
      <c r="E3641" s="17">
        <v>8</v>
      </c>
      <c r="F3641" s="17">
        <v>71.81</v>
      </c>
      <c r="G3641" s="18">
        <v>574.48</v>
      </c>
      <c r="H3641" s="30" t="s">
        <v>2324</v>
      </c>
      <c r="J3641" s="34"/>
    </row>
    <row r="3642" spans="1:10" x14ac:dyDescent="0.25">
      <c r="A3642" s="15">
        <v>40959</v>
      </c>
      <c r="B3642" s="16" t="s">
        <v>47</v>
      </c>
      <c r="C3642" t="s">
        <v>2824</v>
      </c>
      <c r="D3642" t="s">
        <v>48</v>
      </c>
      <c r="E3642" s="17">
        <v>8.5</v>
      </c>
      <c r="F3642" s="17">
        <v>71.81</v>
      </c>
      <c r="G3642" s="18">
        <v>610.38499999999999</v>
      </c>
      <c r="H3642" s="30" t="s">
        <v>2324</v>
      </c>
      <c r="J3642" s="34"/>
    </row>
    <row r="3643" spans="1:10" x14ac:dyDescent="0.25">
      <c r="A3643" s="15">
        <v>40962</v>
      </c>
      <c r="B3643" s="16" t="s">
        <v>47</v>
      </c>
      <c r="C3643" t="s">
        <v>2824</v>
      </c>
      <c r="D3643" t="s">
        <v>48</v>
      </c>
      <c r="E3643" s="17">
        <v>3</v>
      </c>
      <c r="F3643" s="17">
        <v>71.81</v>
      </c>
      <c r="G3643" s="18">
        <v>215.43</v>
      </c>
      <c r="H3643" s="30" t="s">
        <v>2324</v>
      </c>
      <c r="J3643" s="34"/>
    </row>
    <row r="3644" spans="1:10" x14ac:dyDescent="0.25">
      <c r="A3644" s="15">
        <v>40963</v>
      </c>
      <c r="B3644" s="16" t="s">
        <v>47</v>
      </c>
      <c r="C3644" t="s">
        <v>2824</v>
      </c>
      <c r="D3644" t="s">
        <v>48</v>
      </c>
      <c r="E3644" s="17">
        <v>6</v>
      </c>
      <c r="F3644" s="17">
        <v>71.81</v>
      </c>
      <c r="G3644" s="18">
        <v>430.86</v>
      </c>
      <c r="H3644" s="30" t="s">
        <v>2324</v>
      </c>
      <c r="J3644" s="34"/>
    </row>
    <row r="3645" spans="1:10" x14ac:dyDescent="0.25">
      <c r="A3645" s="15">
        <v>40967</v>
      </c>
      <c r="B3645" s="16" t="s">
        <v>47</v>
      </c>
      <c r="C3645" t="s">
        <v>2824</v>
      </c>
      <c r="D3645" t="s">
        <v>48</v>
      </c>
      <c r="E3645" s="17">
        <v>4</v>
      </c>
      <c r="F3645" s="17">
        <v>71.81</v>
      </c>
      <c r="G3645" s="18">
        <v>287.24</v>
      </c>
      <c r="H3645" s="30" t="s">
        <v>2324</v>
      </c>
      <c r="J3645" s="34"/>
    </row>
    <row r="3646" spans="1:10" x14ac:dyDescent="0.25">
      <c r="A3646" s="15">
        <v>40968</v>
      </c>
      <c r="B3646" s="16" t="s">
        <v>47</v>
      </c>
      <c r="C3646" t="s">
        <v>2824</v>
      </c>
      <c r="D3646" t="s">
        <v>48</v>
      </c>
      <c r="E3646" s="17">
        <v>10</v>
      </c>
      <c r="F3646" s="17">
        <v>71.81</v>
      </c>
      <c r="G3646" s="18">
        <v>718.1</v>
      </c>
      <c r="H3646" s="30" t="s">
        <v>2324</v>
      </c>
      <c r="J3646" s="34"/>
    </row>
    <row r="3647" spans="1:10" x14ac:dyDescent="0.25">
      <c r="A3647" s="15">
        <v>40969</v>
      </c>
      <c r="B3647" s="16" t="s">
        <v>47</v>
      </c>
      <c r="C3647" t="s">
        <v>2824</v>
      </c>
      <c r="D3647" t="s">
        <v>48</v>
      </c>
      <c r="E3647" s="17">
        <v>10.5</v>
      </c>
      <c r="F3647" s="17">
        <v>71.81</v>
      </c>
      <c r="G3647" s="18">
        <v>754.005</v>
      </c>
      <c r="H3647" s="30" t="s">
        <v>2324</v>
      </c>
      <c r="J3647" s="34"/>
    </row>
    <row r="3648" spans="1:10" x14ac:dyDescent="0.25">
      <c r="A3648" s="15">
        <v>40970</v>
      </c>
      <c r="B3648" s="16" t="s">
        <v>47</v>
      </c>
      <c r="C3648" t="s">
        <v>2824</v>
      </c>
      <c r="D3648" t="s">
        <v>48</v>
      </c>
      <c r="E3648" s="17">
        <v>8.5</v>
      </c>
      <c r="F3648" s="17">
        <v>71.81</v>
      </c>
      <c r="G3648" s="18">
        <v>610.38499999999999</v>
      </c>
      <c r="H3648" s="30" t="s">
        <v>2324</v>
      </c>
      <c r="J3648" s="34"/>
    </row>
    <row r="3649" spans="1:10" x14ac:dyDescent="0.25">
      <c r="A3649" s="15">
        <v>40971</v>
      </c>
      <c r="B3649" s="16" t="s">
        <v>47</v>
      </c>
      <c r="C3649" t="s">
        <v>2824</v>
      </c>
      <c r="D3649" t="s">
        <v>48</v>
      </c>
      <c r="E3649" s="17">
        <v>3</v>
      </c>
      <c r="F3649" s="17">
        <v>71.81</v>
      </c>
      <c r="G3649" s="18">
        <v>215.43</v>
      </c>
      <c r="H3649" s="30" t="s">
        <v>2324</v>
      </c>
      <c r="J3649" s="34"/>
    </row>
    <row r="3650" spans="1:10" x14ac:dyDescent="0.25">
      <c r="A3650" s="15">
        <v>40973</v>
      </c>
      <c r="B3650" s="16" t="s">
        <v>47</v>
      </c>
      <c r="C3650" t="s">
        <v>2824</v>
      </c>
      <c r="D3650" t="s">
        <v>48</v>
      </c>
      <c r="E3650" s="17">
        <v>6</v>
      </c>
      <c r="F3650" s="17">
        <v>71.81</v>
      </c>
      <c r="G3650" s="18">
        <v>430.86</v>
      </c>
      <c r="H3650" s="30" t="s">
        <v>2324</v>
      </c>
      <c r="J3650" s="34"/>
    </row>
    <row r="3651" spans="1:10" x14ac:dyDescent="0.25">
      <c r="A3651" s="15">
        <v>40974</v>
      </c>
      <c r="B3651" s="16" t="s">
        <v>47</v>
      </c>
      <c r="C3651" t="s">
        <v>2824</v>
      </c>
      <c r="D3651" t="s">
        <v>48</v>
      </c>
      <c r="E3651" s="17">
        <v>6</v>
      </c>
      <c r="F3651" s="17">
        <v>71.81</v>
      </c>
      <c r="G3651" s="18">
        <v>430.86</v>
      </c>
      <c r="H3651" s="30" t="s">
        <v>2324</v>
      </c>
      <c r="J3651" s="34"/>
    </row>
    <row r="3652" spans="1:10" x14ac:dyDescent="0.25">
      <c r="A3652" s="15">
        <v>40975</v>
      </c>
      <c r="B3652" s="16" t="s">
        <v>47</v>
      </c>
      <c r="C3652" t="s">
        <v>2824</v>
      </c>
      <c r="D3652" t="s">
        <v>48</v>
      </c>
      <c r="E3652" s="17">
        <v>6</v>
      </c>
      <c r="F3652" s="17">
        <v>71.81</v>
      </c>
      <c r="G3652" s="18">
        <v>430.86</v>
      </c>
      <c r="H3652" s="30" t="s">
        <v>2324</v>
      </c>
      <c r="J3652" s="34"/>
    </row>
    <row r="3653" spans="1:10" x14ac:dyDescent="0.25">
      <c r="A3653" s="15">
        <v>40976</v>
      </c>
      <c r="B3653" s="16" t="s">
        <v>47</v>
      </c>
      <c r="C3653" t="s">
        <v>2824</v>
      </c>
      <c r="D3653" t="s">
        <v>48</v>
      </c>
      <c r="E3653" s="17">
        <v>8</v>
      </c>
      <c r="F3653" s="17">
        <v>71.81</v>
      </c>
      <c r="G3653" s="18">
        <v>574.48</v>
      </c>
      <c r="H3653" s="30" t="s">
        <v>2324</v>
      </c>
      <c r="J3653" s="34"/>
    </row>
    <row r="3654" spans="1:10" x14ac:dyDescent="0.25">
      <c r="A3654" s="15">
        <v>40977</v>
      </c>
      <c r="B3654" s="16" t="s">
        <v>47</v>
      </c>
      <c r="C3654" t="s">
        <v>2824</v>
      </c>
      <c r="D3654" t="s">
        <v>48</v>
      </c>
      <c r="E3654" s="17">
        <v>10</v>
      </c>
      <c r="F3654" s="17">
        <v>71.81</v>
      </c>
      <c r="G3654" s="18">
        <v>718.1</v>
      </c>
      <c r="H3654" s="30" t="s">
        <v>2324</v>
      </c>
      <c r="J3654" s="34"/>
    </row>
    <row r="3655" spans="1:10" x14ac:dyDescent="0.25">
      <c r="A3655" s="15">
        <v>40978</v>
      </c>
      <c r="B3655" s="16" t="s">
        <v>47</v>
      </c>
      <c r="C3655" t="s">
        <v>2824</v>
      </c>
      <c r="D3655" t="s">
        <v>48</v>
      </c>
      <c r="E3655" s="17">
        <v>5</v>
      </c>
      <c r="F3655" s="17">
        <v>71.81</v>
      </c>
      <c r="G3655" s="18">
        <v>359.05</v>
      </c>
      <c r="H3655" s="30" t="s">
        <v>2324</v>
      </c>
      <c r="J3655" s="34"/>
    </row>
    <row r="3656" spans="1:10" x14ac:dyDescent="0.25">
      <c r="A3656" s="15">
        <v>40980</v>
      </c>
      <c r="B3656" s="16" t="s">
        <v>47</v>
      </c>
      <c r="C3656" t="s">
        <v>2824</v>
      </c>
      <c r="D3656" t="s">
        <v>48</v>
      </c>
      <c r="E3656" s="17">
        <v>9.5</v>
      </c>
      <c r="F3656" s="17">
        <v>71.81</v>
      </c>
      <c r="G3656" s="18">
        <v>682.19500000000005</v>
      </c>
      <c r="H3656" s="30" t="s">
        <v>2324</v>
      </c>
      <c r="J3656" s="34"/>
    </row>
    <row r="3657" spans="1:10" x14ac:dyDescent="0.25">
      <c r="A3657" s="15">
        <v>40981</v>
      </c>
      <c r="B3657" s="16" t="s">
        <v>47</v>
      </c>
      <c r="C3657" t="s">
        <v>2824</v>
      </c>
      <c r="D3657" t="s">
        <v>48</v>
      </c>
      <c r="E3657" s="17">
        <v>9.5</v>
      </c>
      <c r="F3657" s="17">
        <v>71.81</v>
      </c>
      <c r="G3657" s="18">
        <v>682.19500000000005</v>
      </c>
      <c r="H3657" s="30" t="s">
        <v>2324</v>
      </c>
      <c r="J3657" s="34"/>
    </row>
    <row r="3658" spans="1:10" x14ac:dyDescent="0.25">
      <c r="A3658" s="15">
        <v>40982</v>
      </c>
      <c r="B3658" s="16" t="s">
        <v>47</v>
      </c>
      <c r="C3658" t="s">
        <v>2824</v>
      </c>
      <c r="D3658" t="s">
        <v>48</v>
      </c>
      <c r="E3658" s="17">
        <v>8</v>
      </c>
      <c r="F3658" s="17">
        <v>71.81</v>
      </c>
      <c r="G3658" s="18">
        <v>574.48</v>
      </c>
      <c r="H3658" s="30" t="s">
        <v>2324</v>
      </c>
      <c r="J3658" s="34"/>
    </row>
    <row r="3659" spans="1:10" x14ac:dyDescent="0.25">
      <c r="A3659" s="15">
        <v>40983</v>
      </c>
      <c r="B3659" s="16" t="s">
        <v>47</v>
      </c>
      <c r="C3659" t="s">
        <v>2824</v>
      </c>
      <c r="D3659" t="s">
        <v>48</v>
      </c>
      <c r="E3659" s="17">
        <v>8</v>
      </c>
      <c r="F3659" s="17">
        <v>71.81</v>
      </c>
      <c r="G3659" s="18">
        <v>574.48</v>
      </c>
      <c r="H3659" s="30" t="s">
        <v>2324</v>
      </c>
      <c r="J3659" s="34"/>
    </row>
    <row r="3660" spans="1:10" x14ac:dyDescent="0.25">
      <c r="A3660" s="15">
        <v>40984</v>
      </c>
      <c r="B3660" s="16" t="s">
        <v>47</v>
      </c>
      <c r="C3660" t="s">
        <v>2824</v>
      </c>
      <c r="D3660" t="s">
        <v>48</v>
      </c>
      <c r="E3660" s="17">
        <v>6</v>
      </c>
      <c r="F3660" s="17">
        <v>71.81</v>
      </c>
      <c r="G3660" s="18">
        <v>430.86</v>
      </c>
      <c r="H3660" s="30" t="s">
        <v>2324</v>
      </c>
      <c r="J3660" s="34"/>
    </row>
    <row r="3661" spans="1:10" x14ac:dyDescent="0.25">
      <c r="A3661" s="15">
        <v>40987</v>
      </c>
      <c r="B3661" s="16" t="s">
        <v>47</v>
      </c>
      <c r="C3661" t="s">
        <v>2824</v>
      </c>
      <c r="D3661" t="s">
        <v>48</v>
      </c>
      <c r="E3661" s="17">
        <v>8</v>
      </c>
      <c r="F3661" s="17">
        <v>71.81</v>
      </c>
      <c r="G3661" s="18">
        <v>574.48</v>
      </c>
      <c r="H3661" s="30" t="s">
        <v>2324</v>
      </c>
      <c r="J3661" s="34"/>
    </row>
    <row r="3662" spans="1:10" x14ac:dyDescent="0.25">
      <c r="A3662" s="15">
        <v>40988</v>
      </c>
      <c r="B3662" s="16" t="s">
        <v>47</v>
      </c>
      <c r="C3662" t="s">
        <v>2824</v>
      </c>
      <c r="D3662" t="s">
        <v>48</v>
      </c>
      <c r="E3662" s="17">
        <v>8</v>
      </c>
      <c r="F3662" s="17">
        <v>71.81</v>
      </c>
      <c r="G3662" s="18">
        <v>574.48</v>
      </c>
      <c r="H3662" s="30" t="s">
        <v>2324</v>
      </c>
      <c r="J3662" s="34"/>
    </row>
    <row r="3663" spans="1:10" x14ac:dyDescent="0.25">
      <c r="A3663" s="15">
        <v>40989</v>
      </c>
      <c r="B3663" s="16" t="s">
        <v>47</v>
      </c>
      <c r="C3663" t="s">
        <v>2824</v>
      </c>
      <c r="D3663" t="s">
        <v>48</v>
      </c>
      <c r="E3663" s="17">
        <v>5.5</v>
      </c>
      <c r="F3663" s="17">
        <v>71.81</v>
      </c>
      <c r="G3663" s="18">
        <v>394.95499999999998</v>
      </c>
      <c r="H3663" s="30" t="s">
        <v>2324</v>
      </c>
      <c r="J3663" s="34"/>
    </row>
    <row r="3664" spans="1:10" x14ac:dyDescent="0.25">
      <c r="A3664" s="15">
        <v>40990</v>
      </c>
      <c r="B3664" s="16" t="s">
        <v>47</v>
      </c>
      <c r="C3664" t="s">
        <v>2824</v>
      </c>
      <c r="D3664" t="s">
        <v>48</v>
      </c>
      <c r="E3664" s="17">
        <v>8</v>
      </c>
      <c r="F3664" s="17">
        <v>71.81</v>
      </c>
      <c r="G3664" s="18">
        <v>574.48</v>
      </c>
      <c r="H3664" s="30" t="s">
        <v>2324</v>
      </c>
      <c r="J3664" s="34"/>
    </row>
    <row r="3665" spans="1:10" x14ac:dyDescent="0.25">
      <c r="A3665" s="15">
        <v>40991</v>
      </c>
      <c r="B3665" s="16" t="s">
        <v>47</v>
      </c>
      <c r="C3665" t="s">
        <v>2824</v>
      </c>
      <c r="D3665" t="s">
        <v>48</v>
      </c>
      <c r="E3665" s="17">
        <v>7.5</v>
      </c>
      <c r="F3665" s="17">
        <v>71.81</v>
      </c>
      <c r="G3665" s="18">
        <v>538.57500000000005</v>
      </c>
      <c r="H3665" s="30" t="s">
        <v>2324</v>
      </c>
      <c r="J3665" s="34"/>
    </row>
    <row r="3666" spans="1:10" x14ac:dyDescent="0.25">
      <c r="A3666" s="15">
        <v>40994</v>
      </c>
      <c r="B3666" s="16" t="s">
        <v>47</v>
      </c>
      <c r="C3666" t="s">
        <v>2824</v>
      </c>
      <c r="D3666" t="s">
        <v>48</v>
      </c>
      <c r="E3666" s="17">
        <v>8</v>
      </c>
      <c r="F3666" s="17">
        <v>71.81</v>
      </c>
      <c r="G3666" s="18">
        <v>574.48</v>
      </c>
      <c r="H3666" s="30" t="s">
        <v>2324</v>
      </c>
      <c r="J3666" s="34"/>
    </row>
    <row r="3667" spans="1:10" x14ac:dyDescent="0.25">
      <c r="A3667" s="15">
        <v>40995</v>
      </c>
      <c r="B3667" s="16" t="s">
        <v>47</v>
      </c>
      <c r="C3667" t="s">
        <v>2824</v>
      </c>
      <c r="D3667" t="s">
        <v>48</v>
      </c>
      <c r="E3667" s="17">
        <v>9.5</v>
      </c>
      <c r="F3667" s="17">
        <v>71.81</v>
      </c>
      <c r="G3667" s="18">
        <v>682.19500000000005</v>
      </c>
      <c r="H3667" s="30" t="s">
        <v>2324</v>
      </c>
      <c r="J3667" s="34"/>
    </row>
    <row r="3668" spans="1:10" x14ac:dyDescent="0.25">
      <c r="A3668" s="15">
        <v>40996</v>
      </c>
      <c r="B3668" s="16" t="s">
        <v>47</v>
      </c>
      <c r="C3668" t="s">
        <v>2824</v>
      </c>
      <c r="D3668" t="s">
        <v>48</v>
      </c>
      <c r="E3668" s="17">
        <v>9.5</v>
      </c>
      <c r="F3668" s="17">
        <v>71.81</v>
      </c>
      <c r="G3668" s="18">
        <v>682.19500000000005</v>
      </c>
      <c r="H3668" s="30" t="s">
        <v>2324</v>
      </c>
      <c r="J3668" s="34"/>
    </row>
    <row r="3669" spans="1:10" x14ac:dyDescent="0.25">
      <c r="A3669" s="15">
        <v>40997</v>
      </c>
      <c r="B3669" s="16" t="s">
        <v>47</v>
      </c>
      <c r="C3669" t="s">
        <v>2824</v>
      </c>
      <c r="D3669" t="s">
        <v>48</v>
      </c>
      <c r="E3669" s="17">
        <v>9.5</v>
      </c>
      <c r="F3669" s="17">
        <v>71.81</v>
      </c>
      <c r="G3669" s="18">
        <v>682.19500000000005</v>
      </c>
      <c r="H3669" s="30" t="s">
        <v>2324</v>
      </c>
      <c r="J3669" s="34"/>
    </row>
    <row r="3670" spans="1:10" x14ac:dyDescent="0.25">
      <c r="A3670" s="15">
        <v>40998</v>
      </c>
      <c r="B3670" s="16" t="s">
        <v>47</v>
      </c>
      <c r="C3670" t="s">
        <v>2824</v>
      </c>
      <c r="D3670" t="s">
        <v>48</v>
      </c>
      <c r="E3670" s="17">
        <v>10.5</v>
      </c>
      <c r="F3670" s="17">
        <v>71.81</v>
      </c>
      <c r="G3670" s="18">
        <v>754.005</v>
      </c>
      <c r="H3670" s="30" t="s">
        <v>2324</v>
      </c>
      <c r="J3670" s="34"/>
    </row>
    <row r="3671" spans="1:10" x14ac:dyDescent="0.25">
      <c r="A3671" s="15">
        <v>40999</v>
      </c>
      <c r="B3671" s="16" t="s">
        <v>47</v>
      </c>
      <c r="C3671" t="s">
        <v>2824</v>
      </c>
      <c r="D3671" t="s">
        <v>48</v>
      </c>
      <c r="E3671" s="17">
        <v>6</v>
      </c>
      <c r="F3671" s="17">
        <v>71.81</v>
      </c>
      <c r="G3671" s="18">
        <v>430.86</v>
      </c>
      <c r="H3671" s="30" t="s">
        <v>2324</v>
      </c>
      <c r="J3671" s="34"/>
    </row>
    <row r="3672" spans="1:10" x14ac:dyDescent="0.25">
      <c r="A3672" s="15">
        <v>41000</v>
      </c>
      <c r="B3672" s="16" t="s">
        <v>47</v>
      </c>
      <c r="C3672" t="s">
        <v>2824</v>
      </c>
      <c r="D3672" t="s">
        <v>48</v>
      </c>
      <c r="E3672" s="17">
        <v>3</v>
      </c>
      <c r="F3672" s="17">
        <v>71.81</v>
      </c>
      <c r="G3672" s="18">
        <v>215.43</v>
      </c>
      <c r="H3672" s="30" t="s">
        <v>2324</v>
      </c>
      <c r="J3672" s="34"/>
    </row>
    <row r="3673" spans="1:10" x14ac:dyDescent="0.25">
      <c r="A3673" s="15">
        <v>41001</v>
      </c>
      <c r="B3673" s="16" t="s">
        <v>47</v>
      </c>
      <c r="C3673" t="s">
        <v>2824</v>
      </c>
      <c r="D3673" t="s">
        <v>48</v>
      </c>
      <c r="E3673" s="17">
        <v>3</v>
      </c>
      <c r="F3673" s="17">
        <v>71.81</v>
      </c>
      <c r="G3673" s="18">
        <v>215.43</v>
      </c>
      <c r="H3673" s="30" t="s">
        <v>2324</v>
      </c>
      <c r="J3673" s="34"/>
    </row>
    <row r="3674" spans="1:10" x14ac:dyDescent="0.25">
      <c r="A3674" s="15">
        <v>41002</v>
      </c>
      <c r="B3674" s="16" t="s">
        <v>47</v>
      </c>
      <c r="C3674" t="s">
        <v>2824</v>
      </c>
      <c r="D3674" t="s">
        <v>48</v>
      </c>
      <c r="E3674" s="17">
        <v>10</v>
      </c>
      <c r="F3674" s="17">
        <v>71.81</v>
      </c>
      <c r="G3674" s="18">
        <v>718.1</v>
      </c>
      <c r="H3674" s="30" t="s">
        <v>2324</v>
      </c>
      <c r="J3674" s="34"/>
    </row>
    <row r="3675" spans="1:10" x14ac:dyDescent="0.25">
      <c r="A3675" s="15">
        <v>41003</v>
      </c>
      <c r="B3675" s="16" t="s">
        <v>47</v>
      </c>
      <c r="C3675" t="s">
        <v>2824</v>
      </c>
      <c r="D3675" t="s">
        <v>48</v>
      </c>
      <c r="E3675" s="17">
        <v>10.5</v>
      </c>
      <c r="F3675" s="17">
        <v>71.81</v>
      </c>
      <c r="G3675" s="18">
        <v>754.005</v>
      </c>
      <c r="H3675" s="30" t="s">
        <v>2324</v>
      </c>
      <c r="J3675" s="34"/>
    </row>
    <row r="3676" spans="1:10" x14ac:dyDescent="0.25">
      <c r="A3676" s="15">
        <v>41004</v>
      </c>
      <c r="B3676" s="16" t="s">
        <v>47</v>
      </c>
      <c r="C3676" t="s">
        <v>2824</v>
      </c>
      <c r="D3676" t="s">
        <v>48</v>
      </c>
      <c r="E3676" s="17">
        <v>10.5</v>
      </c>
      <c r="F3676" s="17">
        <v>71.81</v>
      </c>
      <c r="G3676" s="18">
        <v>754.005</v>
      </c>
      <c r="H3676" s="30" t="s">
        <v>2324</v>
      </c>
      <c r="J3676" s="34"/>
    </row>
    <row r="3677" spans="1:10" x14ac:dyDescent="0.25">
      <c r="A3677" s="15">
        <v>41009</v>
      </c>
      <c r="B3677" s="16" t="s">
        <v>47</v>
      </c>
      <c r="C3677" t="s">
        <v>2824</v>
      </c>
      <c r="D3677" t="s">
        <v>48</v>
      </c>
      <c r="E3677" s="17">
        <v>11.5</v>
      </c>
      <c r="F3677" s="17">
        <v>71.81</v>
      </c>
      <c r="G3677" s="18">
        <v>825.81500000000005</v>
      </c>
      <c r="H3677" s="30" t="s">
        <v>2324</v>
      </c>
      <c r="J3677" s="34"/>
    </row>
    <row r="3678" spans="1:10" x14ac:dyDescent="0.25">
      <c r="A3678" s="15">
        <v>41010</v>
      </c>
      <c r="B3678" s="16" t="s">
        <v>47</v>
      </c>
      <c r="C3678" t="s">
        <v>2824</v>
      </c>
      <c r="D3678" t="s">
        <v>48</v>
      </c>
      <c r="E3678" s="17">
        <v>10.5</v>
      </c>
      <c r="F3678" s="17">
        <v>71.81</v>
      </c>
      <c r="G3678" s="18">
        <v>754.005</v>
      </c>
      <c r="H3678" s="30" t="s">
        <v>2324</v>
      </c>
      <c r="J3678" s="34"/>
    </row>
    <row r="3679" spans="1:10" x14ac:dyDescent="0.25">
      <c r="A3679" s="15">
        <v>41011</v>
      </c>
      <c r="B3679" s="16" t="s">
        <v>47</v>
      </c>
      <c r="C3679" t="s">
        <v>2824</v>
      </c>
      <c r="D3679" t="s">
        <v>48</v>
      </c>
      <c r="E3679" s="17">
        <v>11</v>
      </c>
      <c r="F3679" s="17">
        <v>71.81</v>
      </c>
      <c r="G3679" s="18">
        <v>789.91</v>
      </c>
      <c r="H3679" s="30" t="s">
        <v>2324</v>
      </c>
      <c r="J3679" s="34"/>
    </row>
    <row r="3680" spans="1:10" x14ac:dyDescent="0.25">
      <c r="A3680" s="15">
        <v>41012</v>
      </c>
      <c r="B3680" s="16" t="s">
        <v>47</v>
      </c>
      <c r="C3680" t="s">
        <v>2824</v>
      </c>
      <c r="D3680" t="s">
        <v>48</v>
      </c>
      <c r="E3680" s="17">
        <v>11.5</v>
      </c>
      <c r="F3680" s="17">
        <v>71.81</v>
      </c>
      <c r="G3680" s="18">
        <v>825.81500000000005</v>
      </c>
      <c r="H3680" s="30" t="s">
        <v>2324</v>
      </c>
      <c r="J3680" s="34"/>
    </row>
    <row r="3681" spans="1:10" x14ac:dyDescent="0.25">
      <c r="A3681" s="15">
        <v>41013</v>
      </c>
      <c r="B3681" s="16" t="s">
        <v>47</v>
      </c>
      <c r="C3681" t="s">
        <v>2824</v>
      </c>
      <c r="D3681" t="s">
        <v>48</v>
      </c>
      <c r="E3681" s="17">
        <v>7</v>
      </c>
      <c r="F3681" s="17">
        <v>71.81</v>
      </c>
      <c r="G3681" s="18">
        <v>502.67</v>
      </c>
      <c r="H3681" s="30" t="s">
        <v>2324</v>
      </c>
      <c r="J3681" s="34"/>
    </row>
    <row r="3682" spans="1:10" x14ac:dyDescent="0.25">
      <c r="A3682" s="15">
        <v>41015</v>
      </c>
      <c r="B3682" s="16" t="s">
        <v>47</v>
      </c>
      <c r="C3682" t="s">
        <v>2824</v>
      </c>
      <c r="D3682" t="s">
        <v>48</v>
      </c>
      <c r="E3682" s="17">
        <v>10</v>
      </c>
      <c r="F3682" s="17">
        <v>71.81</v>
      </c>
      <c r="G3682" s="18">
        <v>718.1</v>
      </c>
      <c r="H3682" s="30" t="s">
        <v>2324</v>
      </c>
      <c r="J3682" s="34"/>
    </row>
    <row r="3683" spans="1:10" x14ac:dyDescent="0.25">
      <c r="A3683" s="15">
        <v>41016</v>
      </c>
      <c r="B3683" s="16" t="s">
        <v>47</v>
      </c>
      <c r="C3683" t="s">
        <v>2824</v>
      </c>
      <c r="D3683" t="s">
        <v>48</v>
      </c>
      <c r="E3683" s="17">
        <v>9.5</v>
      </c>
      <c r="F3683" s="17">
        <v>71.81</v>
      </c>
      <c r="G3683" s="18">
        <v>682.19500000000005</v>
      </c>
      <c r="H3683" s="30" t="s">
        <v>2324</v>
      </c>
      <c r="J3683" s="34"/>
    </row>
    <row r="3684" spans="1:10" x14ac:dyDescent="0.25">
      <c r="A3684" s="15">
        <v>41017</v>
      </c>
      <c r="B3684" s="16" t="s">
        <v>47</v>
      </c>
      <c r="C3684" t="s">
        <v>2824</v>
      </c>
      <c r="D3684" t="s">
        <v>48</v>
      </c>
      <c r="E3684" s="17">
        <v>10.5</v>
      </c>
      <c r="F3684" s="17">
        <v>71.81</v>
      </c>
      <c r="G3684" s="18">
        <v>754.005</v>
      </c>
      <c r="H3684" s="30" t="s">
        <v>2324</v>
      </c>
      <c r="J3684" s="34"/>
    </row>
    <row r="3685" spans="1:10" x14ac:dyDescent="0.25">
      <c r="A3685" s="15">
        <v>41018</v>
      </c>
      <c r="B3685" s="16" t="s">
        <v>47</v>
      </c>
      <c r="C3685" t="s">
        <v>2824</v>
      </c>
      <c r="D3685" t="s">
        <v>48</v>
      </c>
      <c r="E3685" s="17">
        <v>9.5</v>
      </c>
      <c r="F3685" s="17">
        <v>71.81</v>
      </c>
      <c r="G3685" s="18">
        <v>682.19500000000005</v>
      </c>
      <c r="H3685" s="30" t="s">
        <v>2324</v>
      </c>
      <c r="J3685" s="34"/>
    </row>
    <row r="3686" spans="1:10" x14ac:dyDescent="0.25">
      <c r="A3686" s="15">
        <v>41019</v>
      </c>
      <c r="B3686" s="16" t="s">
        <v>47</v>
      </c>
      <c r="C3686" t="s">
        <v>2824</v>
      </c>
      <c r="D3686" t="s">
        <v>48</v>
      </c>
      <c r="E3686" s="17">
        <v>8</v>
      </c>
      <c r="F3686" s="17">
        <v>71.81</v>
      </c>
      <c r="G3686" s="18">
        <v>574.48</v>
      </c>
      <c r="H3686" s="30" t="s">
        <v>2324</v>
      </c>
      <c r="J3686" s="34"/>
    </row>
    <row r="3687" spans="1:10" x14ac:dyDescent="0.25">
      <c r="A3687" s="15">
        <v>41022</v>
      </c>
      <c r="B3687" s="16" t="s">
        <v>47</v>
      </c>
      <c r="C3687" t="s">
        <v>2824</v>
      </c>
      <c r="D3687" t="s">
        <v>48</v>
      </c>
      <c r="E3687" s="17">
        <v>10</v>
      </c>
      <c r="F3687" s="17">
        <v>71.81</v>
      </c>
      <c r="G3687" s="18">
        <v>718.1</v>
      </c>
      <c r="H3687" s="30" t="s">
        <v>2324</v>
      </c>
      <c r="J3687" s="34"/>
    </row>
    <row r="3688" spans="1:10" x14ac:dyDescent="0.25">
      <c r="A3688" s="15">
        <v>41023</v>
      </c>
      <c r="B3688" s="16" t="s">
        <v>47</v>
      </c>
      <c r="C3688" t="s">
        <v>2824</v>
      </c>
      <c r="D3688" t="s">
        <v>48</v>
      </c>
      <c r="E3688" s="17">
        <v>10</v>
      </c>
      <c r="F3688" s="17">
        <v>71.81</v>
      </c>
      <c r="G3688" s="18">
        <v>718.1</v>
      </c>
      <c r="H3688" s="30" t="s">
        <v>2324</v>
      </c>
      <c r="J3688" s="34"/>
    </row>
    <row r="3689" spans="1:10" x14ac:dyDescent="0.25">
      <c r="A3689" s="15">
        <v>41025</v>
      </c>
      <c r="B3689" s="16" t="s">
        <v>47</v>
      </c>
      <c r="C3689" t="s">
        <v>2824</v>
      </c>
      <c r="D3689" t="s">
        <v>48</v>
      </c>
      <c r="E3689" s="17">
        <v>9.5</v>
      </c>
      <c r="F3689" s="17">
        <v>71.81</v>
      </c>
      <c r="G3689" s="18">
        <v>682.19500000000005</v>
      </c>
      <c r="H3689" s="30" t="s">
        <v>2324</v>
      </c>
      <c r="J3689" s="34"/>
    </row>
    <row r="3690" spans="1:10" x14ac:dyDescent="0.25">
      <c r="A3690" s="15">
        <v>41026</v>
      </c>
      <c r="B3690" s="16" t="s">
        <v>47</v>
      </c>
      <c r="C3690" t="s">
        <v>2824</v>
      </c>
      <c r="D3690" t="s">
        <v>48</v>
      </c>
      <c r="E3690" s="17">
        <v>10</v>
      </c>
      <c r="F3690" s="17">
        <v>71.81</v>
      </c>
      <c r="G3690" s="18">
        <v>718.1</v>
      </c>
      <c r="H3690" s="30" t="s">
        <v>2324</v>
      </c>
      <c r="J3690" s="34"/>
    </row>
    <row r="3691" spans="1:10" x14ac:dyDescent="0.25">
      <c r="A3691" s="15">
        <v>41029</v>
      </c>
      <c r="B3691" s="16" t="s">
        <v>47</v>
      </c>
      <c r="C3691" t="s">
        <v>2824</v>
      </c>
      <c r="D3691" t="s">
        <v>48</v>
      </c>
      <c r="E3691" s="17">
        <v>9.5</v>
      </c>
      <c r="F3691" s="17">
        <v>71.81</v>
      </c>
      <c r="G3691" s="18">
        <v>682.19500000000005</v>
      </c>
      <c r="H3691" s="30" t="s">
        <v>2324</v>
      </c>
      <c r="J3691" s="34"/>
    </row>
    <row r="3692" spans="1:10" x14ac:dyDescent="0.25">
      <c r="A3692" s="15">
        <v>41030</v>
      </c>
      <c r="B3692" s="16" t="s">
        <v>47</v>
      </c>
      <c r="C3692" t="s">
        <v>2824</v>
      </c>
      <c r="D3692" t="s">
        <v>48</v>
      </c>
      <c r="E3692" s="17">
        <v>10</v>
      </c>
      <c r="F3692" s="17">
        <v>71.81</v>
      </c>
      <c r="G3692" s="18">
        <v>718.1</v>
      </c>
      <c r="H3692" s="30" t="s">
        <v>2324</v>
      </c>
      <c r="J3692" s="34"/>
    </row>
    <row r="3693" spans="1:10" x14ac:dyDescent="0.25">
      <c r="A3693" s="15">
        <v>41032</v>
      </c>
      <c r="B3693" s="16" t="s">
        <v>47</v>
      </c>
      <c r="C3693" t="s">
        <v>2824</v>
      </c>
      <c r="D3693" t="s">
        <v>48</v>
      </c>
      <c r="E3693" s="17">
        <v>9.5</v>
      </c>
      <c r="F3693" s="17">
        <v>71.81</v>
      </c>
      <c r="G3693" s="18">
        <v>682.19500000000005</v>
      </c>
      <c r="H3693" s="30" t="s">
        <v>2324</v>
      </c>
      <c r="J3693" s="34"/>
    </row>
    <row r="3694" spans="1:10" x14ac:dyDescent="0.25">
      <c r="A3694" s="15">
        <v>41033</v>
      </c>
      <c r="B3694" s="16" t="s">
        <v>47</v>
      </c>
      <c r="C3694" t="s">
        <v>2824</v>
      </c>
      <c r="D3694" t="s">
        <v>48</v>
      </c>
      <c r="E3694" s="17">
        <v>9.5</v>
      </c>
      <c r="F3694" s="17">
        <v>71.81</v>
      </c>
      <c r="G3694" s="18">
        <v>682.19500000000005</v>
      </c>
      <c r="H3694" s="30" t="s">
        <v>2324</v>
      </c>
      <c r="J3694" s="34"/>
    </row>
    <row r="3695" spans="1:10" x14ac:dyDescent="0.25">
      <c r="A3695" s="15">
        <v>41034</v>
      </c>
      <c r="B3695" s="16" t="s">
        <v>47</v>
      </c>
      <c r="C3695" t="s">
        <v>2824</v>
      </c>
      <c r="D3695" t="s">
        <v>48</v>
      </c>
      <c r="E3695" s="17">
        <v>4</v>
      </c>
      <c r="F3695" s="17">
        <v>71.81</v>
      </c>
      <c r="G3695" s="18">
        <v>287.24</v>
      </c>
      <c r="H3695" s="30" t="s">
        <v>2324</v>
      </c>
      <c r="J3695" s="34"/>
    </row>
    <row r="3696" spans="1:10" x14ac:dyDescent="0.25">
      <c r="A3696" s="15">
        <v>41037</v>
      </c>
      <c r="B3696" s="16" t="s">
        <v>47</v>
      </c>
      <c r="C3696" t="s">
        <v>2824</v>
      </c>
      <c r="D3696" t="s">
        <v>48</v>
      </c>
      <c r="E3696" s="17">
        <v>9.5</v>
      </c>
      <c r="F3696" s="17">
        <v>71.81</v>
      </c>
      <c r="G3696" s="18">
        <v>682.19500000000005</v>
      </c>
      <c r="H3696" s="30" t="s">
        <v>2324</v>
      </c>
      <c r="J3696" s="34"/>
    </row>
    <row r="3697" spans="1:10" x14ac:dyDescent="0.25">
      <c r="A3697" s="15">
        <v>41038</v>
      </c>
      <c r="B3697" s="16" t="s">
        <v>47</v>
      </c>
      <c r="C3697" t="s">
        <v>2824</v>
      </c>
      <c r="D3697" t="s">
        <v>48</v>
      </c>
      <c r="E3697" s="17">
        <v>9.5</v>
      </c>
      <c r="F3697" s="17">
        <v>71.81</v>
      </c>
      <c r="G3697" s="18">
        <v>682.19500000000005</v>
      </c>
      <c r="H3697" s="30" t="s">
        <v>2324</v>
      </c>
      <c r="J3697" s="34"/>
    </row>
    <row r="3698" spans="1:10" x14ac:dyDescent="0.25">
      <c r="A3698" s="15">
        <v>41039</v>
      </c>
      <c r="B3698" s="16" t="s">
        <v>47</v>
      </c>
      <c r="C3698" t="s">
        <v>2824</v>
      </c>
      <c r="D3698" t="s">
        <v>48</v>
      </c>
      <c r="E3698" s="17">
        <v>6.5</v>
      </c>
      <c r="F3698" s="17">
        <v>71.81</v>
      </c>
      <c r="G3698" s="18">
        <v>466.76499999999999</v>
      </c>
      <c r="H3698" s="30" t="s">
        <v>2324</v>
      </c>
      <c r="J3698" s="34"/>
    </row>
    <row r="3699" spans="1:10" x14ac:dyDescent="0.25">
      <c r="A3699" s="15">
        <v>41040</v>
      </c>
      <c r="B3699" s="16" t="s">
        <v>47</v>
      </c>
      <c r="C3699" t="s">
        <v>2824</v>
      </c>
      <c r="D3699" t="s">
        <v>48</v>
      </c>
      <c r="E3699" s="17">
        <v>6.5</v>
      </c>
      <c r="F3699" s="17">
        <v>71.81</v>
      </c>
      <c r="G3699" s="18">
        <v>466.76499999999999</v>
      </c>
      <c r="H3699" s="30" t="s">
        <v>2324</v>
      </c>
      <c r="J3699" s="34"/>
    </row>
    <row r="3700" spans="1:10" x14ac:dyDescent="0.25">
      <c r="A3700" s="15">
        <v>41043</v>
      </c>
      <c r="B3700" s="16" t="s">
        <v>47</v>
      </c>
      <c r="C3700" t="s">
        <v>2824</v>
      </c>
      <c r="D3700" t="s">
        <v>48</v>
      </c>
      <c r="E3700" s="17">
        <v>9.5</v>
      </c>
      <c r="F3700" s="17">
        <v>71.81</v>
      </c>
      <c r="G3700" s="18">
        <v>682.19500000000005</v>
      </c>
      <c r="H3700" s="30" t="s">
        <v>2324</v>
      </c>
      <c r="J3700" s="34"/>
    </row>
    <row r="3701" spans="1:10" x14ac:dyDescent="0.25">
      <c r="A3701" s="15">
        <v>41044</v>
      </c>
      <c r="B3701" s="16" t="s">
        <v>47</v>
      </c>
      <c r="C3701" t="s">
        <v>2824</v>
      </c>
      <c r="D3701" t="s">
        <v>48</v>
      </c>
      <c r="E3701" s="17">
        <v>1</v>
      </c>
      <c r="F3701" s="17">
        <v>71.81</v>
      </c>
      <c r="G3701" s="18">
        <v>71.81</v>
      </c>
      <c r="H3701" s="30" t="s">
        <v>2324</v>
      </c>
      <c r="J3701" s="34"/>
    </row>
    <row r="3702" spans="1:10" x14ac:dyDescent="0.25">
      <c r="A3702" s="15">
        <v>41045</v>
      </c>
      <c r="B3702" s="16" t="s">
        <v>47</v>
      </c>
      <c r="C3702" t="s">
        <v>2824</v>
      </c>
      <c r="D3702" t="s">
        <v>48</v>
      </c>
      <c r="E3702" s="17">
        <v>8.5</v>
      </c>
      <c r="F3702" s="17">
        <v>71.81</v>
      </c>
      <c r="G3702" s="18">
        <v>610.38499999999999</v>
      </c>
      <c r="H3702" s="30" t="s">
        <v>2324</v>
      </c>
      <c r="J3702" s="34"/>
    </row>
    <row r="3703" spans="1:10" x14ac:dyDescent="0.25">
      <c r="A3703" s="15">
        <v>41046</v>
      </c>
      <c r="B3703" s="16" t="s">
        <v>47</v>
      </c>
      <c r="C3703" t="s">
        <v>2824</v>
      </c>
      <c r="D3703" t="s">
        <v>48</v>
      </c>
      <c r="E3703" s="17">
        <v>11.5</v>
      </c>
      <c r="F3703" s="17">
        <v>71.81</v>
      </c>
      <c r="G3703" s="18">
        <v>825.81500000000005</v>
      </c>
      <c r="H3703" s="30" t="s">
        <v>2324</v>
      </c>
      <c r="J3703" s="34"/>
    </row>
    <row r="3704" spans="1:10" x14ac:dyDescent="0.25">
      <c r="A3704" s="15">
        <v>41047</v>
      </c>
      <c r="B3704" s="16" t="s">
        <v>47</v>
      </c>
      <c r="C3704" t="s">
        <v>2824</v>
      </c>
      <c r="D3704" t="s">
        <v>48</v>
      </c>
      <c r="E3704" s="17">
        <v>11.5</v>
      </c>
      <c r="F3704" s="17">
        <v>71.81</v>
      </c>
      <c r="G3704" s="18">
        <v>825.81500000000005</v>
      </c>
      <c r="H3704" s="30" t="s">
        <v>2324</v>
      </c>
      <c r="J3704" s="34"/>
    </row>
    <row r="3705" spans="1:10" x14ac:dyDescent="0.25">
      <c r="A3705" s="15">
        <v>41048</v>
      </c>
      <c r="B3705" s="16" t="s">
        <v>47</v>
      </c>
      <c r="C3705" t="s">
        <v>2824</v>
      </c>
      <c r="D3705" t="s">
        <v>48</v>
      </c>
      <c r="E3705" s="17">
        <v>7</v>
      </c>
      <c r="F3705" s="17">
        <v>71.81</v>
      </c>
      <c r="G3705" s="18">
        <v>502.67</v>
      </c>
      <c r="H3705" s="30" t="s">
        <v>2324</v>
      </c>
      <c r="J3705" s="34"/>
    </row>
    <row r="3706" spans="1:10" x14ac:dyDescent="0.25">
      <c r="A3706" s="15">
        <v>41050</v>
      </c>
      <c r="B3706" s="16" t="s">
        <v>47</v>
      </c>
      <c r="C3706" t="s">
        <v>2824</v>
      </c>
      <c r="D3706" t="s">
        <v>48</v>
      </c>
      <c r="E3706" s="17">
        <v>10</v>
      </c>
      <c r="F3706" s="17">
        <v>71.81</v>
      </c>
      <c r="G3706" s="18">
        <v>718.1</v>
      </c>
      <c r="H3706" s="30" t="s">
        <v>2324</v>
      </c>
      <c r="J3706" s="34"/>
    </row>
    <row r="3707" spans="1:10" x14ac:dyDescent="0.25">
      <c r="A3707" s="15">
        <v>41051</v>
      </c>
      <c r="B3707" s="16" t="s">
        <v>47</v>
      </c>
      <c r="C3707" t="s">
        <v>2824</v>
      </c>
      <c r="D3707" t="s">
        <v>48</v>
      </c>
      <c r="E3707" s="17">
        <v>9.5</v>
      </c>
      <c r="F3707" s="17">
        <v>71.81</v>
      </c>
      <c r="G3707" s="18">
        <v>682.19500000000005</v>
      </c>
      <c r="H3707" s="30" t="s">
        <v>2324</v>
      </c>
      <c r="J3707" s="34"/>
    </row>
    <row r="3708" spans="1:10" x14ac:dyDescent="0.25">
      <c r="A3708" s="15">
        <v>41052</v>
      </c>
      <c r="B3708" s="16" t="s">
        <v>47</v>
      </c>
      <c r="C3708" t="s">
        <v>2824</v>
      </c>
      <c r="D3708" t="s">
        <v>48</v>
      </c>
      <c r="E3708" s="17">
        <v>9.5</v>
      </c>
      <c r="F3708" s="17">
        <v>71.81</v>
      </c>
      <c r="G3708" s="18">
        <v>682.19500000000005</v>
      </c>
      <c r="H3708" s="30" t="s">
        <v>2324</v>
      </c>
      <c r="J3708" s="34"/>
    </row>
    <row r="3709" spans="1:10" x14ac:dyDescent="0.25">
      <c r="A3709" s="15">
        <v>41053</v>
      </c>
      <c r="B3709" s="16" t="s">
        <v>47</v>
      </c>
      <c r="C3709" t="s">
        <v>2824</v>
      </c>
      <c r="D3709" t="s">
        <v>48</v>
      </c>
      <c r="E3709" s="17">
        <v>9.5</v>
      </c>
      <c r="F3709" s="17">
        <v>71.81</v>
      </c>
      <c r="G3709" s="18">
        <v>682.19500000000005</v>
      </c>
      <c r="H3709" s="30" t="s">
        <v>2324</v>
      </c>
      <c r="J3709" s="34"/>
    </row>
    <row r="3710" spans="1:10" x14ac:dyDescent="0.25">
      <c r="A3710" s="15">
        <v>41054</v>
      </c>
      <c r="B3710" s="16" t="s">
        <v>47</v>
      </c>
      <c r="C3710" t="s">
        <v>2824</v>
      </c>
      <c r="D3710" t="s">
        <v>48</v>
      </c>
      <c r="E3710" s="17">
        <v>6.5</v>
      </c>
      <c r="F3710" s="17">
        <v>71.81</v>
      </c>
      <c r="G3710" s="18">
        <v>466.76499999999999</v>
      </c>
      <c r="H3710" s="30" t="s">
        <v>2324</v>
      </c>
      <c r="J3710" s="34"/>
    </row>
    <row r="3711" spans="1:10" x14ac:dyDescent="0.25">
      <c r="A3711" s="15">
        <v>41057</v>
      </c>
      <c r="B3711" s="16" t="s">
        <v>47</v>
      </c>
      <c r="C3711" t="s">
        <v>2824</v>
      </c>
      <c r="D3711" t="s">
        <v>48</v>
      </c>
      <c r="E3711" s="17">
        <v>9.5</v>
      </c>
      <c r="F3711" s="17">
        <v>71.81</v>
      </c>
      <c r="G3711" s="18">
        <v>682.19500000000005</v>
      </c>
      <c r="H3711" s="30" t="s">
        <v>2324</v>
      </c>
      <c r="J3711" s="34"/>
    </row>
    <row r="3712" spans="1:10" x14ac:dyDescent="0.25">
      <c r="A3712" s="15">
        <v>41058</v>
      </c>
      <c r="B3712" s="16" t="s">
        <v>47</v>
      </c>
      <c r="C3712" t="s">
        <v>2824</v>
      </c>
      <c r="D3712" t="s">
        <v>48</v>
      </c>
      <c r="E3712" s="17">
        <v>9.5</v>
      </c>
      <c r="F3712" s="17">
        <v>71.81</v>
      </c>
      <c r="G3712" s="18">
        <v>682.19500000000005</v>
      </c>
      <c r="H3712" s="30" t="s">
        <v>2324</v>
      </c>
      <c r="J3712" s="34"/>
    </row>
    <row r="3713" spans="1:10" x14ac:dyDescent="0.25">
      <c r="A3713" s="15">
        <v>41059</v>
      </c>
      <c r="B3713" s="16" t="s">
        <v>47</v>
      </c>
      <c r="C3713" t="s">
        <v>2824</v>
      </c>
      <c r="D3713" t="s">
        <v>48</v>
      </c>
      <c r="E3713" s="17">
        <v>10</v>
      </c>
      <c r="F3713" s="17">
        <v>71.81</v>
      </c>
      <c r="G3713" s="18">
        <v>718.1</v>
      </c>
      <c r="H3713" s="30" t="s">
        <v>2324</v>
      </c>
      <c r="J3713" s="34"/>
    </row>
    <row r="3714" spans="1:10" x14ac:dyDescent="0.25">
      <c r="A3714" s="15">
        <v>41060</v>
      </c>
      <c r="B3714" s="16" t="s">
        <v>47</v>
      </c>
      <c r="C3714" t="s">
        <v>2824</v>
      </c>
      <c r="D3714" t="s">
        <v>48</v>
      </c>
      <c r="E3714" s="17">
        <v>8</v>
      </c>
      <c r="F3714" s="17">
        <v>71.81</v>
      </c>
      <c r="G3714" s="18">
        <v>574.48</v>
      </c>
      <c r="H3714" s="30" t="s">
        <v>2324</v>
      </c>
      <c r="J3714" s="34"/>
    </row>
    <row r="3715" spans="1:10" x14ac:dyDescent="0.25">
      <c r="A3715" s="15">
        <v>41061</v>
      </c>
      <c r="B3715" s="16" t="s">
        <v>47</v>
      </c>
      <c r="C3715" t="s">
        <v>2824</v>
      </c>
      <c r="D3715" t="s">
        <v>48</v>
      </c>
      <c r="E3715" s="17">
        <v>10</v>
      </c>
      <c r="F3715" s="17">
        <v>71.81</v>
      </c>
      <c r="G3715" s="18">
        <v>718.1</v>
      </c>
      <c r="H3715" s="30" t="s">
        <v>2324</v>
      </c>
      <c r="J3715" s="34"/>
    </row>
    <row r="3716" spans="1:10" x14ac:dyDescent="0.25">
      <c r="A3716" s="15">
        <v>41062</v>
      </c>
      <c r="B3716" s="16" t="s">
        <v>47</v>
      </c>
      <c r="C3716" t="s">
        <v>2824</v>
      </c>
      <c r="D3716" t="s">
        <v>48</v>
      </c>
      <c r="E3716" s="17">
        <v>4</v>
      </c>
      <c r="F3716" s="17">
        <v>71.81</v>
      </c>
      <c r="G3716" s="18">
        <v>287.24</v>
      </c>
      <c r="H3716" s="30" t="s">
        <v>2324</v>
      </c>
      <c r="J3716" s="34"/>
    </row>
    <row r="3717" spans="1:10" x14ac:dyDescent="0.25">
      <c r="A3717" s="15">
        <v>41064</v>
      </c>
      <c r="B3717" s="16" t="s">
        <v>47</v>
      </c>
      <c r="C3717" t="s">
        <v>2824</v>
      </c>
      <c r="D3717" t="s">
        <v>48</v>
      </c>
      <c r="E3717" s="17">
        <v>11.5</v>
      </c>
      <c r="F3717" s="17">
        <v>71.81</v>
      </c>
      <c r="G3717" s="18">
        <v>825.81500000000005</v>
      </c>
      <c r="H3717" s="30" t="s">
        <v>2324</v>
      </c>
      <c r="J3717" s="34"/>
    </row>
    <row r="3718" spans="1:10" x14ac:dyDescent="0.25">
      <c r="A3718" s="15">
        <v>41065</v>
      </c>
      <c r="B3718" s="16" t="s">
        <v>47</v>
      </c>
      <c r="C3718" t="s">
        <v>2824</v>
      </c>
      <c r="D3718" t="s">
        <v>48</v>
      </c>
      <c r="E3718" s="17">
        <v>10.5</v>
      </c>
      <c r="F3718" s="17">
        <v>71.81</v>
      </c>
      <c r="G3718" s="18">
        <v>754.005</v>
      </c>
      <c r="H3718" s="30" t="s">
        <v>2324</v>
      </c>
      <c r="J3718" s="34"/>
    </row>
    <row r="3719" spans="1:10" x14ac:dyDescent="0.25">
      <c r="A3719" s="15">
        <v>41066</v>
      </c>
      <c r="B3719" s="16" t="s">
        <v>47</v>
      </c>
      <c r="C3719" t="s">
        <v>2824</v>
      </c>
      <c r="D3719" t="s">
        <v>48</v>
      </c>
      <c r="E3719" s="17">
        <v>9.5</v>
      </c>
      <c r="F3719" s="17">
        <v>71.81</v>
      </c>
      <c r="G3719" s="18">
        <v>682.19500000000005</v>
      </c>
      <c r="H3719" s="30" t="s">
        <v>2324</v>
      </c>
      <c r="J3719" s="34"/>
    </row>
    <row r="3720" spans="1:10" x14ac:dyDescent="0.25">
      <c r="A3720" s="15">
        <v>41067</v>
      </c>
      <c r="B3720" s="16" t="s">
        <v>47</v>
      </c>
      <c r="C3720" t="s">
        <v>2824</v>
      </c>
      <c r="D3720" t="s">
        <v>48</v>
      </c>
      <c r="E3720" s="17">
        <v>9.5</v>
      </c>
      <c r="F3720" s="17">
        <v>71.81</v>
      </c>
      <c r="G3720" s="18">
        <v>682.19500000000005</v>
      </c>
      <c r="H3720" s="30" t="s">
        <v>2324</v>
      </c>
      <c r="J3720" s="34"/>
    </row>
    <row r="3721" spans="1:10" x14ac:dyDescent="0.25">
      <c r="A3721" s="15">
        <v>41068</v>
      </c>
      <c r="B3721" s="16" t="s">
        <v>47</v>
      </c>
      <c r="C3721" t="s">
        <v>2824</v>
      </c>
      <c r="D3721" t="s">
        <v>48</v>
      </c>
      <c r="E3721" s="17">
        <v>8</v>
      </c>
      <c r="F3721" s="17">
        <v>71.81</v>
      </c>
      <c r="G3721" s="18">
        <v>574.48</v>
      </c>
      <c r="H3721" s="30" t="s">
        <v>2324</v>
      </c>
      <c r="J3721" s="34"/>
    </row>
    <row r="3722" spans="1:10" x14ac:dyDescent="0.25">
      <c r="A3722" s="15">
        <v>41072</v>
      </c>
      <c r="B3722" s="16" t="s">
        <v>47</v>
      </c>
      <c r="C3722" t="s">
        <v>2824</v>
      </c>
      <c r="D3722" t="s">
        <v>48</v>
      </c>
      <c r="E3722" s="17">
        <v>9.5</v>
      </c>
      <c r="F3722" s="17">
        <v>71.81</v>
      </c>
      <c r="G3722" s="18">
        <v>682.19500000000005</v>
      </c>
      <c r="H3722" s="30" t="s">
        <v>2324</v>
      </c>
      <c r="J3722" s="34"/>
    </row>
    <row r="3723" spans="1:10" x14ac:dyDescent="0.25">
      <c r="A3723" s="15">
        <v>41073</v>
      </c>
      <c r="B3723" s="16" t="s">
        <v>47</v>
      </c>
      <c r="C3723" t="s">
        <v>2824</v>
      </c>
      <c r="D3723" t="s">
        <v>48</v>
      </c>
      <c r="E3723" s="17">
        <v>9.5</v>
      </c>
      <c r="F3723" s="17">
        <v>71.81</v>
      </c>
      <c r="G3723" s="18">
        <v>682.19500000000005</v>
      </c>
      <c r="H3723" s="30" t="s">
        <v>2324</v>
      </c>
      <c r="J3723" s="34"/>
    </row>
    <row r="3724" spans="1:10" x14ac:dyDescent="0.25">
      <c r="A3724" s="15">
        <v>41074</v>
      </c>
      <c r="B3724" s="16" t="s">
        <v>47</v>
      </c>
      <c r="C3724" t="s">
        <v>2824</v>
      </c>
      <c r="D3724" t="s">
        <v>48</v>
      </c>
      <c r="E3724" s="17">
        <v>9.5</v>
      </c>
      <c r="F3724" s="17">
        <v>71.81</v>
      </c>
      <c r="G3724" s="18">
        <v>682.19500000000005</v>
      </c>
      <c r="H3724" s="30" t="s">
        <v>2324</v>
      </c>
      <c r="J3724" s="34"/>
    </row>
    <row r="3725" spans="1:10" x14ac:dyDescent="0.25">
      <c r="A3725" s="15">
        <v>41075</v>
      </c>
      <c r="B3725" s="16" t="s">
        <v>47</v>
      </c>
      <c r="C3725" t="s">
        <v>2824</v>
      </c>
      <c r="D3725" t="s">
        <v>48</v>
      </c>
      <c r="E3725" s="17">
        <v>9.5</v>
      </c>
      <c r="F3725" s="17">
        <v>71.81</v>
      </c>
      <c r="G3725" s="18">
        <v>682.19500000000005</v>
      </c>
      <c r="H3725" s="30" t="s">
        <v>2324</v>
      </c>
      <c r="J3725" s="34"/>
    </row>
    <row r="3726" spans="1:10" x14ac:dyDescent="0.25">
      <c r="A3726" s="15">
        <v>41076</v>
      </c>
      <c r="B3726" s="16" t="s">
        <v>47</v>
      </c>
      <c r="C3726" t="s">
        <v>2824</v>
      </c>
      <c r="D3726" t="s">
        <v>48</v>
      </c>
      <c r="E3726" s="17">
        <v>6.5</v>
      </c>
      <c r="F3726" s="17">
        <v>71.81</v>
      </c>
      <c r="G3726" s="18">
        <v>466.76499999999999</v>
      </c>
      <c r="H3726" s="30" t="s">
        <v>2324</v>
      </c>
      <c r="J3726" s="34"/>
    </row>
    <row r="3727" spans="1:10" x14ac:dyDescent="0.25">
      <c r="A3727" s="15">
        <v>41078</v>
      </c>
      <c r="B3727" s="16" t="s">
        <v>47</v>
      </c>
      <c r="C3727" t="s">
        <v>2824</v>
      </c>
      <c r="D3727" t="s">
        <v>48</v>
      </c>
      <c r="E3727" s="17">
        <v>9.5</v>
      </c>
      <c r="F3727" s="17">
        <v>71.81</v>
      </c>
      <c r="G3727" s="18">
        <v>682.19500000000005</v>
      </c>
      <c r="H3727" s="30" t="s">
        <v>2324</v>
      </c>
      <c r="J3727" s="34"/>
    </row>
    <row r="3728" spans="1:10" x14ac:dyDescent="0.25">
      <c r="A3728" s="15">
        <v>41079</v>
      </c>
      <c r="B3728" s="16" t="s">
        <v>47</v>
      </c>
      <c r="C3728" t="s">
        <v>2824</v>
      </c>
      <c r="D3728" t="s">
        <v>48</v>
      </c>
      <c r="E3728" s="17">
        <v>9.5</v>
      </c>
      <c r="F3728" s="17">
        <v>71.81</v>
      </c>
      <c r="G3728" s="18">
        <v>682.19500000000005</v>
      </c>
      <c r="H3728" s="30" t="s">
        <v>2324</v>
      </c>
      <c r="J3728" s="34"/>
    </row>
    <row r="3729" spans="1:10" x14ac:dyDescent="0.25">
      <c r="A3729" s="15">
        <v>41080</v>
      </c>
      <c r="B3729" s="16" t="s">
        <v>47</v>
      </c>
      <c r="C3729" t="s">
        <v>2824</v>
      </c>
      <c r="D3729" t="s">
        <v>48</v>
      </c>
      <c r="E3729" s="17">
        <v>9.5</v>
      </c>
      <c r="F3729" s="17">
        <v>71.81</v>
      </c>
      <c r="G3729" s="18">
        <v>682.19500000000005</v>
      </c>
      <c r="H3729" s="30" t="s">
        <v>2324</v>
      </c>
      <c r="J3729" s="34"/>
    </row>
    <row r="3730" spans="1:10" x14ac:dyDescent="0.25">
      <c r="A3730" s="15">
        <v>41081</v>
      </c>
      <c r="B3730" s="16" t="s">
        <v>47</v>
      </c>
      <c r="C3730" t="s">
        <v>2824</v>
      </c>
      <c r="D3730" t="s">
        <v>48</v>
      </c>
      <c r="E3730" s="17">
        <v>8.5</v>
      </c>
      <c r="F3730" s="17">
        <v>71.81</v>
      </c>
      <c r="G3730" s="18">
        <v>610.38499999999999</v>
      </c>
      <c r="H3730" s="30" t="s">
        <v>2324</v>
      </c>
      <c r="J3730" s="34"/>
    </row>
    <row r="3731" spans="1:10" x14ac:dyDescent="0.25">
      <c r="A3731" s="15">
        <v>41085</v>
      </c>
      <c r="B3731" s="16" t="s">
        <v>47</v>
      </c>
      <c r="C3731" t="s">
        <v>2824</v>
      </c>
      <c r="D3731" t="s">
        <v>48</v>
      </c>
      <c r="E3731" s="17">
        <v>8</v>
      </c>
      <c r="F3731" s="17">
        <v>71.81</v>
      </c>
      <c r="G3731" s="18">
        <v>574.48</v>
      </c>
      <c r="H3731" s="30" t="s">
        <v>2324</v>
      </c>
      <c r="J3731" s="34"/>
    </row>
    <row r="3732" spans="1:10" x14ac:dyDescent="0.25">
      <c r="A3732" s="15">
        <v>41086</v>
      </c>
      <c r="B3732" s="16" t="s">
        <v>47</v>
      </c>
      <c r="C3732" t="s">
        <v>2824</v>
      </c>
      <c r="D3732" t="s">
        <v>48</v>
      </c>
      <c r="E3732" s="17">
        <v>8</v>
      </c>
      <c r="F3732" s="17">
        <v>71.81</v>
      </c>
      <c r="G3732" s="18">
        <v>574.48</v>
      </c>
      <c r="H3732" s="30" t="s">
        <v>2324</v>
      </c>
      <c r="J3732" s="34"/>
    </row>
    <row r="3733" spans="1:10" x14ac:dyDescent="0.25">
      <c r="A3733" s="15">
        <v>41087</v>
      </c>
      <c r="B3733" s="16" t="s">
        <v>47</v>
      </c>
      <c r="C3733" t="s">
        <v>2824</v>
      </c>
      <c r="D3733" t="s">
        <v>48</v>
      </c>
      <c r="E3733" s="17">
        <v>8</v>
      </c>
      <c r="F3733" s="17">
        <v>71.81</v>
      </c>
      <c r="G3733" s="18">
        <v>574.48</v>
      </c>
      <c r="H3733" s="30" t="s">
        <v>2324</v>
      </c>
      <c r="J3733" s="34"/>
    </row>
    <row r="3734" spans="1:10" x14ac:dyDescent="0.25">
      <c r="A3734" s="15">
        <v>41088</v>
      </c>
      <c r="B3734" s="16" t="s">
        <v>47</v>
      </c>
      <c r="C3734" t="s">
        <v>2824</v>
      </c>
      <c r="D3734" t="s">
        <v>48</v>
      </c>
      <c r="E3734" s="17">
        <v>9.5</v>
      </c>
      <c r="F3734" s="17">
        <v>71.81</v>
      </c>
      <c r="G3734" s="18">
        <v>682.19500000000005</v>
      </c>
      <c r="H3734" s="30" t="s">
        <v>2324</v>
      </c>
      <c r="J3734" s="34"/>
    </row>
    <row r="3735" spans="1:10" x14ac:dyDescent="0.25">
      <c r="A3735" s="15">
        <v>41089</v>
      </c>
      <c r="B3735" s="16" t="s">
        <v>47</v>
      </c>
      <c r="C3735" t="s">
        <v>2824</v>
      </c>
      <c r="D3735" t="s">
        <v>48</v>
      </c>
      <c r="E3735" s="17">
        <v>7</v>
      </c>
      <c r="F3735" s="17">
        <v>71.81</v>
      </c>
      <c r="G3735" s="18">
        <v>502.67</v>
      </c>
      <c r="H3735" s="30" t="s">
        <v>2324</v>
      </c>
      <c r="J3735" s="34"/>
    </row>
    <row r="3736" spans="1:10" x14ac:dyDescent="0.25">
      <c r="A3736" s="15">
        <v>41090</v>
      </c>
      <c r="B3736" s="16" t="s">
        <v>47</v>
      </c>
      <c r="C3736" t="s">
        <v>2824</v>
      </c>
      <c r="D3736" t="s">
        <v>48</v>
      </c>
      <c r="E3736" s="17">
        <v>4</v>
      </c>
      <c r="F3736" s="17">
        <v>71.81</v>
      </c>
      <c r="G3736" s="18">
        <v>287.24</v>
      </c>
      <c r="H3736" s="30" t="s">
        <v>2324</v>
      </c>
      <c r="J3736" s="34"/>
    </row>
    <row r="3737" spans="1:10" x14ac:dyDescent="0.25">
      <c r="A3737" s="15">
        <v>41092</v>
      </c>
      <c r="B3737" s="16" t="s">
        <v>47</v>
      </c>
      <c r="C3737" t="s">
        <v>2824</v>
      </c>
      <c r="D3737" t="s">
        <v>48</v>
      </c>
      <c r="E3737" s="17">
        <v>12.561</v>
      </c>
      <c r="F3737" s="17">
        <v>71.81</v>
      </c>
      <c r="G3737" s="18">
        <v>902.00540999999998</v>
      </c>
      <c r="H3737" s="30" t="s">
        <v>2324</v>
      </c>
      <c r="J3737" s="34"/>
    </row>
    <row r="3738" spans="1:10" x14ac:dyDescent="0.25">
      <c r="A3738" s="15">
        <v>41093</v>
      </c>
      <c r="B3738" s="16" t="s">
        <v>47</v>
      </c>
      <c r="C3738" t="s">
        <v>2824</v>
      </c>
      <c r="D3738" t="s">
        <v>48</v>
      </c>
      <c r="E3738" s="17">
        <v>9.5</v>
      </c>
      <c r="F3738" s="17">
        <v>71.81</v>
      </c>
      <c r="G3738" s="18">
        <v>682.19500000000005</v>
      </c>
      <c r="H3738" s="30" t="s">
        <v>2324</v>
      </c>
      <c r="J3738" s="34"/>
    </row>
    <row r="3739" spans="1:10" x14ac:dyDescent="0.25">
      <c r="A3739" s="15">
        <v>41094</v>
      </c>
      <c r="B3739" s="16" t="s">
        <v>47</v>
      </c>
      <c r="C3739" t="s">
        <v>2824</v>
      </c>
      <c r="D3739" t="s">
        <v>48</v>
      </c>
      <c r="E3739" s="17">
        <v>9</v>
      </c>
      <c r="F3739" s="17">
        <v>71.81</v>
      </c>
      <c r="G3739" s="18">
        <v>646.29</v>
      </c>
      <c r="H3739" s="30" t="s">
        <v>2324</v>
      </c>
      <c r="J3739" s="34"/>
    </row>
    <row r="3740" spans="1:10" x14ac:dyDescent="0.25">
      <c r="A3740" s="15">
        <v>41095</v>
      </c>
      <c r="B3740" s="16" t="s">
        <v>47</v>
      </c>
      <c r="C3740" t="s">
        <v>2824</v>
      </c>
      <c r="D3740" t="s">
        <v>48</v>
      </c>
      <c r="E3740" s="17">
        <v>8</v>
      </c>
      <c r="F3740" s="17">
        <v>71.81</v>
      </c>
      <c r="G3740" s="18">
        <v>574.48</v>
      </c>
      <c r="H3740" s="30" t="s">
        <v>2324</v>
      </c>
      <c r="J3740" s="34"/>
    </row>
    <row r="3741" spans="1:10" x14ac:dyDescent="0.25">
      <c r="A3741" s="15">
        <v>41096</v>
      </c>
      <c r="B3741" s="16" t="s">
        <v>47</v>
      </c>
      <c r="C3741" t="s">
        <v>2824</v>
      </c>
      <c r="D3741" t="s">
        <v>48</v>
      </c>
      <c r="E3741" s="17">
        <v>8</v>
      </c>
      <c r="F3741" s="17">
        <v>71.81</v>
      </c>
      <c r="G3741" s="18">
        <v>574.48</v>
      </c>
      <c r="H3741" s="30" t="s">
        <v>2324</v>
      </c>
      <c r="J3741" s="34"/>
    </row>
    <row r="3742" spans="1:10" x14ac:dyDescent="0.25">
      <c r="A3742" s="15">
        <v>41099</v>
      </c>
      <c r="B3742" s="16" t="s">
        <v>47</v>
      </c>
      <c r="C3742" t="s">
        <v>2824</v>
      </c>
      <c r="D3742" t="s">
        <v>48</v>
      </c>
      <c r="E3742" s="17">
        <v>8</v>
      </c>
      <c r="F3742" s="17">
        <v>71.81</v>
      </c>
      <c r="G3742" s="18">
        <v>574.48</v>
      </c>
      <c r="H3742" s="30" t="s">
        <v>2324</v>
      </c>
      <c r="J3742" s="34"/>
    </row>
    <row r="3743" spans="1:10" x14ac:dyDescent="0.25">
      <c r="A3743" s="15">
        <v>41100</v>
      </c>
      <c r="B3743" s="16" t="s">
        <v>47</v>
      </c>
      <c r="C3743" t="s">
        <v>2824</v>
      </c>
      <c r="D3743" t="s">
        <v>48</v>
      </c>
      <c r="E3743" s="17">
        <v>8</v>
      </c>
      <c r="F3743" s="17">
        <v>71.81</v>
      </c>
      <c r="G3743" s="18">
        <v>574.48</v>
      </c>
      <c r="H3743" s="30" t="s">
        <v>2324</v>
      </c>
      <c r="J3743" s="34"/>
    </row>
    <row r="3744" spans="1:10" x14ac:dyDescent="0.25">
      <c r="A3744" s="15">
        <v>41101</v>
      </c>
      <c r="B3744" s="16" t="s">
        <v>47</v>
      </c>
      <c r="C3744" t="s">
        <v>2824</v>
      </c>
      <c r="D3744" t="s">
        <v>48</v>
      </c>
      <c r="E3744" s="17">
        <v>8</v>
      </c>
      <c r="F3744" s="17">
        <v>71.81</v>
      </c>
      <c r="G3744" s="18">
        <v>574.48</v>
      </c>
      <c r="H3744" s="30" t="s">
        <v>2324</v>
      </c>
      <c r="J3744" s="34"/>
    </row>
    <row r="3745" spans="1:10" x14ac:dyDescent="0.25">
      <c r="A3745" s="15">
        <v>41102</v>
      </c>
      <c r="B3745" s="16" t="s">
        <v>47</v>
      </c>
      <c r="C3745" t="s">
        <v>2824</v>
      </c>
      <c r="D3745" t="s">
        <v>48</v>
      </c>
      <c r="E3745" s="17">
        <v>8</v>
      </c>
      <c r="F3745" s="17">
        <v>71.81</v>
      </c>
      <c r="G3745" s="18">
        <v>574.48</v>
      </c>
      <c r="H3745" s="30" t="s">
        <v>2324</v>
      </c>
      <c r="J3745" s="34"/>
    </row>
    <row r="3746" spans="1:10" x14ac:dyDescent="0.25">
      <c r="A3746" s="15">
        <v>41103</v>
      </c>
      <c r="B3746" s="16" t="s">
        <v>47</v>
      </c>
      <c r="C3746" t="s">
        <v>2824</v>
      </c>
      <c r="D3746" t="s">
        <v>48</v>
      </c>
      <c r="E3746" s="17">
        <v>6.5</v>
      </c>
      <c r="F3746" s="17">
        <v>71.81</v>
      </c>
      <c r="G3746" s="18">
        <v>466.76499999999999</v>
      </c>
      <c r="H3746" s="30" t="s">
        <v>2324</v>
      </c>
      <c r="J3746" s="34"/>
    </row>
    <row r="3747" spans="1:10" x14ac:dyDescent="0.25">
      <c r="A3747" s="15">
        <v>41106</v>
      </c>
      <c r="B3747" s="16" t="s">
        <v>47</v>
      </c>
      <c r="C3747" t="s">
        <v>2824</v>
      </c>
      <c r="D3747" t="s">
        <v>48</v>
      </c>
      <c r="E3747" s="17">
        <v>10</v>
      </c>
      <c r="F3747" s="17">
        <v>71.81</v>
      </c>
      <c r="G3747" s="18">
        <v>718.1</v>
      </c>
      <c r="H3747" s="30" t="s">
        <v>2324</v>
      </c>
      <c r="J3747" s="34"/>
    </row>
    <row r="3748" spans="1:10" x14ac:dyDescent="0.25">
      <c r="A3748" s="15">
        <v>41107</v>
      </c>
      <c r="B3748" s="16" t="s">
        <v>47</v>
      </c>
      <c r="C3748" t="s">
        <v>2824</v>
      </c>
      <c r="D3748" t="s">
        <v>48</v>
      </c>
      <c r="E3748" s="17">
        <v>8</v>
      </c>
      <c r="F3748" s="17">
        <v>71.81</v>
      </c>
      <c r="G3748" s="18">
        <v>574.48</v>
      </c>
      <c r="H3748" s="30" t="s">
        <v>2324</v>
      </c>
      <c r="J3748" s="34"/>
    </row>
    <row r="3749" spans="1:10" x14ac:dyDescent="0.25">
      <c r="A3749" s="15">
        <v>41108</v>
      </c>
      <c r="B3749" s="16" t="s">
        <v>47</v>
      </c>
      <c r="C3749" t="s">
        <v>2824</v>
      </c>
      <c r="D3749" t="s">
        <v>48</v>
      </c>
      <c r="E3749" s="17">
        <v>8</v>
      </c>
      <c r="F3749" s="17">
        <v>71.81</v>
      </c>
      <c r="G3749" s="18">
        <v>574.48</v>
      </c>
      <c r="H3749" s="30" t="s">
        <v>2324</v>
      </c>
      <c r="J3749" s="34"/>
    </row>
    <row r="3750" spans="1:10" x14ac:dyDescent="0.25">
      <c r="A3750" s="15">
        <v>41109</v>
      </c>
      <c r="B3750" s="16" t="s">
        <v>47</v>
      </c>
      <c r="C3750" t="s">
        <v>2824</v>
      </c>
      <c r="D3750" t="s">
        <v>48</v>
      </c>
      <c r="E3750" s="17">
        <v>8</v>
      </c>
      <c r="F3750" s="17">
        <v>71.81</v>
      </c>
      <c r="G3750" s="18">
        <v>574.48</v>
      </c>
      <c r="H3750" s="30" t="s">
        <v>2324</v>
      </c>
      <c r="J3750" s="34"/>
    </row>
    <row r="3751" spans="1:10" x14ac:dyDescent="0.25">
      <c r="A3751" s="15">
        <v>41110</v>
      </c>
      <c r="B3751" s="16" t="s">
        <v>47</v>
      </c>
      <c r="C3751" t="s">
        <v>2824</v>
      </c>
      <c r="D3751" t="s">
        <v>48</v>
      </c>
      <c r="E3751" s="17">
        <v>8</v>
      </c>
      <c r="F3751" s="17">
        <v>71.81</v>
      </c>
      <c r="G3751" s="18">
        <v>574.48</v>
      </c>
      <c r="H3751" s="30" t="s">
        <v>2324</v>
      </c>
      <c r="J3751" s="34"/>
    </row>
    <row r="3752" spans="1:10" x14ac:dyDescent="0.25">
      <c r="A3752" s="15">
        <v>41111</v>
      </c>
      <c r="B3752" s="16" t="s">
        <v>47</v>
      </c>
      <c r="C3752" t="s">
        <v>2824</v>
      </c>
      <c r="D3752" t="s">
        <v>48</v>
      </c>
      <c r="E3752" s="17">
        <v>7</v>
      </c>
      <c r="F3752" s="17">
        <v>71.81</v>
      </c>
      <c r="G3752" s="18">
        <v>502.67</v>
      </c>
      <c r="H3752" s="30" t="s">
        <v>2324</v>
      </c>
      <c r="J3752" s="34"/>
    </row>
    <row r="3753" spans="1:10" x14ac:dyDescent="0.25">
      <c r="A3753" s="15">
        <v>41113</v>
      </c>
      <c r="B3753" s="16" t="s">
        <v>47</v>
      </c>
      <c r="C3753" t="s">
        <v>2824</v>
      </c>
      <c r="D3753" t="s">
        <v>48</v>
      </c>
      <c r="E3753" s="17">
        <v>9.5</v>
      </c>
      <c r="F3753" s="17">
        <v>71.81</v>
      </c>
      <c r="G3753" s="18">
        <v>682.19500000000005</v>
      </c>
      <c r="H3753" s="30" t="s">
        <v>2324</v>
      </c>
      <c r="J3753" s="34"/>
    </row>
    <row r="3754" spans="1:10" x14ac:dyDescent="0.25">
      <c r="A3754" s="15">
        <v>41114</v>
      </c>
      <c r="B3754" s="16" t="s">
        <v>47</v>
      </c>
      <c r="C3754" t="s">
        <v>2824</v>
      </c>
      <c r="D3754" t="s">
        <v>48</v>
      </c>
      <c r="E3754" s="17">
        <v>9.5</v>
      </c>
      <c r="F3754" s="17">
        <v>71.81</v>
      </c>
      <c r="G3754" s="18">
        <v>682.19500000000005</v>
      </c>
      <c r="H3754" s="30" t="s">
        <v>2324</v>
      </c>
      <c r="J3754" s="34"/>
    </row>
    <row r="3755" spans="1:10" x14ac:dyDescent="0.25">
      <c r="A3755" s="15">
        <v>41115</v>
      </c>
      <c r="B3755" s="16" t="s">
        <v>47</v>
      </c>
      <c r="C3755" t="s">
        <v>2824</v>
      </c>
      <c r="D3755" t="s">
        <v>48</v>
      </c>
      <c r="E3755" s="17">
        <v>9.5</v>
      </c>
      <c r="F3755" s="17">
        <v>71.81</v>
      </c>
      <c r="G3755" s="18">
        <v>682.19500000000005</v>
      </c>
      <c r="H3755" s="30" t="s">
        <v>2324</v>
      </c>
      <c r="J3755" s="34"/>
    </row>
    <row r="3756" spans="1:10" x14ac:dyDescent="0.25">
      <c r="A3756" s="15">
        <v>41116</v>
      </c>
      <c r="B3756" s="16" t="s">
        <v>47</v>
      </c>
      <c r="C3756" t="s">
        <v>2824</v>
      </c>
      <c r="D3756" t="s">
        <v>48</v>
      </c>
      <c r="E3756" s="17">
        <v>9.5</v>
      </c>
      <c r="F3756" s="17">
        <v>71.81</v>
      </c>
      <c r="G3756" s="18">
        <v>682.19500000000005</v>
      </c>
      <c r="H3756" s="30" t="s">
        <v>2324</v>
      </c>
      <c r="J3756" s="34"/>
    </row>
    <row r="3757" spans="1:10" x14ac:dyDescent="0.25">
      <c r="A3757" s="15">
        <v>41117</v>
      </c>
      <c r="B3757" s="16" t="s">
        <v>47</v>
      </c>
      <c r="C3757" t="s">
        <v>2824</v>
      </c>
      <c r="D3757" t="s">
        <v>48</v>
      </c>
      <c r="E3757" s="17">
        <v>9.5</v>
      </c>
      <c r="F3757" s="17">
        <v>71.81</v>
      </c>
      <c r="G3757" s="18">
        <v>682.19500000000005</v>
      </c>
      <c r="H3757" s="30" t="s">
        <v>2324</v>
      </c>
      <c r="J3757" s="34"/>
    </row>
    <row r="3758" spans="1:10" x14ac:dyDescent="0.25">
      <c r="A3758" s="15">
        <v>41118</v>
      </c>
      <c r="B3758" s="16" t="s">
        <v>47</v>
      </c>
      <c r="C3758" t="s">
        <v>2824</v>
      </c>
      <c r="D3758" t="s">
        <v>48</v>
      </c>
      <c r="E3758" s="17">
        <v>8</v>
      </c>
      <c r="F3758" s="17">
        <v>71.81</v>
      </c>
      <c r="G3758" s="18">
        <v>574.48</v>
      </c>
      <c r="H3758" s="30" t="s">
        <v>2324</v>
      </c>
      <c r="J3758" s="34"/>
    </row>
    <row r="3759" spans="1:10" x14ac:dyDescent="0.25">
      <c r="A3759" s="15">
        <v>41120</v>
      </c>
      <c r="B3759" s="16" t="s">
        <v>47</v>
      </c>
      <c r="C3759" t="s">
        <v>2824</v>
      </c>
      <c r="D3759" t="s">
        <v>48</v>
      </c>
      <c r="E3759" s="17">
        <v>9.5</v>
      </c>
      <c r="F3759" s="17">
        <v>71.81</v>
      </c>
      <c r="G3759" s="18">
        <v>682.19500000000005</v>
      </c>
      <c r="H3759" s="30" t="s">
        <v>2324</v>
      </c>
      <c r="J3759" s="34"/>
    </row>
    <row r="3760" spans="1:10" x14ac:dyDescent="0.25">
      <c r="A3760" s="15">
        <v>41121</v>
      </c>
      <c r="B3760" s="16" t="s">
        <v>47</v>
      </c>
      <c r="C3760" t="s">
        <v>2824</v>
      </c>
      <c r="D3760" t="s">
        <v>48</v>
      </c>
      <c r="E3760" s="17">
        <v>10</v>
      </c>
      <c r="F3760" s="17">
        <v>71.81</v>
      </c>
      <c r="G3760" s="18">
        <v>718.1</v>
      </c>
      <c r="H3760" s="30" t="s">
        <v>2324</v>
      </c>
      <c r="J3760" s="34"/>
    </row>
    <row r="3761" spans="1:10" x14ac:dyDescent="0.25">
      <c r="A3761" s="15">
        <v>41122</v>
      </c>
      <c r="B3761" s="16" t="s">
        <v>47</v>
      </c>
      <c r="C3761" t="s">
        <v>2824</v>
      </c>
      <c r="D3761" t="s">
        <v>48</v>
      </c>
      <c r="E3761" s="17">
        <v>9.5</v>
      </c>
      <c r="F3761" s="17">
        <v>71.81</v>
      </c>
      <c r="G3761" s="18">
        <v>682.19500000000005</v>
      </c>
      <c r="H3761" s="30" t="s">
        <v>2324</v>
      </c>
      <c r="J3761" s="34"/>
    </row>
    <row r="3762" spans="1:10" x14ac:dyDescent="0.25">
      <c r="A3762" s="15">
        <v>41123</v>
      </c>
      <c r="B3762" s="16" t="s">
        <v>47</v>
      </c>
      <c r="C3762" t="s">
        <v>2824</v>
      </c>
      <c r="D3762" t="s">
        <v>48</v>
      </c>
      <c r="E3762" s="17">
        <v>10.5</v>
      </c>
      <c r="F3762" s="17">
        <v>71.81</v>
      </c>
      <c r="G3762" s="18">
        <v>754.005</v>
      </c>
      <c r="H3762" s="30" t="s">
        <v>2324</v>
      </c>
      <c r="J3762" s="34"/>
    </row>
    <row r="3763" spans="1:10" x14ac:dyDescent="0.25">
      <c r="A3763" s="15">
        <v>41124</v>
      </c>
      <c r="B3763" s="16" t="s">
        <v>47</v>
      </c>
      <c r="C3763" t="s">
        <v>2824</v>
      </c>
      <c r="D3763" t="s">
        <v>48</v>
      </c>
      <c r="E3763" s="17">
        <v>10.5</v>
      </c>
      <c r="F3763" s="17">
        <v>71.81</v>
      </c>
      <c r="G3763" s="18">
        <v>754.005</v>
      </c>
      <c r="H3763" s="30" t="s">
        <v>2324</v>
      </c>
      <c r="J3763" s="34"/>
    </row>
    <row r="3764" spans="1:10" x14ac:dyDescent="0.25">
      <c r="A3764" s="15">
        <v>41125</v>
      </c>
      <c r="B3764" s="16" t="s">
        <v>47</v>
      </c>
      <c r="C3764" t="s">
        <v>2824</v>
      </c>
      <c r="D3764" t="s">
        <v>48</v>
      </c>
      <c r="E3764" s="17">
        <v>6.5</v>
      </c>
      <c r="F3764" s="17">
        <v>71.81</v>
      </c>
      <c r="G3764" s="18">
        <v>466.76499999999999</v>
      </c>
      <c r="H3764" s="30" t="s">
        <v>2324</v>
      </c>
      <c r="J3764" s="34"/>
    </row>
    <row r="3765" spans="1:10" x14ac:dyDescent="0.25">
      <c r="A3765" s="15">
        <v>41127</v>
      </c>
      <c r="B3765" s="16" t="s">
        <v>47</v>
      </c>
      <c r="C3765" t="s">
        <v>2824</v>
      </c>
      <c r="D3765" t="s">
        <v>48</v>
      </c>
      <c r="E3765" s="17">
        <v>10</v>
      </c>
      <c r="F3765" s="17">
        <v>71.81</v>
      </c>
      <c r="G3765" s="18">
        <v>718.1</v>
      </c>
      <c r="H3765" s="30" t="s">
        <v>2324</v>
      </c>
      <c r="J3765" s="34"/>
    </row>
    <row r="3766" spans="1:10" x14ac:dyDescent="0.25">
      <c r="A3766" s="15">
        <v>41128</v>
      </c>
      <c r="B3766" s="16" t="s">
        <v>47</v>
      </c>
      <c r="C3766" t="s">
        <v>2824</v>
      </c>
      <c r="D3766" t="s">
        <v>48</v>
      </c>
      <c r="E3766" s="17">
        <v>9.5</v>
      </c>
      <c r="F3766" s="17">
        <v>71.81</v>
      </c>
      <c r="G3766" s="18">
        <v>682.19500000000005</v>
      </c>
      <c r="H3766" s="30" t="s">
        <v>2324</v>
      </c>
      <c r="J3766" s="34"/>
    </row>
    <row r="3767" spans="1:10" x14ac:dyDescent="0.25">
      <c r="A3767" s="15">
        <v>41129</v>
      </c>
      <c r="B3767" s="16" t="s">
        <v>47</v>
      </c>
      <c r="C3767" t="s">
        <v>2824</v>
      </c>
      <c r="D3767" t="s">
        <v>48</v>
      </c>
      <c r="E3767" s="17">
        <v>9.5</v>
      </c>
      <c r="F3767" s="17">
        <v>71.81</v>
      </c>
      <c r="G3767" s="18">
        <v>682.19500000000005</v>
      </c>
      <c r="H3767" s="30" t="s">
        <v>2324</v>
      </c>
      <c r="J3767" s="34"/>
    </row>
    <row r="3768" spans="1:10" x14ac:dyDescent="0.25">
      <c r="A3768" s="15">
        <v>41130</v>
      </c>
      <c r="B3768" s="16" t="s">
        <v>47</v>
      </c>
      <c r="C3768" t="s">
        <v>2824</v>
      </c>
      <c r="D3768" t="s">
        <v>48</v>
      </c>
      <c r="E3768" s="17">
        <v>9.5</v>
      </c>
      <c r="F3768" s="17">
        <v>71.81</v>
      </c>
      <c r="G3768" s="18">
        <v>682.19500000000005</v>
      </c>
      <c r="H3768" s="30" t="s">
        <v>2324</v>
      </c>
      <c r="J3768" s="34"/>
    </row>
    <row r="3769" spans="1:10" x14ac:dyDescent="0.25">
      <c r="A3769" s="15">
        <v>41131</v>
      </c>
      <c r="B3769" s="16" t="s">
        <v>47</v>
      </c>
      <c r="C3769" t="s">
        <v>2824</v>
      </c>
      <c r="D3769" t="s">
        <v>48</v>
      </c>
      <c r="E3769" s="17">
        <v>9.5</v>
      </c>
      <c r="F3769" s="17">
        <v>71.81</v>
      </c>
      <c r="G3769" s="18">
        <v>682.19500000000005</v>
      </c>
      <c r="H3769" s="30" t="s">
        <v>2324</v>
      </c>
      <c r="J3769" s="34"/>
    </row>
    <row r="3770" spans="1:10" x14ac:dyDescent="0.25">
      <c r="A3770" s="15">
        <v>41132</v>
      </c>
      <c r="B3770" s="16" t="s">
        <v>47</v>
      </c>
      <c r="C3770" t="s">
        <v>2824</v>
      </c>
      <c r="D3770" t="s">
        <v>48</v>
      </c>
      <c r="E3770" s="17">
        <v>6.5</v>
      </c>
      <c r="F3770" s="17">
        <v>71.81</v>
      </c>
      <c r="G3770" s="18">
        <v>466.76499999999999</v>
      </c>
      <c r="H3770" s="30" t="s">
        <v>2324</v>
      </c>
      <c r="J3770" s="34"/>
    </row>
    <row r="3771" spans="1:10" x14ac:dyDescent="0.25">
      <c r="A3771" s="15">
        <v>41134</v>
      </c>
      <c r="B3771" s="16" t="s">
        <v>47</v>
      </c>
      <c r="C3771" t="s">
        <v>2824</v>
      </c>
      <c r="D3771" t="s">
        <v>48</v>
      </c>
      <c r="E3771" s="17">
        <v>10</v>
      </c>
      <c r="F3771" s="17">
        <v>71.81</v>
      </c>
      <c r="G3771" s="18">
        <v>718.1</v>
      </c>
      <c r="H3771" s="30" t="s">
        <v>2324</v>
      </c>
      <c r="J3771" s="34"/>
    </row>
    <row r="3772" spans="1:10" x14ac:dyDescent="0.25">
      <c r="A3772" s="15">
        <v>41135</v>
      </c>
      <c r="B3772" s="16" t="s">
        <v>47</v>
      </c>
      <c r="C3772" t="s">
        <v>2824</v>
      </c>
      <c r="D3772" t="s">
        <v>48</v>
      </c>
      <c r="E3772" s="17">
        <v>10</v>
      </c>
      <c r="F3772" s="17">
        <v>71.81</v>
      </c>
      <c r="G3772" s="18">
        <v>718.1</v>
      </c>
      <c r="H3772" s="30" t="s">
        <v>2324</v>
      </c>
      <c r="J3772" s="34"/>
    </row>
    <row r="3773" spans="1:10" x14ac:dyDescent="0.25">
      <c r="A3773" s="15">
        <v>41136</v>
      </c>
      <c r="B3773" s="16" t="s">
        <v>47</v>
      </c>
      <c r="C3773" t="s">
        <v>2824</v>
      </c>
      <c r="D3773" t="s">
        <v>48</v>
      </c>
      <c r="E3773" s="17">
        <v>9.5</v>
      </c>
      <c r="F3773" s="17">
        <v>71.81</v>
      </c>
      <c r="G3773" s="18">
        <v>682.19500000000005</v>
      </c>
      <c r="H3773" s="30" t="s">
        <v>2324</v>
      </c>
      <c r="J3773" s="34"/>
    </row>
    <row r="3774" spans="1:10" x14ac:dyDescent="0.25">
      <c r="A3774" s="15">
        <v>41137</v>
      </c>
      <c r="B3774" s="16" t="s">
        <v>47</v>
      </c>
      <c r="C3774" t="s">
        <v>2824</v>
      </c>
      <c r="D3774" t="s">
        <v>48</v>
      </c>
      <c r="E3774" s="17">
        <v>10.5</v>
      </c>
      <c r="F3774" s="17">
        <v>71.81</v>
      </c>
      <c r="G3774" s="18">
        <v>754.005</v>
      </c>
      <c r="H3774" s="30" t="s">
        <v>2324</v>
      </c>
      <c r="J3774" s="34"/>
    </row>
    <row r="3775" spans="1:10" x14ac:dyDescent="0.25">
      <c r="A3775" s="15">
        <v>41138</v>
      </c>
      <c r="B3775" s="16" t="s">
        <v>47</v>
      </c>
      <c r="C3775" t="s">
        <v>2824</v>
      </c>
      <c r="D3775" t="s">
        <v>48</v>
      </c>
      <c r="E3775" s="17">
        <v>10.5</v>
      </c>
      <c r="F3775" s="17">
        <v>71.81</v>
      </c>
      <c r="G3775" s="18">
        <v>754.005</v>
      </c>
      <c r="H3775" s="30" t="s">
        <v>2324</v>
      </c>
      <c r="J3775" s="34"/>
    </row>
    <row r="3776" spans="1:10" x14ac:dyDescent="0.25">
      <c r="A3776" s="15">
        <v>41139</v>
      </c>
      <c r="B3776" s="16" t="s">
        <v>47</v>
      </c>
      <c r="C3776" t="s">
        <v>2824</v>
      </c>
      <c r="D3776" t="s">
        <v>48</v>
      </c>
      <c r="E3776" s="17">
        <v>4.5</v>
      </c>
      <c r="F3776" s="17">
        <v>71.81</v>
      </c>
      <c r="G3776" s="18">
        <v>323.14499999999998</v>
      </c>
      <c r="H3776" s="30" t="s">
        <v>2324</v>
      </c>
      <c r="J3776" s="34"/>
    </row>
    <row r="3777" spans="1:10" x14ac:dyDescent="0.25">
      <c r="A3777" s="15">
        <v>41140</v>
      </c>
      <c r="B3777" s="16" t="s">
        <v>47</v>
      </c>
      <c r="C3777" t="s">
        <v>2824</v>
      </c>
      <c r="D3777" t="s">
        <v>48</v>
      </c>
      <c r="E3777" s="17">
        <v>5</v>
      </c>
      <c r="F3777" s="17">
        <v>71.81</v>
      </c>
      <c r="G3777" s="18">
        <v>359.05</v>
      </c>
      <c r="H3777" s="30" t="s">
        <v>2324</v>
      </c>
      <c r="J3777" s="34"/>
    </row>
    <row r="3778" spans="1:10" x14ac:dyDescent="0.25">
      <c r="A3778" s="15">
        <v>41141</v>
      </c>
      <c r="B3778" s="16" t="s">
        <v>47</v>
      </c>
      <c r="C3778" t="s">
        <v>2824</v>
      </c>
      <c r="D3778" t="s">
        <v>48</v>
      </c>
      <c r="E3778" s="17">
        <v>9.5</v>
      </c>
      <c r="F3778" s="17">
        <v>71.81</v>
      </c>
      <c r="G3778" s="18">
        <v>682.19500000000005</v>
      </c>
      <c r="H3778" s="30" t="s">
        <v>2324</v>
      </c>
      <c r="J3778" s="34"/>
    </row>
    <row r="3779" spans="1:10" x14ac:dyDescent="0.25">
      <c r="A3779" s="15">
        <v>41142</v>
      </c>
      <c r="B3779" s="16" t="s">
        <v>47</v>
      </c>
      <c r="C3779" t="s">
        <v>2824</v>
      </c>
      <c r="D3779" t="s">
        <v>48</v>
      </c>
      <c r="E3779" s="17">
        <v>9.5</v>
      </c>
      <c r="F3779" s="17">
        <v>71.81</v>
      </c>
      <c r="G3779" s="18">
        <v>682.19500000000005</v>
      </c>
      <c r="H3779" s="30" t="s">
        <v>2324</v>
      </c>
      <c r="J3779" s="34"/>
    </row>
    <row r="3780" spans="1:10" x14ac:dyDescent="0.25">
      <c r="A3780" s="15">
        <v>41143</v>
      </c>
      <c r="B3780" s="16" t="s">
        <v>47</v>
      </c>
      <c r="C3780" t="s">
        <v>2824</v>
      </c>
      <c r="D3780" t="s">
        <v>48</v>
      </c>
      <c r="E3780" s="17">
        <v>9.5</v>
      </c>
      <c r="F3780" s="17">
        <v>71.81</v>
      </c>
      <c r="G3780" s="18">
        <v>682.19500000000005</v>
      </c>
      <c r="H3780" s="30" t="s">
        <v>2324</v>
      </c>
      <c r="J3780" s="34"/>
    </row>
    <row r="3781" spans="1:10" x14ac:dyDescent="0.25">
      <c r="A3781" s="15">
        <v>41144</v>
      </c>
      <c r="B3781" s="16" t="s">
        <v>47</v>
      </c>
      <c r="C3781" t="s">
        <v>2824</v>
      </c>
      <c r="D3781" t="s">
        <v>48</v>
      </c>
      <c r="E3781" s="17">
        <v>9.5</v>
      </c>
      <c r="F3781" s="17">
        <v>71.81</v>
      </c>
      <c r="G3781" s="18">
        <v>682.19500000000005</v>
      </c>
      <c r="H3781" s="30" t="s">
        <v>2324</v>
      </c>
      <c r="J3781" s="34"/>
    </row>
    <row r="3782" spans="1:10" x14ac:dyDescent="0.25">
      <c r="A3782" s="15">
        <v>41145</v>
      </c>
      <c r="B3782" s="16" t="s">
        <v>47</v>
      </c>
      <c r="C3782" t="s">
        <v>2824</v>
      </c>
      <c r="D3782" t="s">
        <v>48</v>
      </c>
      <c r="E3782" s="17">
        <v>8</v>
      </c>
      <c r="F3782" s="17">
        <v>71.81</v>
      </c>
      <c r="G3782" s="18">
        <v>574.48</v>
      </c>
      <c r="H3782" s="30" t="s">
        <v>2324</v>
      </c>
      <c r="J3782" s="34"/>
    </row>
    <row r="3783" spans="1:10" x14ac:dyDescent="0.25">
      <c r="A3783" s="15">
        <v>41148</v>
      </c>
      <c r="B3783" s="16" t="s">
        <v>47</v>
      </c>
      <c r="C3783" t="s">
        <v>2824</v>
      </c>
      <c r="D3783" t="s">
        <v>48</v>
      </c>
      <c r="E3783" s="17">
        <v>10</v>
      </c>
      <c r="F3783" s="17">
        <v>71.81</v>
      </c>
      <c r="G3783" s="18">
        <v>718.1</v>
      </c>
      <c r="H3783" s="30" t="s">
        <v>2324</v>
      </c>
      <c r="J3783" s="34"/>
    </row>
    <row r="3784" spans="1:10" x14ac:dyDescent="0.25">
      <c r="A3784" s="15">
        <v>41149</v>
      </c>
      <c r="B3784" s="16" t="s">
        <v>47</v>
      </c>
      <c r="C3784" t="s">
        <v>2824</v>
      </c>
      <c r="D3784" t="s">
        <v>48</v>
      </c>
      <c r="E3784" s="17">
        <v>1</v>
      </c>
      <c r="F3784" s="17">
        <v>71.81</v>
      </c>
      <c r="G3784" s="18">
        <v>71.81</v>
      </c>
      <c r="H3784" s="30" t="s">
        <v>2324</v>
      </c>
      <c r="J3784" s="34"/>
    </row>
    <row r="3785" spans="1:10" x14ac:dyDescent="0.25">
      <c r="A3785" s="15">
        <v>41150</v>
      </c>
      <c r="B3785" s="16" t="s">
        <v>47</v>
      </c>
      <c r="C3785" t="s">
        <v>2824</v>
      </c>
      <c r="D3785" t="s">
        <v>48</v>
      </c>
      <c r="E3785" s="17">
        <v>9.5</v>
      </c>
      <c r="F3785" s="17">
        <v>71.81</v>
      </c>
      <c r="G3785" s="18">
        <v>682.19500000000005</v>
      </c>
      <c r="H3785" s="30" t="s">
        <v>2324</v>
      </c>
      <c r="J3785" s="34"/>
    </row>
    <row r="3786" spans="1:10" x14ac:dyDescent="0.25">
      <c r="A3786" s="15">
        <v>41152</v>
      </c>
      <c r="B3786" s="16" t="s">
        <v>47</v>
      </c>
      <c r="C3786" t="s">
        <v>2824</v>
      </c>
      <c r="D3786" t="s">
        <v>48</v>
      </c>
      <c r="E3786" s="17">
        <v>10</v>
      </c>
      <c r="F3786" s="17">
        <v>71.81</v>
      </c>
      <c r="G3786" s="18">
        <v>718.1</v>
      </c>
      <c r="H3786" s="30" t="s">
        <v>2324</v>
      </c>
      <c r="J3786" s="34"/>
    </row>
    <row r="3787" spans="1:10" x14ac:dyDescent="0.25">
      <c r="A3787" s="15">
        <v>41153</v>
      </c>
      <c r="B3787" s="16" t="s">
        <v>47</v>
      </c>
      <c r="C3787" t="s">
        <v>2824</v>
      </c>
      <c r="D3787" t="s">
        <v>48</v>
      </c>
      <c r="E3787" s="17">
        <v>6.5</v>
      </c>
      <c r="F3787" s="17">
        <v>71.81</v>
      </c>
      <c r="G3787" s="18">
        <v>466.76499999999999</v>
      </c>
      <c r="H3787" s="30" t="s">
        <v>2324</v>
      </c>
      <c r="J3787" s="34"/>
    </row>
    <row r="3788" spans="1:10" x14ac:dyDescent="0.25">
      <c r="A3788" s="15">
        <v>41155</v>
      </c>
      <c r="B3788" s="16" t="s">
        <v>47</v>
      </c>
      <c r="C3788" t="s">
        <v>2824</v>
      </c>
      <c r="D3788" t="s">
        <v>48</v>
      </c>
      <c r="E3788" s="17">
        <v>9.5</v>
      </c>
      <c r="F3788" s="17">
        <v>71.81</v>
      </c>
      <c r="G3788" s="18">
        <v>682.19500000000005</v>
      </c>
      <c r="H3788" s="30" t="s">
        <v>2324</v>
      </c>
      <c r="J3788" s="34"/>
    </row>
    <row r="3789" spans="1:10" x14ac:dyDescent="0.25">
      <c r="A3789" s="15">
        <v>41156</v>
      </c>
      <c r="B3789" s="16" t="s">
        <v>47</v>
      </c>
      <c r="C3789" t="s">
        <v>2824</v>
      </c>
      <c r="D3789" t="s">
        <v>48</v>
      </c>
      <c r="E3789" s="17">
        <v>9.5</v>
      </c>
      <c r="F3789" s="17">
        <v>71.81</v>
      </c>
      <c r="G3789" s="18">
        <v>682.19500000000005</v>
      </c>
      <c r="H3789" s="30" t="s">
        <v>2324</v>
      </c>
      <c r="J3789" s="34"/>
    </row>
    <row r="3790" spans="1:10" x14ac:dyDescent="0.25">
      <c r="A3790" s="15">
        <v>41157</v>
      </c>
      <c r="B3790" s="16" t="s">
        <v>47</v>
      </c>
      <c r="C3790" t="s">
        <v>2824</v>
      </c>
      <c r="D3790" t="s">
        <v>48</v>
      </c>
      <c r="E3790" s="17">
        <v>9.5</v>
      </c>
      <c r="F3790" s="17">
        <v>71.81</v>
      </c>
      <c r="G3790" s="18">
        <v>682.19500000000005</v>
      </c>
      <c r="H3790" s="30" t="s">
        <v>2324</v>
      </c>
      <c r="J3790" s="34"/>
    </row>
    <row r="3791" spans="1:10" x14ac:dyDescent="0.25">
      <c r="A3791" s="15">
        <v>41158</v>
      </c>
      <c r="B3791" s="16" t="s">
        <v>47</v>
      </c>
      <c r="C3791" t="s">
        <v>2824</v>
      </c>
      <c r="D3791" t="s">
        <v>48</v>
      </c>
      <c r="E3791" s="17">
        <v>9.5</v>
      </c>
      <c r="F3791" s="17">
        <v>71.81</v>
      </c>
      <c r="G3791" s="18">
        <v>682.19500000000005</v>
      </c>
      <c r="H3791" s="30" t="s">
        <v>2324</v>
      </c>
      <c r="J3791" s="34"/>
    </row>
    <row r="3792" spans="1:10" x14ac:dyDescent="0.25">
      <c r="A3792" s="15">
        <v>41159</v>
      </c>
      <c r="B3792" s="16" t="s">
        <v>47</v>
      </c>
      <c r="C3792" t="s">
        <v>2824</v>
      </c>
      <c r="D3792" t="s">
        <v>48</v>
      </c>
      <c r="E3792" s="17">
        <v>9.5</v>
      </c>
      <c r="F3792" s="17">
        <v>71.81</v>
      </c>
      <c r="G3792" s="18">
        <v>682.19500000000005</v>
      </c>
      <c r="H3792" s="30" t="s">
        <v>2324</v>
      </c>
      <c r="J3792" s="34"/>
    </row>
    <row r="3793" spans="1:10" x14ac:dyDescent="0.25">
      <c r="A3793" s="15">
        <v>41162</v>
      </c>
      <c r="B3793" s="16" t="s">
        <v>47</v>
      </c>
      <c r="C3793" t="s">
        <v>2824</v>
      </c>
      <c r="D3793" t="s">
        <v>48</v>
      </c>
      <c r="E3793" s="17">
        <v>9.5</v>
      </c>
      <c r="F3793" s="17">
        <v>71.81</v>
      </c>
      <c r="G3793" s="18">
        <v>682.19500000000005</v>
      </c>
      <c r="H3793" s="30" t="s">
        <v>2324</v>
      </c>
      <c r="J3793" s="34"/>
    </row>
    <row r="3794" spans="1:10" x14ac:dyDescent="0.25">
      <c r="A3794" s="15">
        <v>41163</v>
      </c>
      <c r="B3794" s="16" t="s">
        <v>47</v>
      </c>
      <c r="C3794" t="s">
        <v>2824</v>
      </c>
      <c r="D3794" t="s">
        <v>48</v>
      </c>
      <c r="E3794" s="17">
        <v>10</v>
      </c>
      <c r="F3794" s="17">
        <v>71.81</v>
      </c>
      <c r="G3794" s="18">
        <v>718.1</v>
      </c>
      <c r="H3794" s="30" t="s">
        <v>2324</v>
      </c>
      <c r="J3794" s="34"/>
    </row>
    <row r="3795" spans="1:10" x14ac:dyDescent="0.25">
      <c r="A3795" s="15">
        <v>41163</v>
      </c>
      <c r="B3795" s="16" t="s">
        <v>47</v>
      </c>
      <c r="C3795" t="s">
        <v>2824</v>
      </c>
      <c r="D3795" t="s">
        <v>48</v>
      </c>
      <c r="E3795" s="17">
        <v>10</v>
      </c>
      <c r="F3795" s="17">
        <v>71.81</v>
      </c>
      <c r="G3795" s="18">
        <v>718.1</v>
      </c>
      <c r="H3795" s="30" t="s">
        <v>2324</v>
      </c>
      <c r="J3795" s="34"/>
    </row>
    <row r="3796" spans="1:10" x14ac:dyDescent="0.25">
      <c r="A3796" s="15">
        <v>41164</v>
      </c>
      <c r="B3796" s="16" t="s">
        <v>47</v>
      </c>
      <c r="C3796" t="s">
        <v>2824</v>
      </c>
      <c r="D3796" t="s">
        <v>48</v>
      </c>
      <c r="E3796" s="17">
        <v>10</v>
      </c>
      <c r="F3796" s="17">
        <v>71.81</v>
      </c>
      <c r="G3796" s="18">
        <v>718.1</v>
      </c>
      <c r="H3796" s="30" t="s">
        <v>2324</v>
      </c>
      <c r="J3796" s="34"/>
    </row>
    <row r="3797" spans="1:10" x14ac:dyDescent="0.25">
      <c r="A3797" s="15">
        <v>41165</v>
      </c>
      <c r="B3797" s="16" t="s">
        <v>47</v>
      </c>
      <c r="C3797" t="s">
        <v>2824</v>
      </c>
      <c r="D3797" t="s">
        <v>48</v>
      </c>
      <c r="E3797" s="17">
        <v>10</v>
      </c>
      <c r="F3797" s="17">
        <v>71.81</v>
      </c>
      <c r="G3797" s="18">
        <v>718.1</v>
      </c>
      <c r="H3797" s="30" t="s">
        <v>2324</v>
      </c>
      <c r="J3797" s="34"/>
    </row>
    <row r="3798" spans="1:10" x14ac:dyDescent="0.25">
      <c r="A3798" s="15">
        <v>41169</v>
      </c>
      <c r="B3798" s="16" t="s">
        <v>47</v>
      </c>
      <c r="C3798" t="s">
        <v>2824</v>
      </c>
      <c r="D3798" t="s">
        <v>48</v>
      </c>
      <c r="E3798" s="17">
        <v>9.5</v>
      </c>
      <c r="F3798" s="17">
        <v>71.81</v>
      </c>
      <c r="G3798" s="18">
        <v>682.19500000000005</v>
      </c>
      <c r="H3798" s="30" t="s">
        <v>2324</v>
      </c>
      <c r="J3798" s="34"/>
    </row>
    <row r="3799" spans="1:10" x14ac:dyDescent="0.25">
      <c r="A3799" s="15">
        <v>41170</v>
      </c>
      <c r="B3799" s="16" t="s">
        <v>47</v>
      </c>
      <c r="C3799" t="s">
        <v>2824</v>
      </c>
      <c r="D3799" t="s">
        <v>48</v>
      </c>
      <c r="E3799" s="17">
        <v>9</v>
      </c>
      <c r="F3799" s="17">
        <v>71.81</v>
      </c>
      <c r="G3799" s="18">
        <v>646.29</v>
      </c>
      <c r="H3799" s="30" t="s">
        <v>2324</v>
      </c>
      <c r="J3799" s="34"/>
    </row>
    <row r="3800" spans="1:10" x14ac:dyDescent="0.25">
      <c r="A3800" s="15">
        <v>41171</v>
      </c>
      <c r="B3800" s="16" t="s">
        <v>47</v>
      </c>
      <c r="C3800" t="s">
        <v>2824</v>
      </c>
      <c r="D3800" t="s">
        <v>48</v>
      </c>
      <c r="E3800" s="17">
        <v>9.5</v>
      </c>
      <c r="F3800" s="17">
        <v>71.81</v>
      </c>
      <c r="G3800" s="18">
        <v>682.19500000000005</v>
      </c>
      <c r="H3800" s="30" t="s">
        <v>2324</v>
      </c>
      <c r="J3800" s="34"/>
    </row>
    <row r="3801" spans="1:10" x14ac:dyDescent="0.25">
      <c r="A3801" s="15">
        <v>41172</v>
      </c>
      <c r="B3801" s="16" t="s">
        <v>47</v>
      </c>
      <c r="C3801" t="s">
        <v>2824</v>
      </c>
      <c r="D3801" t="s">
        <v>48</v>
      </c>
      <c r="E3801" s="17">
        <v>10</v>
      </c>
      <c r="F3801" s="17">
        <v>71.81</v>
      </c>
      <c r="G3801" s="18">
        <v>718.1</v>
      </c>
      <c r="H3801" s="30" t="s">
        <v>2324</v>
      </c>
      <c r="J3801" s="34"/>
    </row>
    <row r="3802" spans="1:10" x14ac:dyDescent="0.25">
      <c r="A3802" s="15">
        <v>41173</v>
      </c>
      <c r="B3802" s="16" t="s">
        <v>47</v>
      </c>
      <c r="C3802" t="s">
        <v>2824</v>
      </c>
      <c r="D3802" t="s">
        <v>48</v>
      </c>
      <c r="E3802" s="17">
        <v>8.5</v>
      </c>
      <c r="F3802" s="17">
        <v>71.81</v>
      </c>
      <c r="G3802" s="18">
        <v>610.38499999999999</v>
      </c>
      <c r="H3802" s="30" t="s">
        <v>2324</v>
      </c>
      <c r="J3802" s="34"/>
    </row>
    <row r="3803" spans="1:10" x14ac:dyDescent="0.25">
      <c r="A3803" s="15">
        <v>41176</v>
      </c>
      <c r="B3803" s="16" t="s">
        <v>47</v>
      </c>
      <c r="C3803" t="s">
        <v>2824</v>
      </c>
      <c r="D3803" t="s">
        <v>48</v>
      </c>
      <c r="E3803" s="17">
        <v>8.5</v>
      </c>
      <c r="F3803" s="17">
        <v>71.81</v>
      </c>
      <c r="G3803" s="18">
        <v>610.38499999999999</v>
      </c>
      <c r="H3803" s="30" t="s">
        <v>2324</v>
      </c>
      <c r="J3803" s="34"/>
    </row>
    <row r="3804" spans="1:10" x14ac:dyDescent="0.25">
      <c r="A3804" s="15">
        <v>41177</v>
      </c>
      <c r="B3804" s="16" t="s">
        <v>47</v>
      </c>
      <c r="C3804" t="s">
        <v>2824</v>
      </c>
      <c r="D3804" t="s">
        <v>48</v>
      </c>
      <c r="E3804" s="17">
        <v>8.5</v>
      </c>
      <c r="F3804" s="17">
        <v>71.81</v>
      </c>
      <c r="G3804" s="18">
        <v>610.38499999999999</v>
      </c>
      <c r="H3804" s="30" t="s">
        <v>2324</v>
      </c>
      <c r="J3804" s="34"/>
    </row>
    <row r="3805" spans="1:10" x14ac:dyDescent="0.25">
      <c r="A3805" s="15">
        <v>41178</v>
      </c>
      <c r="B3805" s="16" t="s">
        <v>47</v>
      </c>
      <c r="C3805" t="s">
        <v>2824</v>
      </c>
      <c r="D3805" t="s">
        <v>48</v>
      </c>
      <c r="E3805" s="17">
        <v>9.5</v>
      </c>
      <c r="F3805" s="17">
        <v>71.81</v>
      </c>
      <c r="G3805" s="18">
        <v>682.19500000000005</v>
      </c>
      <c r="H3805" s="30" t="s">
        <v>2324</v>
      </c>
      <c r="J3805" s="34"/>
    </row>
    <row r="3806" spans="1:10" x14ac:dyDescent="0.25">
      <c r="A3806" s="15">
        <v>41179</v>
      </c>
      <c r="B3806" s="16" t="s">
        <v>47</v>
      </c>
      <c r="C3806" t="s">
        <v>2824</v>
      </c>
      <c r="D3806" t="s">
        <v>48</v>
      </c>
      <c r="E3806" s="17">
        <v>8</v>
      </c>
      <c r="F3806" s="17">
        <v>71.81</v>
      </c>
      <c r="G3806" s="18">
        <v>574.48</v>
      </c>
      <c r="H3806" s="30" t="s">
        <v>2324</v>
      </c>
      <c r="J3806" s="34"/>
    </row>
    <row r="3807" spans="1:10" x14ac:dyDescent="0.25">
      <c r="A3807" s="15">
        <v>41180</v>
      </c>
      <c r="B3807" s="16" t="s">
        <v>47</v>
      </c>
      <c r="C3807" t="s">
        <v>2824</v>
      </c>
      <c r="D3807" t="s">
        <v>48</v>
      </c>
      <c r="E3807" s="17">
        <v>9.5</v>
      </c>
      <c r="F3807" s="17">
        <v>71.81</v>
      </c>
      <c r="G3807" s="18">
        <v>682.19500000000005</v>
      </c>
      <c r="H3807" s="30" t="s">
        <v>2324</v>
      </c>
      <c r="J3807" s="34"/>
    </row>
    <row r="3808" spans="1:10" x14ac:dyDescent="0.25">
      <c r="A3808" s="15">
        <v>41184</v>
      </c>
      <c r="B3808" s="16" t="s">
        <v>47</v>
      </c>
      <c r="C3808" t="s">
        <v>2824</v>
      </c>
      <c r="D3808" t="s">
        <v>48</v>
      </c>
      <c r="E3808" s="17">
        <v>10</v>
      </c>
      <c r="F3808" s="17">
        <v>71.81</v>
      </c>
      <c r="G3808" s="18">
        <v>718.1</v>
      </c>
      <c r="H3808" s="30" t="s">
        <v>2324</v>
      </c>
      <c r="J3808" s="34"/>
    </row>
    <row r="3809" spans="1:10" x14ac:dyDescent="0.25">
      <c r="A3809" s="15">
        <v>41185</v>
      </c>
      <c r="B3809" s="16" t="s">
        <v>47</v>
      </c>
      <c r="C3809" t="s">
        <v>2824</v>
      </c>
      <c r="D3809" t="s">
        <v>48</v>
      </c>
      <c r="E3809" s="17">
        <v>8</v>
      </c>
      <c r="F3809" s="17">
        <v>71.81</v>
      </c>
      <c r="G3809" s="18">
        <v>574.48</v>
      </c>
      <c r="H3809" s="30" t="s">
        <v>2324</v>
      </c>
      <c r="J3809" s="34"/>
    </row>
    <row r="3810" spans="1:10" x14ac:dyDescent="0.25">
      <c r="A3810" s="15">
        <v>41186</v>
      </c>
      <c r="B3810" s="16" t="s">
        <v>47</v>
      </c>
      <c r="C3810" t="s">
        <v>2824</v>
      </c>
      <c r="D3810" t="s">
        <v>48</v>
      </c>
      <c r="E3810" s="17">
        <v>8</v>
      </c>
      <c r="F3810" s="17">
        <v>71.81</v>
      </c>
      <c r="G3810" s="18">
        <v>574.48</v>
      </c>
      <c r="H3810" s="30" t="s">
        <v>2324</v>
      </c>
      <c r="J3810" s="34"/>
    </row>
    <row r="3811" spans="1:10" x14ac:dyDescent="0.25">
      <c r="A3811" s="15">
        <v>41187</v>
      </c>
      <c r="B3811" s="16" t="s">
        <v>47</v>
      </c>
      <c r="C3811" t="s">
        <v>2824</v>
      </c>
      <c r="D3811" t="s">
        <v>48</v>
      </c>
      <c r="E3811" s="17">
        <v>6.5</v>
      </c>
      <c r="F3811" s="17">
        <v>71.81</v>
      </c>
      <c r="G3811" s="18">
        <v>466.76499999999999</v>
      </c>
      <c r="H3811" s="30" t="s">
        <v>2324</v>
      </c>
      <c r="J3811" s="34"/>
    </row>
    <row r="3812" spans="1:10" x14ac:dyDescent="0.25">
      <c r="A3812" s="15">
        <v>41190</v>
      </c>
      <c r="B3812" s="16" t="s">
        <v>47</v>
      </c>
      <c r="C3812" t="s">
        <v>2824</v>
      </c>
      <c r="D3812" t="s">
        <v>48</v>
      </c>
      <c r="E3812" s="17">
        <v>8</v>
      </c>
      <c r="F3812" s="17">
        <v>71.81</v>
      </c>
      <c r="G3812" s="18">
        <v>574.48</v>
      </c>
      <c r="H3812" s="30" t="s">
        <v>2324</v>
      </c>
      <c r="J3812" s="34"/>
    </row>
    <row r="3813" spans="1:10" x14ac:dyDescent="0.25">
      <c r="A3813" s="15">
        <v>41191</v>
      </c>
      <c r="B3813" s="16" t="s">
        <v>47</v>
      </c>
      <c r="C3813" t="s">
        <v>2824</v>
      </c>
      <c r="D3813" t="s">
        <v>48</v>
      </c>
      <c r="E3813" s="17">
        <v>8</v>
      </c>
      <c r="F3813" s="17">
        <v>71.81</v>
      </c>
      <c r="G3813" s="18">
        <v>574.48</v>
      </c>
      <c r="H3813" s="30" t="s">
        <v>2324</v>
      </c>
      <c r="J3813" s="34"/>
    </row>
    <row r="3814" spans="1:10" x14ac:dyDescent="0.25">
      <c r="A3814" s="15">
        <v>41192</v>
      </c>
      <c r="B3814" s="16" t="s">
        <v>47</v>
      </c>
      <c r="C3814" t="s">
        <v>2824</v>
      </c>
      <c r="D3814" t="s">
        <v>48</v>
      </c>
      <c r="E3814" s="17">
        <v>8</v>
      </c>
      <c r="F3814" s="17">
        <v>71.81</v>
      </c>
      <c r="G3814" s="18">
        <v>574.48</v>
      </c>
      <c r="H3814" s="30" t="s">
        <v>2324</v>
      </c>
      <c r="J3814" s="34"/>
    </row>
    <row r="3815" spans="1:10" x14ac:dyDescent="0.25">
      <c r="A3815" s="15">
        <v>41193</v>
      </c>
      <c r="B3815" s="16" t="s">
        <v>47</v>
      </c>
      <c r="C3815" t="s">
        <v>2824</v>
      </c>
      <c r="D3815" t="s">
        <v>48</v>
      </c>
      <c r="E3815" s="17">
        <v>8</v>
      </c>
      <c r="F3815" s="17">
        <v>71.81</v>
      </c>
      <c r="G3815" s="18">
        <v>574.48</v>
      </c>
      <c r="H3815" s="30" t="s">
        <v>2324</v>
      </c>
      <c r="J3815" s="34"/>
    </row>
    <row r="3816" spans="1:10" x14ac:dyDescent="0.25">
      <c r="A3816" s="15">
        <v>41194</v>
      </c>
      <c r="B3816" s="16" t="s">
        <v>47</v>
      </c>
      <c r="C3816" t="s">
        <v>2824</v>
      </c>
      <c r="D3816" t="s">
        <v>48</v>
      </c>
      <c r="E3816" s="17">
        <v>6.5</v>
      </c>
      <c r="F3816" s="17">
        <v>71.81</v>
      </c>
      <c r="G3816" s="18">
        <v>466.76499999999999</v>
      </c>
      <c r="H3816" s="30" t="s">
        <v>2324</v>
      </c>
      <c r="J3816" s="34"/>
    </row>
    <row r="3817" spans="1:10" x14ac:dyDescent="0.25">
      <c r="A3817" s="15">
        <v>41197</v>
      </c>
      <c r="B3817" s="16" t="s">
        <v>47</v>
      </c>
      <c r="C3817" t="s">
        <v>2824</v>
      </c>
      <c r="D3817" t="s">
        <v>48</v>
      </c>
      <c r="E3817" s="17">
        <v>8</v>
      </c>
      <c r="F3817" s="17">
        <v>71.81</v>
      </c>
      <c r="G3817" s="18">
        <v>574.48</v>
      </c>
      <c r="H3817" s="30" t="s">
        <v>2324</v>
      </c>
      <c r="J3817" s="34"/>
    </row>
    <row r="3818" spans="1:10" x14ac:dyDescent="0.25">
      <c r="A3818" s="15">
        <v>41199</v>
      </c>
      <c r="B3818" s="16" t="s">
        <v>47</v>
      </c>
      <c r="C3818" t="s">
        <v>2824</v>
      </c>
      <c r="D3818" t="s">
        <v>48</v>
      </c>
      <c r="E3818" s="17">
        <v>8</v>
      </c>
      <c r="F3818" s="17">
        <v>71.81</v>
      </c>
      <c r="G3818" s="18">
        <v>574.48</v>
      </c>
      <c r="H3818" s="30" t="s">
        <v>2324</v>
      </c>
      <c r="J3818" s="34"/>
    </row>
    <row r="3819" spans="1:10" x14ac:dyDescent="0.25">
      <c r="A3819" s="15">
        <v>41200</v>
      </c>
      <c r="B3819" s="16" t="s">
        <v>47</v>
      </c>
      <c r="C3819" t="s">
        <v>2824</v>
      </c>
      <c r="D3819" t="s">
        <v>48</v>
      </c>
      <c r="E3819" s="17">
        <v>8</v>
      </c>
      <c r="F3819" s="17">
        <v>71.81</v>
      </c>
      <c r="G3819" s="18">
        <v>574.48</v>
      </c>
      <c r="H3819" s="30" t="s">
        <v>2324</v>
      </c>
      <c r="J3819" s="34"/>
    </row>
    <row r="3820" spans="1:10" x14ac:dyDescent="0.25">
      <c r="A3820" s="15">
        <v>41201</v>
      </c>
      <c r="B3820" s="16" t="s">
        <v>47</v>
      </c>
      <c r="C3820" t="s">
        <v>2824</v>
      </c>
      <c r="D3820" t="s">
        <v>48</v>
      </c>
      <c r="E3820" s="17">
        <v>6.5</v>
      </c>
      <c r="F3820" s="17">
        <v>71.81</v>
      </c>
      <c r="G3820" s="18">
        <v>466.76499999999999</v>
      </c>
      <c r="H3820" s="30" t="s">
        <v>2324</v>
      </c>
      <c r="J3820" s="34"/>
    </row>
    <row r="3821" spans="1:10" x14ac:dyDescent="0.25">
      <c r="A3821" s="15">
        <v>41204</v>
      </c>
      <c r="B3821" s="16" t="s">
        <v>47</v>
      </c>
      <c r="C3821" t="s">
        <v>2824</v>
      </c>
      <c r="D3821" t="s">
        <v>48</v>
      </c>
      <c r="E3821" s="17">
        <v>8</v>
      </c>
      <c r="F3821" s="17">
        <v>71.81</v>
      </c>
      <c r="G3821" s="18">
        <v>574.48</v>
      </c>
      <c r="H3821" s="30" t="s">
        <v>2324</v>
      </c>
      <c r="J3821" s="34"/>
    </row>
    <row r="3822" spans="1:10" x14ac:dyDescent="0.25">
      <c r="A3822" s="19" t="s">
        <v>781</v>
      </c>
      <c r="B3822" s="20" t="s">
        <v>1334</v>
      </c>
      <c r="C3822" s="21" t="s">
        <v>781</v>
      </c>
      <c r="D3822" s="21" t="s">
        <v>781</v>
      </c>
      <c r="E3822" s="22"/>
      <c r="F3822" s="22"/>
      <c r="G3822" s="23">
        <v>150862.33041</v>
      </c>
      <c r="H3822" s="31" t="s">
        <v>2285</v>
      </c>
      <c r="J3822" s="34"/>
    </row>
    <row r="3823" spans="1:10" x14ac:dyDescent="0.25">
      <c r="A3823" s="15" t="s">
        <v>781</v>
      </c>
      <c r="B3823" s="16" t="s">
        <v>781</v>
      </c>
      <c r="C3823" t="s">
        <v>781</v>
      </c>
      <c r="D3823" t="s">
        <v>781</v>
      </c>
      <c r="E3823" s="17"/>
      <c r="F3823" s="17"/>
      <c r="G3823" s="18"/>
      <c r="H3823" s="30" t="s">
        <v>2285</v>
      </c>
      <c r="J3823" s="34"/>
    </row>
    <row r="3824" spans="1:10" x14ac:dyDescent="0.25">
      <c r="A3824" s="12" t="s">
        <v>781</v>
      </c>
      <c r="B3824" s="11" t="s">
        <v>1892</v>
      </c>
      <c r="C3824" s="10" t="s">
        <v>781</v>
      </c>
      <c r="D3824" s="10" t="s">
        <v>781</v>
      </c>
      <c r="E3824" s="13"/>
      <c r="F3824" s="13"/>
      <c r="G3824" s="14"/>
      <c r="H3824" s="29" t="s">
        <v>2285</v>
      </c>
      <c r="J3824" s="34"/>
    </row>
    <row r="3825" spans="1:10" x14ac:dyDescent="0.25">
      <c r="A3825" s="15">
        <v>40822</v>
      </c>
      <c r="B3825" s="16" t="s">
        <v>1335</v>
      </c>
      <c r="C3825" t="s">
        <v>1274</v>
      </c>
      <c r="D3825" t="s">
        <v>783</v>
      </c>
      <c r="E3825" s="17">
        <v>1</v>
      </c>
      <c r="F3825" s="17">
        <v>73.459999999999994</v>
      </c>
      <c r="G3825" s="18">
        <v>73.459999999999994</v>
      </c>
      <c r="H3825" s="30" t="s">
        <v>2325</v>
      </c>
      <c r="J3825" s="34"/>
    </row>
    <row r="3826" spans="1:10" x14ac:dyDescent="0.25">
      <c r="A3826" s="15">
        <v>40827</v>
      </c>
      <c r="B3826" s="16" t="s">
        <v>1336</v>
      </c>
      <c r="C3826" t="s">
        <v>1274</v>
      </c>
      <c r="D3826" t="s">
        <v>783</v>
      </c>
      <c r="E3826" s="17">
        <v>1</v>
      </c>
      <c r="F3826" s="17">
        <v>138.25</v>
      </c>
      <c r="G3826" s="18">
        <v>138.25</v>
      </c>
      <c r="H3826" s="30" t="s">
        <v>2325</v>
      </c>
      <c r="J3826" s="34"/>
    </row>
    <row r="3827" spans="1:10" x14ac:dyDescent="0.25">
      <c r="A3827" s="15">
        <v>40833</v>
      </c>
      <c r="B3827" s="16" t="s">
        <v>1337</v>
      </c>
      <c r="C3827" t="s">
        <v>1274</v>
      </c>
      <c r="D3827" t="s">
        <v>783</v>
      </c>
      <c r="E3827" s="17">
        <v>1</v>
      </c>
      <c r="F3827" s="17">
        <v>291.13</v>
      </c>
      <c r="G3827" s="18">
        <v>291.13</v>
      </c>
      <c r="H3827" s="30" t="s">
        <v>2325</v>
      </c>
      <c r="J3827" s="34"/>
    </row>
    <row r="3828" spans="1:10" x14ac:dyDescent="0.25">
      <c r="A3828" s="15">
        <v>40834</v>
      </c>
      <c r="B3828" s="16" t="s">
        <v>1338</v>
      </c>
      <c r="C3828" t="s">
        <v>1274</v>
      </c>
      <c r="D3828" t="s">
        <v>783</v>
      </c>
      <c r="E3828" s="17">
        <v>1</v>
      </c>
      <c r="F3828" s="17">
        <v>34.590000000000003</v>
      </c>
      <c r="G3828" s="18">
        <v>34.590000000000003</v>
      </c>
      <c r="H3828" s="30" t="s">
        <v>2325</v>
      </c>
      <c r="J3828" s="34"/>
    </row>
    <row r="3829" spans="1:10" x14ac:dyDescent="0.25">
      <c r="A3829" s="15">
        <v>40835</v>
      </c>
      <c r="B3829" s="16" t="s">
        <v>1339</v>
      </c>
      <c r="C3829" t="s">
        <v>1274</v>
      </c>
      <c r="D3829" t="s">
        <v>783</v>
      </c>
      <c r="E3829" s="17">
        <v>1</v>
      </c>
      <c r="F3829" s="17">
        <v>52.65</v>
      </c>
      <c r="G3829" s="18">
        <v>52.65</v>
      </c>
      <c r="H3829" s="30" t="s">
        <v>2325</v>
      </c>
      <c r="J3829" s="34"/>
    </row>
    <row r="3830" spans="1:10" x14ac:dyDescent="0.25">
      <c r="A3830" s="15">
        <v>40843</v>
      </c>
      <c r="B3830" s="16" t="s">
        <v>1340</v>
      </c>
      <c r="C3830" t="s">
        <v>1274</v>
      </c>
      <c r="D3830" t="s">
        <v>783</v>
      </c>
      <c r="E3830" s="17">
        <v>5</v>
      </c>
      <c r="F3830" s="17">
        <v>23.1</v>
      </c>
      <c r="G3830" s="18">
        <v>115.5</v>
      </c>
      <c r="H3830" s="30" t="s">
        <v>2325</v>
      </c>
      <c r="J3830" s="34"/>
    </row>
    <row r="3831" spans="1:10" x14ac:dyDescent="0.25">
      <c r="A3831" s="15">
        <v>40847</v>
      </c>
      <c r="B3831" s="16" t="s">
        <v>1341</v>
      </c>
      <c r="C3831" t="s">
        <v>1274</v>
      </c>
      <c r="D3831" t="s">
        <v>783</v>
      </c>
      <c r="E3831" s="17">
        <v>1</v>
      </c>
      <c r="F3831" s="17">
        <v>45</v>
      </c>
      <c r="G3831" s="18">
        <v>45</v>
      </c>
      <c r="H3831" s="30" t="s">
        <v>2325</v>
      </c>
      <c r="J3831" s="34"/>
    </row>
    <row r="3832" spans="1:10" x14ac:dyDescent="0.25">
      <c r="A3832" s="15">
        <v>40849</v>
      </c>
      <c r="B3832" s="16" t="s">
        <v>1342</v>
      </c>
      <c r="C3832" t="s">
        <v>1274</v>
      </c>
      <c r="D3832" t="s">
        <v>783</v>
      </c>
      <c r="E3832" s="17">
        <v>5</v>
      </c>
      <c r="F3832" s="17">
        <v>23.1</v>
      </c>
      <c r="G3832" s="18">
        <v>115.5</v>
      </c>
      <c r="H3832" s="30" t="s">
        <v>2325</v>
      </c>
      <c r="J3832" s="34"/>
    </row>
    <row r="3833" spans="1:10" x14ac:dyDescent="0.25">
      <c r="A3833" s="15">
        <v>40850</v>
      </c>
      <c r="B3833" s="16" t="s">
        <v>1343</v>
      </c>
      <c r="C3833" t="s">
        <v>1274</v>
      </c>
      <c r="D3833" t="s">
        <v>783</v>
      </c>
      <c r="E3833" s="17">
        <v>1</v>
      </c>
      <c r="F3833" s="17">
        <v>75.81</v>
      </c>
      <c r="G3833" s="18">
        <v>75.81</v>
      </c>
      <c r="H3833" s="30" t="s">
        <v>2325</v>
      </c>
      <c r="J3833" s="34"/>
    </row>
    <row r="3834" spans="1:10" x14ac:dyDescent="0.25">
      <c r="A3834" s="15">
        <v>40851</v>
      </c>
      <c r="B3834" s="16" t="s">
        <v>1344</v>
      </c>
      <c r="C3834" t="s">
        <v>1274</v>
      </c>
      <c r="D3834" t="s">
        <v>783</v>
      </c>
      <c r="E3834" s="17">
        <v>1</v>
      </c>
      <c r="F3834" s="17">
        <v>110.63</v>
      </c>
      <c r="G3834" s="18">
        <v>110.63</v>
      </c>
      <c r="H3834" s="30" t="s">
        <v>2325</v>
      </c>
      <c r="J3834" s="34"/>
    </row>
    <row r="3835" spans="1:10" x14ac:dyDescent="0.25">
      <c r="A3835" s="15">
        <v>40851</v>
      </c>
      <c r="B3835" s="16" t="s">
        <v>1345</v>
      </c>
      <c r="C3835" t="s">
        <v>1274</v>
      </c>
      <c r="D3835" t="s">
        <v>783</v>
      </c>
      <c r="E3835" s="17">
        <v>1</v>
      </c>
      <c r="F3835" s="17">
        <v>285.39999999999998</v>
      </c>
      <c r="G3835" s="18">
        <v>285.39999999999998</v>
      </c>
      <c r="H3835" s="30" t="s">
        <v>2325</v>
      </c>
      <c r="J3835" s="34"/>
    </row>
    <row r="3836" spans="1:10" x14ac:dyDescent="0.25">
      <c r="A3836" s="15">
        <v>40852</v>
      </c>
      <c r="B3836" s="16" t="s">
        <v>1346</v>
      </c>
      <c r="C3836" t="s">
        <v>1274</v>
      </c>
      <c r="D3836" t="s">
        <v>783</v>
      </c>
      <c r="E3836" s="17">
        <v>1</v>
      </c>
      <c r="F3836" s="17">
        <v>62.3</v>
      </c>
      <c r="G3836" s="18">
        <v>62.3</v>
      </c>
      <c r="H3836" s="30" t="s">
        <v>2325</v>
      </c>
      <c r="J3836" s="34"/>
    </row>
    <row r="3837" spans="1:10" x14ac:dyDescent="0.25">
      <c r="A3837" s="15">
        <v>40866</v>
      </c>
      <c r="B3837" s="16" t="s">
        <v>1347</v>
      </c>
      <c r="C3837" t="s">
        <v>1348</v>
      </c>
      <c r="D3837" t="s">
        <v>783</v>
      </c>
      <c r="E3837" s="17">
        <v>1</v>
      </c>
      <c r="F3837" s="17">
        <v>1320</v>
      </c>
      <c r="G3837" s="18">
        <v>1320</v>
      </c>
      <c r="H3837" s="30" t="s">
        <v>2325</v>
      </c>
      <c r="J3837" s="34"/>
    </row>
    <row r="3838" spans="1:10" x14ac:dyDescent="0.25">
      <c r="A3838" s="15">
        <v>40926</v>
      </c>
      <c r="B3838" s="16" t="s">
        <v>1349</v>
      </c>
      <c r="C3838" t="s">
        <v>1350</v>
      </c>
      <c r="D3838" t="s">
        <v>783</v>
      </c>
      <c r="E3838" s="17">
        <v>1</v>
      </c>
      <c r="F3838" s="17">
        <v>1452</v>
      </c>
      <c r="G3838" s="18">
        <v>1452</v>
      </c>
      <c r="H3838" s="30" t="s">
        <v>2325</v>
      </c>
      <c r="J3838" s="34"/>
    </row>
    <row r="3839" spans="1:10" x14ac:dyDescent="0.25">
      <c r="A3839" s="15">
        <v>40939</v>
      </c>
      <c r="B3839" s="16" t="s">
        <v>1351</v>
      </c>
      <c r="C3839" t="s">
        <v>1352</v>
      </c>
      <c r="D3839" t="s">
        <v>783</v>
      </c>
      <c r="E3839" s="17">
        <v>8</v>
      </c>
      <c r="F3839" s="17">
        <v>12.5</v>
      </c>
      <c r="G3839" s="18">
        <v>100</v>
      </c>
      <c r="H3839" s="30" t="s">
        <v>2325</v>
      </c>
      <c r="J3839" s="34"/>
    </row>
    <row r="3840" spans="1:10" x14ac:dyDescent="0.25">
      <c r="A3840" s="15">
        <v>40953</v>
      </c>
      <c r="B3840" s="16" t="s">
        <v>1353</v>
      </c>
      <c r="C3840" t="s">
        <v>1352</v>
      </c>
      <c r="D3840" t="s">
        <v>783</v>
      </c>
      <c r="E3840" s="17">
        <v>8</v>
      </c>
      <c r="F3840" s="17">
        <v>12.5</v>
      </c>
      <c r="G3840" s="18">
        <v>100</v>
      </c>
      <c r="H3840" s="30" t="s">
        <v>2325</v>
      </c>
      <c r="J3840" s="34"/>
    </row>
    <row r="3841" spans="1:10" ht="30" x14ac:dyDescent="0.25">
      <c r="A3841" s="15">
        <v>40959</v>
      </c>
      <c r="B3841" s="16" t="s">
        <v>1354</v>
      </c>
      <c r="C3841" t="s">
        <v>1350</v>
      </c>
      <c r="D3841" t="s">
        <v>783</v>
      </c>
      <c r="E3841" s="17">
        <v>1</v>
      </c>
      <c r="F3841" s="17">
        <v>1320</v>
      </c>
      <c r="G3841" s="18">
        <v>1320</v>
      </c>
      <c r="H3841" s="30" t="s">
        <v>2325</v>
      </c>
      <c r="J3841" s="34"/>
    </row>
    <row r="3842" spans="1:10" x14ac:dyDescent="0.25">
      <c r="A3842" s="15">
        <v>40967</v>
      </c>
      <c r="B3842" s="16" t="s">
        <v>1355</v>
      </c>
      <c r="C3842" t="s">
        <v>1352</v>
      </c>
      <c r="D3842" t="s">
        <v>783</v>
      </c>
      <c r="E3842" s="17">
        <v>10</v>
      </c>
      <c r="F3842" s="17">
        <v>12.5</v>
      </c>
      <c r="G3842" s="18">
        <v>125</v>
      </c>
      <c r="H3842" s="30" t="s">
        <v>2325</v>
      </c>
      <c r="J3842" s="34"/>
    </row>
    <row r="3843" spans="1:10" x14ac:dyDescent="0.25">
      <c r="A3843" s="15">
        <v>40967</v>
      </c>
      <c r="B3843" s="16" t="s">
        <v>1356</v>
      </c>
      <c r="C3843" t="s">
        <v>1352</v>
      </c>
      <c r="D3843" t="s">
        <v>783</v>
      </c>
      <c r="E3843" s="17">
        <v>1</v>
      </c>
      <c r="F3843" s="17">
        <v>19.8</v>
      </c>
      <c r="G3843" s="18">
        <v>19.8</v>
      </c>
      <c r="H3843" s="30" t="s">
        <v>2325</v>
      </c>
      <c r="J3843" s="34"/>
    </row>
    <row r="3844" spans="1:10" x14ac:dyDescent="0.25">
      <c r="A3844" s="15">
        <v>41004</v>
      </c>
      <c r="B3844" s="16" t="s">
        <v>1357</v>
      </c>
      <c r="C3844" t="s">
        <v>1352</v>
      </c>
      <c r="D3844" t="s">
        <v>783</v>
      </c>
      <c r="E3844" s="17">
        <v>10</v>
      </c>
      <c r="F3844" s="17">
        <v>12.5</v>
      </c>
      <c r="G3844" s="18">
        <v>125</v>
      </c>
      <c r="H3844" s="30" t="s">
        <v>2325</v>
      </c>
      <c r="J3844" s="34"/>
    </row>
    <row r="3845" spans="1:10" ht="30" x14ac:dyDescent="0.25">
      <c r="A3845" s="15">
        <v>41031</v>
      </c>
      <c r="B3845" s="16" t="s">
        <v>1358</v>
      </c>
      <c r="C3845" t="s">
        <v>1350</v>
      </c>
      <c r="D3845" t="s">
        <v>783</v>
      </c>
      <c r="E3845" s="17">
        <v>1</v>
      </c>
      <c r="F3845" s="17">
        <v>1320</v>
      </c>
      <c r="G3845" s="18">
        <v>1320</v>
      </c>
      <c r="H3845" s="30" t="s">
        <v>2325</v>
      </c>
      <c r="J3845" s="34"/>
    </row>
    <row r="3846" spans="1:10" x14ac:dyDescent="0.25">
      <c r="A3846" s="15">
        <v>41054</v>
      </c>
      <c r="B3846" s="16" t="s">
        <v>1359</v>
      </c>
      <c r="C3846" t="s">
        <v>1352</v>
      </c>
      <c r="D3846" t="s">
        <v>783</v>
      </c>
      <c r="E3846" s="17">
        <v>11</v>
      </c>
      <c r="F3846" s="17">
        <v>12.5</v>
      </c>
      <c r="G3846" s="18">
        <v>137.5</v>
      </c>
      <c r="H3846" s="30" t="s">
        <v>2325</v>
      </c>
      <c r="J3846" s="34"/>
    </row>
    <row r="3847" spans="1:10" ht="30" x14ac:dyDescent="0.25">
      <c r="A3847" s="15">
        <v>41065</v>
      </c>
      <c r="B3847" s="16" t="s">
        <v>1360</v>
      </c>
      <c r="C3847" t="s">
        <v>1350</v>
      </c>
      <c r="D3847" t="s">
        <v>783</v>
      </c>
      <c r="E3847" s="17">
        <v>1</v>
      </c>
      <c r="F3847" s="17">
        <v>1320</v>
      </c>
      <c r="G3847" s="18">
        <v>1320</v>
      </c>
      <c r="H3847" s="30" t="s">
        <v>2325</v>
      </c>
      <c r="J3847" s="34"/>
    </row>
    <row r="3848" spans="1:10" x14ac:dyDescent="0.25">
      <c r="A3848" s="15">
        <v>41083</v>
      </c>
      <c r="B3848" s="16" t="s">
        <v>1361</v>
      </c>
      <c r="C3848" t="s">
        <v>1352</v>
      </c>
      <c r="D3848" t="s">
        <v>783</v>
      </c>
      <c r="E3848" s="17">
        <v>1</v>
      </c>
      <c r="F3848" s="17">
        <v>117.2</v>
      </c>
      <c r="G3848" s="18">
        <v>117.2</v>
      </c>
      <c r="H3848" s="30" t="s">
        <v>2325</v>
      </c>
      <c r="J3848" s="34"/>
    </row>
    <row r="3849" spans="1:10" ht="30" x14ac:dyDescent="0.25">
      <c r="A3849" s="15">
        <v>41119</v>
      </c>
      <c r="B3849" s="16" t="s">
        <v>1362</v>
      </c>
      <c r="C3849" t="s">
        <v>1350</v>
      </c>
      <c r="D3849" t="s">
        <v>783</v>
      </c>
      <c r="E3849" s="17">
        <v>1</v>
      </c>
      <c r="F3849" s="17">
        <v>1320</v>
      </c>
      <c r="G3849" s="18">
        <v>1320</v>
      </c>
      <c r="H3849" s="30" t="s">
        <v>2325</v>
      </c>
      <c r="J3849" s="34"/>
    </row>
    <row r="3850" spans="1:10" ht="30" x14ac:dyDescent="0.25">
      <c r="A3850" s="15">
        <v>41127</v>
      </c>
      <c r="B3850" s="16" t="s">
        <v>1363</v>
      </c>
      <c r="C3850" t="s">
        <v>1350</v>
      </c>
      <c r="D3850" t="s">
        <v>783</v>
      </c>
      <c r="E3850" s="17">
        <v>1</v>
      </c>
      <c r="F3850" s="17">
        <v>1320</v>
      </c>
      <c r="G3850" s="18">
        <v>1320</v>
      </c>
      <c r="H3850" s="30" t="s">
        <v>2325</v>
      </c>
      <c r="J3850" s="34"/>
    </row>
    <row r="3851" spans="1:10" x14ac:dyDescent="0.25">
      <c r="A3851" s="15">
        <v>41152</v>
      </c>
      <c r="B3851" s="16" t="s">
        <v>1364</v>
      </c>
      <c r="C3851" t="s">
        <v>1352</v>
      </c>
      <c r="D3851" t="s">
        <v>783</v>
      </c>
      <c r="E3851" s="17">
        <v>1</v>
      </c>
      <c r="F3851" s="17">
        <v>44</v>
      </c>
      <c r="G3851" s="18">
        <v>44</v>
      </c>
      <c r="H3851" s="30" t="s">
        <v>2325</v>
      </c>
      <c r="J3851" s="34"/>
    </row>
    <row r="3852" spans="1:10" ht="30" x14ac:dyDescent="0.25">
      <c r="A3852" s="15">
        <v>41156</v>
      </c>
      <c r="B3852" s="16" t="s">
        <v>1365</v>
      </c>
      <c r="C3852" t="s">
        <v>1350</v>
      </c>
      <c r="D3852" t="s">
        <v>783</v>
      </c>
      <c r="E3852" s="17">
        <v>1</v>
      </c>
      <c r="F3852" s="17">
        <v>1320</v>
      </c>
      <c r="G3852" s="18">
        <v>1320</v>
      </c>
      <c r="H3852" s="30" t="s">
        <v>2325</v>
      </c>
      <c r="J3852" s="34"/>
    </row>
    <row r="3853" spans="1:10" x14ac:dyDescent="0.25">
      <c r="A3853" s="15">
        <v>41173</v>
      </c>
      <c r="B3853" s="16" t="s">
        <v>1366</v>
      </c>
      <c r="C3853" t="s">
        <v>1352</v>
      </c>
      <c r="D3853" t="s">
        <v>783</v>
      </c>
      <c r="E3853" s="17">
        <v>1</v>
      </c>
      <c r="F3853" s="17">
        <v>45.8</v>
      </c>
      <c r="G3853" s="18">
        <v>45.8</v>
      </c>
      <c r="H3853" s="30" t="s">
        <v>2325</v>
      </c>
      <c r="J3853" s="34"/>
    </row>
    <row r="3854" spans="1:10" ht="30" x14ac:dyDescent="0.25">
      <c r="A3854" s="15">
        <v>41184</v>
      </c>
      <c r="B3854" s="16" t="s">
        <v>1367</v>
      </c>
      <c r="C3854" t="s">
        <v>1350</v>
      </c>
      <c r="D3854" t="s">
        <v>783</v>
      </c>
      <c r="E3854" s="17">
        <v>1</v>
      </c>
      <c r="F3854" s="17">
        <v>1320</v>
      </c>
      <c r="G3854" s="18">
        <v>1320</v>
      </c>
      <c r="H3854" s="30" t="s">
        <v>2325</v>
      </c>
      <c r="J3854" s="34"/>
    </row>
    <row r="3855" spans="1:10" x14ac:dyDescent="0.25">
      <c r="A3855" s="15">
        <v>41213</v>
      </c>
      <c r="B3855" s="16" t="s">
        <v>1368</v>
      </c>
      <c r="C3855" t="s">
        <v>1352</v>
      </c>
      <c r="D3855" t="s">
        <v>783</v>
      </c>
      <c r="E3855" s="17">
        <v>1</v>
      </c>
      <c r="F3855" s="17">
        <v>149.80000000000001</v>
      </c>
      <c r="G3855" s="18">
        <v>149.80000000000001</v>
      </c>
      <c r="H3855" s="30" t="s">
        <v>2325</v>
      </c>
      <c r="J3855" s="34"/>
    </row>
    <row r="3856" spans="1:10" x14ac:dyDescent="0.25">
      <c r="A3856" s="19" t="s">
        <v>781</v>
      </c>
      <c r="B3856" s="20" t="s">
        <v>1369</v>
      </c>
      <c r="C3856" s="21" t="s">
        <v>781</v>
      </c>
      <c r="D3856" s="21" t="s">
        <v>781</v>
      </c>
      <c r="E3856" s="22"/>
      <c r="F3856" s="22"/>
      <c r="G3856" s="23">
        <v>14376.32</v>
      </c>
      <c r="H3856" s="31" t="s">
        <v>2285</v>
      </c>
      <c r="J3856" s="34"/>
    </row>
    <row r="3857" spans="1:10" x14ac:dyDescent="0.25">
      <c r="A3857" s="15" t="s">
        <v>781</v>
      </c>
      <c r="B3857" s="16" t="s">
        <v>781</v>
      </c>
      <c r="C3857" t="s">
        <v>781</v>
      </c>
      <c r="D3857" t="s">
        <v>781</v>
      </c>
      <c r="E3857" s="17"/>
      <c r="F3857" s="17"/>
      <c r="G3857" s="18"/>
      <c r="H3857" s="30" t="s">
        <v>2285</v>
      </c>
      <c r="J3857" s="34"/>
    </row>
    <row r="3858" spans="1:10" x14ac:dyDescent="0.25">
      <c r="A3858" s="12" t="s">
        <v>781</v>
      </c>
      <c r="B3858" s="11" t="s">
        <v>1893</v>
      </c>
      <c r="C3858" s="10" t="s">
        <v>781</v>
      </c>
      <c r="D3858" s="10" t="s">
        <v>781</v>
      </c>
      <c r="E3858" s="13"/>
      <c r="F3858" s="13"/>
      <c r="G3858" s="14"/>
      <c r="H3858" s="29" t="s">
        <v>2285</v>
      </c>
      <c r="J3858" s="34"/>
    </row>
    <row r="3859" spans="1:10" x14ac:dyDescent="0.25">
      <c r="A3859" s="15">
        <v>40861</v>
      </c>
      <c r="B3859" s="16" t="s">
        <v>1370</v>
      </c>
      <c r="C3859" t="s">
        <v>1371</v>
      </c>
      <c r="D3859" t="s">
        <v>783</v>
      </c>
      <c r="E3859" s="17">
        <v>1</v>
      </c>
      <c r="F3859" s="17">
        <v>8881.81</v>
      </c>
      <c r="G3859" s="18">
        <v>8881.81</v>
      </c>
      <c r="H3859" s="30" t="s">
        <v>2326</v>
      </c>
      <c r="J3859" s="34"/>
    </row>
    <row r="3860" spans="1:10" x14ac:dyDescent="0.25">
      <c r="A3860" s="15">
        <v>40861</v>
      </c>
      <c r="B3860" s="16" t="s">
        <v>1372</v>
      </c>
      <c r="C3860" t="s">
        <v>1371</v>
      </c>
      <c r="D3860" t="s">
        <v>783</v>
      </c>
      <c r="E3860" s="17">
        <v>1</v>
      </c>
      <c r="F3860" s="17">
        <v>9400</v>
      </c>
      <c r="G3860" s="18">
        <v>9400</v>
      </c>
      <c r="H3860" s="30" t="s">
        <v>2326</v>
      </c>
      <c r="J3860" s="34"/>
    </row>
    <row r="3861" spans="1:10" ht="30" x14ac:dyDescent="0.25">
      <c r="A3861" s="15">
        <v>40968</v>
      </c>
      <c r="B3861" s="16" t="s">
        <v>1373</v>
      </c>
      <c r="C3861" t="s">
        <v>1371</v>
      </c>
      <c r="D3861" t="s">
        <v>783</v>
      </c>
      <c r="E3861" s="17">
        <v>1</v>
      </c>
      <c r="F3861" s="17">
        <v>612</v>
      </c>
      <c r="G3861" s="18">
        <v>612</v>
      </c>
      <c r="H3861" s="30" t="s">
        <v>2326</v>
      </c>
      <c r="J3861" s="34"/>
    </row>
    <row r="3862" spans="1:10" x14ac:dyDescent="0.25">
      <c r="A3862" s="15">
        <v>40998</v>
      </c>
      <c r="B3862" s="16" t="s">
        <v>1374</v>
      </c>
      <c r="C3862" t="s">
        <v>1371</v>
      </c>
      <c r="D3862" t="s">
        <v>783</v>
      </c>
      <c r="E3862" s="17">
        <v>1</v>
      </c>
      <c r="F3862" s="17">
        <v>563.16</v>
      </c>
      <c r="G3862" s="18">
        <v>563.16</v>
      </c>
      <c r="H3862" s="30" t="s">
        <v>2326</v>
      </c>
      <c r="J3862" s="34"/>
    </row>
    <row r="3863" spans="1:10" x14ac:dyDescent="0.25">
      <c r="A3863" s="15">
        <v>40998</v>
      </c>
      <c r="B3863" s="16" t="s">
        <v>1375</v>
      </c>
      <c r="C3863" t="s">
        <v>1371</v>
      </c>
      <c r="D3863" t="s">
        <v>783</v>
      </c>
      <c r="E3863" s="17">
        <v>1</v>
      </c>
      <c r="F3863" s="17">
        <v>684.3</v>
      </c>
      <c r="G3863" s="18">
        <v>684.3</v>
      </c>
      <c r="H3863" s="30" t="s">
        <v>2326</v>
      </c>
      <c r="J3863" s="34"/>
    </row>
    <row r="3864" spans="1:10" x14ac:dyDescent="0.25">
      <c r="A3864" s="15">
        <v>41029</v>
      </c>
      <c r="B3864" s="16" t="s">
        <v>1375</v>
      </c>
      <c r="C3864" t="s">
        <v>959</v>
      </c>
      <c r="D3864" t="s">
        <v>783</v>
      </c>
      <c r="E3864" s="17">
        <v>1</v>
      </c>
      <c r="F3864" s="17">
        <v>684</v>
      </c>
      <c r="G3864" s="18">
        <v>684</v>
      </c>
      <c r="H3864" s="30" t="s">
        <v>2326</v>
      </c>
      <c r="J3864" s="34"/>
    </row>
    <row r="3865" spans="1:10" ht="30" x14ac:dyDescent="0.25">
      <c r="A3865" s="15">
        <v>41029</v>
      </c>
      <c r="B3865" s="16" t="s">
        <v>1376</v>
      </c>
      <c r="C3865" t="s">
        <v>1371</v>
      </c>
      <c r="D3865" t="s">
        <v>783</v>
      </c>
      <c r="E3865" s="17">
        <v>1</v>
      </c>
      <c r="F3865" s="17">
        <v>756</v>
      </c>
      <c r="G3865" s="18">
        <v>756</v>
      </c>
      <c r="H3865" s="30" t="s">
        <v>2326</v>
      </c>
      <c r="J3865" s="34"/>
    </row>
    <row r="3866" spans="1:10" x14ac:dyDescent="0.25">
      <c r="A3866" s="15">
        <v>41039</v>
      </c>
      <c r="B3866" s="16" t="s">
        <v>1377</v>
      </c>
      <c r="C3866" t="s">
        <v>1371</v>
      </c>
      <c r="D3866" t="s">
        <v>783</v>
      </c>
      <c r="E3866" s="17">
        <v>1</v>
      </c>
      <c r="F3866" s="17">
        <v>219</v>
      </c>
      <c r="G3866" s="18">
        <v>219</v>
      </c>
      <c r="H3866" s="30" t="s">
        <v>2326</v>
      </c>
      <c r="J3866" s="34"/>
    </row>
    <row r="3867" spans="1:10" ht="30" x14ac:dyDescent="0.25">
      <c r="A3867" s="15">
        <v>41066</v>
      </c>
      <c r="B3867" s="16" t="s">
        <v>1378</v>
      </c>
      <c r="C3867" t="s">
        <v>1371</v>
      </c>
      <c r="D3867" t="s">
        <v>783</v>
      </c>
      <c r="E3867" s="17">
        <v>1</v>
      </c>
      <c r="F3867" s="17">
        <v>151.19999999999999</v>
      </c>
      <c r="G3867" s="18">
        <v>151.19999999999999</v>
      </c>
      <c r="H3867" s="30" t="s">
        <v>2326</v>
      </c>
      <c r="J3867" s="34"/>
    </row>
    <row r="3868" spans="1:10" x14ac:dyDescent="0.25">
      <c r="A3868" s="15">
        <v>41089</v>
      </c>
      <c r="B3868" s="16" t="s">
        <v>1379</v>
      </c>
      <c r="C3868" t="s">
        <v>1371</v>
      </c>
      <c r="D3868" t="s">
        <v>783</v>
      </c>
      <c r="E3868" s="17">
        <v>1</v>
      </c>
      <c r="F3868" s="17">
        <v>99.84</v>
      </c>
      <c r="G3868" s="18">
        <v>99.84</v>
      </c>
      <c r="H3868" s="30" t="s">
        <v>2326</v>
      </c>
      <c r="J3868" s="34"/>
    </row>
    <row r="3869" spans="1:10" x14ac:dyDescent="0.25">
      <c r="A3869" s="15">
        <v>41090</v>
      </c>
      <c r="B3869" s="16" t="s">
        <v>1380</v>
      </c>
      <c r="C3869" t="s">
        <v>1371</v>
      </c>
      <c r="D3869" t="s">
        <v>783</v>
      </c>
      <c r="E3869" s="17">
        <v>1</v>
      </c>
      <c r="F3869" s="17">
        <v>792</v>
      </c>
      <c r="G3869" s="18">
        <v>792</v>
      </c>
      <c r="H3869" s="30" t="s">
        <v>2326</v>
      </c>
      <c r="J3869" s="34"/>
    </row>
    <row r="3870" spans="1:10" x14ac:dyDescent="0.25">
      <c r="A3870" s="15">
        <v>41090</v>
      </c>
      <c r="B3870" s="16" t="s">
        <v>1381</v>
      </c>
      <c r="C3870" t="s">
        <v>1371</v>
      </c>
      <c r="D3870" t="s">
        <v>783</v>
      </c>
      <c r="E3870" s="17">
        <v>1</v>
      </c>
      <c r="F3870" s="17">
        <v>592.79999999999995</v>
      </c>
      <c r="G3870" s="18">
        <v>592.79999999999995</v>
      </c>
      <c r="H3870" s="30" t="s">
        <v>2326</v>
      </c>
      <c r="J3870" s="34"/>
    </row>
    <row r="3871" spans="1:10" ht="30" x14ac:dyDescent="0.25">
      <c r="A3871" s="15">
        <v>41095</v>
      </c>
      <c r="B3871" s="16" t="s">
        <v>1382</v>
      </c>
      <c r="C3871" t="s">
        <v>1371</v>
      </c>
      <c r="D3871" t="s">
        <v>783</v>
      </c>
      <c r="E3871" s="17">
        <v>1</v>
      </c>
      <c r="F3871" s="17">
        <v>43.92</v>
      </c>
      <c r="G3871" s="18">
        <v>43.92</v>
      </c>
      <c r="H3871" s="30" t="s">
        <v>2326</v>
      </c>
      <c r="J3871" s="34"/>
    </row>
    <row r="3872" spans="1:10" ht="30" x14ac:dyDescent="0.25">
      <c r="A3872" s="15">
        <v>41121</v>
      </c>
      <c r="B3872" s="16" t="s">
        <v>1383</v>
      </c>
      <c r="C3872" t="s">
        <v>1371</v>
      </c>
      <c r="D3872" t="s">
        <v>783</v>
      </c>
      <c r="E3872" s="17">
        <v>1</v>
      </c>
      <c r="F3872" s="17">
        <v>612</v>
      </c>
      <c r="G3872" s="18">
        <v>612</v>
      </c>
      <c r="H3872" s="30" t="s">
        <v>2326</v>
      </c>
      <c r="J3872" s="34"/>
    </row>
    <row r="3873" spans="1:10" ht="30" x14ac:dyDescent="0.25">
      <c r="A3873" s="15">
        <v>41121</v>
      </c>
      <c r="B3873" s="16" t="s">
        <v>1384</v>
      </c>
      <c r="C3873" t="s">
        <v>1371</v>
      </c>
      <c r="D3873" t="s">
        <v>783</v>
      </c>
      <c r="E3873" s="17">
        <v>1</v>
      </c>
      <c r="F3873" s="17">
        <v>468</v>
      </c>
      <c r="G3873" s="18">
        <v>468</v>
      </c>
      <c r="H3873" s="30" t="s">
        <v>2326</v>
      </c>
      <c r="J3873" s="34"/>
    </row>
    <row r="3874" spans="1:10" x14ac:dyDescent="0.25">
      <c r="A3874" s="15">
        <v>41121</v>
      </c>
      <c r="B3874" s="16" t="s">
        <v>1385</v>
      </c>
      <c r="C3874" t="s">
        <v>1371</v>
      </c>
      <c r="D3874" t="s">
        <v>783</v>
      </c>
      <c r="E3874" s="17">
        <v>1</v>
      </c>
      <c r="F3874" s="17">
        <v>533.52</v>
      </c>
      <c r="G3874" s="18">
        <v>533.52</v>
      </c>
      <c r="H3874" s="30" t="s">
        <v>2326</v>
      </c>
      <c r="J3874" s="34"/>
    </row>
    <row r="3875" spans="1:10" ht="30" x14ac:dyDescent="0.25">
      <c r="A3875" s="15">
        <v>41127</v>
      </c>
      <c r="B3875" s="16" t="s">
        <v>1386</v>
      </c>
      <c r="C3875" t="s">
        <v>1371</v>
      </c>
      <c r="D3875" t="s">
        <v>783</v>
      </c>
      <c r="E3875" s="17">
        <v>1</v>
      </c>
      <c r="F3875" s="17">
        <v>43.92</v>
      </c>
      <c r="G3875" s="18">
        <v>43.92</v>
      </c>
      <c r="H3875" s="30" t="s">
        <v>2326</v>
      </c>
      <c r="J3875" s="34"/>
    </row>
    <row r="3876" spans="1:10" x14ac:dyDescent="0.25">
      <c r="A3876" s="15">
        <v>41136</v>
      </c>
      <c r="B3876" s="16" t="s">
        <v>1387</v>
      </c>
      <c r="C3876" t="s">
        <v>1371</v>
      </c>
      <c r="D3876" t="s">
        <v>783</v>
      </c>
      <c r="E3876" s="17">
        <v>1</v>
      </c>
      <c r="F3876" s="17">
        <v>48.24</v>
      </c>
      <c r="G3876" s="18">
        <v>48.24</v>
      </c>
      <c r="H3876" s="30" t="s">
        <v>2326</v>
      </c>
      <c r="J3876" s="34"/>
    </row>
    <row r="3877" spans="1:10" ht="30" x14ac:dyDescent="0.25">
      <c r="A3877" s="15">
        <v>41145</v>
      </c>
      <c r="B3877" s="16" t="s">
        <v>1388</v>
      </c>
      <c r="C3877" t="s">
        <v>1371</v>
      </c>
      <c r="D3877" t="s">
        <v>783</v>
      </c>
      <c r="E3877" s="17">
        <v>1</v>
      </c>
      <c r="F3877" s="17">
        <v>396</v>
      </c>
      <c r="G3877" s="18">
        <v>396</v>
      </c>
      <c r="H3877" s="30" t="s">
        <v>2326</v>
      </c>
      <c r="J3877" s="34"/>
    </row>
    <row r="3878" spans="1:10" x14ac:dyDescent="0.25">
      <c r="A3878" s="15">
        <v>41151</v>
      </c>
      <c r="B3878" s="16" t="s">
        <v>1389</v>
      </c>
      <c r="C3878" t="s">
        <v>1371</v>
      </c>
      <c r="D3878" t="s">
        <v>783</v>
      </c>
      <c r="E3878" s="17">
        <v>1</v>
      </c>
      <c r="F3878" s="17">
        <v>780</v>
      </c>
      <c r="G3878" s="18">
        <v>780</v>
      </c>
      <c r="H3878" s="30" t="s">
        <v>2326</v>
      </c>
      <c r="J3878" s="34"/>
    </row>
    <row r="3879" spans="1:10" x14ac:dyDescent="0.25">
      <c r="A3879" s="15">
        <v>41151</v>
      </c>
      <c r="B3879" s="16" t="s">
        <v>1390</v>
      </c>
      <c r="C3879" t="s">
        <v>1371</v>
      </c>
      <c r="D3879" t="s">
        <v>783</v>
      </c>
      <c r="E3879" s="17">
        <v>1</v>
      </c>
      <c r="F3879" s="17">
        <v>75.599999999999994</v>
      </c>
      <c r="G3879" s="18">
        <v>75.599999999999994</v>
      </c>
      <c r="H3879" s="30" t="s">
        <v>2326</v>
      </c>
      <c r="J3879" s="34"/>
    </row>
    <row r="3880" spans="1:10" ht="30" x14ac:dyDescent="0.25">
      <c r="A3880" s="15">
        <v>41152</v>
      </c>
      <c r="B3880" s="16" t="s">
        <v>1391</v>
      </c>
      <c r="C3880" t="s">
        <v>1371</v>
      </c>
      <c r="D3880" t="s">
        <v>783</v>
      </c>
      <c r="E3880" s="17">
        <v>1</v>
      </c>
      <c r="F3880" s="17">
        <v>72.959999999999994</v>
      </c>
      <c r="G3880" s="18">
        <v>72.959999999999994</v>
      </c>
      <c r="H3880" s="30" t="s">
        <v>2326</v>
      </c>
      <c r="J3880" s="34"/>
    </row>
    <row r="3881" spans="1:10" x14ac:dyDescent="0.25">
      <c r="A3881" s="15">
        <v>41152</v>
      </c>
      <c r="B3881" s="16" t="s">
        <v>1392</v>
      </c>
      <c r="C3881" t="s">
        <v>1371</v>
      </c>
      <c r="D3881" t="s">
        <v>783</v>
      </c>
      <c r="E3881" s="17">
        <v>1</v>
      </c>
      <c r="F3881" s="17">
        <v>770.64</v>
      </c>
      <c r="G3881" s="18">
        <v>770.64</v>
      </c>
      <c r="H3881" s="30" t="s">
        <v>2326</v>
      </c>
      <c r="J3881" s="34"/>
    </row>
    <row r="3882" spans="1:10" x14ac:dyDescent="0.25">
      <c r="A3882" s="15">
        <v>41152</v>
      </c>
      <c r="B3882" s="16" t="s">
        <v>1393</v>
      </c>
      <c r="C3882" t="s">
        <v>1371</v>
      </c>
      <c r="D3882" t="s">
        <v>783</v>
      </c>
      <c r="E3882" s="17">
        <v>1</v>
      </c>
      <c r="F3882" s="17">
        <v>936</v>
      </c>
      <c r="G3882" s="18">
        <v>936</v>
      </c>
      <c r="H3882" s="30" t="s">
        <v>2326</v>
      </c>
      <c r="J3882" s="34"/>
    </row>
    <row r="3883" spans="1:10" x14ac:dyDescent="0.25">
      <c r="A3883" s="15">
        <v>41152</v>
      </c>
      <c r="B3883" s="16" t="s">
        <v>1394</v>
      </c>
      <c r="C3883" t="s">
        <v>1371</v>
      </c>
      <c r="D3883" t="s">
        <v>783</v>
      </c>
      <c r="E3883" s="17">
        <v>1</v>
      </c>
      <c r="F3883" s="17">
        <v>77.14</v>
      </c>
      <c r="G3883" s="18">
        <v>77.14</v>
      </c>
      <c r="H3883" s="30" t="s">
        <v>2326</v>
      </c>
      <c r="J3883" s="34"/>
    </row>
    <row r="3884" spans="1:10" x14ac:dyDescent="0.25">
      <c r="A3884" s="15">
        <v>41162</v>
      </c>
      <c r="B3884" s="16" t="s">
        <v>1395</v>
      </c>
      <c r="C3884" t="s">
        <v>1371</v>
      </c>
      <c r="D3884" t="s">
        <v>783</v>
      </c>
      <c r="E3884" s="17">
        <v>1</v>
      </c>
      <c r="F3884" s="17">
        <v>91.44</v>
      </c>
      <c r="G3884" s="18">
        <v>91.44</v>
      </c>
      <c r="H3884" s="30" t="s">
        <v>2326</v>
      </c>
      <c r="J3884" s="34"/>
    </row>
    <row r="3885" spans="1:10" x14ac:dyDescent="0.25">
      <c r="A3885" s="15">
        <v>41180</v>
      </c>
      <c r="B3885" s="16" t="s">
        <v>1396</v>
      </c>
      <c r="C3885" t="s">
        <v>1371</v>
      </c>
      <c r="D3885" t="s">
        <v>783</v>
      </c>
      <c r="E3885" s="17">
        <v>1</v>
      </c>
      <c r="F3885" s="17">
        <v>66.849999999999994</v>
      </c>
      <c r="G3885" s="18">
        <v>66.849999999999994</v>
      </c>
      <c r="H3885" s="30" t="s">
        <v>2326</v>
      </c>
      <c r="J3885" s="34"/>
    </row>
    <row r="3886" spans="1:10" x14ac:dyDescent="0.25">
      <c r="A3886" s="15">
        <v>41182</v>
      </c>
      <c r="B3886" s="16" t="s">
        <v>1397</v>
      </c>
      <c r="C3886" t="s">
        <v>1371</v>
      </c>
      <c r="D3886" t="s">
        <v>783</v>
      </c>
      <c r="E3886" s="17">
        <v>1</v>
      </c>
      <c r="F3886" s="17">
        <v>681.72</v>
      </c>
      <c r="G3886" s="18">
        <v>681.72</v>
      </c>
      <c r="H3886" s="30" t="s">
        <v>2326</v>
      </c>
      <c r="J3886" s="34"/>
    </row>
    <row r="3887" spans="1:10" x14ac:dyDescent="0.25">
      <c r="A3887" s="15">
        <v>41182</v>
      </c>
      <c r="B3887" s="16" t="s">
        <v>1398</v>
      </c>
      <c r="C3887" t="s">
        <v>1371</v>
      </c>
      <c r="D3887" t="s">
        <v>783</v>
      </c>
      <c r="E3887" s="17">
        <v>1</v>
      </c>
      <c r="F3887" s="17">
        <v>549.84</v>
      </c>
      <c r="G3887" s="18">
        <v>549.84</v>
      </c>
      <c r="H3887" s="30" t="s">
        <v>2326</v>
      </c>
      <c r="J3887" s="34"/>
    </row>
    <row r="3888" spans="1:10" x14ac:dyDescent="0.25">
      <c r="A3888" s="15">
        <v>41186</v>
      </c>
      <c r="B3888" s="16" t="s">
        <v>1399</v>
      </c>
      <c r="C3888" t="s">
        <v>1371</v>
      </c>
      <c r="D3888" t="s">
        <v>783</v>
      </c>
      <c r="E3888" s="17">
        <v>1</v>
      </c>
      <c r="F3888" s="17">
        <v>47.28</v>
      </c>
      <c r="G3888" s="18">
        <v>47.28</v>
      </c>
      <c r="H3888" s="30" t="s">
        <v>2326</v>
      </c>
      <c r="J3888" s="34"/>
    </row>
    <row r="3889" spans="1:10" x14ac:dyDescent="0.25">
      <c r="A3889" s="15">
        <v>41186</v>
      </c>
      <c r="B3889" s="16" t="s">
        <v>1400</v>
      </c>
      <c r="C3889" t="s">
        <v>1371</v>
      </c>
      <c r="D3889" t="s">
        <v>783</v>
      </c>
      <c r="E3889" s="17">
        <v>1</v>
      </c>
      <c r="F3889" s="17">
        <v>37.92</v>
      </c>
      <c r="G3889" s="18">
        <v>37.92</v>
      </c>
      <c r="H3889" s="30" t="s">
        <v>2326</v>
      </c>
      <c r="J3889" s="34"/>
    </row>
    <row r="3890" spans="1:10" x14ac:dyDescent="0.25">
      <c r="A3890" s="19" t="s">
        <v>781</v>
      </c>
      <c r="B3890" s="20" t="s">
        <v>1401</v>
      </c>
      <c r="C3890" s="21" t="s">
        <v>781</v>
      </c>
      <c r="D3890" s="21" t="s">
        <v>781</v>
      </c>
      <c r="E3890" s="22"/>
      <c r="F3890" s="22"/>
      <c r="G3890" s="23">
        <v>29769.1</v>
      </c>
      <c r="H3890" s="31" t="s">
        <v>2285</v>
      </c>
      <c r="J3890" s="34"/>
    </row>
    <row r="3891" spans="1:10" x14ac:dyDescent="0.25">
      <c r="A3891" s="15" t="s">
        <v>781</v>
      </c>
      <c r="B3891" s="16" t="s">
        <v>781</v>
      </c>
      <c r="C3891" t="s">
        <v>781</v>
      </c>
      <c r="D3891" t="s">
        <v>781</v>
      </c>
      <c r="E3891" s="17"/>
      <c r="F3891" s="17"/>
      <c r="G3891" s="18"/>
      <c r="H3891" s="30" t="s">
        <v>2285</v>
      </c>
      <c r="J3891" s="34"/>
    </row>
    <row r="3892" spans="1:10" x14ac:dyDescent="0.25">
      <c r="A3892" s="12" t="s">
        <v>781</v>
      </c>
      <c r="B3892" s="11" t="s">
        <v>1894</v>
      </c>
      <c r="C3892" s="10" t="s">
        <v>781</v>
      </c>
      <c r="D3892" s="10" t="s">
        <v>781</v>
      </c>
      <c r="E3892" s="13"/>
      <c r="F3892" s="13"/>
      <c r="G3892" s="14"/>
      <c r="H3892" s="29" t="s">
        <v>2285</v>
      </c>
      <c r="J3892" s="34"/>
    </row>
    <row r="3893" spans="1:10" x14ac:dyDescent="0.25">
      <c r="A3893" s="15">
        <v>40863</v>
      </c>
      <c r="B3893" s="16" t="s">
        <v>1402</v>
      </c>
      <c r="C3893" t="s">
        <v>1274</v>
      </c>
      <c r="D3893" t="s">
        <v>783</v>
      </c>
      <c r="E3893" s="17">
        <v>1</v>
      </c>
      <c r="F3893" s="17">
        <v>180.4</v>
      </c>
      <c r="G3893" s="18">
        <v>180.4</v>
      </c>
      <c r="H3893" s="30" t="s">
        <v>2327</v>
      </c>
      <c r="J3893" s="34"/>
    </row>
    <row r="3894" spans="1:10" x14ac:dyDescent="0.25">
      <c r="A3894" s="15">
        <v>40864</v>
      </c>
      <c r="B3894" s="16" t="s">
        <v>1403</v>
      </c>
      <c r="C3894" t="s">
        <v>1274</v>
      </c>
      <c r="D3894" t="s">
        <v>783</v>
      </c>
      <c r="E3894" s="17">
        <v>1</v>
      </c>
      <c r="F3894" s="17">
        <v>44.09</v>
      </c>
      <c r="G3894" s="18">
        <v>44.09</v>
      </c>
      <c r="H3894" s="30" t="s">
        <v>2327</v>
      </c>
      <c r="J3894" s="34"/>
    </row>
    <row r="3895" spans="1:10" x14ac:dyDescent="0.25">
      <c r="A3895" s="15">
        <v>40864</v>
      </c>
      <c r="B3895" s="16" t="s">
        <v>1404</v>
      </c>
      <c r="C3895" t="s">
        <v>1274</v>
      </c>
      <c r="D3895" t="s">
        <v>783</v>
      </c>
      <c r="E3895" s="17">
        <v>1</v>
      </c>
      <c r="F3895" s="17">
        <v>15.04</v>
      </c>
      <c r="G3895" s="18">
        <v>15.04</v>
      </c>
      <c r="H3895" s="30" t="s">
        <v>2327</v>
      </c>
      <c r="J3895" s="34"/>
    </row>
    <row r="3896" spans="1:10" ht="30" x14ac:dyDescent="0.25">
      <c r="A3896" s="15">
        <v>40864</v>
      </c>
      <c r="B3896" s="16" t="s">
        <v>1405</v>
      </c>
      <c r="C3896" t="s">
        <v>1274</v>
      </c>
      <c r="D3896" t="s">
        <v>783</v>
      </c>
      <c r="E3896" s="17">
        <v>1</v>
      </c>
      <c r="F3896" s="17">
        <v>90.13</v>
      </c>
      <c r="G3896" s="18">
        <v>90.13</v>
      </c>
      <c r="H3896" s="30" t="s">
        <v>2327</v>
      </c>
      <c r="J3896" s="34"/>
    </row>
    <row r="3897" spans="1:10" x14ac:dyDescent="0.25">
      <c r="A3897" s="15">
        <v>40864</v>
      </c>
      <c r="B3897" s="16" t="s">
        <v>1406</v>
      </c>
      <c r="C3897" t="s">
        <v>1274</v>
      </c>
      <c r="D3897" t="s">
        <v>783</v>
      </c>
      <c r="E3897" s="17">
        <v>1</v>
      </c>
      <c r="F3897" s="17">
        <v>14.59</v>
      </c>
      <c r="G3897" s="18">
        <v>14.59</v>
      </c>
      <c r="H3897" s="30" t="s">
        <v>2327</v>
      </c>
      <c r="J3897" s="34"/>
    </row>
    <row r="3898" spans="1:10" ht="30" x14ac:dyDescent="0.25">
      <c r="A3898" s="15">
        <v>40871</v>
      </c>
      <c r="B3898" s="16" t="s">
        <v>1407</v>
      </c>
      <c r="C3898" t="s">
        <v>1274</v>
      </c>
      <c r="D3898" t="s">
        <v>783</v>
      </c>
      <c r="E3898" s="17">
        <v>1</v>
      </c>
      <c r="F3898" s="17">
        <v>104.59</v>
      </c>
      <c r="G3898" s="18">
        <v>104.59</v>
      </c>
      <c r="H3898" s="30" t="s">
        <v>2327</v>
      </c>
      <c r="J3898" s="34"/>
    </row>
    <row r="3899" spans="1:10" x14ac:dyDescent="0.25">
      <c r="A3899" s="15">
        <v>40872</v>
      </c>
      <c r="B3899" s="16" t="s">
        <v>1408</v>
      </c>
      <c r="C3899" t="s">
        <v>1274</v>
      </c>
      <c r="D3899" t="s">
        <v>783</v>
      </c>
      <c r="E3899" s="17">
        <v>1</v>
      </c>
      <c r="F3899" s="17">
        <v>113.54</v>
      </c>
      <c r="G3899" s="18">
        <v>113.54</v>
      </c>
      <c r="H3899" s="30" t="s">
        <v>2327</v>
      </c>
      <c r="J3899" s="34"/>
    </row>
    <row r="3900" spans="1:10" x14ac:dyDescent="0.25">
      <c r="A3900" s="15">
        <v>40873</v>
      </c>
      <c r="B3900" s="16" t="s">
        <v>1409</v>
      </c>
      <c r="C3900" t="s">
        <v>1274</v>
      </c>
      <c r="D3900" t="s">
        <v>783</v>
      </c>
      <c r="E3900" s="17">
        <v>1</v>
      </c>
      <c r="F3900" s="17">
        <v>16.18</v>
      </c>
      <c r="G3900" s="18">
        <v>16.18</v>
      </c>
      <c r="H3900" s="30" t="s">
        <v>2327</v>
      </c>
      <c r="J3900" s="34"/>
    </row>
    <row r="3901" spans="1:10" x14ac:dyDescent="0.25">
      <c r="A3901" s="15">
        <v>40877</v>
      </c>
      <c r="B3901" s="16" t="s">
        <v>1410</v>
      </c>
      <c r="C3901" t="s">
        <v>1274</v>
      </c>
      <c r="D3901" t="s">
        <v>783</v>
      </c>
      <c r="E3901" s="17">
        <v>1</v>
      </c>
      <c r="F3901" s="17">
        <v>17.399999999999999</v>
      </c>
      <c r="G3901" s="18">
        <v>17.399999999999999</v>
      </c>
      <c r="H3901" s="30" t="s">
        <v>2327</v>
      </c>
      <c r="J3901" s="34"/>
    </row>
    <row r="3902" spans="1:10" ht="30" x14ac:dyDescent="0.25">
      <c r="A3902" s="15">
        <v>40877</v>
      </c>
      <c r="B3902" s="16" t="s">
        <v>1411</v>
      </c>
      <c r="C3902" t="s">
        <v>1274</v>
      </c>
      <c r="D3902" t="s">
        <v>783</v>
      </c>
      <c r="E3902" s="17">
        <v>1</v>
      </c>
      <c r="F3902" s="17">
        <v>99.09</v>
      </c>
      <c r="G3902" s="18">
        <v>99.09</v>
      </c>
      <c r="H3902" s="30" t="s">
        <v>2327</v>
      </c>
      <c r="J3902" s="34"/>
    </row>
    <row r="3903" spans="1:10" x14ac:dyDescent="0.25">
      <c r="A3903" s="15">
        <v>40885</v>
      </c>
      <c r="B3903" s="16" t="s">
        <v>1412</v>
      </c>
      <c r="C3903" t="s">
        <v>1274</v>
      </c>
      <c r="D3903" t="s">
        <v>783</v>
      </c>
      <c r="E3903" s="17">
        <v>1</v>
      </c>
      <c r="F3903" s="17">
        <v>27.5</v>
      </c>
      <c r="G3903" s="18">
        <v>27.5</v>
      </c>
      <c r="H3903" s="30" t="s">
        <v>2327</v>
      </c>
      <c r="J3903" s="34"/>
    </row>
    <row r="3904" spans="1:10" ht="30" x14ac:dyDescent="0.25">
      <c r="A3904" s="15">
        <v>40885</v>
      </c>
      <c r="B3904" s="16" t="s">
        <v>1413</v>
      </c>
      <c r="C3904" t="s">
        <v>1274</v>
      </c>
      <c r="D3904" t="s">
        <v>783</v>
      </c>
      <c r="E3904" s="17">
        <v>1</v>
      </c>
      <c r="F3904" s="17">
        <v>62</v>
      </c>
      <c r="G3904" s="18">
        <v>62</v>
      </c>
      <c r="H3904" s="30" t="s">
        <v>2327</v>
      </c>
      <c r="J3904" s="34"/>
    </row>
    <row r="3905" spans="1:10" x14ac:dyDescent="0.25">
      <c r="A3905" s="15">
        <v>40896</v>
      </c>
      <c r="B3905" s="16" t="s">
        <v>1414</v>
      </c>
      <c r="C3905" t="s">
        <v>1274</v>
      </c>
      <c r="D3905" t="s">
        <v>783</v>
      </c>
      <c r="E3905" s="17">
        <v>1</v>
      </c>
      <c r="F3905" s="17">
        <v>28.86</v>
      </c>
      <c r="G3905" s="18">
        <v>28.86</v>
      </c>
      <c r="H3905" s="30" t="s">
        <v>2327</v>
      </c>
      <c r="J3905" s="34"/>
    </row>
    <row r="3906" spans="1:10" ht="30" x14ac:dyDescent="0.25">
      <c r="A3906" s="15">
        <v>40897</v>
      </c>
      <c r="B3906" s="16" t="s">
        <v>1415</v>
      </c>
      <c r="C3906" t="s">
        <v>1274</v>
      </c>
      <c r="D3906" t="s">
        <v>783</v>
      </c>
      <c r="E3906" s="17">
        <v>1</v>
      </c>
      <c r="F3906" s="17">
        <v>382.72</v>
      </c>
      <c r="G3906" s="18">
        <v>382.72</v>
      </c>
      <c r="H3906" s="30" t="s">
        <v>2327</v>
      </c>
      <c r="J3906" s="34"/>
    </row>
    <row r="3907" spans="1:10" x14ac:dyDescent="0.25">
      <c r="A3907" s="15">
        <v>40897</v>
      </c>
      <c r="B3907" s="16" t="s">
        <v>1416</v>
      </c>
      <c r="C3907" t="s">
        <v>1274</v>
      </c>
      <c r="D3907" t="s">
        <v>783</v>
      </c>
      <c r="E3907" s="17">
        <v>1</v>
      </c>
      <c r="F3907" s="17">
        <v>79.09</v>
      </c>
      <c r="G3907" s="18">
        <v>79.09</v>
      </c>
      <c r="H3907" s="30" t="s">
        <v>2327</v>
      </c>
      <c r="J3907" s="34"/>
    </row>
    <row r="3908" spans="1:10" x14ac:dyDescent="0.25">
      <c r="A3908" s="15">
        <v>40921</v>
      </c>
      <c r="B3908" s="16" t="s">
        <v>1417</v>
      </c>
      <c r="C3908" t="s">
        <v>1274</v>
      </c>
      <c r="D3908" t="s">
        <v>783</v>
      </c>
      <c r="E3908" s="17">
        <v>1</v>
      </c>
      <c r="F3908" s="17">
        <v>56.73</v>
      </c>
      <c r="G3908" s="18">
        <v>56.73</v>
      </c>
      <c r="H3908" s="30" t="s">
        <v>2327</v>
      </c>
      <c r="J3908" s="34"/>
    </row>
    <row r="3909" spans="1:10" x14ac:dyDescent="0.25">
      <c r="A3909" s="15">
        <v>40924</v>
      </c>
      <c r="B3909" s="16" t="s">
        <v>1418</v>
      </c>
      <c r="C3909" t="s">
        <v>1274</v>
      </c>
      <c r="D3909" t="s">
        <v>783</v>
      </c>
      <c r="E3909" s="17">
        <v>1</v>
      </c>
      <c r="F3909" s="17">
        <v>93.98</v>
      </c>
      <c r="G3909" s="18"/>
      <c r="H3909" s="30" t="s">
        <v>2327</v>
      </c>
      <c r="J3909" s="34"/>
    </row>
    <row r="3910" spans="1:10" x14ac:dyDescent="0.25">
      <c r="A3910" s="15">
        <v>40926</v>
      </c>
      <c r="B3910" s="16" t="s">
        <v>1419</v>
      </c>
      <c r="C3910" t="s">
        <v>1274</v>
      </c>
      <c r="D3910" t="s">
        <v>783</v>
      </c>
      <c r="E3910" s="17">
        <v>1</v>
      </c>
      <c r="F3910" s="17">
        <v>20.77</v>
      </c>
      <c r="G3910" s="18">
        <v>20.77</v>
      </c>
      <c r="H3910" s="30" t="s">
        <v>2327</v>
      </c>
      <c r="J3910" s="34"/>
    </row>
    <row r="3911" spans="1:10" x14ac:dyDescent="0.25">
      <c r="A3911" s="15">
        <v>40928</v>
      </c>
      <c r="B3911" s="16" t="s">
        <v>1420</v>
      </c>
      <c r="C3911" t="s">
        <v>1274</v>
      </c>
      <c r="D3911" t="s">
        <v>783</v>
      </c>
      <c r="E3911" s="17">
        <v>1</v>
      </c>
      <c r="F3911" s="17">
        <v>36.090000000000003</v>
      </c>
      <c r="G3911" s="18">
        <v>36.090000000000003</v>
      </c>
      <c r="H3911" s="30" t="s">
        <v>2327</v>
      </c>
      <c r="J3911" s="34"/>
    </row>
    <row r="3912" spans="1:10" x14ac:dyDescent="0.25">
      <c r="A3912" s="15">
        <v>40935</v>
      </c>
      <c r="B3912" s="16" t="s">
        <v>1421</v>
      </c>
      <c r="C3912" t="s">
        <v>1274</v>
      </c>
      <c r="D3912" t="s">
        <v>783</v>
      </c>
      <c r="E3912" s="17">
        <v>1</v>
      </c>
      <c r="F3912" s="17">
        <v>64.900000000000006</v>
      </c>
      <c r="G3912" s="18">
        <v>64.900000000000006</v>
      </c>
      <c r="H3912" s="30" t="s">
        <v>2327</v>
      </c>
      <c r="J3912" s="34"/>
    </row>
    <row r="3913" spans="1:10" x14ac:dyDescent="0.25">
      <c r="A3913" s="15">
        <v>40935</v>
      </c>
      <c r="B3913" s="16" t="s">
        <v>1422</v>
      </c>
      <c r="C3913" t="s">
        <v>1274</v>
      </c>
      <c r="D3913" t="s">
        <v>783</v>
      </c>
      <c r="E3913" s="17">
        <v>1</v>
      </c>
      <c r="F3913" s="17">
        <v>90.135999999999996</v>
      </c>
      <c r="G3913" s="18">
        <v>90.135999999999996</v>
      </c>
      <c r="H3913" s="30" t="s">
        <v>2327</v>
      </c>
      <c r="J3913" s="34"/>
    </row>
    <row r="3914" spans="1:10" x14ac:dyDescent="0.25">
      <c r="A3914" s="15">
        <v>40935</v>
      </c>
      <c r="B3914" s="16" t="s">
        <v>1423</v>
      </c>
      <c r="C3914" t="s">
        <v>1274</v>
      </c>
      <c r="D3914" t="s">
        <v>783</v>
      </c>
      <c r="E3914" s="17">
        <v>1</v>
      </c>
      <c r="F3914" s="17">
        <v>90.13</v>
      </c>
      <c r="G3914" s="18">
        <v>90.13</v>
      </c>
      <c r="H3914" s="30" t="s">
        <v>2327</v>
      </c>
      <c r="J3914" s="34"/>
    </row>
    <row r="3915" spans="1:10" ht="30" x14ac:dyDescent="0.25">
      <c r="A3915" s="15">
        <v>40939</v>
      </c>
      <c r="B3915" s="16" t="s">
        <v>1424</v>
      </c>
      <c r="C3915" t="s">
        <v>1274</v>
      </c>
      <c r="D3915" t="s">
        <v>783</v>
      </c>
      <c r="E3915" s="17">
        <v>1</v>
      </c>
      <c r="F3915" s="17">
        <v>216.09</v>
      </c>
      <c r="G3915" s="18">
        <v>216.09</v>
      </c>
      <c r="H3915" s="30" t="s">
        <v>2327</v>
      </c>
      <c r="J3915" s="34"/>
    </row>
    <row r="3916" spans="1:10" x14ac:dyDescent="0.25">
      <c r="A3916" s="15">
        <v>40948</v>
      </c>
      <c r="B3916" s="16" t="s">
        <v>1425</v>
      </c>
      <c r="C3916" t="s">
        <v>1274</v>
      </c>
      <c r="D3916" t="s">
        <v>783</v>
      </c>
      <c r="E3916" s="17">
        <v>1</v>
      </c>
      <c r="F3916" s="17">
        <v>34.130000000000003</v>
      </c>
      <c r="G3916" s="18">
        <v>34.130000000000003</v>
      </c>
      <c r="H3916" s="30" t="s">
        <v>2327</v>
      </c>
      <c r="J3916" s="34"/>
    </row>
    <row r="3917" spans="1:10" x14ac:dyDescent="0.25">
      <c r="A3917" s="15">
        <v>40949</v>
      </c>
      <c r="B3917" s="16" t="s">
        <v>1426</v>
      </c>
      <c r="C3917" t="s">
        <v>1274</v>
      </c>
      <c r="D3917" t="s">
        <v>783</v>
      </c>
      <c r="E3917" s="17">
        <v>1</v>
      </c>
      <c r="F3917" s="17">
        <v>19</v>
      </c>
      <c r="G3917" s="18">
        <v>19</v>
      </c>
      <c r="H3917" s="30" t="s">
        <v>2327</v>
      </c>
      <c r="J3917" s="34"/>
    </row>
    <row r="3918" spans="1:10" x14ac:dyDescent="0.25">
      <c r="A3918" s="15">
        <v>40949</v>
      </c>
      <c r="B3918" s="16" t="s">
        <v>1427</v>
      </c>
      <c r="C3918" t="s">
        <v>1274</v>
      </c>
      <c r="D3918" t="s">
        <v>783</v>
      </c>
      <c r="E3918" s="17">
        <v>1</v>
      </c>
      <c r="F3918" s="17">
        <v>45.54</v>
      </c>
      <c r="G3918" s="18">
        <v>45.54</v>
      </c>
      <c r="H3918" s="30" t="s">
        <v>2327</v>
      </c>
      <c r="J3918" s="34"/>
    </row>
    <row r="3919" spans="1:10" x14ac:dyDescent="0.25">
      <c r="A3919" s="15">
        <v>40953</v>
      </c>
      <c r="B3919" s="16" t="s">
        <v>1428</v>
      </c>
      <c r="C3919" t="s">
        <v>1274</v>
      </c>
      <c r="D3919" t="s">
        <v>783</v>
      </c>
      <c r="E3919" s="17">
        <v>1</v>
      </c>
      <c r="F3919" s="17">
        <v>163.63</v>
      </c>
      <c r="G3919" s="18">
        <v>163.63</v>
      </c>
      <c r="H3919" s="30" t="s">
        <v>2327</v>
      </c>
      <c r="J3919" s="34"/>
    </row>
    <row r="3920" spans="1:10" x14ac:dyDescent="0.25">
      <c r="A3920" s="15">
        <v>40953</v>
      </c>
      <c r="B3920" s="16" t="s">
        <v>1429</v>
      </c>
      <c r="C3920" t="s">
        <v>1274</v>
      </c>
      <c r="D3920" t="s">
        <v>783</v>
      </c>
      <c r="E3920" s="17">
        <v>1</v>
      </c>
      <c r="F3920" s="17">
        <v>212.18</v>
      </c>
      <c r="G3920" s="18">
        <v>212.18</v>
      </c>
      <c r="H3920" s="30" t="s">
        <v>2327</v>
      </c>
      <c r="J3920" s="34"/>
    </row>
    <row r="3921" spans="1:10" x14ac:dyDescent="0.25">
      <c r="A3921" s="15">
        <v>40953</v>
      </c>
      <c r="B3921" s="16" t="s">
        <v>1430</v>
      </c>
      <c r="C3921" t="s">
        <v>1274</v>
      </c>
      <c r="D3921" t="s">
        <v>783</v>
      </c>
      <c r="E3921" s="17">
        <v>1</v>
      </c>
      <c r="F3921" s="17">
        <v>27.2</v>
      </c>
      <c r="G3921" s="18">
        <v>27.2</v>
      </c>
      <c r="H3921" s="30" t="s">
        <v>2327</v>
      </c>
      <c r="J3921" s="34"/>
    </row>
    <row r="3922" spans="1:10" ht="30" x14ac:dyDescent="0.25">
      <c r="A3922" s="15">
        <v>40955</v>
      </c>
      <c r="B3922" s="16" t="s">
        <v>1431</v>
      </c>
      <c r="C3922" t="s">
        <v>1274</v>
      </c>
      <c r="D3922" t="s">
        <v>783</v>
      </c>
      <c r="E3922" s="17">
        <v>1</v>
      </c>
      <c r="F3922" s="17">
        <v>114.45</v>
      </c>
      <c r="G3922" s="18">
        <v>114.45</v>
      </c>
      <c r="H3922" s="30" t="s">
        <v>2327</v>
      </c>
      <c r="J3922" s="34"/>
    </row>
    <row r="3923" spans="1:10" x14ac:dyDescent="0.25">
      <c r="A3923" s="15">
        <v>40962</v>
      </c>
      <c r="B3923" s="16" t="s">
        <v>1432</v>
      </c>
      <c r="C3923" t="s">
        <v>1274</v>
      </c>
      <c r="D3923" t="s">
        <v>783</v>
      </c>
      <c r="E3923" s="17">
        <v>1</v>
      </c>
      <c r="F3923" s="17">
        <v>362.72</v>
      </c>
      <c r="G3923" s="18">
        <v>362.72</v>
      </c>
      <c r="H3923" s="30" t="s">
        <v>2327</v>
      </c>
      <c r="J3923" s="34"/>
    </row>
    <row r="3924" spans="1:10" x14ac:dyDescent="0.25">
      <c r="A3924" s="15">
        <v>40968</v>
      </c>
      <c r="B3924" s="16" t="s">
        <v>1433</v>
      </c>
      <c r="C3924" t="s">
        <v>1274</v>
      </c>
      <c r="D3924" t="s">
        <v>783</v>
      </c>
      <c r="E3924" s="17">
        <v>1</v>
      </c>
      <c r="F3924" s="17">
        <v>90.68</v>
      </c>
      <c r="G3924" s="18">
        <v>90.68</v>
      </c>
      <c r="H3924" s="30" t="s">
        <v>2327</v>
      </c>
      <c r="J3924" s="34"/>
    </row>
    <row r="3925" spans="1:10" x14ac:dyDescent="0.25">
      <c r="A3925" s="15">
        <v>40968</v>
      </c>
      <c r="B3925" s="16" t="s">
        <v>1434</v>
      </c>
      <c r="C3925" t="s">
        <v>1274</v>
      </c>
      <c r="D3925" t="s">
        <v>783</v>
      </c>
      <c r="E3925" s="17">
        <v>1</v>
      </c>
      <c r="F3925" s="17">
        <v>4.5</v>
      </c>
      <c r="G3925" s="18">
        <v>4.5</v>
      </c>
      <c r="H3925" s="30" t="s">
        <v>2327</v>
      </c>
      <c r="J3925" s="34"/>
    </row>
    <row r="3926" spans="1:10" x14ac:dyDescent="0.25">
      <c r="A3926" s="15">
        <v>40969</v>
      </c>
      <c r="B3926" s="16" t="s">
        <v>1435</v>
      </c>
      <c r="C3926" t="s">
        <v>1274</v>
      </c>
      <c r="D3926" t="s">
        <v>783</v>
      </c>
      <c r="E3926" s="17">
        <v>1</v>
      </c>
      <c r="F3926" s="17">
        <v>14.77</v>
      </c>
      <c r="G3926" s="18">
        <v>14.77</v>
      </c>
      <c r="H3926" s="30" t="s">
        <v>2327</v>
      </c>
      <c r="J3926" s="34"/>
    </row>
    <row r="3927" spans="1:10" ht="30" x14ac:dyDescent="0.25">
      <c r="A3927" s="15">
        <v>40970</v>
      </c>
      <c r="B3927" s="16" t="s">
        <v>1436</v>
      </c>
      <c r="C3927" t="s">
        <v>1274</v>
      </c>
      <c r="D3927" t="s">
        <v>783</v>
      </c>
      <c r="E3927" s="17">
        <v>1</v>
      </c>
      <c r="F3927" s="17">
        <v>126.13</v>
      </c>
      <c r="G3927" s="18">
        <v>126.13</v>
      </c>
      <c r="H3927" s="30" t="s">
        <v>2327</v>
      </c>
      <c r="J3927" s="34"/>
    </row>
    <row r="3928" spans="1:10" x14ac:dyDescent="0.25">
      <c r="A3928" s="15">
        <v>40970</v>
      </c>
      <c r="B3928" s="16" t="s">
        <v>1437</v>
      </c>
      <c r="C3928" t="s">
        <v>1274</v>
      </c>
      <c r="D3928" t="s">
        <v>783</v>
      </c>
      <c r="E3928" s="17">
        <v>1</v>
      </c>
      <c r="F3928" s="17">
        <v>1.59</v>
      </c>
      <c r="G3928" s="18">
        <v>1.59</v>
      </c>
      <c r="H3928" s="30" t="s">
        <v>2327</v>
      </c>
      <c r="J3928" s="34"/>
    </row>
    <row r="3929" spans="1:10" x14ac:dyDescent="0.25">
      <c r="A3929" s="15">
        <v>40970</v>
      </c>
      <c r="B3929" s="16" t="s">
        <v>1438</v>
      </c>
      <c r="C3929" t="s">
        <v>1274</v>
      </c>
      <c r="D3929" t="s">
        <v>783</v>
      </c>
      <c r="E3929" s="17">
        <v>1</v>
      </c>
      <c r="F3929" s="17">
        <v>100.9</v>
      </c>
      <c r="G3929" s="18">
        <v>100.9</v>
      </c>
      <c r="H3929" s="30" t="s">
        <v>2327</v>
      </c>
      <c r="J3929" s="34"/>
    </row>
    <row r="3930" spans="1:10" x14ac:dyDescent="0.25">
      <c r="A3930" s="15">
        <v>40970</v>
      </c>
      <c r="B3930" s="16" t="s">
        <v>1439</v>
      </c>
      <c r="C3930" t="s">
        <v>1274</v>
      </c>
      <c r="D3930" t="s">
        <v>783</v>
      </c>
      <c r="E3930" s="17">
        <v>1</v>
      </c>
      <c r="F3930" s="17">
        <v>164.09</v>
      </c>
      <c r="G3930" s="18">
        <v>164.09</v>
      </c>
      <c r="H3930" s="30" t="s">
        <v>2327</v>
      </c>
      <c r="J3930" s="34"/>
    </row>
    <row r="3931" spans="1:10" x14ac:dyDescent="0.25">
      <c r="A3931" s="15">
        <v>40970</v>
      </c>
      <c r="B3931" s="16" t="s">
        <v>1440</v>
      </c>
      <c r="C3931" t="s">
        <v>1274</v>
      </c>
      <c r="D3931" t="s">
        <v>783</v>
      </c>
      <c r="E3931" s="17">
        <v>1</v>
      </c>
      <c r="F3931" s="17">
        <v>4.2699999999999996</v>
      </c>
      <c r="G3931" s="18">
        <v>4.2699999999999996</v>
      </c>
      <c r="H3931" s="30" t="s">
        <v>2327</v>
      </c>
      <c r="J3931" s="34"/>
    </row>
    <row r="3932" spans="1:10" ht="30" x14ac:dyDescent="0.25">
      <c r="A3932" s="15">
        <v>40973</v>
      </c>
      <c r="B3932" s="16" t="s">
        <v>1441</v>
      </c>
      <c r="C3932" t="s">
        <v>1274</v>
      </c>
      <c r="D3932" t="s">
        <v>783</v>
      </c>
      <c r="E3932" s="17">
        <v>1</v>
      </c>
      <c r="F3932" s="17">
        <v>125.04</v>
      </c>
      <c r="G3932" s="18">
        <v>125.04</v>
      </c>
      <c r="H3932" s="30" t="s">
        <v>2327</v>
      </c>
      <c r="J3932" s="34"/>
    </row>
    <row r="3933" spans="1:10" x14ac:dyDescent="0.25">
      <c r="A3933" s="15">
        <v>40976</v>
      </c>
      <c r="B3933" s="16" t="s">
        <v>1442</v>
      </c>
      <c r="C3933" t="s">
        <v>1274</v>
      </c>
      <c r="D3933" t="s">
        <v>783</v>
      </c>
      <c r="E3933" s="17">
        <v>1</v>
      </c>
      <c r="F3933" s="17">
        <v>13.86</v>
      </c>
      <c r="G3933" s="18">
        <v>13.86</v>
      </c>
      <c r="H3933" s="30" t="s">
        <v>2327</v>
      </c>
      <c r="J3933" s="34"/>
    </row>
    <row r="3934" spans="1:10" ht="30" x14ac:dyDescent="0.25">
      <c r="A3934" s="15">
        <v>40991</v>
      </c>
      <c r="B3934" s="16" t="s">
        <v>1443</v>
      </c>
      <c r="C3934" t="s">
        <v>1274</v>
      </c>
      <c r="D3934" t="s">
        <v>783</v>
      </c>
      <c r="E3934" s="17">
        <v>1</v>
      </c>
      <c r="F3934" s="17">
        <v>255.22</v>
      </c>
      <c r="G3934" s="18">
        <v>255.22</v>
      </c>
      <c r="H3934" s="30" t="s">
        <v>2327</v>
      </c>
      <c r="J3934" s="34"/>
    </row>
    <row r="3935" spans="1:10" x14ac:dyDescent="0.25">
      <c r="A3935" s="15">
        <v>40991</v>
      </c>
      <c r="B3935" s="16" t="s">
        <v>1444</v>
      </c>
      <c r="C3935" t="s">
        <v>1274</v>
      </c>
      <c r="D3935" t="s">
        <v>783</v>
      </c>
      <c r="E3935" s="17">
        <v>1</v>
      </c>
      <c r="F3935" s="17">
        <v>18.54</v>
      </c>
      <c r="G3935" s="18">
        <v>18.54</v>
      </c>
      <c r="H3935" s="30" t="s">
        <v>2327</v>
      </c>
      <c r="J3935" s="34"/>
    </row>
    <row r="3936" spans="1:10" x14ac:dyDescent="0.25">
      <c r="A3936" s="15">
        <v>40991</v>
      </c>
      <c r="B3936" s="16" t="s">
        <v>1445</v>
      </c>
      <c r="C3936" t="s">
        <v>1274</v>
      </c>
      <c r="D3936" t="s">
        <v>783</v>
      </c>
      <c r="E3936" s="17">
        <v>1</v>
      </c>
      <c r="F3936" s="17">
        <v>59.68</v>
      </c>
      <c r="G3936" s="18">
        <v>59.68</v>
      </c>
      <c r="H3936" s="30" t="s">
        <v>2327</v>
      </c>
      <c r="J3936" s="34"/>
    </row>
    <row r="3937" spans="1:10" x14ac:dyDescent="0.25">
      <c r="A3937" s="15">
        <v>40994</v>
      </c>
      <c r="B3937" s="16" t="s">
        <v>1446</v>
      </c>
      <c r="C3937" t="s">
        <v>1274</v>
      </c>
      <c r="D3937" t="s">
        <v>783</v>
      </c>
      <c r="E3937" s="17">
        <v>1</v>
      </c>
      <c r="F3937" s="17">
        <v>156.36000000000001</v>
      </c>
      <c r="G3937" s="18">
        <v>156.36000000000001</v>
      </c>
      <c r="H3937" s="30" t="s">
        <v>2327</v>
      </c>
      <c r="J3937" s="34"/>
    </row>
    <row r="3938" spans="1:10" x14ac:dyDescent="0.25">
      <c r="A3938" s="15">
        <v>40995</v>
      </c>
      <c r="B3938" s="16" t="s">
        <v>1447</v>
      </c>
      <c r="C3938" t="s">
        <v>1274</v>
      </c>
      <c r="D3938" t="s">
        <v>783</v>
      </c>
      <c r="E3938" s="17">
        <v>1</v>
      </c>
      <c r="F3938" s="17">
        <v>13.72</v>
      </c>
      <c r="G3938" s="18">
        <v>13.72</v>
      </c>
      <c r="H3938" s="30" t="s">
        <v>2327</v>
      </c>
      <c r="J3938" s="34"/>
    </row>
    <row r="3939" spans="1:10" x14ac:dyDescent="0.25">
      <c r="A3939" s="15">
        <v>40995</v>
      </c>
      <c r="B3939" s="16" t="s">
        <v>1448</v>
      </c>
      <c r="C3939" t="s">
        <v>1274</v>
      </c>
      <c r="D3939" t="s">
        <v>783</v>
      </c>
      <c r="E3939" s="17">
        <v>1</v>
      </c>
      <c r="F3939" s="17">
        <v>24.59</v>
      </c>
      <c r="G3939" s="18">
        <v>24.59</v>
      </c>
      <c r="H3939" s="30" t="s">
        <v>2327</v>
      </c>
      <c r="J3939" s="34"/>
    </row>
    <row r="3940" spans="1:10" x14ac:dyDescent="0.25">
      <c r="A3940" s="15">
        <v>40995</v>
      </c>
      <c r="B3940" s="16" t="s">
        <v>1449</v>
      </c>
      <c r="C3940" t="s">
        <v>1274</v>
      </c>
      <c r="D3940" t="s">
        <v>783</v>
      </c>
      <c r="E3940" s="17">
        <v>1</v>
      </c>
      <c r="F3940" s="17">
        <v>2.5</v>
      </c>
      <c r="G3940" s="18">
        <v>2.5</v>
      </c>
      <c r="H3940" s="30" t="s">
        <v>2327</v>
      </c>
      <c r="J3940" s="34"/>
    </row>
    <row r="3941" spans="1:10" ht="30" x14ac:dyDescent="0.25">
      <c r="A3941" s="15">
        <v>40995</v>
      </c>
      <c r="B3941" s="16" t="s">
        <v>1450</v>
      </c>
      <c r="C3941" t="s">
        <v>1274</v>
      </c>
      <c r="D3941" t="s">
        <v>783</v>
      </c>
      <c r="E3941" s="17">
        <v>1</v>
      </c>
      <c r="F3941" s="17">
        <v>56.95</v>
      </c>
      <c r="G3941" s="18">
        <v>56.95</v>
      </c>
      <c r="H3941" s="30" t="s">
        <v>2327</v>
      </c>
      <c r="J3941" s="34"/>
    </row>
    <row r="3942" spans="1:10" x14ac:dyDescent="0.25">
      <c r="A3942" s="15">
        <v>40995</v>
      </c>
      <c r="B3942" s="16" t="s">
        <v>1451</v>
      </c>
      <c r="C3942" t="s">
        <v>1274</v>
      </c>
      <c r="D3942" t="s">
        <v>783</v>
      </c>
      <c r="E3942" s="17">
        <v>1</v>
      </c>
      <c r="F3942" s="17">
        <v>48.59</v>
      </c>
      <c r="G3942" s="18">
        <v>48.59</v>
      </c>
      <c r="H3942" s="30" t="s">
        <v>2327</v>
      </c>
      <c r="J3942" s="34"/>
    </row>
    <row r="3943" spans="1:10" ht="30" x14ac:dyDescent="0.25">
      <c r="A3943" s="15">
        <v>40997</v>
      </c>
      <c r="B3943" s="16" t="s">
        <v>1452</v>
      </c>
      <c r="C3943" t="s">
        <v>1274</v>
      </c>
      <c r="D3943" t="s">
        <v>783</v>
      </c>
      <c r="E3943" s="17">
        <v>1</v>
      </c>
      <c r="F3943" s="17">
        <v>112.13</v>
      </c>
      <c r="G3943" s="18">
        <v>112.13</v>
      </c>
      <c r="H3943" s="30" t="s">
        <v>2327</v>
      </c>
      <c r="J3943" s="34"/>
    </row>
    <row r="3944" spans="1:10" ht="30" x14ac:dyDescent="0.25">
      <c r="A3944" s="15">
        <v>41001</v>
      </c>
      <c r="B3944" s="16" t="s">
        <v>1453</v>
      </c>
      <c r="C3944" t="s">
        <v>1274</v>
      </c>
      <c r="D3944" t="s">
        <v>783</v>
      </c>
      <c r="E3944" s="17">
        <v>1</v>
      </c>
      <c r="F3944" s="17">
        <v>433.81</v>
      </c>
      <c r="G3944" s="18">
        <v>433.81</v>
      </c>
      <c r="H3944" s="30" t="s">
        <v>2327</v>
      </c>
      <c r="J3944" s="34"/>
    </row>
    <row r="3945" spans="1:10" x14ac:dyDescent="0.25">
      <c r="A3945" s="15">
        <v>41002</v>
      </c>
      <c r="B3945" s="16" t="s">
        <v>1454</v>
      </c>
      <c r="C3945" t="s">
        <v>1274</v>
      </c>
      <c r="D3945" t="s">
        <v>783</v>
      </c>
      <c r="E3945" s="17">
        <v>1</v>
      </c>
      <c r="F3945" s="17">
        <v>11.4</v>
      </c>
      <c r="G3945" s="18">
        <v>11.4</v>
      </c>
      <c r="H3945" s="30" t="s">
        <v>2327</v>
      </c>
      <c r="J3945" s="34"/>
    </row>
    <row r="3946" spans="1:10" x14ac:dyDescent="0.25">
      <c r="A3946" s="15">
        <v>41002</v>
      </c>
      <c r="B3946" s="16" t="s">
        <v>1455</v>
      </c>
      <c r="C3946" t="s">
        <v>1274</v>
      </c>
      <c r="D3946" t="s">
        <v>783</v>
      </c>
      <c r="E3946" s="17">
        <v>1</v>
      </c>
      <c r="F3946" s="17">
        <v>214.72</v>
      </c>
      <c r="G3946" s="18">
        <v>214.72</v>
      </c>
      <c r="H3946" s="30" t="s">
        <v>2327</v>
      </c>
      <c r="J3946" s="34"/>
    </row>
    <row r="3947" spans="1:10" x14ac:dyDescent="0.25">
      <c r="A3947" s="15">
        <v>41003</v>
      </c>
      <c r="B3947" s="16" t="s">
        <v>1456</v>
      </c>
      <c r="C3947" t="s">
        <v>1274</v>
      </c>
      <c r="D3947" t="s">
        <v>783</v>
      </c>
      <c r="E3947" s="17">
        <v>1</v>
      </c>
      <c r="F3947" s="17">
        <v>62.95</v>
      </c>
      <c r="G3947" s="18">
        <v>62.95</v>
      </c>
      <c r="H3947" s="30" t="s">
        <v>2327</v>
      </c>
      <c r="J3947" s="34"/>
    </row>
    <row r="3948" spans="1:10" ht="30" x14ac:dyDescent="0.25">
      <c r="A3948" s="15">
        <v>41004</v>
      </c>
      <c r="B3948" s="16" t="s">
        <v>1457</v>
      </c>
      <c r="C3948" t="s">
        <v>1274</v>
      </c>
      <c r="D3948" t="s">
        <v>783</v>
      </c>
      <c r="E3948" s="17">
        <v>1</v>
      </c>
      <c r="F3948" s="17">
        <v>97.81</v>
      </c>
      <c r="G3948" s="18">
        <v>97.81</v>
      </c>
      <c r="H3948" s="30" t="s">
        <v>2327</v>
      </c>
      <c r="J3948" s="34"/>
    </row>
    <row r="3949" spans="1:10" ht="30" x14ac:dyDescent="0.25">
      <c r="A3949" s="15">
        <v>41004</v>
      </c>
      <c r="B3949" s="16" t="s">
        <v>1458</v>
      </c>
      <c r="C3949" t="s">
        <v>1274</v>
      </c>
      <c r="D3949" t="s">
        <v>783</v>
      </c>
      <c r="E3949" s="17">
        <v>1</v>
      </c>
      <c r="F3949" s="17">
        <v>368.72</v>
      </c>
      <c r="G3949" s="18">
        <v>368.72</v>
      </c>
      <c r="H3949" s="30" t="s">
        <v>2327</v>
      </c>
      <c r="J3949" s="34"/>
    </row>
    <row r="3950" spans="1:10" x14ac:dyDescent="0.25">
      <c r="A3950" s="15">
        <v>41009</v>
      </c>
      <c r="B3950" s="16" t="s">
        <v>1459</v>
      </c>
      <c r="C3950" t="s">
        <v>1274</v>
      </c>
      <c r="D3950" t="s">
        <v>783</v>
      </c>
      <c r="E3950" s="17">
        <v>1</v>
      </c>
      <c r="F3950" s="17">
        <v>224.22</v>
      </c>
      <c r="G3950" s="18">
        <v>224.22</v>
      </c>
      <c r="H3950" s="30" t="s">
        <v>2327</v>
      </c>
      <c r="J3950" s="34"/>
    </row>
    <row r="3951" spans="1:10" x14ac:dyDescent="0.25">
      <c r="A3951" s="15">
        <v>41010</v>
      </c>
      <c r="B3951" s="16" t="s">
        <v>1460</v>
      </c>
      <c r="C3951" t="s">
        <v>1274</v>
      </c>
      <c r="D3951" t="s">
        <v>783</v>
      </c>
      <c r="E3951" s="17">
        <v>1</v>
      </c>
      <c r="F3951" s="17">
        <v>66.72</v>
      </c>
      <c r="G3951" s="18">
        <v>66.72</v>
      </c>
      <c r="H3951" s="30" t="s">
        <v>2327</v>
      </c>
      <c r="J3951" s="34"/>
    </row>
    <row r="3952" spans="1:10" ht="30" x14ac:dyDescent="0.25">
      <c r="A3952" s="15">
        <v>41010</v>
      </c>
      <c r="B3952" s="16" t="s">
        <v>1461</v>
      </c>
      <c r="C3952" t="s">
        <v>1274</v>
      </c>
      <c r="D3952" t="s">
        <v>783</v>
      </c>
      <c r="E3952" s="17">
        <v>1</v>
      </c>
      <c r="F3952" s="17">
        <v>90.36</v>
      </c>
      <c r="G3952" s="18">
        <v>90.36</v>
      </c>
      <c r="H3952" s="30" t="s">
        <v>2327</v>
      </c>
      <c r="J3952" s="34"/>
    </row>
    <row r="3953" spans="1:10" x14ac:dyDescent="0.25">
      <c r="A3953" s="15">
        <v>41011</v>
      </c>
      <c r="B3953" s="16" t="s">
        <v>1462</v>
      </c>
      <c r="C3953" t="s">
        <v>1274</v>
      </c>
      <c r="D3953" t="s">
        <v>783</v>
      </c>
      <c r="E3953" s="17">
        <v>1</v>
      </c>
      <c r="F3953" s="17">
        <v>128.86000000000001</v>
      </c>
      <c r="G3953" s="18">
        <v>128.86000000000001</v>
      </c>
      <c r="H3953" s="30" t="s">
        <v>2327</v>
      </c>
      <c r="J3953" s="34"/>
    </row>
    <row r="3954" spans="1:10" ht="30" x14ac:dyDescent="0.25">
      <c r="A3954" s="15">
        <v>41012</v>
      </c>
      <c r="B3954" s="16" t="s">
        <v>1463</v>
      </c>
      <c r="C3954" t="s">
        <v>1274</v>
      </c>
      <c r="D3954" t="s">
        <v>783</v>
      </c>
      <c r="E3954" s="17">
        <v>1</v>
      </c>
      <c r="F3954" s="17">
        <v>236.63</v>
      </c>
      <c r="G3954" s="18">
        <v>236.63</v>
      </c>
      <c r="H3954" s="30" t="s">
        <v>2327</v>
      </c>
      <c r="J3954" s="34"/>
    </row>
    <row r="3955" spans="1:10" ht="30" x14ac:dyDescent="0.25">
      <c r="A3955" s="15">
        <v>41013</v>
      </c>
      <c r="B3955" s="16" t="s">
        <v>1464</v>
      </c>
      <c r="C3955" t="s">
        <v>1465</v>
      </c>
      <c r="D3955" t="s">
        <v>783</v>
      </c>
      <c r="E3955" s="17">
        <v>1</v>
      </c>
      <c r="F3955" s="17">
        <v>45.72</v>
      </c>
      <c r="G3955" s="18">
        <v>45.72</v>
      </c>
      <c r="H3955" s="30" t="s">
        <v>2327</v>
      </c>
      <c r="J3955" s="34"/>
    </row>
    <row r="3956" spans="1:10" x14ac:dyDescent="0.25">
      <c r="A3956" s="15">
        <v>41017</v>
      </c>
      <c r="B3956" s="16" t="s">
        <v>1466</v>
      </c>
      <c r="C3956" t="s">
        <v>1274</v>
      </c>
      <c r="D3956" t="s">
        <v>783</v>
      </c>
      <c r="E3956" s="17">
        <v>1</v>
      </c>
      <c r="F3956" s="17">
        <v>482.82</v>
      </c>
      <c r="G3956" s="18">
        <v>482.82</v>
      </c>
      <c r="H3956" s="30" t="s">
        <v>2327</v>
      </c>
      <c r="J3956" s="34"/>
    </row>
    <row r="3957" spans="1:10" x14ac:dyDescent="0.25">
      <c r="A3957" s="15">
        <v>41019</v>
      </c>
      <c r="B3957" s="16" t="s">
        <v>1467</v>
      </c>
      <c r="C3957" t="s">
        <v>1274</v>
      </c>
      <c r="D3957" t="s">
        <v>783</v>
      </c>
      <c r="E3957" s="17">
        <v>1</v>
      </c>
      <c r="F3957" s="17">
        <v>171.81</v>
      </c>
      <c r="G3957" s="18">
        <v>171.81</v>
      </c>
      <c r="H3957" s="30" t="s">
        <v>2327</v>
      </c>
      <c r="J3957" s="34"/>
    </row>
    <row r="3958" spans="1:10" x14ac:dyDescent="0.25">
      <c r="A3958" s="15">
        <v>41019</v>
      </c>
      <c r="B3958" s="16" t="s">
        <v>1468</v>
      </c>
      <c r="C3958" t="s">
        <v>1274</v>
      </c>
      <c r="D3958" t="s">
        <v>783</v>
      </c>
      <c r="E3958" s="17">
        <v>1</v>
      </c>
      <c r="F3958" s="17">
        <v>107.4</v>
      </c>
      <c r="G3958" s="18">
        <v>107.4</v>
      </c>
      <c r="H3958" s="30" t="s">
        <v>2327</v>
      </c>
      <c r="J3958" s="34"/>
    </row>
    <row r="3959" spans="1:10" x14ac:dyDescent="0.25">
      <c r="A3959" s="15">
        <v>41029</v>
      </c>
      <c r="B3959" s="16" t="s">
        <v>1469</v>
      </c>
      <c r="C3959" t="s">
        <v>1274</v>
      </c>
      <c r="D3959" t="s">
        <v>783</v>
      </c>
      <c r="E3959" s="17">
        <v>1</v>
      </c>
      <c r="F3959" s="17">
        <v>52.73</v>
      </c>
      <c r="G3959" s="18">
        <v>52.73</v>
      </c>
      <c r="H3959" s="30" t="s">
        <v>2327</v>
      </c>
      <c r="J3959" s="34"/>
    </row>
    <row r="3960" spans="1:10" x14ac:dyDescent="0.25">
      <c r="A3960" s="15">
        <v>41029</v>
      </c>
      <c r="B3960" s="16" t="s">
        <v>1470</v>
      </c>
      <c r="C3960" t="s">
        <v>1274</v>
      </c>
      <c r="D3960" t="s">
        <v>783</v>
      </c>
      <c r="E3960" s="17">
        <v>1</v>
      </c>
      <c r="F3960" s="17">
        <v>119.68</v>
      </c>
      <c r="G3960" s="18">
        <v>119.68</v>
      </c>
      <c r="H3960" s="30" t="s">
        <v>2327</v>
      </c>
      <c r="J3960" s="34"/>
    </row>
    <row r="3961" spans="1:10" ht="30" x14ac:dyDescent="0.25">
      <c r="A3961" s="15">
        <v>41029</v>
      </c>
      <c r="B3961" s="16" t="s">
        <v>1471</v>
      </c>
      <c r="C3961" t="s">
        <v>1274</v>
      </c>
      <c r="D3961" t="s">
        <v>783</v>
      </c>
      <c r="E3961" s="17">
        <v>1</v>
      </c>
      <c r="F3961" s="17">
        <v>33.54</v>
      </c>
      <c r="G3961" s="18">
        <v>33.54</v>
      </c>
      <c r="H3961" s="30" t="s">
        <v>2327</v>
      </c>
      <c r="J3961" s="34"/>
    </row>
    <row r="3962" spans="1:10" x14ac:dyDescent="0.25">
      <c r="A3962" s="15">
        <v>41030</v>
      </c>
      <c r="B3962" s="16" t="s">
        <v>1472</v>
      </c>
      <c r="C3962" t="s">
        <v>1274</v>
      </c>
      <c r="D3962" t="s">
        <v>783</v>
      </c>
      <c r="E3962" s="17">
        <v>1</v>
      </c>
      <c r="F3962" s="17">
        <v>52.72</v>
      </c>
      <c r="G3962" s="18">
        <v>52.72</v>
      </c>
      <c r="H3962" s="30" t="s">
        <v>2327</v>
      </c>
      <c r="J3962" s="34"/>
    </row>
    <row r="3963" spans="1:10" x14ac:dyDescent="0.25">
      <c r="A3963" s="15">
        <v>41033</v>
      </c>
      <c r="B3963" s="16" t="s">
        <v>1473</v>
      </c>
      <c r="C3963" t="s">
        <v>1274</v>
      </c>
      <c r="D3963" t="s">
        <v>783</v>
      </c>
      <c r="E3963" s="17">
        <v>1</v>
      </c>
      <c r="F3963" s="17">
        <v>62.95</v>
      </c>
      <c r="G3963" s="18">
        <v>62.95</v>
      </c>
      <c r="H3963" s="30" t="s">
        <v>2327</v>
      </c>
      <c r="J3963" s="34"/>
    </row>
    <row r="3964" spans="1:10" x14ac:dyDescent="0.25">
      <c r="A3964" s="15">
        <v>41040</v>
      </c>
      <c r="B3964" s="16" t="s">
        <v>1474</v>
      </c>
      <c r="C3964" t="s">
        <v>1274</v>
      </c>
      <c r="D3964" t="s">
        <v>783</v>
      </c>
      <c r="E3964" s="17">
        <v>1</v>
      </c>
      <c r="F3964" s="17">
        <v>36.04</v>
      </c>
      <c r="G3964" s="18">
        <v>36.04</v>
      </c>
      <c r="H3964" s="30" t="s">
        <v>2327</v>
      </c>
      <c r="J3964" s="34"/>
    </row>
    <row r="3965" spans="1:10" x14ac:dyDescent="0.25">
      <c r="A3965" s="15">
        <v>41043</v>
      </c>
      <c r="B3965" s="16" t="s">
        <v>1475</v>
      </c>
      <c r="C3965" t="s">
        <v>1274</v>
      </c>
      <c r="D3965" t="s">
        <v>783</v>
      </c>
      <c r="E3965" s="17">
        <v>1</v>
      </c>
      <c r="F3965" s="17">
        <v>93.95</v>
      </c>
      <c r="G3965" s="18">
        <v>93.95</v>
      </c>
      <c r="H3965" s="30" t="s">
        <v>2327</v>
      </c>
      <c r="J3965" s="34"/>
    </row>
    <row r="3966" spans="1:10" ht="30" x14ac:dyDescent="0.25">
      <c r="A3966" s="15">
        <v>41044</v>
      </c>
      <c r="B3966" s="16" t="s">
        <v>1476</v>
      </c>
      <c r="C3966" t="s">
        <v>1274</v>
      </c>
      <c r="D3966" t="s">
        <v>783</v>
      </c>
      <c r="E3966" s="17">
        <v>1</v>
      </c>
      <c r="F3966" s="17">
        <v>140.22</v>
      </c>
      <c r="G3966" s="18">
        <v>140.22</v>
      </c>
      <c r="H3966" s="30" t="s">
        <v>2327</v>
      </c>
      <c r="J3966" s="34"/>
    </row>
    <row r="3967" spans="1:10" x14ac:dyDescent="0.25">
      <c r="A3967" s="15">
        <v>41051</v>
      </c>
      <c r="B3967" s="16" t="s">
        <v>1477</v>
      </c>
      <c r="C3967" t="s">
        <v>1274</v>
      </c>
      <c r="D3967" t="s">
        <v>783</v>
      </c>
      <c r="E3967" s="17">
        <v>1</v>
      </c>
      <c r="F3967" s="17">
        <v>141.9</v>
      </c>
      <c r="G3967" s="18">
        <v>141.9</v>
      </c>
      <c r="H3967" s="30" t="s">
        <v>2327</v>
      </c>
      <c r="J3967" s="34"/>
    </row>
    <row r="3968" spans="1:10" x14ac:dyDescent="0.25">
      <c r="A3968" s="15">
        <v>41053</v>
      </c>
      <c r="B3968" s="16" t="s">
        <v>1478</v>
      </c>
      <c r="C3968" t="s">
        <v>1274</v>
      </c>
      <c r="D3968" t="s">
        <v>783</v>
      </c>
      <c r="E3968" s="17">
        <v>1</v>
      </c>
      <c r="F3968" s="17">
        <v>72.86</v>
      </c>
      <c r="G3968" s="18">
        <v>72.86</v>
      </c>
      <c r="H3968" s="30" t="s">
        <v>2327</v>
      </c>
      <c r="J3968" s="34"/>
    </row>
    <row r="3969" spans="1:10" x14ac:dyDescent="0.25">
      <c r="A3969" s="15">
        <v>41053</v>
      </c>
      <c r="B3969" s="16" t="s">
        <v>1479</v>
      </c>
      <c r="C3969" t="s">
        <v>1274</v>
      </c>
      <c r="D3969" t="s">
        <v>783</v>
      </c>
      <c r="E3969" s="17">
        <v>1</v>
      </c>
      <c r="F3969" s="17">
        <v>214.77</v>
      </c>
      <c r="G3969" s="18">
        <v>214.77</v>
      </c>
      <c r="H3969" s="30" t="s">
        <v>2327</v>
      </c>
      <c r="J3969" s="34"/>
    </row>
    <row r="3970" spans="1:10" x14ac:dyDescent="0.25">
      <c r="A3970" s="15">
        <v>41053</v>
      </c>
      <c r="B3970" s="16" t="s">
        <v>1480</v>
      </c>
      <c r="C3970" t="s">
        <v>1274</v>
      </c>
      <c r="D3970" t="s">
        <v>783</v>
      </c>
      <c r="E3970" s="17">
        <v>1</v>
      </c>
      <c r="F3970" s="17">
        <v>13.45</v>
      </c>
      <c r="G3970" s="18">
        <v>13.45</v>
      </c>
      <c r="H3970" s="30" t="s">
        <v>2327</v>
      </c>
      <c r="J3970" s="34"/>
    </row>
    <row r="3971" spans="1:10" ht="30" x14ac:dyDescent="0.25">
      <c r="A3971" s="15">
        <v>41053</v>
      </c>
      <c r="B3971" s="16" t="s">
        <v>1481</v>
      </c>
      <c r="C3971" t="s">
        <v>1274</v>
      </c>
      <c r="D3971" t="s">
        <v>783</v>
      </c>
      <c r="E3971" s="17">
        <v>1</v>
      </c>
      <c r="F3971" s="17">
        <v>35.045000000000002</v>
      </c>
      <c r="G3971" s="18">
        <v>35.045000000000002</v>
      </c>
      <c r="H3971" s="30" t="s">
        <v>2327</v>
      </c>
      <c r="J3971" s="34"/>
    </row>
    <row r="3972" spans="1:10" x14ac:dyDescent="0.25">
      <c r="A3972" s="15">
        <v>41059</v>
      </c>
      <c r="B3972" s="16" t="s">
        <v>1482</v>
      </c>
      <c r="C3972" t="s">
        <v>1274</v>
      </c>
      <c r="D3972" t="s">
        <v>783</v>
      </c>
      <c r="E3972" s="17">
        <v>1</v>
      </c>
      <c r="F3972" s="17">
        <v>31.77</v>
      </c>
      <c r="G3972" s="18">
        <v>31.77</v>
      </c>
      <c r="H3972" s="30" t="s">
        <v>2327</v>
      </c>
      <c r="J3972" s="34"/>
    </row>
    <row r="3973" spans="1:10" x14ac:dyDescent="0.25">
      <c r="A3973" s="15">
        <v>41067</v>
      </c>
      <c r="B3973" s="16" t="s">
        <v>1483</v>
      </c>
      <c r="C3973" t="s">
        <v>1274</v>
      </c>
      <c r="D3973" t="s">
        <v>783</v>
      </c>
      <c r="E3973" s="17">
        <v>1</v>
      </c>
      <c r="F3973" s="17">
        <v>59.5</v>
      </c>
      <c r="G3973" s="18">
        <v>59.5</v>
      </c>
      <c r="H3973" s="30" t="s">
        <v>2327</v>
      </c>
      <c r="J3973" s="34"/>
    </row>
    <row r="3974" spans="1:10" ht="30" x14ac:dyDescent="0.25">
      <c r="A3974" s="15">
        <v>41072</v>
      </c>
      <c r="B3974" s="16" t="s">
        <v>1484</v>
      </c>
      <c r="C3974" t="s">
        <v>1274</v>
      </c>
      <c r="D3974" t="s">
        <v>783</v>
      </c>
      <c r="E3974" s="17">
        <v>1</v>
      </c>
      <c r="F3974" s="17">
        <v>142.94999999999999</v>
      </c>
      <c r="G3974" s="18">
        <v>142.94999999999999</v>
      </c>
      <c r="H3974" s="30" t="s">
        <v>2327</v>
      </c>
      <c r="J3974" s="34"/>
    </row>
    <row r="3975" spans="1:10" x14ac:dyDescent="0.25">
      <c r="A3975" s="15">
        <v>41075</v>
      </c>
      <c r="B3975" s="16" t="s">
        <v>1485</v>
      </c>
      <c r="C3975" t="s">
        <v>1274</v>
      </c>
      <c r="D3975" t="s">
        <v>783</v>
      </c>
      <c r="E3975" s="17">
        <v>1</v>
      </c>
      <c r="F3975" s="17">
        <v>126</v>
      </c>
      <c r="G3975" s="18">
        <v>126</v>
      </c>
      <c r="H3975" s="30" t="s">
        <v>2327</v>
      </c>
      <c r="J3975" s="34"/>
    </row>
    <row r="3976" spans="1:10" x14ac:dyDescent="0.25">
      <c r="A3976" s="15">
        <v>41076</v>
      </c>
      <c r="B3976" s="16" t="s">
        <v>1486</v>
      </c>
      <c r="C3976" t="s">
        <v>1274</v>
      </c>
      <c r="D3976" t="s">
        <v>783</v>
      </c>
      <c r="E3976" s="17">
        <v>1</v>
      </c>
      <c r="F3976" s="17">
        <v>27.68</v>
      </c>
      <c r="G3976" s="18">
        <v>27.68</v>
      </c>
      <c r="H3976" s="30" t="s">
        <v>2327</v>
      </c>
      <c r="J3976" s="34"/>
    </row>
    <row r="3977" spans="1:10" x14ac:dyDescent="0.25">
      <c r="A3977" s="15">
        <v>41078</v>
      </c>
      <c r="B3977" s="16" t="s">
        <v>1487</v>
      </c>
      <c r="C3977" t="s">
        <v>1274</v>
      </c>
      <c r="D3977" t="s">
        <v>783</v>
      </c>
      <c r="E3977" s="17">
        <v>1</v>
      </c>
      <c r="F3977" s="17">
        <v>84</v>
      </c>
      <c r="G3977" s="18">
        <v>84</v>
      </c>
      <c r="H3977" s="30" t="s">
        <v>2327</v>
      </c>
      <c r="J3977" s="34"/>
    </row>
    <row r="3978" spans="1:10" x14ac:dyDescent="0.25">
      <c r="A3978" s="15">
        <v>41079</v>
      </c>
      <c r="B3978" s="16" t="s">
        <v>1488</v>
      </c>
      <c r="C3978" t="s">
        <v>296</v>
      </c>
      <c r="D3978" t="s">
        <v>783</v>
      </c>
      <c r="E3978" s="17">
        <v>1</v>
      </c>
      <c r="F3978" s="17">
        <v>353.55</v>
      </c>
      <c r="G3978" s="18">
        <v>353.55</v>
      </c>
      <c r="H3978" s="30" t="s">
        <v>2327</v>
      </c>
      <c r="J3978" s="34"/>
    </row>
    <row r="3979" spans="1:10" ht="30" x14ac:dyDescent="0.25">
      <c r="A3979" s="15">
        <v>41080</v>
      </c>
      <c r="B3979" s="16" t="s">
        <v>1489</v>
      </c>
      <c r="C3979" t="s">
        <v>1274</v>
      </c>
      <c r="D3979" t="s">
        <v>783</v>
      </c>
      <c r="E3979" s="17">
        <v>1</v>
      </c>
      <c r="F3979" s="17">
        <v>375.36</v>
      </c>
      <c r="G3979" s="18">
        <v>375.36</v>
      </c>
      <c r="H3979" s="30" t="s">
        <v>2327</v>
      </c>
      <c r="J3979" s="34"/>
    </row>
    <row r="3980" spans="1:10" x14ac:dyDescent="0.25">
      <c r="A3980" s="15">
        <v>41087</v>
      </c>
      <c r="B3980" s="16" t="s">
        <v>1490</v>
      </c>
      <c r="C3980" t="s">
        <v>1274</v>
      </c>
      <c r="D3980" t="s">
        <v>783</v>
      </c>
      <c r="E3980" s="17">
        <v>1</v>
      </c>
      <c r="F3980" s="17">
        <v>56.09</v>
      </c>
      <c r="G3980" s="18">
        <v>56.09</v>
      </c>
      <c r="H3980" s="30" t="s">
        <v>2327</v>
      </c>
      <c r="J3980" s="34"/>
    </row>
    <row r="3981" spans="1:10" x14ac:dyDescent="0.25">
      <c r="A3981" s="15">
        <v>41087</v>
      </c>
      <c r="B3981" s="16" t="s">
        <v>1491</v>
      </c>
      <c r="C3981" t="s">
        <v>1274</v>
      </c>
      <c r="D3981" t="s">
        <v>783</v>
      </c>
      <c r="E3981" s="17">
        <v>1</v>
      </c>
      <c r="F3981" s="17">
        <v>44.27</v>
      </c>
      <c r="G3981" s="18">
        <v>44.27</v>
      </c>
      <c r="H3981" s="30" t="s">
        <v>2327</v>
      </c>
      <c r="J3981" s="34"/>
    </row>
    <row r="3982" spans="1:10" x14ac:dyDescent="0.25">
      <c r="A3982" s="15">
        <v>41088</v>
      </c>
      <c r="B3982" s="16" t="s">
        <v>1492</v>
      </c>
      <c r="C3982" t="s">
        <v>1274</v>
      </c>
      <c r="D3982" t="s">
        <v>783</v>
      </c>
      <c r="E3982" s="17">
        <v>1</v>
      </c>
      <c r="F3982" s="17">
        <v>49.22</v>
      </c>
      <c r="G3982" s="18">
        <v>49.22</v>
      </c>
      <c r="H3982" s="30" t="s">
        <v>2327</v>
      </c>
      <c r="J3982" s="34"/>
    </row>
    <row r="3983" spans="1:10" x14ac:dyDescent="0.25">
      <c r="A3983" s="15">
        <v>41088</v>
      </c>
      <c r="B3983" s="16" t="s">
        <v>1493</v>
      </c>
      <c r="C3983" t="s">
        <v>1274</v>
      </c>
      <c r="D3983" t="s">
        <v>783</v>
      </c>
      <c r="E3983" s="17">
        <v>1</v>
      </c>
      <c r="F3983" s="17">
        <v>24.63</v>
      </c>
      <c r="G3983" s="18">
        <v>24.63</v>
      </c>
      <c r="H3983" s="30" t="s">
        <v>2327</v>
      </c>
      <c r="J3983" s="34"/>
    </row>
    <row r="3984" spans="1:10" x14ac:dyDescent="0.25">
      <c r="A3984" s="15">
        <v>41089</v>
      </c>
      <c r="B3984" s="16" t="s">
        <v>1494</v>
      </c>
      <c r="C3984" t="s">
        <v>1274</v>
      </c>
      <c r="D3984" t="s">
        <v>783</v>
      </c>
      <c r="E3984" s="17">
        <v>1</v>
      </c>
      <c r="F3984" s="17">
        <v>344.6</v>
      </c>
      <c r="G3984" s="18">
        <v>344.6</v>
      </c>
      <c r="H3984" s="30" t="s">
        <v>2327</v>
      </c>
      <c r="J3984" s="34"/>
    </row>
    <row r="3985" spans="1:10" x14ac:dyDescent="0.25">
      <c r="A3985" s="15">
        <v>41093</v>
      </c>
      <c r="B3985" s="16" t="s">
        <v>1495</v>
      </c>
      <c r="C3985" t="s">
        <v>1274</v>
      </c>
      <c r="D3985" t="s">
        <v>783</v>
      </c>
      <c r="E3985" s="17">
        <v>1</v>
      </c>
      <c r="F3985" s="17">
        <v>176</v>
      </c>
      <c r="G3985" s="18">
        <v>176</v>
      </c>
      <c r="H3985" s="30" t="s">
        <v>2327</v>
      </c>
      <c r="J3985" s="34"/>
    </row>
    <row r="3986" spans="1:10" ht="30" x14ac:dyDescent="0.25">
      <c r="A3986" s="15">
        <v>41096</v>
      </c>
      <c r="B3986" s="16" t="s">
        <v>1496</v>
      </c>
      <c r="C3986" t="s">
        <v>1274</v>
      </c>
      <c r="D3986" t="s">
        <v>783</v>
      </c>
      <c r="E3986" s="17">
        <v>1</v>
      </c>
      <c r="F3986" s="17">
        <v>335.81</v>
      </c>
      <c r="G3986" s="18">
        <v>335.81</v>
      </c>
      <c r="H3986" s="30" t="s">
        <v>2327</v>
      </c>
      <c r="J3986" s="34"/>
    </row>
    <row r="3987" spans="1:10" x14ac:dyDescent="0.25">
      <c r="A3987" s="15">
        <v>41099</v>
      </c>
      <c r="B3987" s="16" t="s">
        <v>1497</v>
      </c>
      <c r="C3987" t="s">
        <v>1274</v>
      </c>
      <c r="D3987" t="s">
        <v>783</v>
      </c>
      <c r="E3987" s="17">
        <v>1</v>
      </c>
      <c r="F3987" s="17">
        <v>522.95000000000005</v>
      </c>
      <c r="G3987" s="18">
        <v>522.95000000000005</v>
      </c>
      <c r="H3987" s="30" t="s">
        <v>2327</v>
      </c>
      <c r="J3987" s="34"/>
    </row>
    <row r="3988" spans="1:10" ht="30" x14ac:dyDescent="0.25">
      <c r="A3988" s="15">
        <v>41114</v>
      </c>
      <c r="B3988" s="16" t="s">
        <v>1498</v>
      </c>
      <c r="C3988" t="s">
        <v>1274</v>
      </c>
      <c r="D3988" t="s">
        <v>783</v>
      </c>
      <c r="E3988" s="17">
        <v>1</v>
      </c>
      <c r="F3988" s="17">
        <v>70.86</v>
      </c>
      <c r="G3988" s="18">
        <v>70.86</v>
      </c>
      <c r="H3988" s="30" t="s">
        <v>2327</v>
      </c>
      <c r="J3988" s="34"/>
    </row>
    <row r="3989" spans="1:10" x14ac:dyDescent="0.25">
      <c r="A3989" s="15">
        <v>41115</v>
      </c>
      <c r="B3989" s="16" t="s">
        <v>1499</v>
      </c>
      <c r="C3989" t="s">
        <v>1274</v>
      </c>
      <c r="D3989" t="s">
        <v>783</v>
      </c>
      <c r="E3989" s="17">
        <v>1</v>
      </c>
      <c r="F3989" s="17">
        <v>47.72</v>
      </c>
      <c r="G3989" s="18">
        <v>47.72</v>
      </c>
      <c r="H3989" s="30" t="s">
        <v>2327</v>
      </c>
      <c r="J3989" s="34"/>
    </row>
    <row r="3990" spans="1:10" x14ac:dyDescent="0.25">
      <c r="A3990" s="15">
        <v>41120</v>
      </c>
      <c r="B3990" s="16" t="s">
        <v>1500</v>
      </c>
      <c r="C3990" t="s">
        <v>1274</v>
      </c>
      <c r="D3990" t="s">
        <v>783</v>
      </c>
      <c r="E3990" s="17">
        <v>1</v>
      </c>
      <c r="F3990" s="17">
        <v>35.090000000000003</v>
      </c>
      <c r="G3990" s="18">
        <v>35.090000000000003</v>
      </c>
      <c r="H3990" s="30" t="s">
        <v>2327</v>
      </c>
      <c r="J3990" s="34"/>
    </row>
    <row r="3991" spans="1:10" x14ac:dyDescent="0.25">
      <c r="A3991" s="15">
        <v>41120</v>
      </c>
      <c r="B3991" s="16" t="s">
        <v>1501</v>
      </c>
      <c r="C3991" t="s">
        <v>1274</v>
      </c>
      <c r="D3991" t="s">
        <v>783</v>
      </c>
      <c r="E3991" s="17">
        <v>1</v>
      </c>
      <c r="F3991" s="17">
        <v>9.4499999999999993</v>
      </c>
      <c r="G3991" s="18">
        <v>9.4499999999999993</v>
      </c>
      <c r="H3991" s="30" t="s">
        <v>2327</v>
      </c>
      <c r="J3991" s="34"/>
    </row>
    <row r="3992" spans="1:10" x14ac:dyDescent="0.25">
      <c r="A3992" s="15">
        <v>41120</v>
      </c>
      <c r="B3992" s="16" t="s">
        <v>1502</v>
      </c>
      <c r="C3992" t="s">
        <v>1274</v>
      </c>
      <c r="D3992" t="s">
        <v>783</v>
      </c>
      <c r="E3992" s="17">
        <v>1</v>
      </c>
      <c r="F3992" s="17">
        <v>39</v>
      </c>
      <c r="G3992" s="18">
        <v>39</v>
      </c>
      <c r="H3992" s="30" t="s">
        <v>2327</v>
      </c>
      <c r="J3992" s="34"/>
    </row>
    <row r="3993" spans="1:10" x14ac:dyDescent="0.25">
      <c r="A3993" s="15">
        <v>41120</v>
      </c>
      <c r="B3993" s="16" t="s">
        <v>1503</v>
      </c>
      <c r="C3993" t="s">
        <v>1274</v>
      </c>
      <c r="D3993" t="s">
        <v>783</v>
      </c>
      <c r="E3993" s="17">
        <v>1</v>
      </c>
      <c r="F3993" s="17">
        <v>75.400000000000006</v>
      </c>
      <c r="G3993" s="18">
        <v>75.400000000000006</v>
      </c>
      <c r="H3993" s="30" t="s">
        <v>2327</v>
      </c>
      <c r="J3993" s="34"/>
    </row>
    <row r="3994" spans="1:10" x14ac:dyDescent="0.25">
      <c r="A3994" s="15">
        <v>41122</v>
      </c>
      <c r="B3994" s="16" t="s">
        <v>1504</v>
      </c>
      <c r="C3994" t="s">
        <v>1274</v>
      </c>
      <c r="D3994" t="s">
        <v>783</v>
      </c>
      <c r="E3994" s="17">
        <v>1</v>
      </c>
      <c r="F3994" s="17">
        <v>30.36</v>
      </c>
      <c r="G3994" s="18">
        <v>30.36</v>
      </c>
      <c r="H3994" s="30" t="s">
        <v>2327</v>
      </c>
      <c r="J3994" s="34"/>
    </row>
    <row r="3995" spans="1:10" x14ac:dyDescent="0.25">
      <c r="A3995" s="15">
        <v>41122</v>
      </c>
      <c r="B3995" s="16" t="s">
        <v>1505</v>
      </c>
      <c r="C3995" t="s">
        <v>1274</v>
      </c>
      <c r="D3995" t="s">
        <v>783</v>
      </c>
      <c r="E3995" s="17">
        <v>1</v>
      </c>
      <c r="F3995" s="17">
        <v>31.04</v>
      </c>
      <c r="G3995" s="18">
        <v>31.04</v>
      </c>
      <c r="H3995" s="30" t="s">
        <v>2327</v>
      </c>
      <c r="J3995" s="34"/>
    </row>
    <row r="3996" spans="1:10" x14ac:dyDescent="0.25">
      <c r="A3996" s="15">
        <v>41123</v>
      </c>
      <c r="B3996" s="16" t="s">
        <v>1506</v>
      </c>
      <c r="C3996" t="s">
        <v>1274</v>
      </c>
      <c r="D3996" t="s">
        <v>783</v>
      </c>
      <c r="E3996" s="17">
        <v>1</v>
      </c>
      <c r="F3996" s="17">
        <v>259.68</v>
      </c>
      <c r="G3996" s="18">
        <v>259.68</v>
      </c>
      <c r="H3996" s="30" t="s">
        <v>2327</v>
      </c>
      <c r="J3996" s="34"/>
    </row>
    <row r="3997" spans="1:10" ht="30" x14ac:dyDescent="0.25">
      <c r="A3997" s="15">
        <v>41129</v>
      </c>
      <c r="B3997" s="16" t="s">
        <v>1507</v>
      </c>
      <c r="C3997" t="s">
        <v>1274</v>
      </c>
      <c r="D3997" t="s">
        <v>783</v>
      </c>
      <c r="E3997" s="17">
        <v>1</v>
      </c>
      <c r="F3997" s="17">
        <v>451.5</v>
      </c>
      <c r="G3997" s="18">
        <v>451.5</v>
      </c>
      <c r="H3997" s="30" t="s">
        <v>2327</v>
      </c>
      <c r="J3997" s="34"/>
    </row>
    <row r="3998" spans="1:10" x14ac:dyDescent="0.25">
      <c r="A3998" s="15">
        <v>41129</v>
      </c>
      <c r="B3998" s="16" t="s">
        <v>1508</v>
      </c>
      <c r="C3998" t="s">
        <v>1274</v>
      </c>
      <c r="D3998" t="s">
        <v>783</v>
      </c>
      <c r="E3998" s="17">
        <v>1</v>
      </c>
      <c r="F3998" s="17">
        <v>36.94</v>
      </c>
      <c r="G3998" s="18">
        <v>36.94</v>
      </c>
      <c r="H3998" s="30" t="s">
        <v>2327</v>
      </c>
      <c r="J3998" s="34"/>
    </row>
    <row r="3999" spans="1:10" x14ac:dyDescent="0.25">
      <c r="A3999" s="15">
        <v>41136</v>
      </c>
      <c r="B3999" s="16" t="s">
        <v>1509</v>
      </c>
      <c r="C3999" t="s">
        <v>1274</v>
      </c>
      <c r="D3999" t="s">
        <v>783</v>
      </c>
      <c r="E3999" s="17">
        <v>2</v>
      </c>
      <c r="F3999" s="17">
        <v>80</v>
      </c>
      <c r="G3999" s="18">
        <v>160</v>
      </c>
      <c r="H3999" s="30" t="s">
        <v>2327</v>
      </c>
      <c r="J3999" s="34"/>
    </row>
    <row r="4000" spans="1:10" x14ac:dyDescent="0.25">
      <c r="A4000" s="15">
        <v>41136</v>
      </c>
      <c r="B4000" s="16" t="s">
        <v>1510</v>
      </c>
      <c r="C4000" t="s">
        <v>1274</v>
      </c>
      <c r="D4000" t="s">
        <v>783</v>
      </c>
      <c r="E4000" s="17">
        <v>1</v>
      </c>
      <c r="F4000" s="17">
        <v>29.31</v>
      </c>
      <c r="G4000" s="18">
        <v>29.31</v>
      </c>
      <c r="H4000" s="30" t="s">
        <v>2327</v>
      </c>
      <c r="J4000" s="34"/>
    </row>
    <row r="4001" spans="1:10" ht="30" x14ac:dyDescent="0.25">
      <c r="A4001" s="15">
        <v>41137</v>
      </c>
      <c r="B4001" s="16" t="s">
        <v>1511</v>
      </c>
      <c r="C4001" t="s">
        <v>1274</v>
      </c>
      <c r="D4001" t="s">
        <v>783</v>
      </c>
      <c r="E4001" s="17">
        <v>1</v>
      </c>
      <c r="F4001" s="17">
        <v>75.77</v>
      </c>
      <c r="G4001" s="18">
        <v>75.77</v>
      </c>
      <c r="H4001" s="30" t="s">
        <v>2327</v>
      </c>
      <c r="J4001" s="34"/>
    </row>
    <row r="4002" spans="1:10" ht="30" x14ac:dyDescent="0.25">
      <c r="A4002" s="15">
        <v>41139</v>
      </c>
      <c r="B4002" s="16" t="s">
        <v>1512</v>
      </c>
      <c r="C4002" t="s">
        <v>1274</v>
      </c>
      <c r="D4002" t="s">
        <v>783</v>
      </c>
      <c r="E4002" s="17">
        <v>1</v>
      </c>
      <c r="F4002" s="17">
        <v>32.130000000000003</v>
      </c>
      <c r="G4002" s="18">
        <v>32.130000000000003</v>
      </c>
      <c r="H4002" s="30" t="s">
        <v>2327</v>
      </c>
      <c r="J4002" s="34"/>
    </row>
    <row r="4003" spans="1:10" x14ac:dyDescent="0.25">
      <c r="A4003" s="15">
        <v>41150</v>
      </c>
      <c r="B4003" s="16" t="s">
        <v>1513</v>
      </c>
      <c r="C4003" t="s">
        <v>1274</v>
      </c>
      <c r="D4003" t="s">
        <v>783</v>
      </c>
      <c r="E4003" s="17">
        <v>1</v>
      </c>
      <c r="F4003" s="17">
        <v>92.36</v>
      </c>
      <c r="G4003" s="18">
        <v>92.36</v>
      </c>
      <c r="H4003" s="30" t="s">
        <v>2327</v>
      </c>
      <c r="J4003" s="34"/>
    </row>
    <row r="4004" spans="1:10" x14ac:dyDescent="0.25">
      <c r="A4004" s="15">
        <v>41150</v>
      </c>
      <c r="B4004" s="16" t="s">
        <v>1514</v>
      </c>
      <c r="C4004" t="s">
        <v>1274</v>
      </c>
      <c r="D4004" t="s">
        <v>783</v>
      </c>
      <c r="E4004" s="17">
        <v>1</v>
      </c>
      <c r="F4004" s="17">
        <v>35.270000000000003</v>
      </c>
      <c r="G4004" s="18">
        <v>35.270000000000003</v>
      </c>
      <c r="H4004" s="30" t="s">
        <v>2327</v>
      </c>
      <c r="J4004" s="34"/>
    </row>
    <row r="4005" spans="1:10" ht="30" x14ac:dyDescent="0.25">
      <c r="A4005" s="15">
        <v>41158</v>
      </c>
      <c r="B4005" s="16" t="s">
        <v>1515</v>
      </c>
      <c r="C4005" t="s">
        <v>1274</v>
      </c>
      <c r="D4005" t="s">
        <v>783</v>
      </c>
      <c r="E4005" s="17">
        <v>1</v>
      </c>
      <c r="F4005" s="17">
        <v>119</v>
      </c>
      <c r="G4005" s="18">
        <v>119</v>
      </c>
      <c r="H4005" s="30" t="s">
        <v>2327</v>
      </c>
      <c r="J4005" s="34"/>
    </row>
    <row r="4006" spans="1:10" x14ac:dyDescent="0.25">
      <c r="A4006" s="15">
        <v>41158</v>
      </c>
      <c r="B4006" s="16" t="s">
        <v>1516</v>
      </c>
      <c r="C4006" t="s">
        <v>1274</v>
      </c>
      <c r="D4006" t="s">
        <v>783</v>
      </c>
      <c r="E4006" s="17">
        <v>1</v>
      </c>
      <c r="F4006" s="17">
        <v>15.7</v>
      </c>
      <c r="G4006" s="18">
        <v>15.7</v>
      </c>
      <c r="H4006" s="30" t="s">
        <v>2327</v>
      </c>
      <c r="J4006" s="34"/>
    </row>
    <row r="4007" spans="1:10" x14ac:dyDescent="0.25">
      <c r="A4007" s="15">
        <v>41159</v>
      </c>
      <c r="B4007" s="16" t="s">
        <v>1517</v>
      </c>
      <c r="C4007" t="s">
        <v>1274</v>
      </c>
      <c r="D4007" t="s">
        <v>783</v>
      </c>
      <c r="E4007" s="17">
        <v>1</v>
      </c>
      <c r="F4007" s="17">
        <v>5.8630000000000004</v>
      </c>
      <c r="G4007" s="18">
        <v>5.8630000000000004</v>
      </c>
      <c r="H4007" s="30" t="s">
        <v>2327</v>
      </c>
      <c r="J4007" s="34"/>
    </row>
    <row r="4008" spans="1:10" x14ac:dyDescent="0.25">
      <c r="A4008" s="15">
        <v>41159</v>
      </c>
      <c r="B4008" s="16" t="s">
        <v>1518</v>
      </c>
      <c r="C4008" t="s">
        <v>1274</v>
      </c>
      <c r="D4008" t="s">
        <v>783</v>
      </c>
      <c r="E4008" s="17">
        <v>1</v>
      </c>
      <c r="F4008" s="17">
        <v>21.77</v>
      </c>
      <c r="G4008" s="18">
        <v>21.77</v>
      </c>
      <c r="H4008" s="30" t="s">
        <v>2327</v>
      </c>
      <c r="J4008" s="34"/>
    </row>
    <row r="4009" spans="1:10" x14ac:dyDescent="0.25">
      <c r="A4009" s="15">
        <v>41163</v>
      </c>
      <c r="B4009" s="16" t="s">
        <v>1519</v>
      </c>
      <c r="C4009" t="s">
        <v>1274</v>
      </c>
      <c r="D4009" t="s">
        <v>783</v>
      </c>
      <c r="E4009" s="17">
        <v>1</v>
      </c>
      <c r="F4009" s="17">
        <v>59.95</v>
      </c>
      <c r="G4009" s="18">
        <v>59.95</v>
      </c>
      <c r="H4009" s="30" t="s">
        <v>2327</v>
      </c>
      <c r="J4009" s="34"/>
    </row>
    <row r="4010" spans="1:10" x14ac:dyDescent="0.25">
      <c r="A4010" s="15">
        <v>41178</v>
      </c>
      <c r="B4010" s="16" t="s">
        <v>1520</v>
      </c>
      <c r="C4010" t="s">
        <v>1274</v>
      </c>
      <c r="D4010" t="s">
        <v>783</v>
      </c>
      <c r="E4010" s="17">
        <v>1</v>
      </c>
      <c r="F4010" s="17">
        <v>84.81</v>
      </c>
      <c r="G4010" s="18">
        <v>84.81</v>
      </c>
      <c r="H4010" s="30" t="s">
        <v>2327</v>
      </c>
      <c r="J4010" s="34"/>
    </row>
    <row r="4011" spans="1:10" ht="30" x14ac:dyDescent="0.25">
      <c r="A4011" s="15">
        <v>41179</v>
      </c>
      <c r="B4011" s="16" t="s">
        <v>1521</v>
      </c>
      <c r="C4011" t="s">
        <v>1274</v>
      </c>
      <c r="D4011" t="s">
        <v>783</v>
      </c>
      <c r="E4011" s="17">
        <v>1</v>
      </c>
      <c r="F4011" s="17">
        <v>35.270000000000003</v>
      </c>
      <c r="G4011" s="18">
        <v>35.270000000000003</v>
      </c>
      <c r="H4011" s="30" t="s">
        <v>2327</v>
      </c>
      <c r="J4011" s="34"/>
    </row>
    <row r="4012" spans="1:10" x14ac:dyDescent="0.25">
      <c r="A4012" s="15">
        <v>41180</v>
      </c>
      <c r="B4012" s="16" t="s">
        <v>1522</v>
      </c>
      <c r="C4012" t="s">
        <v>976</v>
      </c>
      <c r="D4012" t="s">
        <v>783</v>
      </c>
      <c r="E4012" s="17">
        <v>1</v>
      </c>
      <c r="F4012" s="17">
        <v>9.09</v>
      </c>
      <c r="G4012" s="18">
        <v>9.09</v>
      </c>
      <c r="H4012" s="30" t="s">
        <v>2327</v>
      </c>
      <c r="J4012" s="34"/>
    </row>
    <row r="4013" spans="1:10" x14ac:dyDescent="0.25">
      <c r="A4013" s="15">
        <v>41180</v>
      </c>
      <c r="B4013" s="16" t="s">
        <v>1523</v>
      </c>
      <c r="C4013" t="s">
        <v>1274</v>
      </c>
      <c r="D4013" t="s">
        <v>783</v>
      </c>
      <c r="E4013" s="17">
        <v>1</v>
      </c>
      <c r="F4013" s="17">
        <v>40.590000000000003</v>
      </c>
      <c r="G4013" s="18">
        <v>40.590000000000003</v>
      </c>
      <c r="H4013" s="30" t="s">
        <v>2327</v>
      </c>
      <c r="J4013" s="34"/>
    </row>
    <row r="4014" spans="1:10" x14ac:dyDescent="0.25">
      <c r="A4014" s="15">
        <v>41182</v>
      </c>
      <c r="B4014" s="16" t="s">
        <v>1524</v>
      </c>
      <c r="C4014" t="s">
        <v>1371</v>
      </c>
      <c r="D4014" t="s">
        <v>783</v>
      </c>
      <c r="E4014" s="17">
        <v>1</v>
      </c>
      <c r="F4014" s="17">
        <v>612</v>
      </c>
      <c r="G4014" s="18">
        <v>612</v>
      </c>
      <c r="H4014" s="30" t="s">
        <v>2327</v>
      </c>
      <c r="J4014" s="34"/>
    </row>
    <row r="4015" spans="1:10" x14ac:dyDescent="0.25">
      <c r="A4015" s="15">
        <v>41182</v>
      </c>
      <c r="B4015" s="16" t="s">
        <v>1525</v>
      </c>
      <c r="C4015" t="s">
        <v>1371</v>
      </c>
      <c r="D4015" t="s">
        <v>783</v>
      </c>
      <c r="E4015" s="17">
        <v>1</v>
      </c>
      <c r="F4015" s="17">
        <v>75.599999999999994</v>
      </c>
      <c r="G4015" s="18">
        <v>75.599999999999994</v>
      </c>
      <c r="H4015" s="30" t="s">
        <v>2327</v>
      </c>
      <c r="J4015" s="34"/>
    </row>
    <row r="4016" spans="1:10" x14ac:dyDescent="0.25">
      <c r="A4016" s="15">
        <v>41184</v>
      </c>
      <c r="B4016" s="16" t="s">
        <v>1526</v>
      </c>
      <c r="C4016" t="s">
        <v>1274</v>
      </c>
      <c r="D4016" t="s">
        <v>783</v>
      </c>
      <c r="E4016" s="17">
        <v>1</v>
      </c>
      <c r="F4016" s="17">
        <v>47.27</v>
      </c>
      <c r="G4016" s="18">
        <v>47.27</v>
      </c>
      <c r="H4016" s="30" t="s">
        <v>2327</v>
      </c>
      <c r="J4016" s="34"/>
    </row>
    <row r="4017" spans="1:10" x14ac:dyDescent="0.25">
      <c r="A4017" s="15">
        <v>41186</v>
      </c>
      <c r="B4017" s="16" t="s">
        <v>1527</v>
      </c>
      <c r="C4017" t="s">
        <v>1274</v>
      </c>
      <c r="D4017" t="s">
        <v>783</v>
      </c>
      <c r="E4017" s="17">
        <v>1</v>
      </c>
      <c r="F4017" s="17">
        <v>26.54</v>
      </c>
      <c r="G4017" s="18">
        <v>26.54</v>
      </c>
      <c r="H4017" s="30" t="s">
        <v>2327</v>
      </c>
      <c r="J4017" s="34"/>
    </row>
    <row r="4018" spans="1:10" x14ac:dyDescent="0.25">
      <c r="A4018" s="15">
        <v>41191</v>
      </c>
      <c r="B4018" s="16" t="s">
        <v>1528</v>
      </c>
      <c r="C4018" t="s">
        <v>1274</v>
      </c>
      <c r="D4018" t="s">
        <v>783</v>
      </c>
      <c r="E4018" s="17">
        <v>1</v>
      </c>
      <c r="F4018" s="17">
        <v>88.27</v>
      </c>
      <c r="G4018" s="18">
        <v>88.27</v>
      </c>
      <c r="H4018" s="30" t="s">
        <v>2327</v>
      </c>
      <c r="J4018" s="34"/>
    </row>
    <row r="4019" spans="1:10" x14ac:dyDescent="0.25">
      <c r="A4019" s="15">
        <v>41193</v>
      </c>
      <c r="B4019" s="16" t="s">
        <v>1529</v>
      </c>
      <c r="C4019" t="s">
        <v>1274</v>
      </c>
      <c r="D4019" t="s">
        <v>783</v>
      </c>
      <c r="E4019" s="17">
        <v>1</v>
      </c>
      <c r="F4019" s="17">
        <v>6.0449999999999999</v>
      </c>
      <c r="G4019" s="18">
        <v>12.085000000000001</v>
      </c>
      <c r="H4019" s="30" t="s">
        <v>2327</v>
      </c>
      <c r="J4019" s="34"/>
    </row>
    <row r="4020" spans="1:10" x14ac:dyDescent="0.25">
      <c r="A4020" s="15">
        <v>41193</v>
      </c>
      <c r="B4020" s="16" t="s">
        <v>1530</v>
      </c>
      <c r="C4020" t="s">
        <v>1274</v>
      </c>
      <c r="D4020" t="s">
        <v>783</v>
      </c>
      <c r="E4020" s="17">
        <v>1</v>
      </c>
      <c r="F4020" s="17">
        <v>44.45</v>
      </c>
      <c r="G4020" s="18">
        <v>44.45</v>
      </c>
      <c r="H4020" s="30" t="s">
        <v>2327</v>
      </c>
      <c r="J4020" s="34"/>
    </row>
    <row r="4021" spans="1:10" x14ac:dyDescent="0.25">
      <c r="A4021" s="15">
        <v>41193</v>
      </c>
      <c r="B4021" s="16" t="s">
        <v>1531</v>
      </c>
      <c r="C4021" t="s">
        <v>1274</v>
      </c>
      <c r="D4021" t="s">
        <v>783</v>
      </c>
      <c r="E4021" s="17">
        <v>1</v>
      </c>
      <c r="F4021" s="17">
        <v>9.4499999999999993</v>
      </c>
      <c r="G4021" s="18">
        <v>9.4499999999999993</v>
      </c>
      <c r="H4021" s="30" t="s">
        <v>2327</v>
      </c>
      <c r="J4021" s="34"/>
    </row>
    <row r="4022" spans="1:10" x14ac:dyDescent="0.25">
      <c r="A4022" s="15">
        <v>41198</v>
      </c>
      <c r="B4022" s="16" t="s">
        <v>1532</v>
      </c>
      <c r="C4022" t="s">
        <v>1533</v>
      </c>
      <c r="D4022" t="s">
        <v>783</v>
      </c>
      <c r="E4022" s="17">
        <v>1</v>
      </c>
      <c r="F4022" s="17">
        <v>141.27000000000001</v>
      </c>
      <c r="G4022" s="18">
        <v>141.27000000000001</v>
      </c>
      <c r="H4022" s="30" t="s">
        <v>2327</v>
      </c>
      <c r="J4022" s="34"/>
    </row>
    <row r="4023" spans="1:10" x14ac:dyDescent="0.25">
      <c r="A4023" s="19" t="s">
        <v>781</v>
      </c>
      <c r="B4023" s="20" t="s">
        <v>1534</v>
      </c>
      <c r="C4023" s="21" t="s">
        <v>781</v>
      </c>
      <c r="D4023" s="21" t="s">
        <v>781</v>
      </c>
      <c r="E4023" s="22"/>
      <c r="F4023" s="22"/>
      <c r="G4023" s="23">
        <v>13752.069</v>
      </c>
      <c r="H4023" s="31" t="s">
        <v>2285</v>
      </c>
      <c r="J4023" s="34"/>
    </row>
    <row r="4024" spans="1:10" x14ac:dyDescent="0.25">
      <c r="A4024" s="15" t="s">
        <v>781</v>
      </c>
      <c r="B4024" s="16" t="s">
        <v>781</v>
      </c>
      <c r="C4024" t="s">
        <v>781</v>
      </c>
      <c r="D4024" t="s">
        <v>781</v>
      </c>
      <c r="E4024" s="17"/>
      <c r="F4024" s="17"/>
      <c r="G4024" s="18"/>
      <c r="H4024" s="30" t="s">
        <v>2285</v>
      </c>
      <c r="J4024" s="34"/>
    </row>
    <row r="4025" spans="1:10" x14ac:dyDescent="0.25">
      <c r="A4025" s="12" t="s">
        <v>781</v>
      </c>
      <c r="B4025" s="11" t="s">
        <v>1895</v>
      </c>
      <c r="C4025" s="10" t="s">
        <v>781</v>
      </c>
      <c r="D4025" s="10" t="s">
        <v>781</v>
      </c>
      <c r="E4025" s="13"/>
      <c r="F4025" s="13"/>
      <c r="G4025" s="14"/>
      <c r="H4025" s="29" t="s">
        <v>2285</v>
      </c>
      <c r="J4025" s="34"/>
    </row>
    <row r="4026" spans="1:10" x14ac:dyDescent="0.25">
      <c r="A4026" s="15">
        <v>40819</v>
      </c>
      <c r="B4026" s="16" t="s">
        <v>1535</v>
      </c>
      <c r="C4026" t="s">
        <v>1274</v>
      </c>
      <c r="D4026" t="s">
        <v>783</v>
      </c>
      <c r="E4026" s="17">
        <v>1</v>
      </c>
      <c r="F4026" s="17">
        <v>15.1</v>
      </c>
      <c r="G4026" s="18">
        <v>15.1</v>
      </c>
      <c r="H4026" s="30" t="s">
        <v>2328</v>
      </c>
      <c r="J4026" s="34"/>
    </row>
    <row r="4027" spans="1:10" x14ac:dyDescent="0.25">
      <c r="A4027" s="15">
        <v>40828</v>
      </c>
      <c r="B4027" s="16" t="s">
        <v>1536</v>
      </c>
      <c r="C4027" t="s">
        <v>1274</v>
      </c>
      <c r="D4027" t="s">
        <v>783</v>
      </c>
      <c r="E4027" s="17">
        <v>1</v>
      </c>
      <c r="F4027" s="17">
        <v>23.25</v>
      </c>
      <c r="G4027" s="18">
        <v>23.25</v>
      </c>
      <c r="H4027" s="30" t="s">
        <v>2328</v>
      </c>
      <c r="J4027" s="34"/>
    </row>
    <row r="4028" spans="1:10" x14ac:dyDescent="0.25">
      <c r="A4028" s="15">
        <v>40828</v>
      </c>
      <c r="B4028" s="16" t="s">
        <v>1537</v>
      </c>
      <c r="C4028" t="s">
        <v>40</v>
      </c>
      <c r="D4028" t="s">
        <v>783</v>
      </c>
      <c r="E4028" s="17">
        <v>1.5</v>
      </c>
      <c r="F4028" s="17">
        <v>100</v>
      </c>
      <c r="G4028" s="18">
        <v>150</v>
      </c>
      <c r="H4028" s="30" t="s">
        <v>2328</v>
      </c>
      <c r="J4028" s="34"/>
    </row>
    <row r="4029" spans="1:10" x14ac:dyDescent="0.25">
      <c r="A4029" s="15">
        <v>40829</v>
      </c>
      <c r="B4029" s="16" t="s">
        <v>1538</v>
      </c>
      <c r="C4029" t="s">
        <v>1274</v>
      </c>
      <c r="D4029" t="s">
        <v>783</v>
      </c>
      <c r="E4029" s="17">
        <v>1</v>
      </c>
      <c r="F4029" s="17">
        <v>20.77</v>
      </c>
      <c r="G4029" s="18">
        <v>20.77</v>
      </c>
      <c r="H4029" s="30" t="s">
        <v>2328</v>
      </c>
      <c r="J4029" s="34"/>
    </row>
    <row r="4030" spans="1:10" ht="30" x14ac:dyDescent="0.25">
      <c r="A4030" s="15">
        <v>40830</v>
      </c>
      <c r="B4030" s="16" t="s">
        <v>1539</v>
      </c>
      <c r="C4030" t="s">
        <v>1274</v>
      </c>
      <c r="D4030" t="s">
        <v>783</v>
      </c>
      <c r="E4030" s="17">
        <v>1</v>
      </c>
      <c r="F4030" s="17">
        <v>231.95</v>
      </c>
      <c r="G4030" s="18">
        <v>231.95</v>
      </c>
      <c r="H4030" s="30" t="s">
        <v>2328</v>
      </c>
      <c r="J4030" s="34"/>
    </row>
    <row r="4031" spans="1:10" x14ac:dyDescent="0.25">
      <c r="A4031" s="15">
        <v>40834</v>
      </c>
      <c r="B4031" s="16" t="s">
        <v>865</v>
      </c>
      <c r="C4031" t="s">
        <v>8</v>
      </c>
      <c r="D4031" t="s">
        <v>48</v>
      </c>
      <c r="E4031" s="17">
        <v>2</v>
      </c>
      <c r="F4031" s="17">
        <v>35.35</v>
      </c>
      <c r="G4031" s="18">
        <v>70.7</v>
      </c>
      <c r="H4031" s="30" t="s">
        <v>2328</v>
      </c>
      <c r="J4031" s="34"/>
    </row>
    <row r="4032" spans="1:10" x14ac:dyDescent="0.25">
      <c r="A4032" s="15">
        <v>40834</v>
      </c>
      <c r="B4032" s="16" t="s">
        <v>865</v>
      </c>
      <c r="C4032" t="s">
        <v>8</v>
      </c>
      <c r="D4032" t="s">
        <v>48</v>
      </c>
      <c r="E4032" s="17">
        <v>2</v>
      </c>
      <c r="F4032" s="17">
        <v>35.35</v>
      </c>
      <c r="G4032" s="18">
        <v>70.7</v>
      </c>
      <c r="H4032" s="30" t="s">
        <v>2328</v>
      </c>
      <c r="J4032" s="34"/>
    </row>
    <row r="4033" spans="1:10" x14ac:dyDescent="0.25">
      <c r="A4033" s="15">
        <v>40835</v>
      </c>
      <c r="B4033" s="16" t="s">
        <v>1540</v>
      </c>
      <c r="C4033" t="s">
        <v>1274</v>
      </c>
      <c r="D4033" t="s">
        <v>783</v>
      </c>
      <c r="E4033" s="17">
        <v>1</v>
      </c>
      <c r="F4033" s="17">
        <v>30.45</v>
      </c>
      <c r="G4033" s="18">
        <v>30.45</v>
      </c>
      <c r="H4033" s="30" t="s">
        <v>2328</v>
      </c>
      <c r="J4033" s="34"/>
    </row>
    <row r="4034" spans="1:10" x14ac:dyDescent="0.25">
      <c r="A4034" s="15">
        <v>40840</v>
      </c>
      <c r="B4034" s="16" t="s">
        <v>1541</v>
      </c>
      <c r="C4034" t="s">
        <v>1274</v>
      </c>
      <c r="D4034" t="s">
        <v>783</v>
      </c>
      <c r="E4034" s="17">
        <v>1</v>
      </c>
      <c r="F4034" s="17">
        <v>427.4</v>
      </c>
      <c r="G4034" s="18">
        <v>427.4</v>
      </c>
      <c r="H4034" s="30" t="s">
        <v>2328</v>
      </c>
      <c r="J4034" s="34"/>
    </row>
    <row r="4035" spans="1:10" x14ac:dyDescent="0.25">
      <c r="A4035" s="15">
        <v>40843</v>
      </c>
      <c r="B4035" s="16" t="s">
        <v>1542</v>
      </c>
      <c r="C4035" t="s">
        <v>1274</v>
      </c>
      <c r="D4035" t="s">
        <v>783</v>
      </c>
      <c r="E4035" s="17">
        <v>1</v>
      </c>
      <c r="F4035" s="17">
        <v>47.22</v>
      </c>
      <c r="G4035" s="18">
        <v>47.22</v>
      </c>
      <c r="H4035" s="30" t="s">
        <v>2328</v>
      </c>
      <c r="J4035" s="34"/>
    </row>
    <row r="4036" spans="1:10" ht="30" x14ac:dyDescent="0.25">
      <c r="A4036" s="15">
        <v>40843</v>
      </c>
      <c r="B4036" s="16" t="s">
        <v>1543</v>
      </c>
      <c r="C4036" t="s">
        <v>1274</v>
      </c>
      <c r="D4036" t="s">
        <v>783</v>
      </c>
      <c r="E4036" s="17">
        <v>1</v>
      </c>
      <c r="F4036" s="17">
        <v>37.090000000000003</v>
      </c>
      <c r="G4036" s="18">
        <v>37.090000000000003</v>
      </c>
      <c r="H4036" s="30" t="s">
        <v>2328</v>
      </c>
      <c r="J4036" s="34"/>
    </row>
    <row r="4037" spans="1:10" x14ac:dyDescent="0.25">
      <c r="A4037" s="15">
        <v>40847</v>
      </c>
      <c r="B4037" s="16" t="s">
        <v>1544</v>
      </c>
      <c r="C4037" t="s">
        <v>1274</v>
      </c>
      <c r="D4037" t="s">
        <v>783</v>
      </c>
      <c r="E4037" s="17">
        <v>1</v>
      </c>
      <c r="F4037" s="17">
        <v>17.09</v>
      </c>
      <c r="G4037" s="18">
        <v>17.09</v>
      </c>
      <c r="H4037" s="30" t="s">
        <v>2328</v>
      </c>
      <c r="J4037" s="34"/>
    </row>
    <row r="4038" spans="1:10" x14ac:dyDescent="0.25">
      <c r="A4038" s="15">
        <v>40862</v>
      </c>
      <c r="B4038" s="16" t="s">
        <v>1545</v>
      </c>
      <c r="C4038" t="s">
        <v>1274</v>
      </c>
      <c r="D4038" t="s">
        <v>783</v>
      </c>
      <c r="E4038" s="17">
        <v>2</v>
      </c>
      <c r="F4038" s="17">
        <v>69.900000000000006</v>
      </c>
      <c r="G4038" s="18">
        <v>139.80000000000001</v>
      </c>
      <c r="H4038" s="30" t="s">
        <v>2328</v>
      </c>
      <c r="J4038" s="34"/>
    </row>
    <row r="4039" spans="1:10" ht="30" x14ac:dyDescent="0.25">
      <c r="A4039" s="15">
        <v>40945</v>
      </c>
      <c r="B4039" s="16" t="s">
        <v>1546</v>
      </c>
      <c r="C4039" t="s">
        <v>1274</v>
      </c>
      <c r="D4039" t="s">
        <v>783</v>
      </c>
      <c r="E4039" s="17">
        <v>1</v>
      </c>
      <c r="F4039" s="17">
        <v>158.52000000000001</v>
      </c>
      <c r="G4039" s="18">
        <v>158.52000000000001</v>
      </c>
      <c r="H4039" s="30" t="s">
        <v>2328</v>
      </c>
      <c r="J4039" s="34"/>
    </row>
    <row r="4040" spans="1:10" x14ac:dyDescent="0.25">
      <c r="A4040" s="15">
        <v>40968</v>
      </c>
      <c r="B4040" s="16" t="s">
        <v>1547</v>
      </c>
      <c r="C4040" t="s">
        <v>1548</v>
      </c>
      <c r="D4040" t="s">
        <v>783</v>
      </c>
      <c r="E4040" s="17">
        <v>1</v>
      </c>
      <c r="F4040" s="17">
        <v>120.9</v>
      </c>
      <c r="G4040" s="18">
        <v>120.9</v>
      </c>
      <c r="H4040" s="30" t="s">
        <v>2328</v>
      </c>
      <c r="J4040" s="34"/>
    </row>
    <row r="4041" spans="1:10" x14ac:dyDescent="0.25">
      <c r="A4041" s="15">
        <v>40971</v>
      </c>
      <c r="B4041" s="16" t="s">
        <v>1549</v>
      </c>
      <c r="C4041" t="s">
        <v>871</v>
      </c>
      <c r="D4041" t="s">
        <v>48</v>
      </c>
      <c r="E4041" s="17">
        <v>1</v>
      </c>
      <c r="F4041" s="17">
        <v>180</v>
      </c>
      <c r="G4041" s="18">
        <v>180</v>
      </c>
      <c r="H4041" s="30" t="s">
        <v>2328</v>
      </c>
      <c r="J4041" s="34"/>
    </row>
    <row r="4042" spans="1:10" x14ac:dyDescent="0.25">
      <c r="A4042" s="15">
        <v>40976</v>
      </c>
      <c r="B4042" s="16" t="s">
        <v>1550</v>
      </c>
      <c r="C4042" t="s">
        <v>871</v>
      </c>
      <c r="D4042" t="s">
        <v>48</v>
      </c>
      <c r="E4042" s="17">
        <v>1</v>
      </c>
      <c r="F4042" s="17">
        <v>120</v>
      </c>
      <c r="G4042" s="18">
        <v>120</v>
      </c>
      <c r="H4042" s="30" t="s">
        <v>2328</v>
      </c>
      <c r="J4042" s="34"/>
    </row>
    <row r="4043" spans="1:10" x14ac:dyDescent="0.25">
      <c r="A4043" s="15">
        <v>40988</v>
      </c>
      <c r="B4043" s="16" t="s">
        <v>865</v>
      </c>
      <c r="C4043" t="s">
        <v>8</v>
      </c>
      <c r="D4043" t="s">
        <v>48</v>
      </c>
      <c r="E4043" s="17">
        <v>1</v>
      </c>
      <c r="F4043" s="17">
        <v>35.35</v>
      </c>
      <c r="G4043" s="18">
        <v>35.35</v>
      </c>
      <c r="H4043" s="30" t="s">
        <v>2328</v>
      </c>
      <c r="J4043" s="34"/>
    </row>
    <row r="4044" spans="1:10" x14ac:dyDescent="0.25">
      <c r="A4044" s="15">
        <v>40988</v>
      </c>
      <c r="B4044" s="16" t="s">
        <v>865</v>
      </c>
      <c r="C4044" t="s">
        <v>8</v>
      </c>
      <c r="D4044" t="s">
        <v>48</v>
      </c>
      <c r="E4044" s="17">
        <v>1</v>
      </c>
      <c r="F4044" s="17">
        <v>35.35</v>
      </c>
      <c r="G4044" s="18">
        <v>35.35</v>
      </c>
      <c r="H4044" s="30" t="s">
        <v>2328</v>
      </c>
      <c r="J4044" s="34"/>
    </row>
    <row r="4045" spans="1:10" x14ac:dyDescent="0.25">
      <c r="A4045" s="15">
        <v>40989</v>
      </c>
      <c r="B4045" s="16" t="s">
        <v>865</v>
      </c>
      <c r="C4045" t="s">
        <v>8</v>
      </c>
      <c r="D4045" t="s">
        <v>48</v>
      </c>
      <c r="E4045" s="17">
        <v>1</v>
      </c>
      <c r="F4045" s="17">
        <v>35.35</v>
      </c>
      <c r="G4045" s="18">
        <v>35.35</v>
      </c>
      <c r="H4045" s="30" t="s">
        <v>2328</v>
      </c>
      <c r="J4045" s="34"/>
    </row>
    <row r="4046" spans="1:10" x14ac:dyDescent="0.25">
      <c r="A4046" s="15">
        <v>40989</v>
      </c>
      <c r="B4046" s="16" t="s">
        <v>865</v>
      </c>
      <c r="C4046" t="s">
        <v>8</v>
      </c>
      <c r="D4046" t="s">
        <v>48</v>
      </c>
      <c r="E4046" s="17">
        <v>1</v>
      </c>
      <c r="F4046" s="17">
        <v>35.35</v>
      </c>
      <c r="G4046" s="18">
        <v>35.35</v>
      </c>
      <c r="H4046" s="30" t="s">
        <v>2328</v>
      </c>
      <c r="J4046" s="34"/>
    </row>
    <row r="4047" spans="1:10" x14ac:dyDescent="0.25">
      <c r="A4047" s="15">
        <v>40999</v>
      </c>
      <c r="B4047" s="16" t="s">
        <v>1551</v>
      </c>
      <c r="C4047" t="s">
        <v>1552</v>
      </c>
      <c r="D4047" t="s">
        <v>783</v>
      </c>
      <c r="E4047" s="17">
        <v>1</v>
      </c>
      <c r="F4047" s="17">
        <v>1440</v>
      </c>
      <c r="G4047" s="18">
        <v>1440</v>
      </c>
      <c r="H4047" s="30" t="s">
        <v>2328</v>
      </c>
      <c r="J4047" s="34"/>
    </row>
    <row r="4048" spans="1:10" x14ac:dyDescent="0.25">
      <c r="A4048" s="15">
        <v>40999</v>
      </c>
      <c r="B4048" s="16" t="s">
        <v>1553</v>
      </c>
      <c r="C4048" t="s">
        <v>1552</v>
      </c>
      <c r="D4048" t="s">
        <v>783</v>
      </c>
      <c r="E4048" s="17">
        <v>1</v>
      </c>
      <c r="F4048" s="17">
        <v>1440</v>
      </c>
      <c r="G4048" s="18">
        <v>1440</v>
      </c>
      <c r="H4048" s="30" t="s">
        <v>2328</v>
      </c>
      <c r="J4048" s="34"/>
    </row>
    <row r="4049" spans="1:10" x14ac:dyDescent="0.25">
      <c r="A4049" s="15">
        <v>41001</v>
      </c>
      <c r="B4049" s="16" t="s">
        <v>1039</v>
      </c>
      <c r="C4049" t="s">
        <v>934</v>
      </c>
      <c r="D4049" t="s">
        <v>48</v>
      </c>
      <c r="E4049" s="17">
        <v>1</v>
      </c>
      <c r="F4049" s="17">
        <v>125</v>
      </c>
      <c r="G4049" s="18">
        <v>125</v>
      </c>
      <c r="H4049" s="30" t="s">
        <v>2328</v>
      </c>
      <c r="J4049" s="34"/>
    </row>
    <row r="4050" spans="1:10" x14ac:dyDescent="0.25">
      <c r="A4050" s="15">
        <v>41003</v>
      </c>
      <c r="B4050" s="16" t="s">
        <v>1039</v>
      </c>
      <c r="C4050" t="s">
        <v>934</v>
      </c>
      <c r="D4050" t="s">
        <v>48</v>
      </c>
      <c r="E4050" s="17">
        <v>2</v>
      </c>
      <c r="F4050" s="17">
        <v>125</v>
      </c>
      <c r="G4050" s="18">
        <v>250</v>
      </c>
      <c r="H4050" s="30" t="s">
        <v>2328</v>
      </c>
      <c r="J4050" s="34"/>
    </row>
    <row r="4051" spans="1:10" x14ac:dyDescent="0.25">
      <c r="A4051" s="15">
        <v>41013</v>
      </c>
      <c r="B4051" s="16" t="s">
        <v>1039</v>
      </c>
      <c r="C4051" t="s">
        <v>934</v>
      </c>
      <c r="D4051" t="s">
        <v>48</v>
      </c>
      <c r="E4051" s="17">
        <v>1</v>
      </c>
      <c r="F4051" s="17">
        <v>125</v>
      </c>
      <c r="G4051" s="18">
        <v>125</v>
      </c>
      <c r="H4051" s="30" t="s">
        <v>2328</v>
      </c>
      <c r="J4051" s="34"/>
    </row>
    <row r="4052" spans="1:10" x14ac:dyDescent="0.25">
      <c r="A4052" s="15">
        <v>41020</v>
      </c>
      <c r="B4052" s="16" t="s">
        <v>1554</v>
      </c>
      <c r="C4052" t="s">
        <v>1554</v>
      </c>
      <c r="D4052" t="s">
        <v>48</v>
      </c>
      <c r="E4052" s="17">
        <v>3</v>
      </c>
      <c r="F4052" s="17">
        <v>100</v>
      </c>
      <c r="G4052" s="18">
        <v>300</v>
      </c>
      <c r="H4052" s="30" t="s">
        <v>2328</v>
      </c>
      <c r="J4052" s="34"/>
    </row>
    <row r="4053" spans="1:10" x14ac:dyDescent="0.25">
      <c r="A4053" s="15">
        <v>41022</v>
      </c>
      <c r="B4053" s="16" t="s">
        <v>1554</v>
      </c>
      <c r="C4053" t="s">
        <v>1554</v>
      </c>
      <c r="D4053" t="s">
        <v>48</v>
      </c>
      <c r="E4053" s="17">
        <v>4</v>
      </c>
      <c r="F4053" s="17">
        <v>100</v>
      </c>
      <c r="G4053" s="18">
        <v>400</v>
      </c>
      <c r="H4053" s="30" t="s">
        <v>2328</v>
      </c>
      <c r="J4053" s="34"/>
    </row>
    <row r="4054" spans="1:10" x14ac:dyDescent="0.25">
      <c r="A4054" s="15">
        <v>41022</v>
      </c>
      <c r="B4054" s="16" t="s">
        <v>1039</v>
      </c>
      <c r="C4054" t="s">
        <v>934</v>
      </c>
      <c r="D4054" t="s">
        <v>48</v>
      </c>
      <c r="E4054" s="17">
        <v>2</v>
      </c>
      <c r="F4054" s="17">
        <v>125</v>
      </c>
      <c r="G4054" s="18">
        <v>250</v>
      </c>
      <c r="H4054" s="30" t="s">
        <v>2328</v>
      </c>
      <c r="J4054" s="34"/>
    </row>
    <row r="4055" spans="1:10" x14ac:dyDescent="0.25">
      <c r="A4055" s="15">
        <v>41026</v>
      </c>
      <c r="B4055" s="16" t="s">
        <v>1554</v>
      </c>
      <c r="C4055" t="s">
        <v>1554</v>
      </c>
      <c r="D4055" t="s">
        <v>48</v>
      </c>
      <c r="E4055" s="17">
        <v>4</v>
      </c>
      <c r="F4055" s="17">
        <v>100</v>
      </c>
      <c r="G4055" s="18">
        <v>400</v>
      </c>
      <c r="H4055" s="30" t="s">
        <v>2328</v>
      </c>
      <c r="J4055" s="34"/>
    </row>
    <row r="4056" spans="1:10" x14ac:dyDescent="0.25">
      <c r="A4056" s="15">
        <v>41029</v>
      </c>
      <c r="B4056" s="16" t="s">
        <v>1555</v>
      </c>
      <c r="C4056" t="s">
        <v>871</v>
      </c>
      <c r="D4056" t="s">
        <v>48</v>
      </c>
      <c r="E4056" s="17">
        <v>1</v>
      </c>
      <c r="F4056" s="17">
        <v>120</v>
      </c>
      <c r="G4056" s="18">
        <v>120</v>
      </c>
      <c r="H4056" s="30" t="s">
        <v>2328</v>
      </c>
      <c r="J4056" s="34"/>
    </row>
    <row r="4057" spans="1:10" x14ac:dyDescent="0.25">
      <c r="A4057" s="15">
        <v>41039</v>
      </c>
      <c r="B4057" s="16" t="s">
        <v>1556</v>
      </c>
      <c r="C4057" t="s">
        <v>40</v>
      </c>
      <c r="D4057" t="s">
        <v>783</v>
      </c>
      <c r="E4057" s="17">
        <v>1</v>
      </c>
      <c r="F4057" s="17">
        <v>250</v>
      </c>
      <c r="G4057" s="18">
        <v>250</v>
      </c>
      <c r="H4057" s="30" t="s">
        <v>2328</v>
      </c>
      <c r="J4057" s="34"/>
    </row>
    <row r="4058" spans="1:10" ht="30" x14ac:dyDescent="0.25">
      <c r="A4058" s="15">
        <v>41039</v>
      </c>
      <c r="B4058" s="16" t="s">
        <v>1557</v>
      </c>
      <c r="C4058" t="s">
        <v>40</v>
      </c>
      <c r="D4058" t="s">
        <v>783</v>
      </c>
      <c r="E4058" s="17">
        <v>1</v>
      </c>
      <c r="F4058" s="17">
        <v>283.8</v>
      </c>
      <c r="G4058" s="18">
        <v>283.8</v>
      </c>
      <c r="H4058" s="30" t="s">
        <v>2328</v>
      </c>
      <c r="J4058" s="34"/>
    </row>
    <row r="4059" spans="1:10" x14ac:dyDescent="0.25">
      <c r="A4059" s="15">
        <v>41045</v>
      </c>
      <c r="B4059" s="16" t="s">
        <v>1039</v>
      </c>
      <c r="C4059" t="s">
        <v>934</v>
      </c>
      <c r="D4059" t="s">
        <v>48</v>
      </c>
      <c r="E4059" s="17">
        <v>1</v>
      </c>
      <c r="F4059" s="17">
        <v>125</v>
      </c>
      <c r="G4059" s="18">
        <v>125</v>
      </c>
      <c r="H4059" s="30" t="s">
        <v>2328</v>
      </c>
      <c r="J4059" s="34"/>
    </row>
    <row r="4060" spans="1:10" x14ac:dyDescent="0.25">
      <c r="A4060" s="15">
        <v>41057</v>
      </c>
      <c r="B4060" s="16" t="s">
        <v>1039</v>
      </c>
      <c r="C4060" t="s">
        <v>934</v>
      </c>
      <c r="D4060" t="s">
        <v>48</v>
      </c>
      <c r="E4060" s="17">
        <v>1</v>
      </c>
      <c r="F4060" s="17">
        <v>125</v>
      </c>
      <c r="G4060" s="18">
        <v>125</v>
      </c>
      <c r="H4060" s="30" t="s">
        <v>2328</v>
      </c>
      <c r="J4060" s="34"/>
    </row>
    <row r="4061" spans="1:10" x14ac:dyDescent="0.25">
      <c r="A4061" s="15">
        <v>41060</v>
      </c>
      <c r="B4061" s="16" t="s">
        <v>1558</v>
      </c>
      <c r="C4061" t="s">
        <v>1552</v>
      </c>
      <c r="D4061" t="s">
        <v>783</v>
      </c>
      <c r="E4061" s="17">
        <v>1</v>
      </c>
      <c r="F4061" s="17">
        <v>1620</v>
      </c>
      <c r="G4061" s="18">
        <v>1620</v>
      </c>
      <c r="H4061" s="30" t="s">
        <v>2328</v>
      </c>
      <c r="J4061" s="34"/>
    </row>
    <row r="4062" spans="1:10" ht="30" x14ac:dyDescent="0.25">
      <c r="A4062" s="15">
        <v>41066</v>
      </c>
      <c r="B4062" s="16" t="s">
        <v>1559</v>
      </c>
      <c r="C4062" t="s">
        <v>40</v>
      </c>
      <c r="D4062" t="s">
        <v>783</v>
      </c>
      <c r="E4062" s="17">
        <v>2</v>
      </c>
      <c r="F4062" s="17">
        <v>130</v>
      </c>
      <c r="G4062" s="18">
        <v>260</v>
      </c>
      <c r="H4062" s="30" t="s">
        <v>2328</v>
      </c>
      <c r="J4062" s="34"/>
    </row>
    <row r="4063" spans="1:10" x14ac:dyDescent="0.25">
      <c r="A4063" s="15">
        <v>41083</v>
      </c>
      <c r="B4063" s="16" t="s">
        <v>1560</v>
      </c>
      <c r="C4063" t="s">
        <v>40</v>
      </c>
      <c r="D4063" t="s">
        <v>783</v>
      </c>
      <c r="E4063" s="17">
        <v>3</v>
      </c>
      <c r="F4063" s="17">
        <v>121</v>
      </c>
      <c r="G4063" s="18">
        <v>363</v>
      </c>
      <c r="H4063" s="30" t="s">
        <v>2328</v>
      </c>
      <c r="J4063" s="34"/>
    </row>
    <row r="4064" spans="1:10" x14ac:dyDescent="0.25">
      <c r="A4064" s="15">
        <v>41090</v>
      </c>
      <c r="B4064" s="16" t="s">
        <v>1561</v>
      </c>
      <c r="C4064" t="s">
        <v>40</v>
      </c>
      <c r="D4064" t="s">
        <v>783</v>
      </c>
      <c r="E4064" s="17">
        <v>1</v>
      </c>
      <c r="F4064" s="17">
        <v>70</v>
      </c>
      <c r="G4064" s="18">
        <v>70</v>
      </c>
      <c r="H4064" s="30" t="s">
        <v>2328</v>
      </c>
      <c r="J4064" s="34"/>
    </row>
    <row r="4065" spans="1:10" x14ac:dyDescent="0.25">
      <c r="A4065" s="15">
        <v>41120</v>
      </c>
      <c r="B4065" s="16" t="s">
        <v>1562</v>
      </c>
      <c r="C4065" t="s">
        <v>934</v>
      </c>
      <c r="D4065" t="s">
        <v>48</v>
      </c>
      <c r="E4065" s="17">
        <v>1</v>
      </c>
      <c r="F4065" s="17">
        <v>125</v>
      </c>
      <c r="G4065" s="18">
        <v>125</v>
      </c>
      <c r="H4065" s="30" t="s">
        <v>2328</v>
      </c>
      <c r="J4065" s="34"/>
    </row>
    <row r="4066" spans="1:10" x14ac:dyDescent="0.25">
      <c r="A4066" s="15">
        <v>41120</v>
      </c>
      <c r="B4066" s="16" t="s">
        <v>865</v>
      </c>
      <c r="C4066" t="s">
        <v>8</v>
      </c>
      <c r="D4066" t="s">
        <v>48</v>
      </c>
      <c r="E4066" s="17">
        <v>9.5</v>
      </c>
      <c r="F4066" s="17">
        <v>35.35</v>
      </c>
      <c r="G4066" s="18">
        <v>335.82499999999999</v>
      </c>
      <c r="H4066" s="30" t="s">
        <v>2328</v>
      </c>
      <c r="J4066" s="34"/>
    </row>
    <row r="4067" spans="1:10" x14ac:dyDescent="0.25">
      <c r="A4067" s="15">
        <v>41120</v>
      </c>
      <c r="B4067" s="16" t="s">
        <v>865</v>
      </c>
      <c r="C4067" t="s">
        <v>8</v>
      </c>
      <c r="D4067" t="s">
        <v>48</v>
      </c>
      <c r="E4067" s="17">
        <v>9.5</v>
      </c>
      <c r="F4067" s="17">
        <v>35.35</v>
      </c>
      <c r="G4067" s="18">
        <v>335.82499999999999</v>
      </c>
      <c r="H4067" s="30" t="s">
        <v>2328</v>
      </c>
      <c r="J4067" s="34"/>
    </row>
    <row r="4068" spans="1:10" x14ac:dyDescent="0.25">
      <c r="A4068" s="15">
        <v>41121</v>
      </c>
      <c r="B4068" s="16" t="s">
        <v>1563</v>
      </c>
      <c r="C4068" t="s">
        <v>40</v>
      </c>
      <c r="D4068" t="s">
        <v>783</v>
      </c>
      <c r="E4068" s="17">
        <v>1</v>
      </c>
      <c r="F4068" s="17">
        <v>100</v>
      </c>
      <c r="G4068" s="18">
        <v>100</v>
      </c>
      <c r="H4068" s="30" t="s">
        <v>2328</v>
      </c>
      <c r="J4068" s="34"/>
    </row>
    <row r="4069" spans="1:10" x14ac:dyDescent="0.25">
      <c r="A4069" s="15">
        <v>41121</v>
      </c>
      <c r="B4069" s="16" t="s">
        <v>1564</v>
      </c>
      <c r="C4069" t="s">
        <v>1552</v>
      </c>
      <c r="D4069" t="s">
        <v>783</v>
      </c>
      <c r="E4069" s="17">
        <v>1</v>
      </c>
      <c r="F4069" s="17">
        <v>1440</v>
      </c>
      <c r="G4069" s="18">
        <v>1440</v>
      </c>
      <c r="H4069" s="30" t="s">
        <v>2328</v>
      </c>
      <c r="J4069" s="34"/>
    </row>
    <row r="4070" spans="1:10" x14ac:dyDescent="0.25">
      <c r="A4070" s="15">
        <v>41122</v>
      </c>
      <c r="B4070" s="16" t="s">
        <v>1565</v>
      </c>
      <c r="C4070" t="s">
        <v>1274</v>
      </c>
      <c r="D4070" t="s">
        <v>783</v>
      </c>
      <c r="E4070" s="17">
        <v>1</v>
      </c>
      <c r="F4070" s="17">
        <v>105.36</v>
      </c>
      <c r="G4070" s="18">
        <v>105.36</v>
      </c>
      <c r="H4070" s="30" t="s">
        <v>2328</v>
      </c>
      <c r="J4070" s="34"/>
    </row>
    <row r="4071" spans="1:10" x14ac:dyDescent="0.25">
      <c r="A4071" s="15">
        <v>41127</v>
      </c>
      <c r="B4071" s="16" t="s">
        <v>1566</v>
      </c>
      <c r="C4071" t="s">
        <v>934</v>
      </c>
      <c r="D4071" t="s">
        <v>48</v>
      </c>
      <c r="E4071" s="17">
        <v>1</v>
      </c>
      <c r="F4071" s="17">
        <v>125</v>
      </c>
      <c r="G4071" s="18">
        <v>125</v>
      </c>
      <c r="H4071" s="30" t="s">
        <v>2328</v>
      </c>
      <c r="J4071" s="34"/>
    </row>
    <row r="4072" spans="1:10" ht="30" x14ac:dyDescent="0.25">
      <c r="A4072" s="15">
        <v>41129</v>
      </c>
      <c r="B4072" s="16" t="s">
        <v>1567</v>
      </c>
      <c r="C4072" t="s">
        <v>40</v>
      </c>
      <c r="D4072" t="s">
        <v>783</v>
      </c>
      <c r="E4072" s="17">
        <v>1</v>
      </c>
      <c r="F4072" s="17">
        <v>700</v>
      </c>
      <c r="G4072" s="18">
        <v>700</v>
      </c>
      <c r="H4072" s="30" t="s">
        <v>2328</v>
      </c>
      <c r="J4072" s="34"/>
    </row>
    <row r="4073" spans="1:10" x14ac:dyDescent="0.25">
      <c r="A4073" s="15">
        <v>41130</v>
      </c>
      <c r="B4073" s="16" t="s">
        <v>1568</v>
      </c>
      <c r="C4073" t="s">
        <v>934</v>
      </c>
      <c r="D4073" t="s">
        <v>48</v>
      </c>
      <c r="E4073" s="17">
        <v>2</v>
      </c>
      <c r="F4073" s="17">
        <v>125</v>
      </c>
      <c r="G4073" s="18">
        <v>250</v>
      </c>
      <c r="H4073" s="30" t="s">
        <v>2328</v>
      </c>
      <c r="J4073" s="34"/>
    </row>
    <row r="4074" spans="1:10" ht="30" x14ac:dyDescent="0.25">
      <c r="A4074" s="15">
        <v>41151</v>
      </c>
      <c r="B4074" s="16" t="s">
        <v>1569</v>
      </c>
      <c r="C4074" t="s">
        <v>40</v>
      </c>
      <c r="D4074" t="s">
        <v>783</v>
      </c>
      <c r="E4074" s="17">
        <v>1</v>
      </c>
      <c r="F4074" s="17">
        <v>100</v>
      </c>
      <c r="G4074" s="18">
        <v>100</v>
      </c>
      <c r="H4074" s="30" t="s">
        <v>2328</v>
      </c>
      <c r="J4074" s="34"/>
    </row>
    <row r="4075" spans="1:10" x14ac:dyDescent="0.25">
      <c r="A4075" s="15">
        <v>41152</v>
      </c>
      <c r="B4075" s="16" t="s">
        <v>1570</v>
      </c>
      <c r="C4075" t="s">
        <v>40</v>
      </c>
      <c r="D4075" t="s">
        <v>783</v>
      </c>
      <c r="E4075" s="17">
        <v>1</v>
      </c>
      <c r="F4075" s="17">
        <v>60</v>
      </c>
      <c r="G4075" s="18">
        <v>60</v>
      </c>
      <c r="H4075" s="30" t="s">
        <v>2328</v>
      </c>
      <c r="J4075" s="34"/>
    </row>
    <row r="4076" spans="1:10" x14ac:dyDescent="0.25">
      <c r="A4076" s="15">
        <v>41162</v>
      </c>
      <c r="B4076" s="16" t="s">
        <v>1571</v>
      </c>
      <c r="C4076" t="s">
        <v>1274</v>
      </c>
      <c r="D4076" t="s">
        <v>783</v>
      </c>
      <c r="E4076" s="17">
        <v>1</v>
      </c>
      <c r="F4076" s="17">
        <v>326.45999999999998</v>
      </c>
      <c r="G4076" s="18">
        <v>326.45999999999998</v>
      </c>
      <c r="H4076" s="30" t="s">
        <v>2328</v>
      </c>
      <c r="J4076" s="34"/>
    </row>
    <row r="4077" spans="1:10" x14ac:dyDescent="0.25">
      <c r="A4077" s="15">
        <v>41182</v>
      </c>
      <c r="B4077" s="16" t="s">
        <v>1572</v>
      </c>
      <c r="C4077" t="s">
        <v>40</v>
      </c>
      <c r="D4077" t="s">
        <v>783</v>
      </c>
      <c r="E4077" s="17">
        <v>1</v>
      </c>
      <c r="F4077" s="17">
        <v>200</v>
      </c>
      <c r="G4077" s="18">
        <v>200</v>
      </c>
      <c r="H4077" s="30" t="s">
        <v>2328</v>
      </c>
      <c r="J4077" s="34"/>
    </row>
    <row r="4078" spans="1:10" x14ac:dyDescent="0.25">
      <c r="A4078" s="15">
        <v>41185</v>
      </c>
      <c r="B4078" s="16" t="s">
        <v>1573</v>
      </c>
      <c r="C4078" t="s">
        <v>40</v>
      </c>
      <c r="D4078" t="s">
        <v>783</v>
      </c>
      <c r="E4078" s="17">
        <v>1</v>
      </c>
      <c r="F4078" s="17">
        <v>70</v>
      </c>
      <c r="G4078" s="18">
        <v>70</v>
      </c>
      <c r="H4078" s="30" t="s">
        <v>2328</v>
      </c>
      <c r="J4078" s="34"/>
    </row>
    <row r="4079" spans="1:10" x14ac:dyDescent="0.25">
      <c r="A4079" s="15">
        <v>41187</v>
      </c>
      <c r="B4079" s="16" t="s">
        <v>1574</v>
      </c>
      <c r="C4079" t="s">
        <v>40</v>
      </c>
      <c r="D4079" t="s">
        <v>783</v>
      </c>
      <c r="E4079" s="17">
        <v>1</v>
      </c>
      <c r="F4079" s="17">
        <v>130</v>
      </c>
      <c r="G4079" s="18">
        <v>130</v>
      </c>
      <c r="H4079" s="30" t="s">
        <v>2328</v>
      </c>
      <c r="J4079" s="34"/>
    </row>
    <row r="4080" spans="1:10" x14ac:dyDescent="0.25">
      <c r="A4080" s="19" t="s">
        <v>781</v>
      </c>
      <c r="B4080" s="20" t="s">
        <v>1575</v>
      </c>
      <c r="C4080" s="21" t="s">
        <v>781</v>
      </c>
      <c r="D4080" s="21" t="s">
        <v>781</v>
      </c>
      <c r="E4080" s="22"/>
      <c r="F4080" s="22"/>
      <c r="G4080" s="23">
        <v>14352.61</v>
      </c>
      <c r="H4080" s="31" t="s">
        <v>2285</v>
      </c>
      <c r="J4080" s="34"/>
    </row>
    <row r="4081" spans="1:10" x14ac:dyDescent="0.25">
      <c r="A4081" s="15" t="s">
        <v>781</v>
      </c>
      <c r="B4081" s="16" t="s">
        <v>781</v>
      </c>
      <c r="C4081" t="s">
        <v>781</v>
      </c>
      <c r="D4081" t="s">
        <v>781</v>
      </c>
      <c r="E4081" s="17"/>
      <c r="F4081" s="17"/>
      <c r="G4081" s="18"/>
      <c r="H4081" s="30" t="s">
        <v>2285</v>
      </c>
      <c r="J4081" s="34"/>
    </row>
    <row r="4082" spans="1:10" x14ac:dyDescent="0.25">
      <c r="A4082" s="12" t="s">
        <v>781</v>
      </c>
      <c r="B4082" s="11" t="s">
        <v>1896</v>
      </c>
      <c r="C4082" s="10" t="s">
        <v>781</v>
      </c>
      <c r="D4082" s="10" t="s">
        <v>781</v>
      </c>
      <c r="E4082" s="13"/>
      <c r="F4082" s="13"/>
      <c r="G4082" s="14"/>
      <c r="H4082" s="29" t="s">
        <v>2285</v>
      </c>
      <c r="J4082" s="34"/>
    </row>
    <row r="4083" spans="1:10" ht="30" x14ac:dyDescent="0.25">
      <c r="A4083" s="15">
        <v>41003</v>
      </c>
      <c r="B4083" s="16" t="s">
        <v>1576</v>
      </c>
      <c r="C4083" t="s">
        <v>1577</v>
      </c>
      <c r="D4083" t="s">
        <v>783</v>
      </c>
      <c r="E4083" s="17">
        <v>1</v>
      </c>
      <c r="F4083" s="17">
        <v>194.36</v>
      </c>
      <c r="G4083" s="18">
        <v>194.36</v>
      </c>
      <c r="H4083" s="30" t="s">
        <v>2329</v>
      </c>
      <c r="J4083" s="34"/>
    </row>
    <row r="4084" spans="1:10" x14ac:dyDescent="0.25">
      <c r="A4084" s="15">
        <v>41010</v>
      </c>
      <c r="B4084" s="16" t="s">
        <v>1578</v>
      </c>
      <c r="C4084" t="s">
        <v>1579</v>
      </c>
      <c r="D4084" t="s">
        <v>783</v>
      </c>
      <c r="E4084" s="17">
        <v>1</v>
      </c>
      <c r="F4084" s="17">
        <v>77.39</v>
      </c>
      <c r="G4084" s="18">
        <v>77.39</v>
      </c>
      <c r="H4084" s="30" t="s">
        <v>2329</v>
      </c>
      <c r="J4084" s="34"/>
    </row>
    <row r="4085" spans="1:10" ht="30" x14ac:dyDescent="0.25">
      <c r="A4085" s="15">
        <v>41176</v>
      </c>
      <c r="B4085" s="16" t="s">
        <v>1580</v>
      </c>
      <c r="C4085" t="s">
        <v>1577</v>
      </c>
      <c r="D4085" t="s">
        <v>783</v>
      </c>
      <c r="E4085" s="17">
        <v>1</v>
      </c>
      <c r="F4085" s="17">
        <v>141.97999999999999</v>
      </c>
      <c r="G4085" s="18">
        <v>141.97999999999999</v>
      </c>
      <c r="H4085" s="30" t="s">
        <v>2329</v>
      </c>
      <c r="J4085" s="34"/>
    </row>
    <row r="4086" spans="1:10" x14ac:dyDescent="0.25">
      <c r="A4086" s="19" t="s">
        <v>781</v>
      </c>
      <c r="B4086" s="20" t="s">
        <v>1581</v>
      </c>
      <c r="C4086" s="21" t="s">
        <v>781</v>
      </c>
      <c r="D4086" s="21" t="s">
        <v>781</v>
      </c>
      <c r="E4086" s="22"/>
      <c r="F4086" s="22"/>
      <c r="G4086" s="23">
        <v>413.73</v>
      </c>
      <c r="H4086" s="31" t="s">
        <v>2285</v>
      </c>
      <c r="J4086" s="34"/>
    </row>
    <row r="4087" spans="1:10" x14ac:dyDescent="0.25">
      <c r="A4087" s="15" t="s">
        <v>781</v>
      </c>
      <c r="B4087" s="16" t="s">
        <v>781</v>
      </c>
      <c r="C4087" t="s">
        <v>781</v>
      </c>
      <c r="D4087" t="s">
        <v>781</v>
      </c>
      <c r="E4087" s="17"/>
      <c r="F4087" s="17"/>
      <c r="G4087" s="18"/>
      <c r="H4087" s="30" t="s">
        <v>2285</v>
      </c>
      <c r="J4087" s="34"/>
    </row>
    <row r="4088" spans="1:10" x14ac:dyDescent="0.25">
      <c r="A4088" s="12" t="s">
        <v>781</v>
      </c>
      <c r="B4088" s="11" t="s">
        <v>1897</v>
      </c>
      <c r="C4088" s="10" t="s">
        <v>781</v>
      </c>
      <c r="D4088" s="10" t="s">
        <v>781</v>
      </c>
      <c r="E4088" s="13"/>
      <c r="F4088" s="13"/>
      <c r="G4088" s="14"/>
      <c r="H4088" s="29" t="s">
        <v>2285</v>
      </c>
      <c r="J4088" s="34"/>
    </row>
    <row r="4089" spans="1:10" ht="30" x14ac:dyDescent="0.25">
      <c r="A4089" s="15">
        <v>40855</v>
      </c>
      <c r="B4089" s="16" t="s">
        <v>1582</v>
      </c>
      <c r="C4089" t="s">
        <v>1583</v>
      </c>
      <c r="D4089" t="s">
        <v>783</v>
      </c>
      <c r="E4089" s="17">
        <v>1</v>
      </c>
      <c r="F4089" s="17">
        <v>117.84</v>
      </c>
      <c r="G4089" s="18">
        <v>117.84</v>
      </c>
      <c r="H4089" s="30" t="s">
        <v>2330</v>
      </c>
      <c r="J4089" s="34"/>
    </row>
    <row r="4090" spans="1:10" ht="30" x14ac:dyDescent="0.25">
      <c r="A4090" s="15">
        <v>40948</v>
      </c>
      <c r="B4090" s="16" t="s">
        <v>1584</v>
      </c>
      <c r="C4090" t="s">
        <v>1583</v>
      </c>
      <c r="D4090" t="s">
        <v>783</v>
      </c>
      <c r="E4090" s="17">
        <v>1</v>
      </c>
      <c r="F4090" s="17">
        <v>269.12</v>
      </c>
      <c r="G4090" s="18">
        <v>269.12</v>
      </c>
      <c r="H4090" s="30" t="s">
        <v>2330</v>
      </c>
      <c r="J4090" s="34"/>
    </row>
    <row r="4091" spans="1:10" ht="30" x14ac:dyDescent="0.25">
      <c r="A4091" s="15">
        <v>41039</v>
      </c>
      <c r="B4091" s="16" t="s">
        <v>1585</v>
      </c>
      <c r="C4091" t="s">
        <v>1583</v>
      </c>
      <c r="D4091" t="s">
        <v>783</v>
      </c>
      <c r="E4091" s="17">
        <v>1</v>
      </c>
      <c r="F4091" s="17">
        <v>255.99</v>
      </c>
      <c r="G4091" s="18">
        <v>255.99</v>
      </c>
      <c r="H4091" s="30" t="s">
        <v>2330</v>
      </c>
      <c r="J4091" s="34"/>
    </row>
    <row r="4092" spans="1:10" x14ac:dyDescent="0.25">
      <c r="A4092" s="15">
        <v>41065</v>
      </c>
      <c r="B4092" s="16" t="s">
        <v>1586</v>
      </c>
      <c r="C4092" t="s">
        <v>1583</v>
      </c>
      <c r="D4092" t="s">
        <v>783</v>
      </c>
      <c r="E4092" s="17">
        <v>1</v>
      </c>
      <c r="F4092" s="17">
        <v>255.99</v>
      </c>
      <c r="G4092" s="18">
        <v>255.99</v>
      </c>
      <c r="H4092" s="30" t="s">
        <v>2330</v>
      </c>
      <c r="J4092" s="34"/>
    </row>
    <row r="4093" spans="1:10" ht="30" x14ac:dyDescent="0.25">
      <c r="A4093" s="15">
        <v>41128</v>
      </c>
      <c r="B4093" s="16" t="s">
        <v>1587</v>
      </c>
      <c r="C4093" t="s">
        <v>1583</v>
      </c>
      <c r="D4093" t="s">
        <v>783</v>
      </c>
      <c r="E4093" s="17">
        <v>1</v>
      </c>
      <c r="F4093" s="17">
        <v>181.56</v>
      </c>
      <c r="G4093" s="18">
        <v>181.56</v>
      </c>
      <c r="H4093" s="30" t="s">
        <v>2330</v>
      </c>
      <c r="J4093" s="34"/>
    </row>
    <row r="4094" spans="1:10" ht="30" x14ac:dyDescent="0.25">
      <c r="A4094" s="15">
        <v>41218</v>
      </c>
      <c r="B4094" s="16" t="s">
        <v>1588</v>
      </c>
      <c r="C4094" t="s">
        <v>1350</v>
      </c>
      <c r="D4094" t="s">
        <v>783</v>
      </c>
      <c r="E4094" s="17">
        <v>1</v>
      </c>
      <c r="F4094" s="17">
        <v>1320</v>
      </c>
      <c r="G4094" s="18">
        <v>1320</v>
      </c>
      <c r="H4094" s="30" t="s">
        <v>2330</v>
      </c>
      <c r="J4094" s="34"/>
    </row>
    <row r="4095" spans="1:10" ht="30" x14ac:dyDescent="0.25">
      <c r="A4095" s="15">
        <v>41221</v>
      </c>
      <c r="B4095" s="16" t="s">
        <v>1589</v>
      </c>
      <c r="C4095" t="s">
        <v>1583</v>
      </c>
      <c r="D4095" t="s">
        <v>783</v>
      </c>
      <c r="E4095" s="17">
        <v>1</v>
      </c>
      <c r="F4095" s="17">
        <v>226.4</v>
      </c>
      <c r="G4095" s="18">
        <v>226.4</v>
      </c>
      <c r="H4095" s="30" t="s">
        <v>2330</v>
      </c>
      <c r="J4095" s="34"/>
    </row>
    <row r="4096" spans="1:10" x14ac:dyDescent="0.25">
      <c r="A4096" s="19" t="s">
        <v>781</v>
      </c>
      <c r="B4096" s="20" t="s">
        <v>1590</v>
      </c>
      <c r="C4096" s="21" t="s">
        <v>781</v>
      </c>
      <c r="D4096" s="21" t="s">
        <v>781</v>
      </c>
      <c r="E4096" s="22"/>
      <c r="F4096" s="22"/>
      <c r="G4096" s="23">
        <v>2626.9</v>
      </c>
      <c r="H4096" s="31" t="s">
        <v>2285</v>
      </c>
      <c r="J4096" s="34"/>
    </row>
    <row r="4097" spans="1:10" x14ac:dyDescent="0.25">
      <c r="A4097" s="15" t="s">
        <v>781</v>
      </c>
      <c r="B4097" s="16" t="s">
        <v>781</v>
      </c>
      <c r="C4097" t="s">
        <v>781</v>
      </c>
      <c r="D4097" t="s">
        <v>781</v>
      </c>
      <c r="E4097" s="17"/>
      <c r="F4097" s="17"/>
      <c r="G4097" s="18"/>
      <c r="H4097" s="30" t="s">
        <v>2285</v>
      </c>
      <c r="J4097" s="34"/>
    </row>
    <row r="4098" spans="1:10" x14ac:dyDescent="0.25">
      <c r="A4098" s="12" t="s">
        <v>781</v>
      </c>
      <c r="B4098" s="11" t="s">
        <v>1898</v>
      </c>
      <c r="C4098" s="10" t="s">
        <v>781</v>
      </c>
      <c r="D4098" s="10" t="s">
        <v>781</v>
      </c>
      <c r="E4098" s="13"/>
      <c r="F4098" s="13"/>
      <c r="G4098" s="14"/>
      <c r="H4098" s="29" t="s">
        <v>2285</v>
      </c>
      <c r="J4098" s="34"/>
    </row>
    <row r="4099" spans="1:10" x14ac:dyDescent="0.25">
      <c r="A4099" s="15">
        <v>40924</v>
      </c>
      <c r="B4099" s="16" t="s">
        <v>865</v>
      </c>
      <c r="C4099" t="s">
        <v>8</v>
      </c>
      <c r="D4099" t="s">
        <v>48</v>
      </c>
      <c r="E4099" s="17">
        <v>3</v>
      </c>
      <c r="F4099" s="17">
        <v>35.35</v>
      </c>
      <c r="G4099" s="18">
        <v>106.05</v>
      </c>
      <c r="H4099" s="30" t="s">
        <v>2331</v>
      </c>
      <c r="J4099" s="34"/>
    </row>
    <row r="4100" spans="1:10" x14ac:dyDescent="0.25">
      <c r="A4100" s="15">
        <v>40924</v>
      </c>
      <c r="B4100" s="16" t="s">
        <v>865</v>
      </c>
      <c r="C4100" t="s">
        <v>8</v>
      </c>
      <c r="D4100" t="s">
        <v>48</v>
      </c>
      <c r="E4100" s="17">
        <v>3</v>
      </c>
      <c r="F4100" s="17">
        <v>35.35</v>
      </c>
      <c r="G4100" s="18">
        <v>106.05</v>
      </c>
      <c r="H4100" s="30" t="s">
        <v>2331</v>
      </c>
      <c r="J4100" s="34"/>
    </row>
    <row r="4101" spans="1:10" x14ac:dyDescent="0.25">
      <c r="A4101" s="15">
        <v>40924</v>
      </c>
      <c r="B4101" s="16" t="s">
        <v>921</v>
      </c>
      <c r="C4101" t="s">
        <v>8</v>
      </c>
      <c r="D4101" t="s">
        <v>48</v>
      </c>
      <c r="E4101" s="17">
        <v>3</v>
      </c>
      <c r="F4101" s="17">
        <v>44.2</v>
      </c>
      <c r="G4101" s="18">
        <v>132.6</v>
      </c>
      <c r="H4101" s="30" t="s">
        <v>2331</v>
      </c>
      <c r="J4101" s="34"/>
    </row>
    <row r="4102" spans="1:10" x14ac:dyDescent="0.25">
      <c r="A4102" s="15">
        <v>40924</v>
      </c>
      <c r="B4102" s="16" t="s">
        <v>865</v>
      </c>
      <c r="C4102" t="s">
        <v>8</v>
      </c>
      <c r="D4102" t="s">
        <v>48</v>
      </c>
      <c r="E4102" s="17">
        <v>3</v>
      </c>
      <c r="F4102" s="17">
        <v>35.35</v>
      </c>
      <c r="G4102" s="18">
        <v>106.05</v>
      </c>
      <c r="H4102" s="30" t="s">
        <v>2331</v>
      </c>
      <c r="J4102" s="34"/>
    </row>
    <row r="4103" spans="1:10" x14ac:dyDescent="0.25">
      <c r="A4103" s="15">
        <v>40941</v>
      </c>
      <c r="B4103" s="16" t="s">
        <v>865</v>
      </c>
      <c r="C4103" t="s">
        <v>8</v>
      </c>
      <c r="D4103" t="s">
        <v>48</v>
      </c>
      <c r="E4103" s="17">
        <v>3</v>
      </c>
      <c r="F4103" s="17">
        <v>35.35</v>
      </c>
      <c r="G4103" s="18">
        <v>106.05</v>
      </c>
      <c r="H4103" s="30" t="s">
        <v>2331</v>
      </c>
      <c r="J4103" s="34"/>
    </row>
    <row r="4104" spans="1:10" x14ac:dyDescent="0.25">
      <c r="A4104" s="15">
        <v>40941</v>
      </c>
      <c r="B4104" s="16" t="s">
        <v>865</v>
      </c>
      <c r="C4104" t="s">
        <v>8</v>
      </c>
      <c r="D4104" t="s">
        <v>48</v>
      </c>
      <c r="E4104" s="17">
        <v>3</v>
      </c>
      <c r="F4104" s="17">
        <v>35.35</v>
      </c>
      <c r="G4104" s="18">
        <v>106.05</v>
      </c>
      <c r="H4104" s="30" t="s">
        <v>2331</v>
      </c>
      <c r="J4104" s="34"/>
    </row>
    <row r="4105" spans="1:10" x14ac:dyDescent="0.25">
      <c r="A4105" s="15">
        <v>40941</v>
      </c>
      <c r="B4105" s="16" t="s">
        <v>865</v>
      </c>
      <c r="C4105" t="s">
        <v>8</v>
      </c>
      <c r="D4105" t="s">
        <v>48</v>
      </c>
      <c r="E4105" s="17">
        <v>3</v>
      </c>
      <c r="F4105" s="17">
        <v>35.35</v>
      </c>
      <c r="G4105" s="18">
        <v>106.05</v>
      </c>
      <c r="H4105" s="30" t="s">
        <v>2331</v>
      </c>
      <c r="J4105" s="34"/>
    </row>
    <row r="4106" spans="1:10" x14ac:dyDescent="0.25">
      <c r="A4106" s="15">
        <v>40942</v>
      </c>
      <c r="B4106" s="16" t="s">
        <v>865</v>
      </c>
      <c r="C4106" t="s">
        <v>8</v>
      </c>
      <c r="D4106" t="s">
        <v>48</v>
      </c>
      <c r="E4106" s="17">
        <v>6.5</v>
      </c>
      <c r="F4106" s="17">
        <v>35.35</v>
      </c>
      <c r="G4106" s="18">
        <v>229.77500000000001</v>
      </c>
      <c r="H4106" s="30" t="s">
        <v>2331</v>
      </c>
      <c r="J4106" s="34"/>
    </row>
    <row r="4107" spans="1:10" x14ac:dyDescent="0.25">
      <c r="A4107" s="15">
        <v>40942</v>
      </c>
      <c r="B4107" s="16" t="s">
        <v>865</v>
      </c>
      <c r="C4107" t="s">
        <v>8</v>
      </c>
      <c r="D4107" t="s">
        <v>48</v>
      </c>
      <c r="E4107" s="17">
        <v>6.5</v>
      </c>
      <c r="F4107" s="17">
        <v>35.35</v>
      </c>
      <c r="G4107" s="18">
        <v>229.77500000000001</v>
      </c>
      <c r="H4107" s="30" t="s">
        <v>2331</v>
      </c>
      <c r="J4107" s="34"/>
    </row>
    <row r="4108" spans="1:10" x14ac:dyDescent="0.25">
      <c r="A4108" s="15">
        <v>40963</v>
      </c>
      <c r="B4108" s="16" t="s">
        <v>865</v>
      </c>
      <c r="C4108" t="s">
        <v>8</v>
      </c>
      <c r="D4108" t="s">
        <v>48</v>
      </c>
      <c r="E4108" s="17">
        <v>4.5</v>
      </c>
      <c r="F4108" s="17">
        <v>35.35</v>
      </c>
      <c r="G4108" s="18">
        <v>159.07499999999999</v>
      </c>
      <c r="H4108" s="30" t="s">
        <v>2331</v>
      </c>
      <c r="J4108" s="34"/>
    </row>
    <row r="4109" spans="1:10" x14ac:dyDescent="0.25">
      <c r="A4109" s="15">
        <v>40963</v>
      </c>
      <c r="B4109" s="16" t="s">
        <v>865</v>
      </c>
      <c r="C4109" t="s">
        <v>8</v>
      </c>
      <c r="D4109" t="s">
        <v>48</v>
      </c>
      <c r="E4109" s="17">
        <v>4.5</v>
      </c>
      <c r="F4109" s="17">
        <v>35.35</v>
      </c>
      <c r="G4109" s="18">
        <v>159.07499999999999</v>
      </c>
      <c r="H4109" s="30" t="s">
        <v>2331</v>
      </c>
      <c r="J4109" s="34"/>
    </row>
    <row r="4110" spans="1:10" x14ac:dyDescent="0.25">
      <c r="A4110" s="15">
        <v>40963</v>
      </c>
      <c r="B4110" s="16" t="s">
        <v>865</v>
      </c>
      <c r="C4110" t="s">
        <v>8</v>
      </c>
      <c r="D4110" t="s">
        <v>48</v>
      </c>
      <c r="E4110" s="17">
        <v>4.5</v>
      </c>
      <c r="F4110" s="17">
        <v>35.35</v>
      </c>
      <c r="G4110" s="18">
        <v>159.07499999999999</v>
      </c>
      <c r="H4110" s="30" t="s">
        <v>2331</v>
      </c>
      <c r="J4110" s="34"/>
    </row>
    <row r="4111" spans="1:10" x14ac:dyDescent="0.25">
      <c r="A4111" s="15">
        <v>40975</v>
      </c>
      <c r="B4111" s="16" t="s">
        <v>865</v>
      </c>
      <c r="C4111" t="s">
        <v>8</v>
      </c>
      <c r="D4111" t="s">
        <v>48</v>
      </c>
      <c r="E4111" s="17">
        <v>4.5</v>
      </c>
      <c r="F4111" s="17">
        <v>35.35</v>
      </c>
      <c r="G4111" s="18">
        <v>159.07499999999999</v>
      </c>
      <c r="H4111" s="30" t="s">
        <v>2331</v>
      </c>
      <c r="J4111" s="34"/>
    </row>
    <row r="4112" spans="1:10" x14ac:dyDescent="0.25">
      <c r="A4112" s="15">
        <v>40975</v>
      </c>
      <c r="B4112" s="16" t="s">
        <v>865</v>
      </c>
      <c r="C4112" t="s">
        <v>8</v>
      </c>
      <c r="D4112" t="s">
        <v>48</v>
      </c>
      <c r="E4112" s="17">
        <v>4.5</v>
      </c>
      <c r="F4112" s="17">
        <v>35.35</v>
      </c>
      <c r="G4112" s="18">
        <v>159.07499999999999</v>
      </c>
      <c r="H4112" s="30" t="s">
        <v>2331</v>
      </c>
      <c r="J4112" s="34"/>
    </row>
    <row r="4113" spans="1:10" x14ac:dyDescent="0.25">
      <c r="A4113" s="15">
        <v>40982</v>
      </c>
      <c r="B4113" s="16" t="s">
        <v>865</v>
      </c>
      <c r="C4113" t="s">
        <v>8</v>
      </c>
      <c r="D4113" t="s">
        <v>48</v>
      </c>
      <c r="E4113" s="17">
        <v>4</v>
      </c>
      <c r="F4113" s="17">
        <v>35.35</v>
      </c>
      <c r="G4113" s="18">
        <v>141.4</v>
      </c>
      <c r="H4113" s="30" t="s">
        <v>2331</v>
      </c>
      <c r="J4113" s="34"/>
    </row>
    <row r="4114" spans="1:10" x14ac:dyDescent="0.25">
      <c r="A4114" s="15">
        <v>40982</v>
      </c>
      <c r="B4114" s="16" t="s">
        <v>865</v>
      </c>
      <c r="C4114" t="s">
        <v>8</v>
      </c>
      <c r="D4114" t="s">
        <v>48</v>
      </c>
      <c r="E4114" s="17">
        <v>4</v>
      </c>
      <c r="F4114" s="17">
        <v>35.35</v>
      </c>
      <c r="G4114" s="18">
        <v>141.4</v>
      </c>
      <c r="H4114" s="30" t="s">
        <v>2331</v>
      </c>
      <c r="J4114" s="34"/>
    </row>
    <row r="4115" spans="1:10" x14ac:dyDescent="0.25">
      <c r="A4115" s="15">
        <v>40982</v>
      </c>
      <c r="B4115" s="16" t="s">
        <v>865</v>
      </c>
      <c r="C4115" t="s">
        <v>8</v>
      </c>
      <c r="D4115" t="s">
        <v>48</v>
      </c>
      <c r="E4115" s="17">
        <v>4</v>
      </c>
      <c r="F4115" s="17">
        <v>35.35</v>
      </c>
      <c r="G4115" s="18">
        <v>141.4</v>
      </c>
      <c r="H4115" s="30" t="s">
        <v>2331</v>
      </c>
      <c r="J4115" s="34"/>
    </row>
    <row r="4116" spans="1:10" x14ac:dyDescent="0.25">
      <c r="A4116" s="15">
        <v>40983</v>
      </c>
      <c r="B4116" s="16" t="s">
        <v>865</v>
      </c>
      <c r="C4116" t="s">
        <v>8</v>
      </c>
      <c r="D4116" t="s">
        <v>48</v>
      </c>
      <c r="E4116" s="17">
        <v>7</v>
      </c>
      <c r="F4116" s="17">
        <v>35.35</v>
      </c>
      <c r="G4116" s="18">
        <v>247.45</v>
      </c>
      <c r="H4116" s="30" t="s">
        <v>2331</v>
      </c>
      <c r="J4116" s="34"/>
    </row>
    <row r="4117" spans="1:10" x14ac:dyDescent="0.25">
      <c r="A4117" s="15">
        <v>40983</v>
      </c>
      <c r="B4117" s="16" t="s">
        <v>865</v>
      </c>
      <c r="C4117" t="s">
        <v>8</v>
      </c>
      <c r="D4117" t="s">
        <v>48</v>
      </c>
      <c r="E4117" s="17">
        <v>7</v>
      </c>
      <c r="F4117" s="17">
        <v>35.35</v>
      </c>
      <c r="G4117" s="18">
        <v>247.45</v>
      </c>
      <c r="H4117" s="30" t="s">
        <v>2331</v>
      </c>
      <c r="J4117" s="34"/>
    </row>
    <row r="4118" spans="1:10" x14ac:dyDescent="0.25">
      <c r="A4118" s="15">
        <v>40983</v>
      </c>
      <c r="B4118" s="16" t="s">
        <v>865</v>
      </c>
      <c r="C4118" t="s">
        <v>8</v>
      </c>
      <c r="D4118" t="s">
        <v>48</v>
      </c>
      <c r="E4118" s="17">
        <v>7</v>
      </c>
      <c r="F4118" s="17">
        <v>35.35</v>
      </c>
      <c r="G4118" s="18">
        <v>247.45</v>
      </c>
      <c r="H4118" s="30" t="s">
        <v>2331</v>
      </c>
      <c r="J4118" s="34"/>
    </row>
    <row r="4119" spans="1:10" x14ac:dyDescent="0.25">
      <c r="A4119" s="15">
        <v>40984</v>
      </c>
      <c r="B4119" s="16" t="s">
        <v>865</v>
      </c>
      <c r="C4119" t="s">
        <v>8</v>
      </c>
      <c r="D4119" t="s">
        <v>48</v>
      </c>
      <c r="E4119" s="17">
        <v>5</v>
      </c>
      <c r="F4119" s="17">
        <v>35.35</v>
      </c>
      <c r="G4119" s="18">
        <v>176.75</v>
      </c>
      <c r="H4119" s="30" t="s">
        <v>2331</v>
      </c>
      <c r="J4119" s="34"/>
    </row>
    <row r="4120" spans="1:10" x14ac:dyDescent="0.25">
      <c r="A4120" s="15">
        <v>40984</v>
      </c>
      <c r="B4120" s="16" t="s">
        <v>865</v>
      </c>
      <c r="C4120" t="s">
        <v>8</v>
      </c>
      <c r="D4120" t="s">
        <v>48</v>
      </c>
      <c r="E4120" s="17">
        <v>5</v>
      </c>
      <c r="F4120" s="17">
        <v>35.35</v>
      </c>
      <c r="G4120" s="18">
        <v>176.75</v>
      </c>
      <c r="H4120" s="30" t="s">
        <v>2331</v>
      </c>
      <c r="J4120" s="34"/>
    </row>
    <row r="4121" spans="1:10" x14ac:dyDescent="0.25">
      <c r="A4121" s="15">
        <v>40984</v>
      </c>
      <c r="B4121" s="16" t="s">
        <v>865</v>
      </c>
      <c r="C4121" t="s">
        <v>8</v>
      </c>
      <c r="D4121" t="s">
        <v>48</v>
      </c>
      <c r="E4121" s="17">
        <v>5</v>
      </c>
      <c r="F4121" s="17">
        <v>35.35</v>
      </c>
      <c r="G4121" s="18">
        <v>176.75</v>
      </c>
      <c r="H4121" s="30" t="s">
        <v>2331</v>
      </c>
      <c r="J4121" s="34"/>
    </row>
    <row r="4122" spans="1:10" x14ac:dyDescent="0.25">
      <c r="A4122" s="15">
        <v>40987</v>
      </c>
      <c r="B4122" s="16" t="s">
        <v>865</v>
      </c>
      <c r="C4122" t="s">
        <v>8</v>
      </c>
      <c r="D4122" t="s">
        <v>48</v>
      </c>
      <c r="E4122" s="17">
        <v>7</v>
      </c>
      <c r="F4122" s="17">
        <v>35.35</v>
      </c>
      <c r="G4122" s="18">
        <v>247.45</v>
      </c>
      <c r="H4122" s="30" t="s">
        <v>2331</v>
      </c>
      <c r="J4122" s="34"/>
    </row>
    <row r="4123" spans="1:10" x14ac:dyDescent="0.25">
      <c r="A4123" s="15">
        <v>40987</v>
      </c>
      <c r="B4123" s="16" t="s">
        <v>865</v>
      </c>
      <c r="C4123" t="s">
        <v>8</v>
      </c>
      <c r="D4123" t="s">
        <v>48</v>
      </c>
      <c r="E4123" s="17">
        <v>7</v>
      </c>
      <c r="F4123" s="17">
        <v>35.35</v>
      </c>
      <c r="G4123" s="18">
        <v>247.45</v>
      </c>
      <c r="H4123" s="30" t="s">
        <v>2331</v>
      </c>
      <c r="J4123" s="34"/>
    </row>
    <row r="4124" spans="1:10" x14ac:dyDescent="0.25">
      <c r="A4124" s="15">
        <v>40987</v>
      </c>
      <c r="B4124" s="16" t="s">
        <v>865</v>
      </c>
      <c r="C4124" t="s">
        <v>8</v>
      </c>
      <c r="D4124" t="s">
        <v>48</v>
      </c>
      <c r="E4124" s="17">
        <v>7</v>
      </c>
      <c r="F4124" s="17">
        <v>35.35</v>
      </c>
      <c r="G4124" s="18">
        <v>247.45</v>
      </c>
      <c r="H4124" s="30" t="s">
        <v>2331</v>
      </c>
      <c r="J4124" s="34"/>
    </row>
    <row r="4125" spans="1:10" x14ac:dyDescent="0.25">
      <c r="A4125" s="15">
        <v>40988</v>
      </c>
      <c r="B4125" s="16" t="s">
        <v>865</v>
      </c>
      <c r="C4125" t="s">
        <v>8</v>
      </c>
      <c r="D4125" t="s">
        <v>48</v>
      </c>
      <c r="E4125" s="17">
        <v>7</v>
      </c>
      <c r="F4125" s="17">
        <v>35.35</v>
      </c>
      <c r="G4125" s="18">
        <v>247.45</v>
      </c>
      <c r="H4125" s="30" t="s">
        <v>2331</v>
      </c>
      <c r="J4125" s="34"/>
    </row>
    <row r="4126" spans="1:10" x14ac:dyDescent="0.25">
      <c r="A4126" s="15">
        <v>40988</v>
      </c>
      <c r="B4126" s="16" t="s">
        <v>865</v>
      </c>
      <c r="C4126" t="s">
        <v>8</v>
      </c>
      <c r="D4126" t="s">
        <v>48</v>
      </c>
      <c r="E4126" s="17">
        <v>7</v>
      </c>
      <c r="F4126" s="17">
        <v>35.35</v>
      </c>
      <c r="G4126" s="18">
        <v>247.45</v>
      </c>
      <c r="H4126" s="30" t="s">
        <v>2331</v>
      </c>
      <c r="J4126" s="34"/>
    </row>
    <row r="4127" spans="1:10" x14ac:dyDescent="0.25">
      <c r="A4127" s="15">
        <v>40988</v>
      </c>
      <c r="B4127" s="16" t="s">
        <v>865</v>
      </c>
      <c r="C4127" t="s">
        <v>8</v>
      </c>
      <c r="D4127" t="s">
        <v>48</v>
      </c>
      <c r="E4127" s="17">
        <v>8</v>
      </c>
      <c r="F4127" s="17">
        <v>35.35</v>
      </c>
      <c r="G4127" s="18">
        <v>282.8</v>
      </c>
      <c r="H4127" s="30" t="s">
        <v>2331</v>
      </c>
      <c r="J4127" s="34"/>
    </row>
    <row r="4128" spans="1:10" x14ac:dyDescent="0.25">
      <c r="A4128" s="15">
        <v>40989</v>
      </c>
      <c r="B4128" s="16" t="s">
        <v>865</v>
      </c>
      <c r="C4128" t="s">
        <v>8</v>
      </c>
      <c r="D4128" t="s">
        <v>48</v>
      </c>
      <c r="E4128" s="17">
        <v>4.5</v>
      </c>
      <c r="F4128" s="17">
        <v>35.35</v>
      </c>
      <c r="G4128" s="18">
        <v>159.07499999999999</v>
      </c>
      <c r="H4128" s="30" t="s">
        <v>2331</v>
      </c>
      <c r="J4128" s="34"/>
    </row>
    <row r="4129" spans="1:10" x14ac:dyDescent="0.25">
      <c r="A4129" s="15">
        <v>40989</v>
      </c>
      <c r="B4129" s="16" t="s">
        <v>865</v>
      </c>
      <c r="C4129" t="s">
        <v>8</v>
      </c>
      <c r="D4129" t="s">
        <v>48</v>
      </c>
      <c r="E4129" s="17">
        <v>4.5</v>
      </c>
      <c r="F4129" s="17">
        <v>35.35</v>
      </c>
      <c r="G4129" s="18">
        <v>159.07499999999999</v>
      </c>
      <c r="H4129" s="30" t="s">
        <v>2331</v>
      </c>
      <c r="J4129" s="34"/>
    </row>
    <row r="4130" spans="1:10" x14ac:dyDescent="0.25">
      <c r="A4130" s="15">
        <v>40989</v>
      </c>
      <c r="B4130" s="16" t="s">
        <v>865</v>
      </c>
      <c r="C4130" t="s">
        <v>8</v>
      </c>
      <c r="D4130" t="s">
        <v>48</v>
      </c>
      <c r="E4130" s="17">
        <v>8</v>
      </c>
      <c r="F4130" s="17">
        <v>35.35</v>
      </c>
      <c r="G4130" s="18">
        <v>282.8</v>
      </c>
      <c r="H4130" s="30" t="s">
        <v>2331</v>
      </c>
      <c r="J4130" s="34"/>
    </row>
    <row r="4131" spans="1:10" x14ac:dyDescent="0.25">
      <c r="A4131" s="15">
        <v>40990</v>
      </c>
      <c r="B4131" s="16" t="s">
        <v>865</v>
      </c>
      <c r="C4131" t="s">
        <v>8</v>
      </c>
      <c r="D4131" t="s">
        <v>48</v>
      </c>
      <c r="E4131" s="17">
        <v>5</v>
      </c>
      <c r="F4131" s="17">
        <v>35.35</v>
      </c>
      <c r="G4131" s="18">
        <v>176.75</v>
      </c>
      <c r="H4131" s="30" t="s">
        <v>2331</v>
      </c>
      <c r="J4131" s="34"/>
    </row>
    <row r="4132" spans="1:10" x14ac:dyDescent="0.25">
      <c r="A4132" s="15">
        <v>40990</v>
      </c>
      <c r="B4132" s="16" t="s">
        <v>865</v>
      </c>
      <c r="C4132" t="s">
        <v>8</v>
      </c>
      <c r="D4132" t="s">
        <v>48</v>
      </c>
      <c r="E4132" s="17">
        <v>5</v>
      </c>
      <c r="F4132" s="17">
        <v>35.35</v>
      </c>
      <c r="G4132" s="18">
        <v>176.75</v>
      </c>
      <c r="H4132" s="30" t="s">
        <v>2331</v>
      </c>
      <c r="J4132" s="34"/>
    </row>
    <row r="4133" spans="1:10" x14ac:dyDescent="0.25">
      <c r="A4133" s="15">
        <v>40990</v>
      </c>
      <c r="B4133" s="16" t="s">
        <v>865</v>
      </c>
      <c r="C4133" t="s">
        <v>8</v>
      </c>
      <c r="D4133" t="s">
        <v>48</v>
      </c>
      <c r="E4133" s="17">
        <v>5</v>
      </c>
      <c r="F4133" s="17">
        <v>35.35</v>
      </c>
      <c r="G4133" s="18">
        <v>176.75</v>
      </c>
      <c r="H4133" s="30" t="s">
        <v>2331</v>
      </c>
      <c r="J4133" s="34"/>
    </row>
    <row r="4134" spans="1:10" x14ac:dyDescent="0.25">
      <c r="A4134" s="15">
        <v>40994</v>
      </c>
      <c r="B4134" s="16" t="s">
        <v>865</v>
      </c>
      <c r="C4134" t="s">
        <v>8</v>
      </c>
      <c r="D4134" t="s">
        <v>48</v>
      </c>
      <c r="E4134" s="17">
        <v>5.5</v>
      </c>
      <c r="F4134" s="17">
        <v>35.35</v>
      </c>
      <c r="G4134" s="18">
        <v>194.42500000000001</v>
      </c>
      <c r="H4134" s="30" t="s">
        <v>2331</v>
      </c>
      <c r="J4134" s="34"/>
    </row>
    <row r="4135" spans="1:10" x14ac:dyDescent="0.25">
      <c r="A4135" s="15">
        <v>40994</v>
      </c>
      <c r="B4135" s="16" t="s">
        <v>865</v>
      </c>
      <c r="C4135" t="s">
        <v>8</v>
      </c>
      <c r="D4135" t="s">
        <v>48</v>
      </c>
      <c r="E4135" s="17">
        <v>5.5</v>
      </c>
      <c r="F4135" s="17">
        <v>35.35</v>
      </c>
      <c r="G4135" s="18">
        <v>194.42500000000001</v>
      </c>
      <c r="H4135" s="30" t="s">
        <v>2331</v>
      </c>
      <c r="J4135" s="34"/>
    </row>
    <row r="4136" spans="1:10" x14ac:dyDescent="0.25">
      <c r="A4136" s="15">
        <v>40994</v>
      </c>
      <c r="B4136" s="16" t="s">
        <v>865</v>
      </c>
      <c r="C4136" t="s">
        <v>8</v>
      </c>
      <c r="D4136" t="s">
        <v>48</v>
      </c>
      <c r="E4136" s="17">
        <v>5.5</v>
      </c>
      <c r="F4136" s="17">
        <v>35.35</v>
      </c>
      <c r="G4136" s="18">
        <v>194.42500000000001</v>
      </c>
      <c r="H4136" s="30" t="s">
        <v>2331</v>
      </c>
      <c r="J4136" s="34"/>
    </row>
    <row r="4137" spans="1:10" x14ac:dyDescent="0.25">
      <c r="A4137" s="15">
        <v>41054</v>
      </c>
      <c r="B4137" s="16" t="s">
        <v>865</v>
      </c>
      <c r="C4137" t="s">
        <v>8</v>
      </c>
      <c r="D4137" t="s">
        <v>48</v>
      </c>
      <c r="E4137" s="17">
        <v>4</v>
      </c>
      <c r="F4137" s="17">
        <v>35.35</v>
      </c>
      <c r="G4137" s="18">
        <v>141.4</v>
      </c>
      <c r="H4137" s="30" t="s">
        <v>2331</v>
      </c>
      <c r="J4137" s="34"/>
    </row>
    <row r="4138" spans="1:10" x14ac:dyDescent="0.25">
      <c r="A4138" s="15">
        <v>41054</v>
      </c>
      <c r="B4138" s="16" t="s">
        <v>865</v>
      </c>
      <c r="C4138" t="s">
        <v>8</v>
      </c>
      <c r="D4138" t="s">
        <v>48</v>
      </c>
      <c r="E4138" s="17">
        <v>4</v>
      </c>
      <c r="F4138" s="17">
        <v>35.35</v>
      </c>
      <c r="G4138" s="18">
        <v>141.4</v>
      </c>
      <c r="H4138" s="30" t="s">
        <v>2331</v>
      </c>
      <c r="J4138" s="34"/>
    </row>
    <row r="4139" spans="1:10" x14ac:dyDescent="0.25">
      <c r="A4139" s="15">
        <v>41054</v>
      </c>
      <c r="B4139" s="16" t="s">
        <v>865</v>
      </c>
      <c r="C4139" t="s">
        <v>8</v>
      </c>
      <c r="D4139" t="s">
        <v>48</v>
      </c>
      <c r="E4139" s="17">
        <v>4</v>
      </c>
      <c r="F4139" s="17">
        <v>48</v>
      </c>
      <c r="G4139" s="18">
        <v>192</v>
      </c>
      <c r="H4139" s="30" t="s">
        <v>2331</v>
      </c>
      <c r="J4139" s="34"/>
    </row>
    <row r="4140" spans="1:10" x14ac:dyDescent="0.25">
      <c r="A4140" s="15">
        <v>41054</v>
      </c>
      <c r="B4140" s="16" t="s">
        <v>865</v>
      </c>
      <c r="C4140" t="s">
        <v>8</v>
      </c>
      <c r="D4140" t="s">
        <v>48</v>
      </c>
      <c r="E4140" s="17">
        <v>4</v>
      </c>
      <c r="F4140" s="17">
        <v>35.35</v>
      </c>
      <c r="G4140" s="18">
        <v>141.4</v>
      </c>
      <c r="H4140" s="30" t="s">
        <v>2331</v>
      </c>
      <c r="J4140" s="34"/>
    </row>
    <row r="4141" spans="1:10" x14ac:dyDescent="0.25">
      <c r="A4141" s="15">
        <v>41054</v>
      </c>
      <c r="B4141" s="16" t="s">
        <v>865</v>
      </c>
      <c r="C4141" t="s">
        <v>8</v>
      </c>
      <c r="D4141" t="s">
        <v>48</v>
      </c>
      <c r="E4141" s="17">
        <v>4</v>
      </c>
      <c r="F4141" s="17">
        <v>35.35</v>
      </c>
      <c r="G4141" s="18">
        <v>141.4</v>
      </c>
      <c r="H4141" s="30" t="s">
        <v>2331</v>
      </c>
      <c r="J4141" s="34"/>
    </row>
    <row r="4142" spans="1:10" x14ac:dyDescent="0.25">
      <c r="A4142" s="15">
        <v>41060</v>
      </c>
      <c r="B4142" s="16" t="s">
        <v>865</v>
      </c>
      <c r="C4142" t="s">
        <v>8</v>
      </c>
      <c r="D4142" t="s">
        <v>48</v>
      </c>
      <c r="E4142" s="17">
        <v>4</v>
      </c>
      <c r="F4142" s="17">
        <v>35.35</v>
      </c>
      <c r="G4142" s="18">
        <v>141.4</v>
      </c>
      <c r="H4142" s="30" t="s">
        <v>2331</v>
      </c>
      <c r="J4142" s="34"/>
    </row>
    <row r="4143" spans="1:10" x14ac:dyDescent="0.25">
      <c r="A4143" s="15">
        <v>41060</v>
      </c>
      <c r="B4143" s="16" t="s">
        <v>865</v>
      </c>
      <c r="C4143" t="s">
        <v>8</v>
      </c>
      <c r="D4143" t="s">
        <v>48</v>
      </c>
      <c r="E4143" s="17">
        <v>4</v>
      </c>
      <c r="F4143" s="17">
        <v>35.35</v>
      </c>
      <c r="G4143" s="18">
        <v>141.4</v>
      </c>
      <c r="H4143" s="30" t="s">
        <v>2331</v>
      </c>
      <c r="J4143" s="34"/>
    </row>
    <row r="4144" spans="1:10" x14ac:dyDescent="0.25">
      <c r="A4144" s="15">
        <v>41060</v>
      </c>
      <c r="B4144" s="16" t="s">
        <v>865</v>
      </c>
      <c r="C4144" t="s">
        <v>8</v>
      </c>
      <c r="D4144" t="s">
        <v>48</v>
      </c>
      <c r="E4144" s="17">
        <v>4</v>
      </c>
      <c r="F4144" s="17">
        <v>48</v>
      </c>
      <c r="G4144" s="18">
        <v>192</v>
      </c>
      <c r="H4144" s="30" t="s">
        <v>2331</v>
      </c>
      <c r="J4144" s="34"/>
    </row>
    <row r="4145" spans="1:10" x14ac:dyDescent="0.25">
      <c r="A4145" s="15">
        <v>41060</v>
      </c>
      <c r="B4145" s="16" t="s">
        <v>865</v>
      </c>
      <c r="C4145" t="s">
        <v>8</v>
      </c>
      <c r="D4145" t="s">
        <v>48</v>
      </c>
      <c r="E4145" s="17">
        <v>4</v>
      </c>
      <c r="F4145" s="17">
        <v>35.35</v>
      </c>
      <c r="G4145" s="18">
        <v>141.4</v>
      </c>
      <c r="H4145" s="30" t="s">
        <v>2331</v>
      </c>
      <c r="J4145" s="34"/>
    </row>
    <row r="4146" spans="1:10" x14ac:dyDescent="0.25">
      <c r="A4146" s="15">
        <v>41086</v>
      </c>
      <c r="B4146" s="16" t="s">
        <v>865</v>
      </c>
      <c r="C4146" t="s">
        <v>8</v>
      </c>
      <c r="D4146" t="s">
        <v>48</v>
      </c>
      <c r="E4146" s="17">
        <v>5.5</v>
      </c>
      <c r="F4146" s="17">
        <v>35.35</v>
      </c>
      <c r="G4146" s="18">
        <v>194.42500000000001</v>
      </c>
      <c r="H4146" s="30" t="s">
        <v>2331</v>
      </c>
      <c r="J4146" s="34"/>
    </row>
    <row r="4147" spans="1:10" x14ac:dyDescent="0.25">
      <c r="A4147" s="15">
        <v>41086</v>
      </c>
      <c r="B4147" s="16" t="s">
        <v>865</v>
      </c>
      <c r="C4147" t="s">
        <v>8</v>
      </c>
      <c r="D4147" t="s">
        <v>48</v>
      </c>
      <c r="E4147" s="17">
        <v>5.5</v>
      </c>
      <c r="F4147" s="17">
        <v>48</v>
      </c>
      <c r="G4147" s="18">
        <v>264</v>
      </c>
      <c r="H4147" s="30" t="s">
        <v>2331</v>
      </c>
      <c r="J4147" s="34"/>
    </row>
    <row r="4148" spans="1:10" x14ac:dyDescent="0.25">
      <c r="A4148" s="15">
        <v>41086</v>
      </c>
      <c r="B4148" s="16" t="s">
        <v>865</v>
      </c>
      <c r="C4148" t="s">
        <v>8</v>
      </c>
      <c r="D4148" t="s">
        <v>48</v>
      </c>
      <c r="E4148" s="17">
        <v>5.5</v>
      </c>
      <c r="F4148" s="17">
        <v>35.35</v>
      </c>
      <c r="G4148" s="18">
        <v>194.42500000000001</v>
      </c>
      <c r="H4148" s="30" t="s">
        <v>2331</v>
      </c>
      <c r="J4148" s="34"/>
    </row>
    <row r="4149" spans="1:10" x14ac:dyDescent="0.25">
      <c r="A4149" s="15">
        <v>41087</v>
      </c>
      <c r="B4149" s="16" t="s">
        <v>865</v>
      </c>
      <c r="C4149" t="s">
        <v>8</v>
      </c>
      <c r="D4149" t="s">
        <v>48</v>
      </c>
      <c r="E4149" s="17">
        <v>3</v>
      </c>
      <c r="F4149" s="17">
        <v>35.35</v>
      </c>
      <c r="G4149" s="18">
        <v>106.05</v>
      </c>
      <c r="H4149" s="30" t="s">
        <v>2331</v>
      </c>
      <c r="J4149" s="34"/>
    </row>
    <row r="4150" spans="1:10" x14ac:dyDescent="0.25">
      <c r="A4150" s="15">
        <v>41087</v>
      </c>
      <c r="B4150" s="16" t="s">
        <v>865</v>
      </c>
      <c r="C4150" t="s">
        <v>8</v>
      </c>
      <c r="D4150" t="s">
        <v>48</v>
      </c>
      <c r="E4150" s="17">
        <v>3</v>
      </c>
      <c r="F4150" s="17">
        <v>48</v>
      </c>
      <c r="G4150" s="18">
        <v>144</v>
      </c>
      <c r="H4150" s="30" t="s">
        <v>2331</v>
      </c>
      <c r="J4150" s="34"/>
    </row>
    <row r="4151" spans="1:10" x14ac:dyDescent="0.25">
      <c r="A4151" s="15">
        <v>41087</v>
      </c>
      <c r="B4151" s="16" t="s">
        <v>865</v>
      </c>
      <c r="C4151" t="s">
        <v>8</v>
      </c>
      <c r="D4151" t="s">
        <v>48</v>
      </c>
      <c r="E4151" s="17">
        <v>3</v>
      </c>
      <c r="F4151" s="17">
        <v>35.35</v>
      </c>
      <c r="G4151" s="18">
        <v>106.05</v>
      </c>
      <c r="H4151" s="30" t="s">
        <v>2331</v>
      </c>
      <c r="J4151" s="34"/>
    </row>
    <row r="4152" spans="1:10" x14ac:dyDescent="0.25">
      <c r="A4152" s="15">
        <v>41087</v>
      </c>
      <c r="B4152" s="16" t="s">
        <v>865</v>
      </c>
      <c r="C4152" t="s">
        <v>8</v>
      </c>
      <c r="D4152" t="s">
        <v>48</v>
      </c>
      <c r="E4152" s="17">
        <v>3</v>
      </c>
      <c r="F4152" s="17">
        <v>35.35</v>
      </c>
      <c r="G4152" s="18">
        <v>106.05</v>
      </c>
      <c r="H4152" s="30" t="s">
        <v>2331</v>
      </c>
      <c r="J4152" s="34"/>
    </row>
    <row r="4153" spans="1:10" x14ac:dyDescent="0.25">
      <c r="A4153" s="15">
        <v>41099</v>
      </c>
      <c r="B4153" s="16" t="s">
        <v>865</v>
      </c>
      <c r="C4153" t="s">
        <v>8</v>
      </c>
      <c r="D4153" t="s">
        <v>48</v>
      </c>
      <c r="E4153" s="17">
        <v>2.5</v>
      </c>
      <c r="F4153" s="17">
        <v>48</v>
      </c>
      <c r="G4153" s="18">
        <v>120</v>
      </c>
      <c r="H4153" s="30" t="s">
        <v>2331</v>
      </c>
      <c r="J4153" s="34"/>
    </row>
    <row r="4154" spans="1:10" x14ac:dyDescent="0.25">
      <c r="A4154" s="15">
        <v>41099</v>
      </c>
      <c r="B4154" s="16" t="s">
        <v>865</v>
      </c>
      <c r="C4154" t="s">
        <v>8</v>
      </c>
      <c r="D4154" t="s">
        <v>48</v>
      </c>
      <c r="E4154" s="17">
        <v>2.5</v>
      </c>
      <c r="F4154" s="17">
        <v>35.35</v>
      </c>
      <c r="G4154" s="18">
        <v>88.375</v>
      </c>
      <c r="H4154" s="30" t="s">
        <v>2331</v>
      </c>
      <c r="J4154" s="34"/>
    </row>
    <row r="4155" spans="1:10" x14ac:dyDescent="0.25">
      <c r="A4155" s="15">
        <v>41099</v>
      </c>
      <c r="B4155" s="16" t="s">
        <v>865</v>
      </c>
      <c r="C4155" t="s">
        <v>8</v>
      </c>
      <c r="D4155" t="s">
        <v>48</v>
      </c>
      <c r="E4155" s="17">
        <v>2.5</v>
      </c>
      <c r="F4155" s="17">
        <v>35.35</v>
      </c>
      <c r="G4155" s="18">
        <v>88.375</v>
      </c>
      <c r="H4155" s="30" t="s">
        <v>2331</v>
      </c>
      <c r="J4155" s="34"/>
    </row>
    <row r="4156" spans="1:10" x14ac:dyDescent="0.25">
      <c r="A4156" s="15">
        <v>41099</v>
      </c>
      <c r="B4156" s="16" t="s">
        <v>865</v>
      </c>
      <c r="C4156" t="s">
        <v>8</v>
      </c>
      <c r="D4156" t="s">
        <v>48</v>
      </c>
      <c r="E4156" s="17">
        <v>2.5</v>
      </c>
      <c r="F4156" s="17">
        <v>35.35</v>
      </c>
      <c r="G4156" s="18">
        <v>88.375</v>
      </c>
      <c r="H4156" s="30" t="s">
        <v>2331</v>
      </c>
      <c r="J4156" s="34"/>
    </row>
    <row r="4157" spans="1:10" x14ac:dyDescent="0.25">
      <c r="A4157" s="15">
        <v>41100</v>
      </c>
      <c r="B4157" s="16" t="s">
        <v>865</v>
      </c>
      <c r="C4157" t="s">
        <v>8</v>
      </c>
      <c r="D4157" t="s">
        <v>48</v>
      </c>
      <c r="E4157" s="17">
        <v>7</v>
      </c>
      <c r="F4157" s="17">
        <v>48</v>
      </c>
      <c r="G4157" s="18">
        <v>336</v>
      </c>
      <c r="H4157" s="30" t="s">
        <v>2331</v>
      </c>
      <c r="J4157" s="34"/>
    </row>
    <row r="4158" spans="1:10" x14ac:dyDescent="0.25">
      <c r="A4158" s="15">
        <v>41100</v>
      </c>
      <c r="B4158" s="16" t="s">
        <v>865</v>
      </c>
      <c r="C4158" t="s">
        <v>8</v>
      </c>
      <c r="D4158" t="s">
        <v>48</v>
      </c>
      <c r="E4158" s="17">
        <v>7</v>
      </c>
      <c r="F4158" s="17">
        <v>35.35</v>
      </c>
      <c r="G4158" s="18">
        <v>247.45</v>
      </c>
      <c r="H4158" s="30" t="s">
        <v>2331</v>
      </c>
      <c r="J4158" s="34"/>
    </row>
    <row r="4159" spans="1:10" x14ac:dyDescent="0.25">
      <c r="A4159" s="15">
        <v>41100</v>
      </c>
      <c r="B4159" s="16" t="s">
        <v>865</v>
      </c>
      <c r="C4159" t="s">
        <v>8</v>
      </c>
      <c r="D4159" t="s">
        <v>48</v>
      </c>
      <c r="E4159" s="17">
        <v>7</v>
      </c>
      <c r="F4159" s="17">
        <v>35.35</v>
      </c>
      <c r="G4159" s="18">
        <v>247.45</v>
      </c>
      <c r="H4159" s="30" t="s">
        <v>2331</v>
      </c>
      <c r="J4159" s="34"/>
    </row>
    <row r="4160" spans="1:10" x14ac:dyDescent="0.25">
      <c r="A4160" s="15">
        <v>41101</v>
      </c>
      <c r="B4160" s="16" t="s">
        <v>865</v>
      </c>
      <c r="C4160" t="s">
        <v>8</v>
      </c>
      <c r="D4160" t="s">
        <v>48</v>
      </c>
      <c r="E4160" s="17">
        <v>5.5</v>
      </c>
      <c r="F4160" s="17">
        <v>48</v>
      </c>
      <c r="G4160" s="18">
        <v>264</v>
      </c>
      <c r="H4160" s="30" t="s">
        <v>2331</v>
      </c>
      <c r="J4160" s="34"/>
    </row>
    <row r="4161" spans="1:10" x14ac:dyDescent="0.25">
      <c r="A4161" s="15">
        <v>41101</v>
      </c>
      <c r="B4161" s="16" t="s">
        <v>865</v>
      </c>
      <c r="C4161" t="s">
        <v>8</v>
      </c>
      <c r="D4161" t="s">
        <v>48</v>
      </c>
      <c r="E4161" s="17">
        <v>5.5</v>
      </c>
      <c r="F4161" s="17">
        <v>35.35</v>
      </c>
      <c r="G4161" s="18">
        <v>194.42500000000001</v>
      </c>
      <c r="H4161" s="30" t="s">
        <v>2331</v>
      </c>
      <c r="J4161" s="34"/>
    </row>
    <row r="4162" spans="1:10" x14ac:dyDescent="0.25">
      <c r="A4162" s="15">
        <v>41101</v>
      </c>
      <c r="B4162" s="16" t="s">
        <v>865</v>
      </c>
      <c r="C4162" t="s">
        <v>8</v>
      </c>
      <c r="D4162" t="s">
        <v>48</v>
      </c>
      <c r="E4162" s="17">
        <v>5.5</v>
      </c>
      <c r="F4162" s="17">
        <v>35.35</v>
      </c>
      <c r="G4162" s="18">
        <v>194.42500000000001</v>
      </c>
      <c r="H4162" s="30" t="s">
        <v>2331</v>
      </c>
      <c r="J4162" s="34"/>
    </row>
    <row r="4163" spans="1:10" x14ac:dyDescent="0.25">
      <c r="A4163" s="15">
        <v>41102</v>
      </c>
      <c r="B4163" s="16" t="s">
        <v>865</v>
      </c>
      <c r="C4163" t="s">
        <v>8</v>
      </c>
      <c r="D4163" t="s">
        <v>48</v>
      </c>
      <c r="E4163" s="17">
        <v>7</v>
      </c>
      <c r="F4163" s="17">
        <v>35.35</v>
      </c>
      <c r="G4163" s="18">
        <v>247.45</v>
      </c>
      <c r="H4163" s="30" t="s">
        <v>2331</v>
      </c>
      <c r="J4163" s="34"/>
    </row>
    <row r="4164" spans="1:10" x14ac:dyDescent="0.25">
      <c r="A4164" s="15">
        <v>41102</v>
      </c>
      <c r="B4164" s="16" t="s">
        <v>865</v>
      </c>
      <c r="C4164" t="s">
        <v>8</v>
      </c>
      <c r="D4164" t="s">
        <v>48</v>
      </c>
      <c r="E4164" s="17">
        <v>7</v>
      </c>
      <c r="F4164" s="17">
        <v>48</v>
      </c>
      <c r="G4164" s="18">
        <v>336</v>
      </c>
      <c r="H4164" s="30" t="s">
        <v>2331</v>
      </c>
      <c r="J4164" s="34"/>
    </row>
    <row r="4165" spans="1:10" x14ac:dyDescent="0.25">
      <c r="A4165" s="15">
        <v>41103</v>
      </c>
      <c r="B4165" s="16" t="s">
        <v>865</v>
      </c>
      <c r="C4165" t="s">
        <v>8</v>
      </c>
      <c r="D4165" t="s">
        <v>48</v>
      </c>
      <c r="E4165" s="17">
        <v>3</v>
      </c>
      <c r="F4165" s="17">
        <v>35.35</v>
      </c>
      <c r="G4165" s="18">
        <v>106.05</v>
      </c>
      <c r="H4165" s="30" t="s">
        <v>2331</v>
      </c>
      <c r="J4165" s="34"/>
    </row>
    <row r="4166" spans="1:10" x14ac:dyDescent="0.25">
      <c r="A4166" s="15">
        <v>41103</v>
      </c>
      <c r="B4166" s="16" t="s">
        <v>865</v>
      </c>
      <c r="C4166" t="s">
        <v>8</v>
      </c>
      <c r="D4166" t="s">
        <v>48</v>
      </c>
      <c r="E4166" s="17">
        <v>3</v>
      </c>
      <c r="F4166" s="17">
        <v>48</v>
      </c>
      <c r="G4166" s="18">
        <v>144</v>
      </c>
      <c r="H4166" s="30" t="s">
        <v>2331</v>
      </c>
      <c r="J4166" s="34"/>
    </row>
    <row r="4167" spans="1:10" x14ac:dyDescent="0.25">
      <c r="A4167" s="15">
        <v>41103</v>
      </c>
      <c r="B4167" s="16" t="s">
        <v>865</v>
      </c>
      <c r="C4167" t="s">
        <v>8</v>
      </c>
      <c r="D4167" t="s">
        <v>48</v>
      </c>
      <c r="E4167" s="17">
        <v>3</v>
      </c>
      <c r="F4167" s="17">
        <v>35.35</v>
      </c>
      <c r="G4167" s="18">
        <v>106.05</v>
      </c>
      <c r="H4167" s="30" t="s">
        <v>2331</v>
      </c>
      <c r="J4167" s="34"/>
    </row>
    <row r="4168" spans="1:10" x14ac:dyDescent="0.25">
      <c r="A4168" s="15">
        <v>41107</v>
      </c>
      <c r="B4168" s="16" t="s">
        <v>865</v>
      </c>
      <c r="C4168" t="s">
        <v>8</v>
      </c>
      <c r="D4168" t="s">
        <v>48</v>
      </c>
      <c r="E4168" s="17">
        <v>3</v>
      </c>
      <c r="F4168" s="17">
        <v>35.35</v>
      </c>
      <c r="G4168" s="18">
        <v>106.05</v>
      </c>
      <c r="H4168" s="30" t="s">
        <v>2331</v>
      </c>
      <c r="J4168" s="34"/>
    </row>
    <row r="4169" spans="1:10" x14ac:dyDescent="0.25">
      <c r="A4169" s="15">
        <v>41107</v>
      </c>
      <c r="B4169" s="16" t="s">
        <v>865</v>
      </c>
      <c r="C4169" t="s">
        <v>8</v>
      </c>
      <c r="D4169" t="s">
        <v>48</v>
      </c>
      <c r="E4169" s="17">
        <v>3</v>
      </c>
      <c r="F4169" s="17">
        <v>35.35</v>
      </c>
      <c r="G4169" s="18">
        <v>106.05</v>
      </c>
      <c r="H4169" s="30" t="s">
        <v>2331</v>
      </c>
      <c r="J4169" s="34"/>
    </row>
    <row r="4170" spans="1:10" x14ac:dyDescent="0.25">
      <c r="A4170" s="15">
        <v>41107</v>
      </c>
      <c r="B4170" s="16" t="s">
        <v>865</v>
      </c>
      <c r="C4170" t="s">
        <v>8</v>
      </c>
      <c r="D4170" t="s">
        <v>48</v>
      </c>
      <c r="E4170" s="17">
        <v>3</v>
      </c>
      <c r="F4170" s="17">
        <v>35.35</v>
      </c>
      <c r="G4170" s="18">
        <v>106.05</v>
      </c>
      <c r="H4170" s="30" t="s">
        <v>2331</v>
      </c>
      <c r="J4170" s="34"/>
    </row>
    <row r="4171" spans="1:10" x14ac:dyDescent="0.25">
      <c r="A4171" s="15">
        <v>41107</v>
      </c>
      <c r="B4171" s="16" t="s">
        <v>865</v>
      </c>
      <c r="C4171" t="s">
        <v>8</v>
      </c>
      <c r="D4171" t="s">
        <v>48</v>
      </c>
      <c r="E4171" s="17">
        <v>3</v>
      </c>
      <c r="F4171" s="17">
        <v>48</v>
      </c>
      <c r="G4171" s="18">
        <v>144</v>
      </c>
      <c r="H4171" s="30" t="s">
        <v>2331</v>
      </c>
      <c r="J4171" s="34"/>
    </row>
    <row r="4172" spans="1:10" x14ac:dyDescent="0.25">
      <c r="A4172" s="15">
        <v>41108</v>
      </c>
      <c r="B4172" s="16" t="s">
        <v>865</v>
      </c>
      <c r="C4172" t="s">
        <v>8</v>
      </c>
      <c r="D4172" t="s">
        <v>48</v>
      </c>
      <c r="E4172" s="17">
        <v>4</v>
      </c>
      <c r="F4172" s="17">
        <v>35.35</v>
      </c>
      <c r="G4172" s="18">
        <v>141.4</v>
      </c>
      <c r="H4172" s="30" t="s">
        <v>2331</v>
      </c>
      <c r="J4172" s="34"/>
    </row>
    <row r="4173" spans="1:10" x14ac:dyDescent="0.25">
      <c r="A4173" s="15">
        <v>41108</v>
      </c>
      <c r="B4173" s="16" t="s">
        <v>865</v>
      </c>
      <c r="C4173" t="s">
        <v>8</v>
      </c>
      <c r="D4173" t="s">
        <v>48</v>
      </c>
      <c r="E4173" s="17">
        <v>4</v>
      </c>
      <c r="F4173" s="17">
        <v>35.35</v>
      </c>
      <c r="G4173" s="18">
        <v>141.4</v>
      </c>
      <c r="H4173" s="30" t="s">
        <v>2331</v>
      </c>
      <c r="J4173" s="34"/>
    </row>
    <row r="4174" spans="1:10" x14ac:dyDescent="0.25">
      <c r="A4174" s="15">
        <v>41108</v>
      </c>
      <c r="B4174" s="16" t="s">
        <v>865</v>
      </c>
      <c r="C4174" t="s">
        <v>8</v>
      </c>
      <c r="D4174" t="s">
        <v>48</v>
      </c>
      <c r="E4174" s="17">
        <v>4</v>
      </c>
      <c r="F4174" s="17">
        <v>35.35</v>
      </c>
      <c r="G4174" s="18">
        <v>141.4</v>
      </c>
      <c r="H4174" s="30" t="s">
        <v>2331</v>
      </c>
      <c r="J4174" s="34"/>
    </row>
    <row r="4175" spans="1:10" x14ac:dyDescent="0.25">
      <c r="A4175" s="15">
        <v>41108</v>
      </c>
      <c r="B4175" s="16" t="s">
        <v>865</v>
      </c>
      <c r="C4175" t="s">
        <v>8</v>
      </c>
      <c r="D4175" t="s">
        <v>48</v>
      </c>
      <c r="E4175" s="17">
        <v>4</v>
      </c>
      <c r="F4175" s="17">
        <v>35.35</v>
      </c>
      <c r="G4175" s="18">
        <v>141.4</v>
      </c>
      <c r="H4175" s="30" t="s">
        <v>2331</v>
      </c>
      <c r="J4175" s="34"/>
    </row>
    <row r="4176" spans="1:10" x14ac:dyDescent="0.25">
      <c r="A4176" s="15">
        <v>41108</v>
      </c>
      <c r="B4176" s="16" t="s">
        <v>865</v>
      </c>
      <c r="C4176" t="s">
        <v>8</v>
      </c>
      <c r="D4176" t="s">
        <v>48</v>
      </c>
      <c r="E4176" s="17">
        <v>4</v>
      </c>
      <c r="F4176" s="17">
        <v>48</v>
      </c>
      <c r="G4176" s="18">
        <v>192</v>
      </c>
      <c r="H4176" s="30" t="s">
        <v>2331</v>
      </c>
      <c r="J4176" s="34"/>
    </row>
    <row r="4177" spans="1:10" x14ac:dyDescent="0.25">
      <c r="A4177" s="15">
        <v>41108</v>
      </c>
      <c r="B4177" s="16" t="s">
        <v>865</v>
      </c>
      <c r="C4177" t="s">
        <v>8</v>
      </c>
      <c r="D4177" t="s">
        <v>48</v>
      </c>
      <c r="E4177" s="17">
        <v>4</v>
      </c>
      <c r="F4177" s="17">
        <v>35.35</v>
      </c>
      <c r="G4177" s="18">
        <v>141.4</v>
      </c>
      <c r="H4177" s="30" t="s">
        <v>2331</v>
      </c>
      <c r="J4177" s="34"/>
    </row>
    <row r="4178" spans="1:10" x14ac:dyDescent="0.25">
      <c r="A4178" s="15">
        <v>41108</v>
      </c>
      <c r="B4178" s="16" t="s">
        <v>896</v>
      </c>
      <c r="C4178" t="s">
        <v>8</v>
      </c>
      <c r="D4178" t="s">
        <v>48</v>
      </c>
      <c r="E4178" s="17">
        <v>4</v>
      </c>
      <c r="F4178" s="17">
        <v>34.81</v>
      </c>
      <c r="G4178" s="18">
        <v>139.24</v>
      </c>
      <c r="H4178" s="30" t="s">
        <v>2331</v>
      </c>
      <c r="J4178" s="34"/>
    </row>
    <row r="4179" spans="1:10" x14ac:dyDescent="0.25">
      <c r="A4179" s="19" t="s">
        <v>781</v>
      </c>
      <c r="B4179" s="20" t="s">
        <v>1591</v>
      </c>
      <c r="C4179" s="21" t="s">
        <v>781</v>
      </c>
      <c r="D4179" s="21" t="s">
        <v>781</v>
      </c>
      <c r="E4179" s="22"/>
      <c r="F4179" s="22"/>
      <c r="G4179" s="23">
        <v>13752.764999999999</v>
      </c>
      <c r="H4179" s="31" t="s">
        <v>2285</v>
      </c>
      <c r="J4179" s="34"/>
    </row>
    <row r="4180" spans="1:10" x14ac:dyDescent="0.25">
      <c r="A4180" s="15" t="s">
        <v>781</v>
      </c>
      <c r="B4180" s="16" t="s">
        <v>781</v>
      </c>
      <c r="C4180" t="s">
        <v>781</v>
      </c>
      <c r="D4180" t="s">
        <v>781</v>
      </c>
      <c r="E4180" s="17"/>
      <c r="F4180" s="17"/>
      <c r="G4180" s="18"/>
      <c r="H4180" s="30" t="s">
        <v>2285</v>
      </c>
      <c r="J4180" s="34"/>
    </row>
    <row r="4181" spans="1:10" x14ac:dyDescent="0.25">
      <c r="A4181" s="12" t="s">
        <v>781</v>
      </c>
      <c r="B4181" s="11" t="s">
        <v>1899</v>
      </c>
      <c r="C4181" s="10" t="s">
        <v>781</v>
      </c>
      <c r="D4181" s="10" t="s">
        <v>781</v>
      </c>
      <c r="E4181" s="13"/>
      <c r="F4181" s="13"/>
      <c r="G4181" s="14"/>
      <c r="H4181" s="29" t="s">
        <v>2285</v>
      </c>
      <c r="J4181" s="34"/>
    </row>
    <row r="4182" spans="1:10" x14ac:dyDescent="0.25">
      <c r="A4182" s="15">
        <v>40963</v>
      </c>
      <c r="B4182" s="16" t="s">
        <v>865</v>
      </c>
      <c r="C4182" t="s">
        <v>8</v>
      </c>
      <c r="D4182" t="s">
        <v>48</v>
      </c>
      <c r="E4182" s="17">
        <v>1.5</v>
      </c>
      <c r="F4182" s="17">
        <v>35.35</v>
      </c>
      <c r="G4182" s="18">
        <v>53.024999999999999</v>
      </c>
      <c r="H4182" s="30" t="s">
        <v>2332</v>
      </c>
      <c r="J4182" s="34"/>
    </row>
    <row r="4183" spans="1:10" x14ac:dyDescent="0.25">
      <c r="A4183" s="15">
        <v>40963</v>
      </c>
      <c r="B4183" s="16" t="s">
        <v>865</v>
      </c>
      <c r="C4183" t="s">
        <v>8</v>
      </c>
      <c r="D4183" t="s">
        <v>48</v>
      </c>
      <c r="E4183" s="17">
        <v>1.5</v>
      </c>
      <c r="F4183" s="17">
        <v>35.35</v>
      </c>
      <c r="G4183" s="18">
        <v>53.024999999999999</v>
      </c>
      <c r="H4183" s="30" t="s">
        <v>2332</v>
      </c>
      <c r="J4183" s="34"/>
    </row>
    <row r="4184" spans="1:10" x14ac:dyDescent="0.25">
      <c r="A4184" s="15">
        <v>40963</v>
      </c>
      <c r="B4184" s="16" t="s">
        <v>865</v>
      </c>
      <c r="C4184" t="s">
        <v>8</v>
      </c>
      <c r="D4184" t="s">
        <v>48</v>
      </c>
      <c r="E4184" s="17">
        <v>1.5</v>
      </c>
      <c r="F4184" s="17">
        <v>35.35</v>
      </c>
      <c r="G4184" s="18">
        <v>53.024999999999999</v>
      </c>
      <c r="H4184" s="30" t="s">
        <v>2332</v>
      </c>
      <c r="J4184" s="34"/>
    </row>
    <row r="4185" spans="1:10" x14ac:dyDescent="0.25">
      <c r="A4185" s="15">
        <v>41108</v>
      </c>
      <c r="B4185" s="16" t="s">
        <v>865</v>
      </c>
      <c r="C4185" t="s">
        <v>8</v>
      </c>
      <c r="D4185" t="s">
        <v>48</v>
      </c>
      <c r="E4185" s="17">
        <v>4</v>
      </c>
      <c r="F4185" s="17">
        <v>48</v>
      </c>
      <c r="G4185" s="18">
        <v>192</v>
      </c>
      <c r="H4185" s="30" t="s">
        <v>2332</v>
      </c>
      <c r="J4185" s="34"/>
    </row>
    <row r="4186" spans="1:10" x14ac:dyDescent="0.25">
      <c r="A4186" s="15">
        <v>41108</v>
      </c>
      <c r="B4186" s="16" t="s">
        <v>865</v>
      </c>
      <c r="C4186" t="s">
        <v>8</v>
      </c>
      <c r="D4186" t="s">
        <v>48</v>
      </c>
      <c r="E4186" s="17">
        <v>4</v>
      </c>
      <c r="F4186" s="17">
        <v>35.35</v>
      </c>
      <c r="G4186" s="18">
        <v>141.4</v>
      </c>
      <c r="H4186" s="30" t="s">
        <v>2332</v>
      </c>
      <c r="J4186" s="34"/>
    </row>
    <row r="4187" spans="1:10" x14ac:dyDescent="0.25">
      <c r="A4187" s="15">
        <v>41108</v>
      </c>
      <c r="B4187" s="16" t="s">
        <v>865</v>
      </c>
      <c r="C4187" t="s">
        <v>8</v>
      </c>
      <c r="D4187" t="s">
        <v>48</v>
      </c>
      <c r="E4187" s="17">
        <v>4</v>
      </c>
      <c r="F4187" s="17">
        <v>35.35</v>
      </c>
      <c r="G4187" s="18">
        <v>141.4</v>
      </c>
      <c r="H4187" s="30" t="s">
        <v>2332</v>
      </c>
      <c r="J4187" s="34"/>
    </row>
    <row r="4188" spans="1:10" x14ac:dyDescent="0.25">
      <c r="A4188" s="15">
        <v>41108</v>
      </c>
      <c r="B4188" s="16" t="s">
        <v>865</v>
      </c>
      <c r="C4188" t="s">
        <v>8</v>
      </c>
      <c r="D4188" t="s">
        <v>48</v>
      </c>
      <c r="E4188" s="17">
        <v>4</v>
      </c>
      <c r="F4188" s="17">
        <v>35.35</v>
      </c>
      <c r="G4188" s="18">
        <v>141.4</v>
      </c>
      <c r="H4188" s="30" t="s">
        <v>2332</v>
      </c>
      <c r="J4188" s="34"/>
    </row>
    <row r="4189" spans="1:10" ht="30" x14ac:dyDescent="0.25">
      <c r="A4189" s="15">
        <v>41243</v>
      </c>
      <c r="B4189" s="16" t="s">
        <v>1592</v>
      </c>
      <c r="C4189" t="s">
        <v>8</v>
      </c>
      <c r="D4189" t="s">
        <v>48</v>
      </c>
      <c r="E4189" s="17">
        <v>1.5</v>
      </c>
      <c r="F4189" s="17">
        <v>35.35</v>
      </c>
      <c r="G4189" s="18">
        <v>53.024999999999999</v>
      </c>
      <c r="H4189" s="30" t="s">
        <v>2332</v>
      </c>
      <c r="J4189" s="34"/>
    </row>
    <row r="4190" spans="1:10" x14ac:dyDescent="0.25">
      <c r="A4190" s="15">
        <v>41243</v>
      </c>
      <c r="B4190" s="16" t="s">
        <v>1593</v>
      </c>
      <c r="C4190" t="s">
        <v>1274</v>
      </c>
      <c r="D4190" t="s">
        <v>783</v>
      </c>
      <c r="E4190" s="17">
        <v>1</v>
      </c>
      <c r="F4190" s="17">
        <v>19.09</v>
      </c>
      <c r="G4190" s="18">
        <v>19.09</v>
      </c>
      <c r="H4190" s="30" t="s">
        <v>2332</v>
      </c>
      <c r="J4190" s="34"/>
    </row>
    <row r="4191" spans="1:10" x14ac:dyDescent="0.25">
      <c r="A4191" s="15">
        <v>41243</v>
      </c>
      <c r="B4191" s="16" t="s">
        <v>1594</v>
      </c>
      <c r="C4191" t="s">
        <v>995</v>
      </c>
      <c r="D4191" t="s">
        <v>783</v>
      </c>
      <c r="E4191" s="17">
        <v>1</v>
      </c>
      <c r="F4191" s="17">
        <v>77.63</v>
      </c>
      <c r="G4191" s="18">
        <v>77.63</v>
      </c>
      <c r="H4191" s="30" t="s">
        <v>2332</v>
      </c>
      <c r="J4191" s="34"/>
    </row>
    <row r="4192" spans="1:10" x14ac:dyDescent="0.25">
      <c r="A4192" s="19" t="s">
        <v>781</v>
      </c>
      <c r="B4192" s="20" t="s">
        <v>1595</v>
      </c>
      <c r="C4192" s="21" t="s">
        <v>781</v>
      </c>
      <c r="D4192" s="21" t="s">
        <v>781</v>
      </c>
      <c r="E4192" s="22"/>
      <c r="F4192" s="22"/>
      <c r="G4192" s="23">
        <v>925.02</v>
      </c>
      <c r="H4192" s="31" t="s">
        <v>2285</v>
      </c>
      <c r="J4192" s="34"/>
    </row>
    <row r="4193" spans="1:10" x14ac:dyDescent="0.25">
      <c r="A4193" s="15" t="s">
        <v>781</v>
      </c>
      <c r="B4193" s="16" t="s">
        <v>781</v>
      </c>
      <c r="C4193" t="s">
        <v>781</v>
      </c>
      <c r="D4193" t="s">
        <v>781</v>
      </c>
      <c r="E4193" s="17"/>
      <c r="F4193" s="17"/>
      <c r="G4193" s="18"/>
      <c r="H4193" s="30" t="s">
        <v>2285</v>
      </c>
      <c r="J4193" s="34"/>
    </row>
    <row r="4194" spans="1:10" x14ac:dyDescent="0.25">
      <c r="A4194" s="12" t="s">
        <v>781</v>
      </c>
      <c r="B4194" s="11" t="s">
        <v>1900</v>
      </c>
      <c r="C4194" s="10" t="s">
        <v>781</v>
      </c>
      <c r="D4194" s="10" t="s">
        <v>781</v>
      </c>
      <c r="E4194" s="13"/>
      <c r="F4194" s="13"/>
      <c r="G4194" s="14"/>
      <c r="H4194" s="29" t="s">
        <v>2285</v>
      </c>
      <c r="J4194" s="34"/>
    </row>
    <row r="4195" spans="1:10" x14ac:dyDescent="0.25">
      <c r="A4195" s="15">
        <v>41012</v>
      </c>
      <c r="B4195" s="16" t="s">
        <v>1596</v>
      </c>
      <c r="C4195" t="s">
        <v>1597</v>
      </c>
      <c r="D4195" t="s">
        <v>783</v>
      </c>
      <c r="E4195" s="17">
        <v>1</v>
      </c>
      <c r="F4195" s="17">
        <v>255.8</v>
      </c>
      <c r="G4195" s="18">
        <v>255.8</v>
      </c>
      <c r="H4195" s="30" t="s">
        <v>2333</v>
      </c>
      <c r="J4195" s="34"/>
    </row>
    <row r="4196" spans="1:10" x14ac:dyDescent="0.25">
      <c r="A4196" s="15">
        <v>41080</v>
      </c>
      <c r="B4196" s="16" t="s">
        <v>1598</v>
      </c>
      <c r="C4196" t="s">
        <v>1597</v>
      </c>
      <c r="D4196" t="s">
        <v>783</v>
      </c>
      <c r="E4196" s="17">
        <v>1</v>
      </c>
      <c r="F4196" s="17">
        <v>117.01</v>
      </c>
      <c r="G4196" s="18">
        <v>117.01</v>
      </c>
      <c r="H4196" s="30" t="s">
        <v>2333</v>
      </c>
      <c r="J4196" s="34"/>
    </row>
    <row r="4197" spans="1:10" x14ac:dyDescent="0.25">
      <c r="A4197" s="19" t="s">
        <v>781</v>
      </c>
      <c r="B4197" s="20" t="s">
        <v>1599</v>
      </c>
      <c r="C4197" s="21" t="s">
        <v>781</v>
      </c>
      <c r="D4197" s="21" t="s">
        <v>781</v>
      </c>
      <c r="E4197" s="22"/>
      <c r="F4197" s="22"/>
      <c r="G4197" s="23">
        <v>372.81</v>
      </c>
      <c r="H4197" s="31" t="s">
        <v>2285</v>
      </c>
      <c r="J4197" s="34"/>
    </row>
    <row r="4198" spans="1:10" x14ac:dyDescent="0.25">
      <c r="A4198" s="15" t="s">
        <v>781</v>
      </c>
      <c r="B4198" s="16" t="s">
        <v>781</v>
      </c>
      <c r="C4198" t="s">
        <v>781</v>
      </c>
      <c r="D4198" t="s">
        <v>781</v>
      </c>
      <c r="E4198" s="17"/>
      <c r="F4198" s="17"/>
      <c r="G4198" s="18"/>
      <c r="H4198" s="30" t="s">
        <v>2285</v>
      </c>
      <c r="J4198" s="34"/>
    </row>
    <row r="4199" spans="1:10" x14ac:dyDescent="0.25">
      <c r="A4199" s="12" t="s">
        <v>781</v>
      </c>
      <c r="B4199" s="11" t="s">
        <v>1901</v>
      </c>
      <c r="C4199" s="10" t="s">
        <v>781</v>
      </c>
      <c r="D4199" s="10" t="s">
        <v>781</v>
      </c>
      <c r="E4199" s="13"/>
      <c r="F4199" s="13"/>
      <c r="G4199" s="14"/>
      <c r="H4199" s="29" t="s">
        <v>2285</v>
      </c>
      <c r="J4199" s="34"/>
    </row>
    <row r="4200" spans="1:10" x14ac:dyDescent="0.25">
      <c r="A4200" s="15">
        <v>40875</v>
      </c>
      <c r="B4200" s="16" t="s">
        <v>1600</v>
      </c>
      <c r="C4200" t="s">
        <v>1601</v>
      </c>
      <c r="D4200" t="s">
        <v>783</v>
      </c>
      <c r="E4200" s="17">
        <v>3.8</v>
      </c>
      <c r="F4200" s="17">
        <v>168.2</v>
      </c>
      <c r="G4200" s="18">
        <v>639.16</v>
      </c>
      <c r="H4200" s="30" t="s">
        <v>2334</v>
      </c>
      <c r="J4200" s="34"/>
    </row>
    <row r="4201" spans="1:10" x14ac:dyDescent="0.25">
      <c r="A4201" s="15">
        <v>40886</v>
      </c>
      <c r="B4201" s="16" t="s">
        <v>1602</v>
      </c>
      <c r="C4201" t="s">
        <v>1601</v>
      </c>
      <c r="D4201" t="s">
        <v>783</v>
      </c>
      <c r="E4201" s="17">
        <v>1</v>
      </c>
      <c r="F4201" s="17">
        <v>146.94999999999999</v>
      </c>
      <c r="G4201" s="18">
        <v>146.94999999999999</v>
      </c>
      <c r="H4201" s="30" t="s">
        <v>2334</v>
      </c>
      <c r="J4201" s="34"/>
    </row>
    <row r="4202" spans="1:10" x14ac:dyDescent="0.25">
      <c r="A4202" s="15">
        <v>40927</v>
      </c>
      <c r="B4202" s="16" t="s">
        <v>1603</v>
      </c>
      <c r="C4202" t="s">
        <v>1601</v>
      </c>
      <c r="D4202" t="s">
        <v>783</v>
      </c>
      <c r="E4202" s="17">
        <v>1</v>
      </c>
      <c r="F4202" s="17">
        <v>476.78</v>
      </c>
      <c r="G4202" s="18">
        <v>476.78</v>
      </c>
      <c r="H4202" s="30" t="s">
        <v>2334</v>
      </c>
      <c r="J4202" s="34"/>
    </row>
    <row r="4203" spans="1:10" x14ac:dyDescent="0.25">
      <c r="A4203" s="15">
        <v>40928</v>
      </c>
      <c r="B4203" s="16" t="s">
        <v>1604</v>
      </c>
      <c r="C4203" t="s">
        <v>1601</v>
      </c>
      <c r="D4203" t="s">
        <v>783</v>
      </c>
      <c r="E4203" s="17">
        <v>1</v>
      </c>
      <c r="F4203" s="17">
        <v>236.9</v>
      </c>
      <c r="G4203" s="18">
        <v>236.9</v>
      </c>
      <c r="H4203" s="30" t="s">
        <v>2334</v>
      </c>
      <c r="J4203" s="34"/>
    </row>
    <row r="4204" spans="1:10" x14ac:dyDescent="0.25">
      <c r="A4204" s="15">
        <v>40931</v>
      </c>
      <c r="B4204" s="16" t="s">
        <v>1605</v>
      </c>
      <c r="C4204" t="s">
        <v>1601</v>
      </c>
      <c r="D4204" t="s">
        <v>783</v>
      </c>
      <c r="E4204" s="17">
        <v>1</v>
      </c>
      <c r="F4204" s="17">
        <v>236.9</v>
      </c>
      <c r="G4204" s="18">
        <v>236.9</v>
      </c>
      <c r="H4204" s="30" t="s">
        <v>2334</v>
      </c>
      <c r="J4204" s="34"/>
    </row>
    <row r="4205" spans="1:10" x14ac:dyDescent="0.25">
      <c r="A4205" s="15">
        <v>40931</v>
      </c>
      <c r="B4205" s="16" t="s">
        <v>1606</v>
      </c>
      <c r="C4205" t="s">
        <v>1601</v>
      </c>
      <c r="D4205" t="s">
        <v>783</v>
      </c>
      <c r="E4205" s="17">
        <v>1</v>
      </c>
      <c r="F4205" s="17">
        <v>236.9</v>
      </c>
      <c r="G4205" s="18">
        <v>236.9</v>
      </c>
      <c r="H4205" s="30" t="s">
        <v>2334</v>
      </c>
      <c r="J4205" s="34"/>
    </row>
    <row r="4206" spans="1:10" x14ac:dyDescent="0.25">
      <c r="A4206" s="15">
        <v>41018</v>
      </c>
      <c r="B4206" s="16" t="s">
        <v>1607</v>
      </c>
      <c r="C4206" t="s">
        <v>1601</v>
      </c>
      <c r="D4206" t="s">
        <v>783</v>
      </c>
      <c r="E4206" s="17">
        <v>1</v>
      </c>
      <c r="F4206" s="17">
        <v>659.6</v>
      </c>
      <c r="G4206" s="18">
        <v>659.6</v>
      </c>
      <c r="H4206" s="30" t="s">
        <v>2334</v>
      </c>
      <c r="J4206" s="34"/>
    </row>
    <row r="4207" spans="1:10" x14ac:dyDescent="0.25">
      <c r="A4207" s="15">
        <v>41023</v>
      </c>
      <c r="B4207" s="16" t="s">
        <v>1608</v>
      </c>
      <c r="C4207" t="s">
        <v>1601</v>
      </c>
      <c r="D4207" t="s">
        <v>783</v>
      </c>
      <c r="E4207" s="17">
        <v>1</v>
      </c>
      <c r="F4207" s="17">
        <v>920.5</v>
      </c>
      <c r="G4207" s="18">
        <v>920.5</v>
      </c>
      <c r="H4207" s="30" t="s">
        <v>2334</v>
      </c>
      <c r="J4207" s="34"/>
    </row>
    <row r="4208" spans="1:10" x14ac:dyDescent="0.25">
      <c r="A4208" s="15">
        <v>41023</v>
      </c>
      <c r="B4208" s="16" t="s">
        <v>1609</v>
      </c>
      <c r="C4208" t="s">
        <v>296</v>
      </c>
      <c r="D4208" t="s">
        <v>783</v>
      </c>
      <c r="E4208" s="17">
        <v>1</v>
      </c>
      <c r="F4208" s="17">
        <v>519</v>
      </c>
      <c r="G4208" s="18">
        <v>519</v>
      </c>
      <c r="H4208" s="30" t="s">
        <v>2334</v>
      </c>
      <c r="J4208" s="34"/>
    </row>
    <row r="4209" spans="1:10" x14ac:dyDescent="0.25">
      <c r="A4209" s="15">
        <v>41078</v>
      </c>
      <c r="B4209" s="16" t="s">
        <v>1610</v>
      </c>
      <c r="C4209" t="s">
        <v>296</v>
      </c>
      <c r="D4209" t="s">
        <v>783</v>
      </c>
      <c r="E4209" s="17">
        <v>1</v>
      </c>
      <c r="F4209" s="17">
        <v>242.4</v>
      </c>
      <c r="G4209" s="18">
        <v>242.4</v>
      </c>
      <c r="H4209" s="30" t="s">
        <v>2334</v>
      </c>
      <c r="J4209" s="34"/>
    </row>
    <row r="4210" spans="1:10" x14ac:dyDescent="0.25">
      <c r="A4210" s="15">
        <v>41089</v>
      </c>
      <c r="B4210" s="16" t="s">
        <v>1611</v>
      </c>
      <c r="C4210" t="s">
        <v>1601</v>
      </c>
      <c r="D4210" t="s">
        <v>783</v>
      </c>
      <c r="E4210" s="17">
        <v>1</v>
      </c>
      <c r="F4210" s="17">
        <v>388</v>
      </c>
      <c r="G4210" s="18">
        <v>388</v>
      </c>
      <c r="H4210" s="30" t="s">
        <v>2334</v>
      </c>
      <c r="J4210" s="34"/>
    </row>
    <row r="4211" spans="1:10" x14ac:dyDescent="0.25">
      <c r="A4211" s="15">
        <v>41095</v>
      </c>
      <c r="B4211" s="16" t="s">
        <v>1612</v>
      </c>
      <c r="C4211" t="s">
        <v>1601</v>
      </c>
      <c r="D4211" t="s">
        <v>783</v>
      </c>
      <c r="E4211" s="17">
        <v>1</v>
      </c>
      <c r="F4211" s="17">
        <v>256.8</v>
      </c>
      <c r="G4211" s="18">
        <v>256.8</v>
      </c>
      <c r="H4211" s="30" t="s">
        <v>2334</v>
      </c>
      <c r="J4211" s="34"/>
    </row>
    <row r="4212" spans="1:10" x14ac:dyDescent="0.25">
      <c r="A4212" s="15">
        <v>41121</v>
      </c>
      <c r="B4212" s="16" t="s">
        <v>1613</v>
      </c>
      <c r="C4212" t="s">
        <v>1601</v>
      </c>
      <c r="D4212" t="s">
        <v>783</v>
      </c>
      <c r="E4212" s="17">
        <v>1</v>
      </c>
      <c r="F4212" s="17">
        <v>1996</v>
      </c>
      <c r="G4212" s="18">
        <v>1996</v>
      </c>
      <c r="H4212" s="30" t="s">
        <v>2334</v>
      </c>
      <c r="J4212" s="34"/>
    </row>
    <row r="4213" spans="1:10" x14ac:dyDescent="0.25">
      <c r="A4213" s="15">
        <v>41124</v>
      </c>
      <c r="B4213" s="16" t="s">
        <v>1614</v>
      </c>
      <c r="C4213" t="s">
        <v>1601</v>
      </c>
      <c r="D4213" t="s">
        <v>783</v>
      </c>
      <c r="E4213" s="17">
        <v>1</v>
      </c>
      <c r="F4213" s="17">
        <v>770</v>
      </c>
      <c r="G4213" s="18">
        <v>770</v>
      </c>
      <c r="H4213" s="30" t="s">
        <v>2334</v>
      </c>
      <c r="J4213" s="34"/>
    </row>
    <row r="4214" spans="1:10" ht="30" x14ac:dyDescent="0.25">
      <c r="A4214" s="15">
        <v>41158</v>
      </c>
      <c r="B4214" s="16" t="s">
        <v>1615</v>
      </c>
      <c r="C4214" t="s">
        <v>1601</v>
      </c>
      <c r="D4214" t="s">
        <v>783</v>
      </c>
      <c r="E4214" s="17">
        <v>1</v>
      </c>
      <c r="F4214" s="17">
        <v>1460.4</v>
      </c>
      <c r="G4214" s="18">
        <v>1460.4</v>
      </c>
      <c r="H4214" s="30" t="s">
        <v>2334</v>
      </c>
      <c r="J4214" s="34"/>
    </row>
    <row r="4215" spans="1:10" x14ac:dyDescent="0.25">
      <c r="A4215" s="15">
        <v>41163</v>
      </c>
      <c r="B4215" s="16" t="s">
        <v>1616</v>
      </c>
      <c r="C4215" t="s">
        <v>1601</v>
      </c>
      <c r="D4215" t="s">
        <v>783</v>
      </c>
      <c r="E4215" s="17">
        <v>1</v>
      </c>
      <c r="F4215" s="17">
        <v>906.8</v>
      </c>
      <c r="G4215" s="18">
        <v>906.8</v>
      </c>
      <c r="H4215" s="30" t="s">
        <v>2334</v>
      </c>
      <c r="J4215" s="34"/>
    </row>
    <row r="4216" spans="1:10" x14ac:dyDescent="0.25">
      <c r="A4216" s="15">
        <v>41165</v>
      </c>
      <c r="B4216" s="16" t="s">
        <v>1617</v>
      </c>
      <c r="C4216" t="s">
        <v>1601</v>
      </c>
      <c r="D4216" t="s">
        <v>783</v>
      </c>
      <c r="E4216" s="17">
        <v>1</v>
      </c>
      <c r="F4216" s="17">
        <v>377.2</v>
      </c>
      <c r="G4216" s="18">
        <v>377.2</v>
      </c>
      <c r="H4216" s="30" t="s">
        <v>2334</v>
      </c>
      <c r="J4216" s="34"/>
    </row>
    <row r="4217" spans="1:10" x14ac:dyDescent="0.25">
      <c r="A4217" s="15">
        <v>41165</v>
      </c>
      <c r="B4217" s="16" t="s">
        <v>1618</v>
      </c>
      <c r="C4217" t="s">
        <v>1601</v>
      </c>
      <c r="D4217" t="s">
        <v>783</v>
      </c>
      <c r="E4217" s="17">
        <v>1</v>
      </c>
      <c r="F4217" s="17">
        <v>712.31</v>
      </c>
      <c r="G4217" s="18">
        <v>712.31</v>
      </c>
      <c r="H4217" s="30" t="s">
        <v>2334</v>
      </c>
      <c r="J4217" s="34"/>
    </row>
    <row r="4218" spans="1:10" x14ac:dyDescent="0.25">
      <c r="A4218" s="15">
        <v>41172</v>
      </c>
      <c r="B4218" s="16" t="s">
        <v>1619</v>
      </c>
      <c r="C4218" t="s">
        <v>1601</v>
      </c>
      <c r="D4218" t="s">
        <v>783</v>
      </c>
      <c r="E4218" s="17">
        <v>1</v>
      </c>
      <c r="F4218" s="17">
        <v>562.35</v>
      </c>
      <c r="G4218" s="18">
        <v>562.35</v>
      </c>
      <c r="H4218" s="30" t="s">
        <v>2334</v>
      </c>
      <c r="J4218" s="34"/>
    </row>
    <row r="4219" spans="1:10" x14ac:dyDescent="0.25">
      <c r="A4219" s="15">
        <v>41173</v>
      </c>
      <c r="B4219" s="16" t="s">
        <v>1620</v>
      </c>
      <c r="C4219" t="s">
        <v>1601</v>
      </c>
      <c r="D4219" t="s">
        <v>783</v>
      </c>
      <c r="E4219" s="17">
        <v>2.4</v>
      </c>
      <c r="F4219" s="17">
        <v>174.3</v>
      </c>
      <c r="G4219" s="18">
        <v>418.32</v>
      </c>
      <c r="H4219" s="30" t="s">
        <v>2334</v>
      </c>
      <c r="J4219" s="34"/>
    </row>
    <row r="4220" spans="1:10" x14ac:dyDescent="0.25">
      <c r="A4220" s="15">
        <v>41187</v>
      </c>
      <c r="B4220" s="16" t="s">
        <v>1621</v>
      </c>
      <c r="C4220" t="s">
        <v>296</v>
      </c>
      <c r="D4220" t="s">
        <v>783</v>
      </c>
      <c r="E4220" s="17">
        <v>1</v>
      </c>
      <c r="F4220" s="17">
        <v>153.32</v>
      </c>
      <c r="G4220" s="18">
        <v>153.32</v>
      </c>
      <c r="H4220" s="30" t="s">
        <v>2334</v>
      </c>
      <c r="J4220" s="34"/>
    </row>
    <row r="4221" spans="1:10" x14ac:dyDescent="0.25">
      <c r="A4221" s="15">
        <v>41199</v>
      </c>
      <c r="B4221" s="16" t="s">
        <v>1622</v>
      </c>
      <c r="C4221" t="s">
        <v>1601</v>
      </c>
      <c r="D4221" t="s">
        <v>783</v>
      </c>
      <c r="E4221" s="17">
        <v>1</v>
      </c>
      <c r="F4221" s="17">
        <v>460.78</v>
      </c>
      <c r="G4221" s="18">
        <v>460.78</v>
      </c>
      <c r="H4221" s="30" t="s">
        <v>2334</v>
      </c>
      <c r="J4221" s="34"/>
    </row>
    <row r="4222" spans="1:10" x14ac:dyDescent="0.25">
      <c r="A4222" s="19" t="s">
        <v>781</v>
      </c>
      <c r="B4222" s="20" t="s">
        <v>1623</v>
      </c>
      <c r="C4222" s="21" t="s">
        <v>781</v>
      </c>
      <c r="D4222" s="21" t="s">
        <v>781</v>
      </c>
      <c r="E4222" s="22"/>
      <c r="F4222" s="22"/>
      <c r="G4222" s="23">
        <v>12777.37</v>
      </c>
      <c r="H4222" s="31" t="s">
        <v>2285</v>
      </c>
      <c r="J4222" s="34"/>
    </row>
    <row r="4223" spans="1:10" x14ac:dyDescent="0.25">
      <c r="A4223" s="15" t="s">
        <v>781</v>
      </c>
      <c r="B4223" s="16" t="s">
        <v>781</v>
      </c>
      <c r="C4223" t="s">
        <v>781</v>
      </c>
      <c r="D4223" t="s">
        <v>781</v>
      </c>
      <c r="E4223" s="17"/>
      <c r="F4223" s="17"/>
      <c r="G4223" s="18"/>
      <c r="H4223" s="30" t="s">
        <v>2285</v>
      </c>
      <c r="J4223" s="34"/>
    </row>
    <row r="4224" spans="1:10" x14ac:dyDescent="0.25">
      <c r="A4224" s="12" t="s">
        <v>781</v>
      </c>
      <c r="B4224" s="11" t="s">
        <v>1902</v>
      </c>
      <c r="C4224" s="10" t="s">
        <v>781</v>
      </c>
      <c r="D4224" s="10" t="s">
        <v>781</v>
      </c>
      <c r="E4224" s="13"/>
      <c r="F4224" s="13"/>
      <c r="G4224" s="14"/>
      <c r="H4224" s="29" t="s">
        <v>2285</v>
      </c>
      <c r="J4224" s="34"/>
    </row>
    <row r="4225" spans="1:10" x14ac:dyDescent="0.25">
      <c r="A4225" s="15">
        <v>40830</v>
      </c>
      <c r="B4225" s="16" t="s">
        <v>1624</v>
      </c>
      <c r="C4225" t="s">
        <v>296</v>
      </c>
      <c r="D4225" t="s">
        <v>783</v>
      </c>
      <c r="E4225" s="17">
        <v>5.2</v>
      </c>
      <c r="F4225" s="17">
        <v>197.6</v>
      </c>
      <c r="G4225" s="18">
        <v>1027.52</v>
      </c>
      <c r="H4225" s="30" t="s">
        <v>2335</v>
      </c>
      <c r="J4225" s="34"/>
    </row>
    <row r="4226" spans="1:10" x14ac:dyDescent="0.25">
      <c r="A4226" s="15">
        <v>40848</v>
      </c>
      <c r="B4226" s="16" t="s">
        <v>1625</v>
      </c>
      <c r="C4226" t="s">
        <v>296</v>
      </c>
      <c r="D4226" t="s">
        <v>783</v>
      </c>
      <c r="E4226" s="17">
        <v>1</v>
      </c>
      <c r="F4226" s="17">
        <v>128.43</v>
      </c>
      <c r="G4226" s="18">
        <v>128.43</v>
      </c>
      <c r="H4226" s="30" t="s">
        <v>2335</v>
      </c>
      <c r="J4226" s="34"/>
    </row>
    <row r="4227" spans="1:10" x14ac:dyDescent="0.25">
      <c r="A4227" s="15">
        <v>40877</v>
      </c>
      <c r="B4227" s="16" t="s">
        <v>1626</v>
      </c>
      <c r="C4227" t="s">
        <v>296</v>
      </c>
      <c r="D4227" t="s">
        <v>783</v>
      </c>
      <c r="E4227" s="17">
        <v>1</v>
      </c>
      <c r="F4227" s="17">
        <v>1256</v>
      </c>
      <c r="G4227" s="18">
        <v>1256</v>
      </c>
      <c r="H4227" s="30" t="s">
        <v>2335</v>
      </c>
      <c r="J4227" s="34"/>
    </row>
    <row r="4228" spans="1:10" x14ac:dyDescent="0.25">
      <c r="A4228" s="15">
        <v>40877</v>
      </c>
      <c r="B4228" s="16" t="s">
        <v>1627</v>
      </c>
      <c r="C4228" t="s">
        <v>296</v>
      </c>
      <c r="D4228" t="s">
        <v>783</v>
      </c>
      <c r="E4228" s="17">
        <v>1</v>
      </c>
      <c r="F4228" s="17">
        <v>1316</v>
      </c>
      <c r="G4228" s="18">
        <v>1316</v>
      </c>
      <c r="H4228" s="30" t="s">
        <v>2335</v>
      </c>
      <c r="J4228" s="34"/>
    </row>
    <row r="4229" spans="1:10" x14ac:dyDescent="0.25">
      <c r="A4229" s="15">
        <v>40887</v>
      </c>
      <c r="B4229" s="16" t="s">
        <v>1628</v>
      </c>
      <c r="C4229" t="s">
        <v>296</v>
      </c>
      <c r="D4229" t="s">
        <v>783</v>
      </c>
      <c r="E4229" s="17">
        <v>1</v>
      </c>
      <c r="F4229" s="17">
        <v>1243.8</v>
      </c>
      <c r="G4229" s="18">
        <v>1243.8</v>
      </c>
      <c r="H4229" s="30" t="s">
        <v>2335</v>
      </c>
      <c r="J4229" s="34"/>
    </row>
    <row r="4230" spans="1:10" x14ac:dyDescent="0.25">
      <c r="A4230" s="15">
        <v>40897</v>
      </c>
      <c r="B4230" s="16" t="s">
        <v>1629</v>
      </c>
      <c r="C4230" t="s">
        <v>296</v>
      </c>
      <c r="D4230" t="s">
        <v>783</v>
      </c>
      <c r="E4230" s="17">
        <v>1</v>
      </c>
      <c r="F4230" s="17">
        <v>184.36</v>
      </c>
      <c r="G4230" s="18">
        <v>184.36</v>
      </c>
      <c r="H4230" s="30" t="s">
        <v>2335</v>
      </c>
      <c r="J4230" s="34"/>
    </row>
    <row r="4231" spans="1:10" x14ac:dyDescent="0.25">
      <c r="A4231" s="15">
        <v>40971</v>
      </c>
      <c r="B4231" s="16" t="s">
        <v>1630</v>
      </c>
      <c r="C4231" t="s">
        <v>296</v>
      </c>
      <c r="D4231" t="s">
        <v>783</v>
      </c>
      <c r="E4231" s="17">
        <v>1</v>
      </c>
      <c r="F4231" s="17">
        <v>1318.2</v>
      </c>
      <c r="G4231" s="18">
        <v>1318.2</v>
      </c>
      <c r="H4231" s="30" t="s">
        <v>2335</v>
      </c>
      <c r="J4231" s="34"/>
    </row>
    <row r="4232" spans="1:10" x14ac:dyDescent="0.25">
      <c r="A4232" s="15">
        <v>40971</v>
      </c>
      <c r="B4232" s="16" t="s">
        <v>1631</v>
      </c>
      <c r="C4232" t="s">
        <v>296</v>
      </c>
      <c r="D4232" t="s">
        <v>783</v>
      </c>
      <c r="E4232" s="17">
        <v>1</v>
      </c>
      <c r="F4232" s="17">
        <v>620</v>
      </c>
      <c r="G4232" s="18">
        <v>620</v>
      </c>
      <c r="H4232" s="30" t="s">
        <v>2335</v>
      </c>
      <c r="J4232" s="34"/>
    </row>
    <row r="4233" spans="1:10" x14ac:dyDescent="0.25">
      <c r="A4233" s="15">
        <v>40974</v>
      </c>
      <c r="B4233" s="16" t="s">
        <v>1632</v>
      </c>
      <c r="C4233" t="s">
        <v>296</v>
      </c>
      <c r="D4233" t="s">
        <v>783</v>
      </c>
      <c r="E4233" s="17">
        <v>1</v>
      </c>
      <c r="F4233" s="17">
        <v>1623</v>
      </c>
      <c r="G4233" s="18">
        <v>1623</v>
      </c>
      <c r="H4233" s="30" t="s">
        <v>2335</v>
      </c>
      <c r="J4233" s="34"/>
    </row>
    <row r="4234" spans="1:10" x14ac:dyDescent="0.25">
      <c r="A4234" s="15">
        <v>40974</v>
      </c>
      <c r="B4234" s="16" t="s">
        <v>1633</v>
      </c>
      <c r="C4234" t="s">
        <v>296</v>
      </c>
      <c r="D4234" t="s">
        <v>783</v>
      </c>
      <c r="E4234" s="17">
        <v>1</v>
      </c>
      <c r="F4234" s="17">
        <v>2601.5</v>
      </c>
      <c r="G4234" s="18">
        <v>2601.5</v>
      </c>
      <c r="H4234" s="30" t="s">
        <v>2335</v>
      </c>
      <c r="J4234" s="34"/>
    </row>
    <row r="4235" spans="1:10" x14ac:dyDescent="0.25">
      <c r="A4235" s="15">
        <v>40981</v>
      </c>
      <c r="B4235" s="16" t="s">
        <v>1634</v>
      </c>
      <c r="C4235" t="s">
        <v>296</v>
      </c>
      <c r="D4235" t="s">
        <v>783</v>
      </c>
      <c r="E4235" s="17">
        <v>1</v>
      </c>
      <c r="F4235" s="17">
        <v>862.8</v>
      </c>
      <c r="G4235" s="18">
        <v>862.8</v>
      </c>
      <c r="H4235" s="30" t="s">
        <v>2335</v>
      </c>
      <c r="J4235" s="34"/>
    </row>
    <row r="4236" spans="1:10" x14ac:dyDescent="0.25">
      <c r="A4236" s="15">
        <v>40985</v>
      </c>
      <c r="B4236" s="16" t="s">
        <v>1635</v>
      </c>
      <c r="C4236" t="s">
        <v>296</v>
      </c>
      <c r="D4236" t="s">
        <v>783</v>
      </c>
      <c r="E4236" s="17">
        <v>1</v>
      </c>
      <c r="F4236" s="17">
        <v>207</v>
      </c>
      <c r="G4236" s="18">
        <v>207</v>
      </c>
      <c r="H4236" s="30" t="s">
        <v>2335</v>
      </c>
      <c r="J4236" s="34"/>
    </row>
    <row r="4237" spans="1:10" x14ac:dyDescent="0.25">
      <c r="A4237" s="15">
        <v>40988</v>
      </c>
      <c r="B4237" s="16" t="s">
        <v>1636</v>
      </c>
      <c r="C4237" t="s">
        <v>296</v>
      </c>
      <c r="D4237" t="s">
        <v>783</v>
      </c>
      <c r="E4237" s="17">
        <v>1</v>
      </c>
      <c r="F4237" s="17">
        <v>801.8</v>
      </c>
      <c r="G4237" s="18">
        <v>801.8</v>
      </c>
      <c r="H4237" s="30" t="s">
        <v>2335</v>
      </c>
      <c r="J4237" s="34"/>
    </row>
    <row r="4238" spans="1:10" x14ac:dyDescent="0.25">
      <c r="A4238" s="15">
        <v>41002</v>
      </c>
      <c r="B4238" s="16" t="s">
        <v>1637</v>
      </c>
      <c r="C4238" t="s">
        <v>296</v>
      </c>
      <c r="D4238" t="s">
        <v>783</v>
      </c>
      <c r="E4238" s="17">
        <v>1</v>
      </c>
      <c r="F4238" s="17">
        <v>170.6</v>
      </c>
      <c r="G4238" s="18">
        <v>170.6</v>
      </c>
      <c r="H4238" s="30" t="s">
        <v>2335</v>
      </c>
      <c r="J4238" s="34"/>
    </row>
    <row r="4239" spans="1:10" x14ac:dyDescent="0.25">
      <c r="A4239" s="15">
        <v>41010</v>
      </c>
      <c r="B4239" s="16" t="s">
        <v>1638</v>
      </c>
      <c r="C4239" t="s">
        <v>296</v>
      </c>
      <c r="D4239" t="s">
        <v>783</v>
      </c>
      <c r="E4239" s="17">
        <v>4</v>
      </c>
      <c r="F4239" s="17">
        <v>175</v>
      </c>
      <c r="G4239" s="18">
        <v>700</v>
      </c>
      <c r="H4239" s="30" t="s">
        <v>2335</v>
      </c>
      <c r="J4239" s="34"/>
    </row>
    <row r="4240" spans="1:10" x14ac:dyDescent="0.25">
      <c r="A4240" s="15">
        <v>41011</v>
      </c>
      <c r="B4240" s="16" t="s">
        <v>1639</v>
      </c>
      <c r="C4240" t="s">
        <v>296</v>
      </c>
      <c r="D4240" t="s">
        <v>783</v>
      </c>
      <c r="E4240" s="17">
        <v>1</v>
      </c>
      <c r="F4240" s="17">
        <v>425</v>
      </c>
      <c r="G4240" s="18">
        <v>425</v>
      </c>
      <c r="H4240" s="30" t="s">
        <v>2335</v>
      </c>
      <c r="J4240" s="34"/>
    </row>
    <row r="4241" spans="1:10" x14ac:dyDescent="0.25">
      <c r="A4241" s="15">
        <v>41011</v>
      </c>
      <c r="B4241" s="16" t="s">
        <v>1640</v>
      </c>
      <c r="C4241" t="s">
        <v>296</v>
      </c>
      <c r="D4241" t="s">
        <v>783</v>
      </c>
      <c r="E4241" s="17">
        <v>8</v>
      </c>
      <c r="F4241" s="17">
        <v>175</v>
      </c>
      <c r="G4241" s="18">
        <v>1400</v>
      </c>
      <c r="H4241" s="30" t="s">
        <v>2335</v>
      </c>
      <c r="J4241" s="34"/>
    </row>
    <row r="4242" spans="1:10" x14ac:dyDescent="0.25">
      <c r="A4242" s="15">
        <v>41012</v>
      </c>
      <c r="B4242" s="16" t="s">
        <v>1641</v>
      </c>
      <c r="C4242" t="s">
        <v>296</v>
      </c>
      <c r="D4242" t="s">
        <v>783</v>
      </c>
      <c r="E4242" s="17">
        <v>1</v>
      </c>
      <c r="F4242" s="17">
        <v>1387.8</v>
      </c>
      <c r="G4242" s="18">
        <v>1387.8</v>
      </c>
      <c r="H4242" s="30" t="s">
        <v>2335</v>
      </c>
      <c r="J4242" s="34"/>
    </row>
    <row r="4243" spans="1:10" x14ac:dyDescent="0.25">
      <c r="A4243" s="15">
        <v>41013</v>
      </c>
      <c r="B4243" s="16" t="s">
        <v>1642</v>
      </c>
      <c r="C4243" t="s">
        <v>296</v>
      </c>
      <c r="D4243" t="s">
        <v>783</v>
      </c>
      <c r="E4243" s="17">
        <v>8.4</v>
      </c>
      <c r="F4243" s="17">
        <v>175</v>
      </c>
      <c r="G4243" s="18">
        <v>1470</v>
      </c>
      <c r="H4243" s="30" t="s">
        <v>2335</v>
      </c>
      <c r="J4243" s="34"/>
    </row>
    <row r="4244" spans="1:10" x14ac:dyDescent="0.25">
      <c r="A4244" s="15">
        <v>41018</v>
      </c>
      <c r="B4244" s="16" t="s">
        <v>1643</v>
      </c>
      <c r="C4244" t="s">
        <v>296</v>
      </c>
      <c r="D4244" t="s">
        <v>783</v>
      </c>
      <c r="E4244" s="17">
        <v>1</v>
      </c>
      <c r="F4244" s="17">
        <v>630</v>
      </c>
      <c r="G4244" s="18">
        <v>630</v>
      </c>
      <c r="H4244" s="30" t="s">
        <v>2335</v>
      </c>
      <c r="J4244" s="34"/>
    </row>
    <row r="4245" spans="1:10" x14ac:dyDescent="0.25">
      <c r="A4245" s="15">
        <v>41020</v>
      </c>
      <c r="B4245" s="16" t="s">
        <v>1644</v>
      </c>
      <c r="C4245" t="s">
        <v>296</v>
      </c>
      <c r="D4245" t="s">
        <v>783</v>
      </c>
      <c r="E4245" s="17">
        <v>1</v>
      </c>
      <c r="F4245" s="17">
        <v>181.8</v>
      </c>
      <c r="G4245" s="18">
        <v>181.8</v>
      </c>
      <c r="H4245" s="30" t="s">
        <v>2335</v>
      </c>
      <c r="J4245" s="34"/>
    </row>
    <row r="4246" spans="1:10" x14ac:dyDescent="0.25">
      <c r="A4246" s="15">
        <v>41022</v>
      </c>
      <c r="B4246" s="16" t="s">
        <v>1645</v>
      </c>
      <c r="C4246" t="s">
        <v>296</v>
      </c>
      <c r="D4246" t="s">
        <v>783</v>
      </c>
      <c r="E4246" s="17">
        <v>1</v>
      </c>
      <c r="F4246" s="17">
        <v>153.6</v>
      </c>
      <c r="G4246" s="18">
        <v>153.6</v>
      </c>
      <c r="H4246" s="30" t="s">
        <v>2335</v>
      </c>
      <c r="J4246" s="34"/>
    </row>
    <row r="4247" spans="1:10" x14ac:dyDescent="0.25">
      <c r="A4247" s="15">
        <v>41026</v>
      </c>
      <c r="B4247" s="16" t="s">
        <v>1646</v>
      </c>
      <c r="C4247" t="s">
        <v>296</v>
      </c>
      <c r="D4247" t="s">
        <v>783</v>
      </c>
      <c r="E4247" s="17">
        <v>1</v>
      </c>
      <c r="F4247" s="17">
        <v>141</v>
      </c>
      <c r="G4247" s="18">
        <v>141</v>
      </c>
      <c r="H4247" s="30" t="s">
        <v>2335</v>
      </c>
      <c r="J4247" s="34"/>
    </row>
    <row r="4248" spans="1:10" x14ac:dyDescent="0.25">
      <c r="A4248" s="15">
        <v>41026</v>
      </c>
      <c r="B4248" s="16" t="s">
        <v>1647</v>
      </c>
      <c r="C4248" t="s">
        <v>296</v>
      </c>
      <c r="D4248" t="s">
        <v>783</v>
      </c>
      <c r="E4248" s="17">
        <v>1</v>
      </c>
      <c r="F4248" s="17">
        <v>138</v>
      </c>
      <c r="G4248" s="18">
        <v>138</v>
      </c>
      <c r="H4248" s="30" t="s">
        <v>2335</v>
      </c>
      <c r="J4248" s="34"/>
    </row>
    <row r="4249" spans="1:10" x14ac:dyDescent="0.25">
      <c r="A4249" s="15">
        <v>41037</v>
      </c>
      <c r="B4249" s="16" t="s">
        <v>1648</v>
      </c>
      <c r="C4249" t="s">
        <v>296</v>
      </c>
      <c r="D4249" t="s">
        <v>783</v>
      </c>
      <c r="E4249" s="17">
        <v>1</v>
      </c>
      <c r="F4249" s="17">
        <v>1120</v>
      </c>
      <c r="G4249" s="18">
        <v>1120</v>
      </c>
      <c r="H4249" s="30" t="s">
        <v>2335</v>
      </c>
      <c r="J4249" s="34"/>
    </row>
    <row r="4250" spans="1:10" x14ac:dyDescent="0.25">
      <c r="A4250" s="15">
        <v>41037</v>
      </c>
      <c r="B4250" s="16" t="s">
        <v>1649</v>
      </c>
      <c r="C4250" t="s">
        <v>296</v>
      </c>
      <c r="D4250" t="s">
        <v>783</v>
      </c>
      <c r="E4250" s="17">
        <v>1</v>
      </c>
      <c r="F4250" s="17">
        <v>446</v>
      </c>
      <c r="G4250" s="18">
        <v>446</v>
      </c>
      <c r="H4250" s="30" t="s">
        <v>2335</v>
      </c>
      <c r="J4250" s="34"/>
    </row>
    <row r="4251" spans="1:10" x14ac:dyDescent="0.25">
      <c r="A4251" s="15">
        <v>41037</v>
      </c>
      <c r="B4251" s="16" t="s">
        <v>1650</v>
      </c>
      <c r="C4251" t="s">
        <v>296</v>
      </c>
      <c r="D4251" t="s">
        <v>783</v>
      </c>
      <c r="E4251" s="17">
        <v>1</v>
      </c>
      <c r="F4251" s="17">
        <v>1120</v>
      </c>
      <c r="G4251" s="18">
        <v>1120</v>
      </c>
      <c r="H4251" s="30" t="s">
        <v>2335</v>
      </c>
      <c r="J4251" s="34"/>
    </row>
    <row r="4252" spans="1:10" x14ac:dyDescent="0.25">
      <c r="A4252" s="15">
        <v>41046</v>
      </c>
      <c r="B4252" s="16" t="s">
        <v>1651</v>
      </c>
      <c r="C4252" t="s">
        <v>296</v>
      </c>
      <c r="D4252" t="s">
        <v>783</v>
      </c>
      <c r="E4252" s="17">
        <v>3</v>
      </c>
      <c r="F4252" s="17">
        <v>41.665999999999997</v>
      </c>
      <c r="G4252" s="18">
        <v>124.998</v>
      </c>
      <c r="H4252" s="30" t="s">
        <v>2335</v>
      </c>
      <c r="J4252" s="34"/>
    </row>
    <row r="4253" spans="1:10" x14ac:dyDescent="0.25">
      <c r="A4253" s="15">
        <v>41047</v>
      </c>
      <c r="B4253" s="16" t="s">
        <v>1652</v>
      </c>
      <c r="C4253" t="s">
        <v>296</v>
      </c>
      <c r="D4253" t="s">
        <v>783</v>
      </c>
      <c r="E4253" s="17">
        <v>1</v>
      </c>
      <c r="F4253" s="17">
        <v>671.5</v>
      </c>
      <c r="G4253" s="18">
        <v>671.5</v>
      </c>
      <c r="H4253" s="30" t="s">
        <v>2335</v>
      </c>
      <c r="J4253" s="34"/>
    </row>
    <row r="4254" spans="1:10" x14ac:dyDescent="0.25">
      <c r="A4254" s="15">
        <v>41047</v>
      </c>
      <c r="B4254" s="16" t="s">
        <v>1653</v>
      </c>
      <c r="C4254" t="s">
        <v>296</v>
      </c>
      <c r="D4254" t="s">
        <v>783</v>
      </c>
      <c r="E4254" s="17">
        <v>1</v>
      </c>
      <c r="F4254" s="17">
        <v>261</v>
      </c>
      <c r="G4254" s="18">
        <v>261</v>
      </c>
      <c r="H4254" s="30" t="s">
        <v>2335</v>
      </c>
      <c r="J4254" s="34"/>
    </row>
    <row r="4255" spans="1:10" x14ac:dyDescent="0.25">
      <c r="A4255" s="15">
        <v>41047</v>
      </c>
      <c r="B4255" s="16" t="s">
        <v>1654</v>
      </c>
      <c r="C4255" t="s">
        <v>296</v>
      </c>
      <c r="D4255" t="s">
        <v>783</v>
      </c>
      <c r="E4255" s="17">
        <v>1</v>
      </c>
      <c r="F4255" s="17">
        <v>1151</v>
      </c>
      <c r="G4255" s="18">
        <v>1151</v>
      </c>
      <c r="H4255" s="30" t="s">
        <v>2335</v>
      </c>
      <c r="J4255" s="34"/>
    </row>
    <row r="4256" spans="1:10" x14ac:dyDescent="0.25">
      <c r="A4256" s="15">
        <v>41047</v>
      </c>
      <c r="B4256" s="16" t="s">
        <v>1655</v>
      </c>
      <c r="C4256" t="s">
        <v>296</v>
      </c>
      <c r="D4256" t="s">
        <v>783</v>
      </c>
      <c r="E4256" s="17">
        <v>1</v>
      </c>
      <c r="F4256" s="17">
        <v>671.5</v>
      </c>
      <c r="G4256" s="18">
        <v>671.5</v>
      </c>
      <c r="H4256" s="30" t="s">
        <v>2335</v>
      </c>
      <c r="J4256" s="34"/>
    </row>
    <row r="4257" spans="1:10" x14ac:dyDescent="0.25">
      <c r="A4257" s="15">
        <v>41065</v>
      </c>
      <c r="B4257" s="16" t="s">
        <v>1656</v>
      </c>
      <c r="C4257" t="s">
        <v>296</v>
      </c>
      <c r="D4257" t="s">
        <v>783</v>
      </c>
      <c r="E4257" s="17">
        <v>1</v>
      </c>
      <c r="F4257" s="17">
        <v>1449.8</v>
      </c>
      <c r="G4257" s="18">
        <v>1449.8</v>
      </c>
      <c r="H4257" s="30" t="s">
        <v>2335</v>
      </c>
      <c r="J4257" s="34"/>
    </row>
    <row r="4258" spans="1:10" x14ac:dyDescent="0.25">
      <c r="A4258" s="15">
        <v>41074</v>
      </c>
      <c r="B4258" s="16" t="s">
        <v>1657</v>
      </c>
      <c r="C4258" t="s">
        <v>296</v>
      </c>
      <c r="D4258" t="s">
        <v>783</v>
      </c>
      <c r="E4258" s="17">
        <v>1</v>
      </c>
      <c r="F4258" s="17">
        <v>230.6</v>
      </c>
      <c r="G4258" s="18">
        <v>230.6</v>
      </c>
      <c r="H4258" s="30" t="s">
        <v>2335</v>
      </c>
      <c r="J4258" s="34"/>
    </row>
    <row r="4259" spans="1:10" x14ac:dyDescent="0.25">
      <c r="A4259" s="15">
        <v>41077</v>
      </c>
      <c r="B4259" s="16" t="s">
        <v>1658</v>
      </c>
      <c r="C4259" t="s">
        <v>296</v>
      </c>
      <c r="D4259" t="s">
        <v>783</v>
      </c>
      <c r="E4259" s="17">
        <v>1</v>
      </c>
      <c r="F4259" s="17">
        <v>504.2</v>
      </c>
      <c r="G4259" s="18">
        <v>504.2</v>
      </c>
      <c r="H4259" s="30" t="s">
        <v>2335</v>
      </c>
      <c r="J4259" s="34"/>
    </row>
    <row r="4260" spans="1:10" x14ac:dyDescent="0.25">
      <c r="A4260" s="15">
        <v>41077</v>
      </c>
      <c r="B4260" s="16" t="s">
        <v>1659</v>
      </c>
      <c r="C4260" t="s">
        <v>296</v>
      </c>
      <c r="D4260" t="s">
        <v>783</v>
      </c>
      <c r="E4260" s="17">
        <v>1</v>
      </c>
      <c r="F4260" s="17">
        <v>230.6</v>
      </c>
      <c r="G4260" s="18">
        <v>230.6</v>
      </c>
      <c r="H4260" s="30" t="s">
        <v>2335</v>
      </c>
      <c r="J4260" s="34"/>
    </row>
    <row r="4261" spans="1:10" x14ac:dyDescent="0.25">
      <c r="A4261" s="15">
        <v>41078</v>
      </c>
      <c r="B4261" s="16" t="s">
        <v>1660</v>
      </c>
      <c r="C4261" t="s">
        <v>296</v>
      </c>
      <c r="D4261" t="s">
        <v>783</v>
      </c>
      <c r="E4261" s="17">
        <v>1</v>
      </c>
      <c r="F4261" s="17">
        <v>242.4</v>
      </c>
      <c r="G4261" s="18">
        <v>242.4</v>
      </c>
      <c r="H4261" s="30" t="s">
        <v>2335</v>
      </c>
      <c r="J4261" s="34"/>
    </row>
    <row r="4262" spans="1:10" ht="45" x14ac:dyDescent="0.25">
      <c r="A4262" s="15">
        <v>41079</v>
      </c>
      <c r="B4262" s="16" t="s">
        <v>1661</v>
      </c>
      <c r="C4262" t="s">
        <v>296</v>
      </c>
      <c r="D4262" t="s">
        <v>783</v>
      </c>
      <c r="E4262" s="17">
        <v>1</v>
      </c>
      <c r="F4262" s="17">
        <v>3825.6</v>
      </c>
      <c r="G4262" s="18">
        <v>3825.6</v>
      </c>
      <c r="H4262" s="30" t="s">
        <v>2335</v>
      </c>
      <c r="J4262" s="34"/>
    </row>
    <row r="4263" spans="1:10" x14ac:dyDescent="0.25">
      <c r="A4263" s="15">
        <v>41080</v>
      </c>
      <c r="B4263" s="16" t="s">
        <v>1662</v>
      </c>
      <c r="C4263" t="s">
        <v>296</v>
      </c>
      <c r="D4263" t="s">
        <v>783</v>
      </c>
      <c r="E4263" s="17">
        <v>1</v>
      </c>
      <c r="F4263" s="17">
        <v>209.28</v>
      </c>
      <c r="G4263" s="18">
        <v>209.28</v>
      </c>
      <c r="H4263" s="30" t="s">
        <v>2335</v>
      </c>
      <c r="J4263" s="34"/>
    </row>
    <row r="4264" spans="1:10" x14ac:dyDescent="0.25">
      <c r="A4264" s="15">
        <v>41086</v>
      </c>
      <c r="B4264" s="16" t="s">
        <v>1663</v>
      </c>
      <c r="C4264" t="s">
        <v>296</v>
      </c>
      <c r="D4264" t="s">
        <v>783</v>
      </c>
      <c r="E4264" s="17">
        <v>1</v>
      </c>
      <c r="F4264" s="17">
        <v>193</v>
      </c>
      <c r="G4264" s="18">
        <v>193</v>
      </c>
      <c r="H4264" s="30" t="s">
        <v>2335</v>
      </c>
      <c r="J4264" s="34"/>
    </row>
    <row r="4265" spans="1:10" x14ac:dyDescent="0.25">
      <c r="A4265" s="15">
        <v>41086</v>
      </c>
      <c r="B4265" s="16" t="s">
        <v>1664</v>
      </c>
      <c r="C4265" t="s">
        <v>296</v>
      </c>
      <c r="D4265" t="s">
        <v>783</v>
      </c>
      <c r="E4265" s="17">
        <v>1</v>
      </c>
      <c r="F4265" s="17">
        <v>209.28</v>
      </c>
      <c r="G4265" s="18">
        <v>209.28</v>
      </c>
      <c r="H4265" s="30" t="s">
        <v>2335</v>
      </c>
      <c r="J4265" s="34"/>
    </row>
    <row r="4266" spans="1:10" x14ac:dyDescent="0.25">
      <c r="A4266" s="15">
        <v>41086</v>
      </c>
      <c r="B4266" s="16" t="s">
        <v>1665</v>
      </c>
      <c r="C4266" t="s">
        <v>296</v>
      </c>
      <c r="D4266" t="s">
        <v>783</v>
      </c>
      <c r="E4266" s="17">
        <v>1</v>
      </c>
      <c r="F4266" s="17">
        <v>766</v>
      </c>
      <c r="G4266" s="18">
        <v>766</v>
      </c>
      <c r="H4266" s="30" t="s">
        <v>2335</v>
      </c>
      <c r="J4266" s="34"/>
    </row>
    <row r="4267" spans="1:10" x14ac:dyDescent="0.25">
      <c r="A4267" s="15">
        <v>41087</v>
      </c>
      <c r="B4267" s="16" t="s">
        <v>1666</v>
      </c>
      <c r="C4267" t="s">
        <v>296</v>
      </c>
      <c r="D4267" t="s">
        <v>783</v>
      </c>
      <c r="E4267" s="17">
        <v>1</v>
      </c>
      <c r="F4267" s="17">
        <v>278.16000000000003</v>
      </c>
      <c r="G4267" s="18">
        <v>278.16000000000003</v>
      </c>
      <c r="H4267" s="30" t="s">
        <v>2335</v>
      </c>
      <c r="J4267" s="34"/>
    </row>
    <row r="4268" spans="1:10" x14ac:dyDescent="0.25">
      <c r="A4268" s="15">
        <v>41088</v>
      </c>
      <c r="B4268" s="16" t="s">
        <v>1667</v>
      </c>
      <c r="C4268" t="s">
        <v>296</v>
      </c>
      <c r="D4268" t="s">
        <v>783</v>
      </c>
      <c r="E4268" s="17">
        <v>1</v>
      </c>
      <c r="F4268" s="17">
        <v>436.4</v>
      </c>
      <c r="G4268" s="18">
        <v>436.4</v>
      </c>
      <c r="H4268" s="30" t="s">
        <v>2335</v>
      </c>
      <c r="J4268" s="34"/>
    </row>
    <row r="4269" spans="1:10" x14ac:dyDescent="0.25">
      <c r="A4269" s="15">
        <v>41090</v>
      </c>
      <c r="B4269" s="16" t="s">
        <v>1668</v>
      </c>
      <c r="C4269" t="s">
        <v>296</v>
      </c>
      <c r="D4269" t="s">
        <v>783</v>
      </c>
      <c r="E4269" s="17">
        <v>1</v>
      </c>
      <c r="F4269" s="17">
        <v>632.79999999999995</v>
      </c>
      <c r="G4269" s="18">
        <v>632.79999999999995</v>
      </c>
      <c r="H4269" s="30" t="s">
        <v>2335</v>
      </c>
      <c r="J4269" s="34"/>
    </row>
    <row r="4270" spans="1:10" x14ac:dyDescent="0.25">
      <c r="A4270" s="15">
        <v>41090</v>
      </c>
      <c r="B4270" s="16" t="s">
        <v>1669</v>
      </c>
      <c r="C4270" t="s">
        <v>296</v>
      </c>
      <c r="D4270" t="s">
        <v>783</v>
      </c>
      <c r="E4270" s="17">
        <v>3</v>
      </c>
      <c r="F4270" s="17">
        <v>192.5</v>
      </c>
      <c r="G4270" s="18">
        <v>577.5</v>
      </c>
      <c r="H4270" s="30" t="s">
        <v>2335</v>
      </c>
      <c r="J4270" s="34"/>
    </row>
    <row r="4271" spans="1:10" x14ac:dyDescent="0.25">
      <c r="A4271" s="15">
        <v>41093</v>
      </c>
      <c r="B4271" s="16" t="s">
        <v>1670</v>
      </c>
      <c r="C4271" t="s">
        <v>296</v>
      </c>
      <c r="D4271" t="s">
        <v>783</v>
      </c>
      <c r="E4271" s="17">
        <v>1</v>
      </c>
      <c r="F4271" s="17">
        <v>193</v>
      </c>
      <c r="G4271" s="18">
        <v>193</v>
      </c>
      <c r="H4271" s="30" t="s">
        <v>2335</v>
      </c>
      <c r="J4271" s="34"/>
    </row>
    <row r="4272" spans="1:10" x14ac:dyDescent="0.25">
      <c r="A4272" s="15">
        <v>41098</v>
      </c>
      <c r="B4272" s="16" t="s">
        <v>1671</v>
      </c>
      <c r="C4272" t="s">
        <v>296</v>
      </c>
      <c r="D4272" t="s">
        <v>783</v>
      </c>
      <c r="E4272" s="17">
        <v>1</v>
      </c>
      <c r="F4272" s="17">
        <v>426</v>
      </c>
      <c r="G4272" s="18">
        <v>426</v>
      </c>
      <c r="H4272" s="30" t="s">
        <v>2335</v>
      </c>
      <c r="J4272" s="34"/>
    </row>
    <row r="4273" spans="1:10" x14ac:dyDescent="0.25">
      <c r="A4273" s="15">
        <v>41109</v>
      </c>
      <c r="B4273" s="16" t="s">
        <v>1672</v>
      </c>
      <c r="C4273" t="s">
        <v>296</v>
      </c>
      <c r="D4273" t="s">
        <v>783</v>
      </c>
      <c r="E4273" s="17">
        <v>4</v>
      </c>
      <c r="F4273" s="17">
        <v>182</v>
      </c>
      <c r="G4273" s="18">
        <v>728</v>
      </c>
      <c r="H4273" s="30" t="s">
        <v>2335</v>
      </c>
      <c r="J4273" s="34"/>
    </row>
    <row r="4274" spans="1:10" x14ac:dyDescent="0.25">
      <c r="A4274" s="15">
        <v>41110</v>
      </c>
      <c r="B4274" s="16" t="s">
        <v>1673</v>
      </c>
      <c r="C4274" t="s">
        <v>296</v>
      </c>
      <c r="D4274" t="s">
        <v>783</v>
      </c>
      <c r="E4274" s="17">
        <v>1</v>
      </c>
      <c r="F4274" s="17">
        <v>440</v>
      </c>
      <c r="G4274" s="18">
        <v>440</v>
      </c>
      <c r="H4274" s="30" t="s">
        <v>2335</v>
      </c>
      <c r="J4274" s="34"/>
    </row>
    <row r="4275" spans="1:10" ht="30" x14ac:dyDescent="0.25">
      <c r="A4275" s="15">
        <v>41114</v>
      </c>
      <c r="B4275" s="16" t="s">
        <v>1674</v>
      </c>
      <c r="C4275" t="s">
        <v>296</v>
      </c>
      <c r="D4275" t="s">
        <v>783</v>
      </c>
      <c r="E4275" s="17">
        <v>1</v>
      </c>
      <c r="F4275" s="17">
        <v>3197.6</v>
      </c>
      <c r="G4275" s="18">
        <v>3197.6</v>
      </c>
      <c r="H4275" s="30" t="s">
        <v>2335</v>
      </c>
      <c r="J4275" s="34"/>
    </row>
    <row r="4276" spans="1:10" x14ac:dyDescent="0.25">
      <c r="A4276" s="15">
        <v>41116</v>
      </c>
      <c r="B4276" s="16" t="s">
        <v>1675</v>
      </c>
      <c r="C4276" t="s">
        <v>296</v>
      </c>
      <c r="D4276" t="s">
        <v>783</v>
      </c>
      <c r="E4276" s="17">
        <v>1</v>
      </c>
      <c r="F4276" s="17">
        <v>303</v>
      </c>
      <c r="G4276" s="18">
        <v>303</v>
      </c>
      <c r="H4276" s="30" t="s">
        <v>2335</v>
      </c>
      <c r="J4276" s="34"/>
    </row>
    <row r="4277" spans="1:10" x14ac:dyDescent="0.25">
      <c r="A4277" s="15">
        <v>41116</v>
      </c>
      <c r="B4277" s="16" t="s">
        <v>1676</v>
      </c>
      <c r="C4277" t="s">
        <v>296</v>
      </c>
      <c r="D4277" t="s">
        <v>783</v>
      </c>
      <c r="E4277" s="17">
        <v>1</v>
      </c>
      <c r="F4277" s="17">
        <v>324.8</v>
      </c>
      <c r="G4277" s="18">
        <v>324.8</v>
      </c>
      <c r="H4277" s="30" t="s">
        <v>2335</v>
      </c>
      <c r="J4277" s="34"/>
    </row>
    <row r="4278" spans="1:10" x14ac:dyDescent="0.25">
      <c r="A4278" s="15">
        <v>41118</v>
      </c>
      <c r="B4278" s="16" t="s">
        <v>1677</v>
      </c>
      <c r="C4278" t="s">
        <v>296</v>
      </c>
      <c r="D4278" t="s">
        <v>783</v>
      </c>
      <c r="E4278" s="17">
        <v>3</v>
      </c>
      <c r="F4278" s="17">
        <v>183.75</v>
      </c>
      <c r="G4278" s="18">
        <v>551.25</v>
      </c>
      <c r="H4278" s="30" t="s">
        <v>2335</v>
      </c>
      <c r="J4278" s="34"/>
    </row>
    <row r="4279" spans="1:10" x14ac:dyDescent="0.25">
      <c r="A4279" s="15">
        <v>41121</v>
      </c>
      <c r="B4279" s="16" t="s">
        <v>1678</v>
      </c>
      <c r="C4279" t="s">
        <v>296</v>
      </c>
      <c r="D4279" t="s">
        <v>783</v>
      </c>
      <c r="E4279" s="17">
        <v>1</v>
      </c>
      <c r="F4279" s="17">
        <v>1340.46</v>
      </c>
      <c r="G4279" s="18">
        <v>1340.46</v>
      </c>
      <c r="H4279" s="30" t="s">
        <v>2335</v>
      </c>
      <c r="J4279" s="34"/>
    </row>
    <row r="4280" spans="1:10" x14ac:dyDescent="0.25">
      <c r="A4280" s="15">
        <v>41125</v>
      </c>
      <c r="B4280" s="16" t="s">
        <v>1679</v>
      </c>
      <c r="C4280" t="s">
        <v>296</v>
      </c>
      <c r="D4280" t="s">
        <v>783</v>
      </c>
      <c r="E4280" s="17">
        <v>1</v>
      </c>
      <c r="F4280" s="17">
        <v>517.6</v>
      </c>
      <c r="G4280" s="18">
        <v>517.6</v>
      </c>
      <c r="H4280" s="30" t="s">
        <v>2335</v>
      </c>
      <c r="J4280" s="34"/>
    </row>
    <row r="4281" spans="1:10" x14ac:dyDescent="0.25">
      <c r="A4281" s="15">
        <v>41128</v>
      </c>
      <c r="B4281" s="16" t="s">
        <v>1680</v>
      </c>
      <c r="C4281" t="s">
        <v>296</v>
      </c>
      <c r="D4281" t="s">
        <v>86</v>
      </c>
      <c r="E4281" s="17">
        <v>1</v>
      </c>
      <c r="F4281" s="17">
        <v>641.6</v>
      </c>
      <c r="G4281" s="18">
        <v>641.6</v>
      </c>
      <c r="H4281" s="30" t="s">
        <v>2335</v>
      </c>
      <c r="J4281" s="34"/>
    </row>
    <row r="4282" spans="1:10" x14ac:dyDescent="0.25">
      <c r="A4282" s="15">
        <v>41129</v>
      </c>
      <c r="B4282" s="16" t="s">
        <v>1681</v>
      </c>
      <c r="C4282" t="s">
        <v>296</v>
      </c>
      <c r="D4282" t="s">
        <v>783</v>
      </c>
      <c r="E4282" s="17">
        <v>1</v>
      </c>
      <c r="F4282" s="17">
        <v>945</v>
      </c>
      <c r="G4282" s="18">
        <v>945</v>
      </c>
      <c r="H4282" s="30" t="s">
        <v>2335</v>
      </c>
      <c r="J4282" s="34"/>
    </row>
    <row r="4283" spans="1:10" x14ac:dyDescent="0.25">
      <c r="A4283" s="15">
        <v>41130</v>
      </c>
      <c r="B4283" s="16" t="s">
        <v>1682</v>
      </c>
      <c r="C4283" t="s">
        <v>296</v>
      </c>
      <c r="D4283" t="s">
        <v>783</v>
      </c>
      <c r="E4283" s="17">
        <v>1</v>
      </c>
      <c r="F4283" s="17">
        <v>1001</v>
      </c>
      <c r="G4283" s="18">
        <v>1001</v>
      </c>
      <c r="H4283" s="30" t="s">
        <v>2335</v>
      </c>
      <c r="J4283" s="34"/>
    </row>
    <row r="4284" spans="1:10" ht="45" x14ac:dyDescent="0.25">
      <c r="A4284" s="15">
        <v>41147</v>
      </c>
      <c r="B4284" s="16" t="s">
        <v>1683</v>
      </c>
      <c r="C4284" t="s">
        <v>296</v>
      </c>
      <c r="D4284" t="s">
        <v>783</v>
      </c>
      <c r="E4284" s="17">
        <v>1</v>
      </c>
      <c r="F4284" s="17">
        <v>6132</v>
      </c>
      <c r="G4284" s="18">
        <v>6132</v>
      </c>
      <c r="H4284" s="30" t="s">
        <v>2335</v>
      </c>
      <c r="J4284" s="34"/>
    </row>
    <row r="4285" spans="1:10" x14ac:dyDescent="0.25">
      <c r="A4285" s="15">
        <v>41150</v>
      </c>
      <c r="B4285" s="16" t="s">
        <v>1684</v>
      </c>
      <c r="C4285" t="s">
        <v>296</v>
      </c>
      <c r="D4285" t="s">
        <v>783</v>
      </c>
      <c r="E4285" s="17">
        <v>1</v>
      </c>
      <c r="F4285" s="17">
        <v>386.9</v>
      </c>
      <c r="G4285" s="18">
        <v>386.9</v>
      </c>
      <c r="H4285" s="30" t="s">
        <v>2335</v>
      </c>
      <c r="J4285" s="34"/>
    </row>
    <row r="4286" spans="1:10" x14ac:dyDescent="0.25">
      <c r="A4286" s="15">
        <v>41151</v>
      </c>
      <c r="B4286" s="16" t="s">
        <v>1685</v>
      </c>
      <c r="C4286" t="s">
        <v>296</v>
      </c>
      <c r="D4286" t="s">
        <v>783</v>
      </c>
      <c r="E4286" s="17">
        <v>1</v>
      </c>
      <c r="F4286" s="17">
        <v>464.28</v>
      </c>
      <c r="G4286" s="18">
        <v>464.28</v>
      </c>
      <c r="H4286" s="30" t="s">
        <v>2335</v>
      </c>
      <c r="J4286" s="34"/>
    </row>
    <row r="4287" spans="1:10" x14ac:dyDescent="0.25">
      <c r="A4287" s="15">
        <v>41152</v>
      </c>
      <c r="B4287" s="16" t="s">
        <v>1686</v>
      </c>
      <c r="C4287" t="s">
        <v>296</v>
      </c>
      <c r="D4287" t="s">
        <v>783</v>
      </c>
      <c r="E4287" s="17">
        <v>1</v>
      </c>
      <c r="F4287" s="17">
        <v>446</v>
      </c>
      <c r="G4287" s="18">
        <v>446</v>
      </c>
      <c r="H4287" s="30" t="s">
        <v>2335</v>
      </c>
      <c r="J4287" s="34"/>
    </row>
    <row r="4288" spans="1:10" x14ac:dyDescent="0.25">
      <c r="A4288" s="15">
        <v>41152</v>
      </c>
      <c r="B4288" s="16" t="s">
        <v>1687</v>
      </c>
      <c r="C4288" t="s">
        <v>296</v>
      </c>
      <c r="D4288" t="s">
        <v>783</v>
      </c>
      <c r="E4288" s="17">
        <v>1</v>
      </c>
      <c r="F4288" s="17">
        <v>502.97</v>
      </c>
      <c r="G4288" s="18">
        <v>502.97</v>
      </c>
      <c r="H4288" s="30" t="s">
        <v>2335</v>
      </c>
      <c r="J4288" s="34"/>
    </row>
    <row r="4289" spans="1:10" x14ac:dyDescent="0.25">
      <c r="A4289" s="15">
        <v>41152</v>
      </c>
      <c r="B4289" s="16" t="s">
        <v>1688</v>
      </c>
      <c r="C4289" t="s">
        <v>296</v>
      </c>
      <c r="D4289" t="s">
        <v>783</v>
      </c>
      <c r="E4289" s="17">
        <v>1</v>
      </c>
      <c r="F4289" s="17">
        <v>353.55</v>
      </c>
      <c r="G4289" s="18">
        <v>353.55</v>
      </c>
      <c r="H4289" s="30" t="s">
        <v>2335</v>
      </c>
      <c r="J4289" s="34"/>
    </row>
    <row r="4290" spans="1:10" x14ac:dyDescent="0.25">
      <c r="A4290" s="15">
        <v>41165</v>
      </c>
      <c r="B4290" s="16" t="s">
        <v>1689</v>
      </c>
      <c r="C4290" t="s">
        <v>296</v>
      </c>
      <c r="D4290" t="s">
        <v>783</v>
      </c>
      <c r="E4290" s="17">
        <v>1</v>
      </c>
      <c r="F4290" s="17">
        <v>155.85</v>
      </c>
      <c r="G4290" s="18">
        <v>155.85</v>
      </c>
      <c r="H4290" s="30" t="s">
        <v>2335</v>
      </c>
      <c r="J4290" s="34"/>
    </row>
    <row r="4291" spans="1:10" x14ac:dyDescent="0.25">
      <c r="A4291" s="15">
        <v>41165</v>
      </c>
      <c r="B4291" s="16" t="s">
        <v>1690</v>
      </c>
      <c r="C4291" t="s">
        <v>296</v>
      </c>
      <c r="D4291" t="s">
        <v>783</v>
      </c>
      <c r="E4291" s="17">
        <v>1</v>
      </c>
      <c r="F4291" s="17">
        <v>485.35</v>
      </c>
      <c r="G4291" s="18">
        <v>485.35</v>
      </c>
      <c r="H4291" s="30" t="s">
        <v>2335</v>
      </c>
      <c r="J4291" s="34"/>
    </row>
    <row r="4292" spans="1:10" ht="30" x14ac:dyDescent="0.25">
      <c r="A4292" s="15">
        <v>41170</v>
      </c>
      <c r="B4292" s="16" t="s">
        <v>1691</v>
      </c>
      <c r="C4292" t="s">
        <v>296</v>
      </c>
      <c r="D4292" t="s">
        <v>783</v>
      </c>
      <c r="E4292" s="17">
        <v>1</v>
      </c>
      <c r="F4292" s="17">
        <v>3215</v>
      </c>
      <c r="G4292" s="18">
        <v>3215</v>
      </c>
      <c r="H4292" s="30" t="s">
        <v>2335</v>
      </c>
      <c r="J4292" s="34"/>
    </row>
    <row r="4293" spans="1:10" x14ac:dyDescent="0.25">
      <c r="A4293" s="15">
        <v>41171</v>
      </c>
      <c r="B4293" s="16" t="s">
        <v>1692</v>
      </c>
      <c r="C4293" t="s">
        <v>296</v>
      </c>
      <c r="D4293" t="s">
        <v>783</v>
      </c>
      <c r="E4293" s="17">
        <v>2.4</v>
      </c>
      <c r="F4293" s="17">
        <v>189</v>
      </c>
      <c r="G4293" s="18">
        <v>453.6</v>
      </c>
      <c r="H4293" s="30" t="s">
        <v>2335</v>
      </c>
      <c r="J4293" s="34"/>
    </row>
    <row r="4294" spans="1:10" x14ac:dyDescent="0.25">
      <c r="A4294" s="15">
        <v>41173</v>
      </c>
      <c r="B4294" s="16" t="s">
        <v>1693</v>
      </c>
      <c r="C4294" t="s">
        <v>296</v>
      </c>
      <c r="D4294" t="s">
        <v>783</v>
      </c>
      <c r="E4294" s="17">
        <v>1</v>
      </c>
      <c r="F4294" s="17">
        <v>91.83</v>
      </c>
      <c r="G4294" s="18">
        <v>91.83</v>
      </c>
      <c r="H4294" s="30" t="s">
        <v>2335</v>
      </c>
      <c r="J4294" s="34"/>
    </row>
    <row r="4295" spans="1:10" x14ac:dyDescent="0.25">
      <c r="A4295" s="15">
        <v>41184</v>
      </c>
      <c r="B4295" s="16" t="s">
        <v>1694</v>
      </c>
      <c r="C4295" t="s">
        <v>296</v>
      </c>
      <c r="D4295" t="s">
        <v>783</v>
      </c>
      <c r="E4295" s="17">
        <v>1</v>
      </c>
      <c r="F4295" s="17">
        <v>155.85</v>
      </c>
      <c r="G4295" s="18">
        <v>155.85</v>
      </c>
      <c r="H4295" s="30" t="s">
        <v>2335</v>
      </c>
      <c r="J4295" s="34"/>
    </row>
    <row r="4296" spans="1:10" x14ac:dyDescent="0.25">
      <c r="A4296" s="15">
        <v>41191</v>
      </c>
      <c r="B4296" s="16" t="s">
        <v>1695</v>
      </c>
      <c r="C4296" t="s">
        <v>296</v>
      </c>
      <c r="D4296" t="s">
        <v>783</v>
      </c>
      <c r="E4296" s="17">
        <v>1</v>
      </c>
      <c r="F4296" s="17">
        <v>183.45</v>
      </c>
      <c r="G4296" s="18">
        <v>183.45</v>
      </c>
      <c r="H4296" s="30" t="s">
        <v>2335</v>
      </c>
      <c r="J4296" s="34"/>
    </row>
    <row r="4297" spans="1:10" x14ac:dyDescent="0.25">
      <c r="A4297" s="15">
        <v>41191</v>
      </c>
      <c r="B4297" s="16" t="s">
        <v>1696</v>
      </c>
      <c r="C4297" t="s">
        <v>296</v>
      </c>
      <c r="D4297" t="s">
        <v>783</v>
      </c>
      <c r="E4297" s="17">
        <v>1</v>
      </c>
      <c r="F4297" s="17">
        <v>465.6</v>
      </c>
      <c r="G4297" s="18">
        <v>465.6</v>
      </c>
      <c r="H4297" s="30" t="s">
        <v>2335</v>
      </c>
      <c r="J4297" s="34"/>
    </row>
    <row r="4298" spans="1:10" x14ac:dyDescent="0.25">
      <c r="A4298" s="15">
        <v>41191</v>
      </c>
      <c r="B4298" s="16" t="s">
        <v>1697</v>
      </c>
      <c r="C4298" t="s">
        <v>296</v>
      </c>
      <c r="D4298" t="s">
        <v>783</v>
      </c>
      <c r="E4298" s="17">
        <v>1</v>
      </c>
      <c r="F4298" s="17">
        <v>159</v>
      </c>
      <c r="G4298" s="18">
        <v>159</v>
      </c>
      <c r="H4298" s="30" t="s">
        <v>2335</v>
      </c>
      <c r="J4298" s="34"/>
    </row>
    <row r="4299" spans="1:10" x14ac:dyDescent="0.25">
      <c r="A4299" s="19" t="s">
        <v>781</v>
      </c>
      <c r="B4299" s="20" t="s">
        <v>1698</v>
      </c>
      <c r="C4299" s="21" t="s">
        <v>781</v>
      </c>
      <c r="D4299" s="21" t="s">
        <v>781</v>
      </c>
      <c r="E4299" s="22"/>
      <c r="F4299" s="22"/>
      <c r="G4299" s="23">
        <v>59600.368000000002</v>
      </c>
      <c r="H4299" s="31" t="s">
        <v>2285</v>
      </c>
      <c r="J4299" s="34"/>
    </row>
    <row r="4300" spans="1:10" x14ac:dyDescent="0.25">
      <c r="A4300" s="15" t="s">
        <v>781</v>
      </c>
      <c r="B4300" s="16" t="s">
        <v>781</v>
      </c>
      <c r="C4300" t="s">
        <v>781</v>
      </c>
      <c r="D4300" t="s">
        <v>781</v>
      </c>
      <c r="E4300" s="17"/>
      <c r="F4300" s="17"/>
      <c r="G4300" s="18"/>
      <c r="H4300" s="30" t="s">
        <v>2285</v>
      </c>
      <c r="J4300" s="34"/>
    </row>
    <row r="4301" spans="1:10" x14ac:dyDescent="0.25">
      <c r="A4301" s="12" t="s">
        <v>781</v>
      </c>
      <c r="B4301" s="11" t="s">
        <v>1903</v>
      </c>
      <c r="C4301" s="10" t="s">
        <v>781</v>
      </c>
      <c r="D4301" s="10" t="s">
        <v>781</v>
      </c>
      <c r="E4301" s="13"/>
      <c r="F4301" s="13"/>
      <c r="G4301" s="14"/>
      <c r="H4301" s="29" t="s">
        <v>2285</v>
      </c>
      <c r="J4301" s="34"/>
    </row>
    <row r="4302" spans="1:10" x14ac:dyDescent="0.25">
      <c r="A4302" s="15">
        <v>40873</v>
      </c>
      <c r="B4302" s="16" t="s">
        <v>1699</v>
      </c>
      <c r="C4302" t="s">
        <v>1700</v>
      </c>
      <c r="D4302" t="s">
        <v>783</v>
      </c>
      <c r="E4302" s="17">
        <v>1</v>
      </c>
      <c r="F4302" s="17">
        <v>514.4</v>
      </c>
      <c r="G4302" s="18">
        <v>514.4</v>
      </c>
      <c r="H4302" s="30" t="s">
        <v>2336</v>
      </c>
      <c r="J4302" s="34"/>
    </row>
    <row r="4303" spans="1:10" x14ac:dyDescent="0.25">
      <c r="A4303" s="15">
        <v>41092</v>
      </c>
      <c r="B4303" s="16" t="s">
        <v>1701</v>
      </c>
      <c r="C4303" t="s">
        <v>1702</v>
      </c>
      <c r="D4303" t="s">
        <v>783</v>
      </c>
      <c r="E4303" s="17">
        <v>1</v>
      </c>
      <c r="F4303" s="17">
        <v>521.30999999999995</v>
      </c>
      <c r="G4303" s="18">
        <v>521.30999999999995</v>
      </c>
      <c r="H4303" s="30" t="s">
        <v>2336</v>
      </c>
      <c r="J4303" s="34"/>
    </row>
    <row r="4304" spans="1:10" x14ac:dyDescent="0.25">
      <c r="A4304" s="15">
        <v>41094</v>
      </c>
      <c r="B4304" s="16" t="s">
        <v>1703</v>
      </c>
      <c r="C4304" t="s">
        <v>1702</v>
      </c>
      <c r="D4304" t="s">
        <v>783</v>
      </c>
      <c r="E4304" s="17">
        <v>1</v>
      </c>
      <c r="F4304" s="17">
        <v>482.91</v>
      </c>
      <c r="G4304" s="18">
        <v>482.91</v>
      </c>
      <c r="H4304" s="30" t="s">
        <v>2336</v>
      </c>
      <c r="J4304" s="34"/>
    </row>
    <row r="4305" spans="1:10" x14ac:dyDescent="0.25">
      <c r="A4305" s="19" t="s">
        <v>781</v>
      </c>
      <c r="B4305" s="20" t="s">
        <v>1704</v>
      </c>
      <c r="C4305" s="21" t="s">
        <v>781</v>
      </c>
      <c r="D4305" s="21" t="s">
        <v>781</v>
      </c>
      <c r="E4305" s="22"/>
      <c r="F4305" s="22"/>
      <c r="G4305" s="23">
        <v>1518.62</v>
      </c>
      <c r="H4305" s="31" t="s">
        <v>2285</v>
      </c>
      <c r="J4305" s="34"/>
    </row>
    <row r="4306" spans="1:10" x14ac:dyDescent="0.25">
      <c r="A4306" s="15" t="s">
        <v>781</v>
      </c>
      <c r="B4306" s="16" t="s">
        <v>781</v>
      </c>
      <c r="C4306" t="s">
        <v>781</v>
      </c>
      <c r="D4306" t="s">
        <v>781</v>
      </c>
      <c r="E4306" s="17"/>
      <c r="F4306" s="17"/>
      <c r="G4306" s="18"/>
      <c r="H4306" s="30" t="s">
        <v>2285</v>
      </c>
      <c r="J4306" s="34"/>
    </row>
    <row r="4307" spans="1:10" x14ac:dyDescent="0.25">
      <c r="A4307" s="12" t="s">
        <v>781</v>
      </c>
      <c r="B4307" s="11" t="s">
        <v>1904</v>
      </c>
      <c r="C4307" s="10" t="s">
        <v>781</v>
      </c>
      <c r="D4307" s="10" t="s">
        <v>781</v>
      </c>
      <c r="E4307" s="13"/>
      <c r="F4307" s="13"/>
      <c r="G4307" s="14"/>
      <c r="H4307" s="29" t="s">
        <v>2285</v>
      </c>
      <c r="J4307" s="34"/>
    </row>
    <row r="4308" spans="1:10" x14ac:dyDescent="0.25">
      <c r="A4308" s="15">
        <v>40866</v>
      </c>
      <c r="B4308" s="16" t="s">
        <v>1705</v>
      </c>
      <c r="C4308" t="s">
        <v>1113</v>
      </c>
      <c r="D4308" t="s">
        <v>783</v>
      </c>
      <c r="E4308" s="17">
        <v>1</v>
      </c>
      <c r="F4308" s="17">
        <v>4036.36</v>
      </c>
      <c r="G4308" s="18">
        <v>4036.36</v>
      </c>
      <c r="H4308" s="30" t="s">
        <v>2337</v>
      </c>
      <c r="J4308" s="34"/>
    </row>
    <row r="4309" spans="1:10" ht="45" x14ac:dyDescent="0.25">
      <c r="A4309" s="15">
        <v>40968</v>
      </c>
      <c r="B4309" s="16" t="s">
        <v>1706</v>
      </c>
      <c r="C4309" t="s">
        <v>296</v>
      </c>
      <c r="D4309" t="s">
        <v>783</v>
      </c>
      <c r="E4309" s="17">
        <v>1</v>
      </c>
      <c r="F4309" s="17">
        <v>7948.8</v>
      </c>
      <c r="G4309" s="18">
        <v>7948.8</v>
      </c>
      <c r="H4309" s="30" t="s">
        <v>2337</v>
      </c>
      <c r="J4309" s="34"/>
    </row>
    <row r="4310" spans="1:10" x14ac:dyDescent="0.25">
      <c r="A4310" s="15">
        <v>40968</v>
      </c>
      <c r="B4310" s="16" t="s">
        <v>1707</v>
      </c>
      <c r="C4310" t="s">
        <v>976</v>
      </c>
      <c r="D4310" t="s">
        <v>783</v>
      </c>
      <c r="E4310" s="17">
        <v>1</v>
      </c>
      <c r="F4310" s="17">
        <v>362.72</v>
      </c>
      <c r="G4310" s="18">
        <v>362.72</v>
      </c>
      <c r="H4310" s="30" t="s">
        <v>2337</v>
      </c>
      <c r="J4310" s="34"/>
    </row>
    <row r="4311" spans="1:10" x14ac:dyDescent="0.25">
      <c r="A4311" s="15">
        <v>41009</v>
      </c>
      <c r="B4311" s="16" t="s">
        <v>1708</v>
      </c>
      <c r="C4311" t="s">
        <v>296</v>
      </c>
      <c r="D4311" t="s">
        <v>783</v>
      </c>
      <c r="E4311" s="17">
        <v>1</v>
      </c>
      <c r="F4311" s="17">
        <v>1663.2</v>
      </c>
      <c r="G4311" s="18">
        <v>1663.2</v>
      </c>
      <c r="H4311" s="30" t="s">
        <v>2337</v>
      </c>
      <c r="J4311" s="34"/>
    </row>
    <row r="4312" spans="1:10" x14ac:dyDescent="0.25">
      <c r="A4312" s="15">
        <v>41009</v>
      </c>
      <c r="B4312" s="16" t="s">
        <v>1709</v>
      </c>
      <c r="C4312" t="s">
        <v>296</v>
      </c>
      <c r="D4312" t="s">
        <v>783</v>
      </c>
      <c r="E4312" s="17">
        <v>1</v>
      </c>
      <c r="F4312" s="17">
        <v>3652.8</v>
      </c>
      <c r="G4312" s="18">
        <v>3652.8</v>
      </c>
      <c r="H4312" s="30" t="s">
        <v>2337</v>
      </c>
      <c r="J4312" s="34"/>
    </row>
    <row r="4313" spans="1:10" x14ac:dyDescent="0.25">
      <c r="A4313" s="15">
        <v>41022</v>
      </c>
      <c r="B4313" s="16" t="s">
        <v>1710</v>
      </c>
      <c r="C4313" t="s">
        <v>976</v>
      </c>
      <c r="D4313" t="s">
        <v>783</v>
      </c>
      <c r="E4313" s="17">
        <v>1</v>
      </c>
      <c r="F4313" s="17">
        <v>272.04000000000002</v>
      </c>
      <c r="G4313" s="18">
        <v>272.04000000000002</v>
      </c>
      <c r="H4313" s="30" t="s">
        <v>2337</v>
      </c>
      <c r="J4313" s="34"/>
    </row>
    <row r="4314" spans="1:10" ht="30" x14ac:dyDescent="0.25">
      <c r="A4314" s="15">
        <v>41023</v>
      </c>
      <c r="B4314" s="16" t="s">
        <v>1711</v>
      </c>
      <c r="C4314" t="s">
        <v>296</v>
      </c>
      <c r="D4314" t="s">
        <v>783</v>
      </c>
      <c r="E4314" s="17">
        <v>1</v>
      </c>
      <c r="F4314" s="17">
        <v>3029.1</v>
      </c>
      <c r="G4314" s="18">
        <v>3029.1</v>
      </c>
      <c r="H4314" s="30" t="s">
        <v>2337</v>
      </c>
      <c r="J4314" s="34"/>
    </row>
    <row r="4315" spans="1:10" x14ac:dyDescent="0.25">
      <c r="A4315" s="15">
        <v>41030</v>
      </c>
      <c r="B4315" s="16" t="s">
        <v>1712</v>
      </c>
      <c r="C4315" t="s">
        <v>1713</v>
      </c>
      <c r="D4315" t="s">
        <v>783</v>
      </c>
      <c r="E4315" s="17">
        <v>1</v>
      </c>
      <c r="F4315" s="17">
        <v>18.13</v>
      </c>
      <c r="G4315" s="18">
        <v>18.13</v>
      </c>
      <c r="H4315" s="30" t="s">
        <v>2337</v>
      </c>
      <c r="J4315" s="34"/>
    </row>
    <row r="4316" spans="1:10" x14ac:dyDescent="0.25">
      <c r="A4316" s="15">
        <v>41064</v>
      </c>
      <c r="B4316" s="16" t="s">
        <v>1714</v>
      </c>
      <c r="C4316" t="s">
        <v>976</v>
      </c>
      <c r="D4316" t="s">
        <v>783</v>
      </c>
      <c r="E4316" s="17">
        <v>1</v>
      </c>
      <c r="F4316" s="17">
        <v>272.04500000000002</v>
      </c>
      <c r="G4316" s="18">
        <v>272.04500000000002</v>
      </c>
      <c r="H4316" s="30" t="s">
        <v>2337</v>
      </c>
      <c r="J4316" s="34"/>
    </row>
    <row r="4317" spans="1:10" x14ac:dyDescent="0.25">
      <c r="A4317" s="15">
        <v>41156</v>
      </c>
      <c r="B4317" s="16" t="s">
        <v>1715</v>
      </c>
      <c r="C4317" t="s">
        <v>976</v>
      </c>
      <c r="D4317" t="s">
        <v>783</v>
      </c>
      <c r="E4317" s="17">
        <v>1</v>
      </c>
      <c r="F4317" s="17">
        <v>226.72</v>
      </c>
      <c r="G4317" s="18">
        <v>226.72</v>
      </c>
      <c r="H4317" s="30" t="s">
        <v>2337</v>
      </c>
      <c r="J4317" s="34"/>
    </row>
    <row r="4318" spans="1:10" x14ac:dyDescent="0.25">
      <c r="A4318" s="15">
        <v>41169</v>
      </c>
      <c r="B4318" s="16" t="s">
        <v>1716</v>
      </c>
      <c r="C4318" t="s">
        <v>976</v>
      </c>
      <c r="D4318" t="s">
        <v>783</v>
      </c>
      <c r="E4318" s="17">
        <v>1</v>
      </c>
      <c r="F4318" s="17">
        <v>272.04000000000002</v>
      </c>
      <c r="G4318" s="18">
        <v>272.04000000000002</v>
      </c>
      <c r="H4318" s="30" t="s">
        <v>2337</v>
      </c>
      <c r="J4318" s="34"/>
    </row>
    <row r="4319" spans="1:10" x14ac:dyDescent="0.25">
      <c r="A4319" s="19" t="s">
        <v>781</v>
      </c>
      <c r="B4319" s="20" t="s">
        <v>1717</v>
      </c>
      <c r="C4319" s="21" t="s">
        <v>781</v>
      </c>
      <c r="D4319" s="21" t="s">
        <v>781</v>
      </c>
      <c r="E4319" s="22"/>
      <c r="F4319" s="22"/>
      <c r="G4319" s="23">
        <v>21753.955000000002</v>
      </c>
      <c r="H4319" s="31" t="s">
        <v>2285</v>
      </c>
      <c r="J4319" s="34"/>
    </row>
    <row r="4320" spans="1:10" x14ac:dyDescent="0.25">
      <c r="A4320" s="15" t="s">
        <v>781</v>
      </c>
      <c r="B4320" s="16" t="s">
        <v>781</v>
      </c>
      <c r="C4320" t="s">
        <v>781</v>
      </c>
      <c r="D4320" t="s">
        <v>781</v>
      </c>
      <c r="E4320" s="17"/>
      <c r="F4320" s="17"/>
      <c r="G4320" s="18"/>
      <c r="H4320" s="30" t="s">
        <v>2285</v>
      </c>
      <c r="J4320" s="34"/>
    </row>
    <row r="4321" spans="1:10" x14ac:dyDescent="0.25">
      <c r="A4321" s="12" t="s">
        <v>781</v>
      </c>
      <c r="B4321" s="11" t="s">
        <v>1905</v>
      </c>
      <c r="C4321" s="10" t="s">
        <v>781</v>
      </c>
      <c r="D4321" s="10" t="s">
        <v>781</v>
      </c>
      <c r="E4321" s="13"/>
      <c r="F4321" s="13"/>
      <c r="G4321" s="14"/>
      <c r="H4321" s="29" t="s">
        <v>2285</v>
      </c>
      <c r="J4321" s="34"/>
    </row>
    <row r="4322" spans="1:10" x14ac:dyDescent="0.25">
      <c r="A4322" s="15">
        <v>41020</v>
      </c>
      <c r="B4322" s="16" t="s">
        <v>1718</v>
      </c>
      <c r="C4322" t="s">
        <v>1199</v>
      </c>
      <c r="D4322" t="s">
        <v>783</v>
      </c>
      <c r="E4322" s="17">
        <v>1</v>
      </c>
      <c r="F4322" s="17">
        <v>6089.32</v>
      </c>
      <c r="G4322" s="18">
        <v>6089.32</v>
      </c>
      <c r="H4322" s="30" t="s">
        <v>2338</v>
      </c>
      <c r="J4322" s="34"/>
    </row>
    <row r="4323" spans="1:10" x14ac:dyDescent="0.25">
      <c r="A4323" s="15">
        <v>41060</v>
      </c>
      <c r="B4323" s="16" t="s">
        <v>1719</v>
      </c>
      <c r="C4323" t="s">
        <v>1199</v>
      </c>
      <c r="D4323" t="s">
        <v>783</v>
      </c>
      <c r="E4323" s="17">
        <v>22.15</v>
      </c>
      <c r="F4323" s="17">
        <v>240.21</v>
      </c>
      <c r="G4323" s="18">
        <v>5320.6514999999999</v>
      </c>
      <c r="H4323" s="30" t="s">
        <v>2338</v>
      </c>
      <c r="J4323" s="34"/>
    </row>
    <row r="4324" spans="1:10" x14ac:dyDescent="0.25">
      <c r="A4324" s="15">
        <v>41079</v>
      </c>
      <c r="B4324" s="16" t="s">
        <v>1720</v>
      </c>
      <c r="C4324" t="s">
        <v>1713</v>
      </c>
      <c r="D4324" t="s">
        <v>783</v>
      </c>
      <c r="E4324" s="17">
        <v>1</v>
      </c>
      <c r="F4324" s="17">
        <v>90.68</v>
      </c>
      <c r="G4324" s="18">
        <v>90.68</v>
      </c>
      <c r="H4324" s="30" t="s">
        <v>2338</v>
      </c>
      <c r="J4324" s="34"/>
    </row>
    <row r="4325" spans="1:10" x14ac:dyDescent="0.25">
      <c r="A4325" s="15">
        <v>41079</v>
      </c>
      <c r="B4325" s="16" t="s">
        <v>1721</v>
      </c>
      <c r="C4325" t="s">
        <v>1713</v>
      </c>
      <c r="D4325" t="s">
        <v>783</v>
      </c>
      <c r="E4325" s="17">
        <v>1</v>
      </c>
      <c r="F4325" s="17">
        <v>272.04500000000002</v>
      </c>
      <c r="G4325" s="18">
        <v>272.04500000000002</v>
      </c>
      <c r="H4325" s="30" t="s">
        <v>2338</v>
      </c>
      <c r="J4325" s="34"/>
    </row>
    <row r="4326" spans="1:10" x14ac:dyDescent="0.25">
      <c r="A4326" s="15">
        <v>41143</v>
      </c>
      <c r="B4326" s="16" t="s">
        <v>1722</v>
      </c>
      <c r="C4326" t="s">
        <v>976</v>
      </c>
      <c r="D4326" t="s">
        <v>783</v>
      </c>
      <c r="E4326" s="17">
        <v>1</v>
      </c>
      <c r="F4326" s="17">
        <v>634.77</v>
      </c>
      <c r="G4326" s="18">
        <v>634.77</v>
      </c>
      <c r="H4326" s="30" t="s">
        <v>2338</v>
      </c>
      <c r="J4326" s="34"/>
    </row>
    <row r="4327" spans="1:10" ht="30" x14ac:dyDescent="0.25">
      <c r="A4327" s="15">
        <v>41191</v>
      </c>
      <c r="B4327" s="16" t="s">
        <v>1723</v>
      </c>
      <c r="C4327" t="s">
        <v>1702</v>
      </c>
      <c r="D4327" t="s">
        <v>783</v>
      </c>
      <c r="E4327" s="17">
        <v>1</v>
      </c>
      <c r="F4327" s="17">
        <v>1991</v>
      </c>
      <c r="G4327" s="18">
        <v>1991</v>
      </c>
      <c r="H4327" s="30" t="s">
        <v>2338</v>
      </c>
      <c r="J4327" s="34"/>
    </row>
    <row r="4328" spans="1:10" x14ac:dyDescent="0.25">
      <c r="A4328" s="19" t="s">
        <v>781</v>
      </c>
      <c r="B4328" s="20" t="s">
        <v>1724</v>
      </c>
      <c r="C4328" s="21" t="s">
        <v>781</v>
      </c>
      <c r="D4328" s="21" t="s">
        <v>781</v>
      </c>
      <c r="E4328" s="22"/>
      <c r="F4328" s="22"/>
      <c r="G4328" s="23">
        <v>14398.4665</v>
      </c>
      <c r="H4328" s="31" t="s">
        <v>2285</v>
      </c>
      <c r="J4328" s="34"/>
    </row>
    <row r="4329" spans="1:10" x14ac:dyDescent="0.25">
      <c r="A4329" s="15" t="s">
        <v>781</v>
      </c>
      <c r="B4329" s="16" t="s">
        <v>781</v>
      </c>
      <c r="C4329" t="s">
        <v>781</v>
      </c>
      <c r="D4329" t="s">
        <v>781</v>
      </c>
      <c r="E4329" s="17"/>
      <c r="F4329" s="17"/>
      <c r="G4329" s="18"/>
      <c r="H4329" s="30" t="s">
        <v>2285</v>
      </c>
      <c r="J4329" s="34"/>
    </row>
    <row r="4330" spans="1:10" x14ac:dyDescent="0.25">
      <c r="A4330" s="12" t="s">
        <v>781</v>
      </c>
      <c r="B4330" s="11" t="s">
        <v>1906</v>
      </c>
      <c r="C4330" s="10" t="s">
        <v>781</v>
      </c>
      <c r="D4330" s="10" t="s">
        <v>781</v>
      </c>
      <c r="E4330" s="13"/>
      <c r="F4330" s="13"/>
      <c r="G4330" s="14"/>
      <c r="H4330" s="29" t="s">
        <v>2285</v>
      </c>
      <c r="J4330" s="34"/>
    </row>
    <row r="4331" spans="1:10" x14ac:dyDescent="0.25">
      <c r="A4331" s="15">
        <v>40865</v>
      </c>
      <c r="B4331" s="16" t="s">
        <v>1725</v>
      </c>
      <c r="C4331" t="s">
        <v>1004</v>
      </c>
      <c r="D4331" t="s">
        <v>783</v>
      </c>
      <c r="E4331" s="17">
        <v>7</v>
      </c>
      <c r="F4331" s="17">
        <v>170</v>
      </c>
      <c r="G4331" s="18">
        <v>1190</v>
      </c>
      <c r="H4331" s="30" t="s">
        <v>2339</v>
      </c>
      <c r="J4331" s="34"/>
    </row>
    <row r="4332" spans="1:10" x14ac:dyDescent="0.25">
      <c r="A4332" s="15">
        <v>40866</v>
      </c>
      <c r="B4332" s="16" t="s">
        <v>1726</v>
      </c>
      <c r="C4332" t="s">
        <v>1199</v>
      </c>
      <c r="D4332" t="s">
        <v>783</v>
      </c>
      <c r="E4332" s="17">
        <v>5</v>
      </c>
      <c r="F4332" s="17">
        <v>170</v>
      </c>
      <c r="G4332" s="18">
        <v>850</v>
      </c>
      <c r="H4332" s="30" t="s">
        <v>2339</v>
      </c>
      <c r="J4332" s="34"/>
    </row>
    <row r="4333" spans="1:10" x14ac:dyDescent="0.25">
      <c r="A4333" s="15">
        <v>40868</v>
      </c>
      <c r="B4333" s="16" t="s">
        <v>1727</v>
      </c>
      <c r="C4333" t="s">
        <v>1199</v>
      </c>
      <c r="D4333" t="s">
        <v>783</v>
      </c>
      <c r="E4333" s="17">
        <v>1</v>
      </c>
      <c r="F4333" s="17">
        <v>1209</v>
      </c>
      <c r="G4333" s="18">
        <v>1209</v>
      </c>
      <c r="H4333" s="30" t="s">
        <v>2339</v>
      </c>
      <c r="J4333" s="34"/>
    </row>
    <row r="4334" spans="1:10" x14ac:dyDescent="0.25">
      <c r="A4334" s="15">
        <v>40955</v>
      </c>
      <c r="B4334" s="16" t="s">
        <v>1728</v>
      </c>
      <c r="C4334" t="s">
        <v>1004</v>
      </c>
      <c r="D4334" t="s">
        <v>783</v>
      </c>
      <c r="E4334" s="17">
        <v>1</v>
      </c>
      <c r="F4334" s="17">
        <v>172.9</v>
      </c>
      <c r="G4334" s="18">
        <v>172.9</v>
      </c>
      <c r="H4334" s="30" t="s">
        <v>2339</v>
      </c>
      <c r="J4334" s="34"/>
    </row>
    <row r="4335" spans="1:10" x14ac:dyDescent="0.25">
      <c r="A4335" s="15">
        <v>40956</v>
      </c>
      <c r="B4335" s="16" t="s">
        <v>1729</v>
      </c>
      <c r="C4335" t="s">
        <v>1004</v>
      </c>
      <c r="D4335" t="s">
        <v>783</v>
      </c>
      <c r="E4335" s="17">
        <v>1</v>
      </c>
      <c r="F4335" s="17">
        <v>265.61</v>
      </c>
      <c r="G4335" s="18">
        <v>265.61</v>
      </c>
      <c r="H4335" s="30" t="s">
        <v>2339</v>
      </c>
      <c r="J4335" s="34"/>
    </row>
    <row r="4336" spans="1:10" x14ac:dyDescent="0.25">
      <c r="A4336" s="15">
        <v>40959</v>
      </c>
      <c r="B4336" s="16" t="s">
        <v>1730</v>
      </c>
      <c r="C4336" t="s">
        <v>1004</v>
      </c>
      <c r="D4336" t="s">
        <v>783</v>
      </c>
      <c r="E4336" s="17">
        <v>1</v>
      </c>
      <c r="F4336" s="17">
        <v>242.43</v>
      </c>
      <c r="G4336" s="18">
        <v>242.43</v>
      </c>
      <c r="H4336" s="30" t="s">
        <v>2339</v>
      </c>
      <c r="J4336" s="34"/>
    </row>
    <row r="4337" spans="1:10" x14ac:dyDescent="0.25">
      <c r="A4337" s="15">
        <v>40980</v>
      </c>
      <c r="B4337" s="16" t="s">
        <v>1731</v>
      </c>
      <c r="C4337" t="s">
        <v>1004</v>
      </c>
      <c r="D4337" t="s">
        <v>783</v>
      </c>
      <c r="E4337" s="17">
        <v>1</v>
      </c>
      <c r="F4337" s="17">
        <v>181</v>
      </c>
      <c r="G4337" s="18">
        <v>181</v>
      </c>
      <c r="H4337" s="30" t="s">
        <v>2339</v>
      </c>
      <c r="J4337" s="34"/>
    </row>
    <row r="4338" spans="1:10" x14ac:dyDescent="0.25">
      <c r="A4338" s="19" t="s">
        <v>781</v>
      </c>
      <c r="B4338" s="20" t="s">
        <v>1732</v>
      </c>
      <c r="C4338" s="21" t="s">
        <v>781</v>
      </c>
      <c r="D4338" s="21" t="s">
        <v>781</v>
      </c>
      <c r="E4338" s="22"/>
      <c r="F4338" s="22"/>
      <c r="G4338" s="23">
        <v>4110.9399999999996</v>
      </c>
      <c r="H4338" s="31" t="s">
        <v>2285</v>
      </c>
      <c r="J4338" s="34"/>
    </row>
    <row r="4339" spans="1:10" x14ac:dyDescent="0.25">
      <c r="A4339" s="15" t="s">
        <v>781</v>
      </c>
      <c r="B4339" s="16" t="s">
        <v>781</v>
      </c>
      <c r="C4339" t="s">
        <v>781</v>
      </c>
      <c r="D4339" t="s">
        <v>781</v>
      </c>
      <c r="E4339" s="17"/>
      <c r="F4339" s="17"/>
      <c r="G4339" s="18"/>
      <c r="H4339" s="30" t="s">
        <v>2285</v>
      </c>
      <c r="J4339" s="34"/>
    </row>
    <row r="4340" spans="1:10" x14ac:dyDescent="0.25">
      <c r="A4340" s="12" t="s">
        <v>781</v>
      </c>
      <c r="B4340" s="11" t="s">
        <v>1907</v>
      </c>
      <c r="C4340" s="10" t="s">
        <v>781</v>
      </c>
      <c r="D4340" s="10" t="s">
        <v>781</v>
      </c>
      <c r="E4340" s="13"/>
      <c r="F4340" s="13"/>
      <c r="G4340" s="14"/>
      <c r="H4340" s="29" t="s">
        <v>2285</v>
      </c>
      <c r="J4340" s="34"/>
    </row>
    <row r="4341" spans="1:10" x14ac:dyDescent="0.25">
      <c r="A4341" s="15">
        <v>41023</v>
      </c>
      <c r="B4341" s="16" t="s">
        <v>1733</v>
      </c>
      <c r="C4341" t="s">
        <v>1734</v>
      </c>
      <c r="D4341" t="s">
        <v>783</v>
      </c>
      <c r="E4341" s="17">
        <v>521.51</v>
      </c>
      <c r="F4341" s="17">
        <v>30</v>
      </c>
      <c r="G4341" s="18">
        <v>15645.3</v>
      </c>
      <c r="H4341" s="30" t="s">
        <v>2340</v>
      </c>
      <c r="J4341" s="34"/>
    </row>
    <row r="4342" spans="1:10" x14ac:dyDescent="0.25">
      <c r="A4342" s="15">
        <v>41023</v>
      </c>
      <c r="B4342" s="16" t="s">
        <v>1735</v>
      </c>
      <c r="C4342" t="s">
        <v>1734</v>
      </c>
      <c r="D4342" t="s">
        <v>783</v>
      </c>
      <c r="E4342" s="17">
        <v>296.97000000000003</v>
      </c>
      <c r="F4342" s="17">
        <v>30</v>
      </c>
      <c r="G4342" s="18">
        <v>8909.1</v>
      </c>
      <c r="H4342" s="30" t="s">
        <v>2340</v>
      </c>
      <c r="J4342" s="34"/>
    </row>
    <row r="4343" spans="1:10" x14ac:dyDescent="0.25">
      <c r="A4343" s="15">
        <v>41029</v>
      </c>
      <c r="B4343" s="16" t="s">
        <v>1736</v>
      </c>
      <c r="C4343" t="s">
        <v>1737</v>
      </c>
      <c r="D4343" t="s">
        <v>783</v>
      </c>
      <c r="E4343" s="17">
        <v>737.8</v>
      </c>
      <c r="F4343" s="17">
        <v>31.9</v>
      </c>
      <c r="G4343" s="18">
        <v>23535.82</v>
      </c>
      <c r="H4343" s="30" t="s">
        <v>2340</v>
      </c>
      <c r="J4343" s="34"/>
    </row>
    <row r="4344" spans="1:10" x14ac:dyDescent="0.25">
      <c r="A4344" s="15">
        <v>41029</v>
      </c>
      <c r="B4344" s="16" t="s">
        <v>1738</v>
      </c>
      <c r="C4344" t="s">
        <v>1734</v>
      </c>
      <c r="D4344" t="s">
        <v>783</v>
      </c>
      <c r="E4344" s="17">
        <v>147.22</v>
      </c>
      <c r="F4344" s="17">
        <v>30</v>
      </c>
      <c r="G4344" s="18">
        <v>4416.6000000000004</v>
      </c>
      <c r="H4344" s="30" t="s">
        <v>2340</v>
      </c>
      <c r="J4344" s="34"/>
    </row>
    <row r="4345" spans="1:10" x14ac:dyDescent="0.25">
      <c r="A4345" s="15">
        <v>41029</v>
      </c>
      <c r="B4345" s="16" t="s">
        <v>1739</v>
      </c>
      <c r="C4345" t="s">
        <v>1734</v>
      </c>
      <c r="D4345" t="s">
        <v>783</v>
      </c>
      <c r="E4345" s="17">
        <v>29.37</v>
      </c>
      <c r="F4345" s="17">
        <v>30</v>
      </c>
      <c r="G4345" s="18">
        <v>881.1</v>
      </c>
      <c r="H4345" s="30" t="s">
        <v>2340</v>
      </c>
      <c r="J4345" s="34"/>
    </row>
    <row r="4346" spans="1:10" x14ac:dyDescent="0.25">
      <c r="A4346" s="15">
        <v>41046</v>
      </c>
      <c r="B4346" s="16" t="s">
        <v>1740</v>
      </c>
      <c r="C4346" t="s">
        <v>1734</v>
      </c>
      <c r="D4346" t="s">
        <v>783</v>
      </c>
      <c r="E4346" s="17">
        <v>87.97</v>
      </c>
      <c r="F4346" s="17">
        <v>30</v>
      </c>
      <c r="G4346" s="18">
        <v>2639.1</v>
      </c>
      <c r="H4346" s="30" t="s">
        <v>2340</v>
      </c>
      <c r="J4346" s="34"/>
    </row>
    <row r="4347" spans="1:10" x14ac:dyDescent="0.25">
      <c r="A4347" s="15">
        <v>41046</v>
      </c>
      <c r="B4347" s="16" t="s">
        <v>1741</v>
      </c>
      <c r="C4347" t="s">
        <v>1734</v>
      </c>
      <c r="D4347" t="s">
        <v>783</v>
      </c>
      <c r="E4347" s="17">
        <v>147.59</v>
      </c>
      <c r="F4347" s="17">
        <v>30</v>
      </c>
      <c r="G4347" s="18">
        <v>4427.7</v>
      </c>
      <c r="H4347" s="30" t="s">
        <v>2340</v>
      </c>
      <c r="J4347" s="34"/>
    </row>
    <row r="4348" spans="1:10" x14ac:dyDescent="0.25">
      <c r="A4348" s="15">
        <v>41047</v>
      </c>
      <c r="B4348" s="16" t="s">
        <v>1742</v>
      </c>
      <c r="C4348" t="s">
        <v>1734</v>
      </c>
      <c r="D4348" t="s">
        <v>783</v>
      </c>
      <c r="E4348" s="17">
        <v>25.16</v>
      </c>
      <c r="F4348" s="17">
        <v>30</v>
      </c>
      <c r="G4348" s="18">
        <v>754.8</v>
      </c>
      <c r="H4348" s="30" t="s">
        <v>2340</v>
      </c>
      <c r="J4348" s="34"/>
    </row>
    <row r="4349" spans="1:10" x14ac:dyDescent="0.25">
      <c r="A4349" s="15">
        <v>41050</v>
      </c>
      <c r="B4349" s="16" t="s">
        <v>1743</v>
      </c>
      <c r="C4349" t="s">
        <v>1734</v>
      </c>
      <c r="D4349" t="s">
        <v>783</v>
      </c>
      <c r="E4349" s="17">
        <v>107.64</v>
      </c>
      <c r="F4349" s="17">
        <v>19.399999999999999</v>
      </c>
      <c r="G4349" s="18">
        <v>2088.2159999999999</v>
      </c>
      <c r="H4349" s="30" t="s">
        <v>2340</v>
      </c>
      <c r="J4349" s="34"/>
    </row>
    <row r="4350" spans="1:10" x14ac:dyDescent="0.25">
      <c r="A4350" s="15">
        <v>41060</v>
      </c>
      <c r="B4350" s="16" t="s">
        <v>1744</v>
      </c>
      <c r="C4350" t="s">
        <v>1734</v>
      </c>
      <c r="D4350" t="s">
        <v>783</v>
      </c>
      <c r="E4350" s="17">
        <v>11.64</v>
      </c>
      <c r="F4350" s="17">
        <v>30</v>
      </c>
      <c r="G4350" s="18">
        <v>349.2</v>
      </c>
      <c r="H4350" s="30" t="s">
        <v>2340</v>
      </c>
      <c r="J4350" s="34"/>
    </row>
    <row r="4351" spans="1:10" x14ac:dyDescent="0.25">
      <c r="A4351" s="15">
        <v>41074</v>
      </c>
      <c r="B4351" s="16" t="s">
        <v>1745</v>
      </c>
      <c r="C4351" t="s">
        <v>1734</v>
      </c>
      <c r="D4351" t="s">
        <v>783</v>
      </c>
      <c r="E4351" s="17">
        <v>50</v>
      </c>
      <c r="F4351" s="17">
        <v>30</v>
      </c>
      <c r="G4351" s="18">
        <v>1500</v>
      </c>
      <c r="H4351" s="30" t="s">
        <v>2340</v>
      </c>
      <c r="J4351" s="34"/>
    </row>
    <row r="4352" spans="1:10" x14ac:dyDescent="0.25">
      <c r="A4352" s="15">
        <v>41094</v>
      </c>
      <c r="B4352" s="16" t="s">
        <v>1746</v>
      </c>
      <c r="C4352" t="s">
        <v>1007</v>
      </c>
      <c r="D4352" t="s">
        <v>783</v>
      </c>
      <c r="E4352" s="17">
        <v>11.84</v>
      </c>
      <c r="F4352" s="17">
        <v>13.64</v>
      </c>
      <c r="G4352" s="18">
        <v>161.49760000000001</v>
      </c>
      <c r="H4352" s="30" t="s">
        <v>2340</v>
      </c>
      <c r="J4352" s="34"/>
    </row>
    <row r="4353" spans="1:10" x14ac:dyDescent="0.25">
      <c r="A4353" s="15">
        <v>41172</v>
      </c>
      <c r="B4353" s="16" t="s">
        <v>1747</v>
      </c>
      <c r="C4353" t="s">
        <v>1734</v>
      </c>
      <c r="D4353" t="s">
        <v>783</v>
      </c>
      <c r="E4353" s="17">
        <v>1</v>
      </c>
      <c r="F4353" s="17">
        <v>1768.89</v>
      </c>
      <c r="G4353" s="18">
        <v>1768.89</v>
      </c>
      <c r="H4353" s="30" t="s">
        <v>2340</v>
      </c>
      <c r="J4353" s="34"/>
    </row>
    <row r="4354" spans="1:10" x14ac:dyDescent="0.25">
      <c r="A4354" s="15">
        <v>41172</v>
      </c>
      <c r="B4354" s="16" t="s">
        <v>1748</v>
      </c>
      <c r="C4354" t="s">
        <v>1734</v>
      </c>
      <c r="D4354" t="s">
        <v>783</v>
      </c>
      <c r="E4354" s="17">
        <v>1</v>
      </c>
      <c r="F4354" s="17">
        <v>1106.57</v>
      </c>
      <c r="G4354" s="18">
        <v>1106.57</v>
      </c>
      <c r="H4354" s="30" t="s">
        <v>2340</v>
      </c>
      <c r="J4354" s="34"/>
    </row>
    <row r="4355" spans="1:10" x14ac:dyDescent="0.25">
      <c r="A4355" s="19" t="s">
        <v>781</v>
      </c>
      <c r="B4355" s="20" t="s">
        <v>1749</v>
      </c>
      <c r="C4355" s="21" t="s">
        <v>781</v>
      </c>
      <c r="D4355" s="21" t="s">
        <v>781</v>
      </c>
      <c r="E4355" s="22"/>
      <c r="F4355" s="22"/>
      <c r="G4355" s="23">
        <v>68183.893599999996</v>
      </c>
      <c r="H4355" s="31" t="s">
        <v>2285</v>
      </c>
      <c r="J4355" s="34"/>
    </row>
    <row r="4356" spans="1:10" x14ac:dyDescent="0.25">
      <c r="A4356" s="15" t="s">
        <v>781</v>
      </c>
      <c r="B4356" s="16" t="s">
        <v>781</v>
      </c>
      <c r="C4356" t="s">
        <v>781</v>
      </c>
      <c r="D4356" t="s">
        <v>781</v>
      </c>
      <c r="E4356" s="17"/>
      <c r="F4356" s="17"/>
      <c r="G4356" s="18"/>
      <c r="H4356" s="30" t="s">
        <v>2285</v>
      </c>
      <c r="J4356" s="34"/>
    </row>
    <row r="4357" spans="1:10" x14ac:dyDescent="0.25">
      <c r="A4357" s="12" t="s">
        <v>781</v>
      </c>
      <c r="B4357" s="11" t="s">
        <v>1908</v>
      </c>
      <c r="C4357" s="10" t="s">
        <v>781</v>
      </c>
      <c r="D4357" s="10" t="s">
        <v>781</v>
      </c>
      <c r="E4357" s="13"/>
      <c r="F4357" s="13"/>
      <c r="G4357" s="14"/>
      <c r="H4357" s="29" t="s">
        <v>2285</v>
      </c>
      <c r="J4357" s="34"/>
    </row>
    <row r="4358" spans="1:10" x14ac:dyDescent="0.25">
      <c r="A4358" s="15">
        <v>40835</v>
      </c>
      <c r="B4358" s="16" t="s">
        <v>1750</v>
      </c>
      <c r="C4358" t="s">
        <v>1007</v>
      </c>
      <c r="D4358" t="s">
        <v>783</v>
      </c>
      <c r="E4358" s="17">
        <v>3.2</v>
      </c>
      <c r="F4358" s="17">
        <v>134.9</v>
      </c>
      <c r="G4358" s="18">
        <v>431.68</v>
      </c>
      <c r="H4358" s="30" t="s">
        <v>2341</v>
      </c>
      <c r="J4358" s="34"/>
    </row>
    <row r="4359" spans="1:10" x14ac:dyDescent="0.25">
      <c r="A4359" s="15">
        <v>40877</v>
      </c>
      <c r="B4359" s="16" t="s">
        <v>1751</v>
      </c>
      <c r="C4359" t="s">
        <v>1007</v>
      </c>
      <c r="D4359" t="s">
        <v>783</v>
      </c>
      <c r="E4359" s="17">
        <v>1</v>
      </c>
      <c r="F4359" s="17">
        <v>1468.82</v>
      </c>
      <c r="G4359" s="18">
        <v>1468.82</v>
      </c>
      <c r="H4359" s="30" t="s">
        <v>2341</v>
      </c>
      <c r="J4359" s="34"/>
    </row>
    <row r="4360" spans="1:10" x14ac:dyDescent="0.25">
      <c r="A4360" s="15">
        <v>40927</v>
      </c>
      <c r="B4360" s="16" t="s">
        <v>1752</v>
      </c>
      <c r="C4360" t="s">
        <v>1007</v>
      </c>
      <c r="D4360" t="s">
        <v>783</v>
      </c>
      <c r="E4360" s="17">
        <v>1</v>
      </c>
      <c r="F4360" s="17">
        <v>70.38</v>
      </c>
      <c r="G4360" s="18">
        <v>70.38</v>
      </c>
      <c r="H4360" s="30" t="s">
        <v>2341</v>
      </c>
      <c r="J4360" s="34"/>
    </row>
    <row r="4361" spans="1:10" x14ac:dyDescent="0.25">
      <c r="A4361" s="15">
        <v>40928</v>
      </c>
      <c r="B4361" s="16" t="s">
        <v>1752</v>
      </c>
      <c r="C4361" t="s">
        <v>1007</v>
      </c>
      <c r="D4361" t="s">
        <v>783</v>
      </c>
      <c r="E4361" s="17">
        <v>4.3</v>
      </c>
      <c r="F4361" s="17">
        <v>13.638999999999999</v>
      </c>
      <c r="G4361" s="18">
        <v>58.6477</v>
      </c>
      <c r="H4361" s="30" t="s">
        <v>2341</v>
      </c>
      <c r="J4361" s="34"/>
    </row>
    <row r="4362" spans="1:10" x14ac:dyDescent="0.25">
      <c r="A4362" s="15">
        <v>40935</v>
      </c>
      <c r="B4362" s="16" t="s">
        <v>1752</v>
      </c>
      <c r="C4362" t="s">
        <v>1007</v>
      </c>
      <c r="D4362" t="s">
        <v>783</v>
      </c>
      <c r="E4362" s="17">
        <v>16.420000000000002</v>
      </c>
      <c r="F4362" s="17">
        <v>39.700000000000003</v>
      </c>
      <c r="G4362" s="18">
        <v>651.87400000000002</v>
      </c>
      <c r="H4362" s="30" t="s">
        <v>2341</v>
      </c>
      <c r="J4362" s="34"/>
    </row>
    <row r="4363" spans="1:10" x14ac:dyDescent="0.25">
      <c r="A4363" s="15">
        <v>40947</v>
      </c>
      <c r="B4363" s="16" t="s">
        <v>1753</v>
      </c>
      <c r="C4363" t="s">
        <v>1007</v>
      </c>
      <c r="D4363" t="s">
        <v>783</v>
      </c>
      <c r="E4363" s="17">
        <v>18.2</v>
      </c>
      <c r="F4363" s="17">
        <v>17.082000000000001</v>
      </c>
      <c r="G4363" s="18">
        <v>310.89240000000001</v>
      </c>
      <c r="H4363" s="30" t="s">
        <v>2341</v>
      </c>
      <c r="J4363" s="34"/>
    </row>
    <row r="4364" spans="1:10" x14ac:dyDescent="0.25">
      <c r="A4364" s="15">
        <v>40948</v>
      </c>
      <c r="B4364" s="16" t="s">
        <v>1754</v>
      </c>
      <c r="C4364" t="s">
        <v>1007</v>
      </c>
      <c r="D4364" t="s">
        <v>783</v>
      </c>
      <c r="E4364" s="17">
        <v>17.52</v>
      </c>
      <c r="F4364" s="17">
        <v>17.082000000000001</v>
      </c>
      <c r="G4364" s="18">
        <v>299.27663999999999</v>
      </c>
      <c r="H4364" s="30" t="s">
        <v>2341</v>
      </c>
      <c r="J4364" s="34"/>
    </row>
    <row r="4365" spans="1:10" x14ac:dyDescent="0.25">
      <c r="A4365" s="15">
        <v>40952</v>
      </c>
      <c r="B4365" s="16" t="s">
        <v>1754</v>
      </c>
      <c r="C4365" t="s">
        <v>1007</v>
      </c>
      <c r="D4365" t="s">
        <v>783</v>
      </c>
      <c r="E4365" s="17">
        <v>12.24</v>
      </c>
      <c r="F4365" s="17">
        <v>13.64</v>
      </c>
      <c r="G4365" s="18">
        <v>166.95359999999999</v>
      </c>
      <c r="H4365" s="30" t="s">
        <v>2341</v>
      </c>
      <c r="J4365" s="34"/>
    </row>
    <row r="4366" spans="1:10" x14ac:dyDescent="0.25">
      <c r="A4366" s="15">
        <v>40953</v>
      </c>
      <c r="B4366" s="16" t="s">
        <v>1755</v>
      </c>
      <c r="C4366" t="s">
        <v>1007</v>
      </c>
      <c r="D4366" t="s">
        <v>783</v>
      </c>
      <c r="E4366" s="17">
        <v>22.58</v>
      </c>
      <c r="F4366" s="17">
        <v>13.64</v>
      </c>
      <c r="G4366" s="18">
        <v>307.99119999999999</v>
      </c>
      <c r="H4366" s="30" t="s">
        <v>2341</v>
      </c>
      <c r="J4366" s="34"/>
    </row>
    <row r="4367" spans="1:10" x14ac:dyDescent="0.25">
      <c r="A4367" s="15">
        <v>40962</v>
      </c>
      <c r="B4367" s="16" t="s">
        <v>1754</v>
      </c>
      <c r="C4367" t="s">
        <v>1007</v>
      </c>
      <c r="D4367" t="s">
        <v>783</v>
      </c>
      <c r="E4367" s="17">
        <v>1</v>
      </c>
      <c r="F4367" s="17">
        <v>136.94999999999999</v>
      </c>
      <c r="G4367" s="18">
        <v>136.94999999999999</v>
      </c>
      <c r="H4367" s="30" t="s">
        <v>2341</v>
      </c>
      <c r="J4367" s="34"/>
    </row>
    <row r="4368" spans="1:10" x14ac:dyDescent="0.25">
      <c r="A4368" s="15">
        <v>40968</v>
      </c>
      <c r="B4368" s="16" t="s">
        <v>1754</v>
      </c>
      <c r="C4368" t="s">
        <v>1007</v>
      </c>
      <c r="D4368" t="s">
        <v>783</v>
      </c>
      <c r="E4368" s="17">
        <v>2.6</v>
      </c>
      <c r="F4368" s="17">
        <v>36.369</v>
      </c>
      <c r="G4368" s="18">
        <v>94.559399999999997</v>
      </c>
      <c r="H4368" s="30" t="s">
        <v>2341</v>
      </c>
      <c r="J4368" s="34"/>
    </row>
    <row r="4369" spans="1:10" x14ac:dyDescent="0.25">
      <c r="A4369" s="15">
        <v>40970</v>
      </c>
      <c r="B4369" s="16" t="s">
        <v>1756</v>
      </c>
      <c r="C4369" t="s">
        <v>1007</v>
      </c>
      <c r="D4369" t="s">
        <v>783</v>
      </c>
      <c r="E4369" s="17">
        <v>12.02</v>
      </c>
      <c r="F4369" s="17">
        <v>13.64</v>
      </c>
      <c r="G4369" s="18">
        <v>163.9528</v>
      </c>
      <c r="H4369" s="30" t="s">
        <v>2341</v>
      </c>
      <c r="J4369" s="34"/>
    </row>
    <row r="4370" spans="1:10" x14ac:dyDescent="0.25">
      <c r="A4370" s="15">
        <v>40970</v>
      </c>
      <c r="B4370" s="16" t="s">
        <v>1756</v>
      </c>
      <c r="C4370" t="s">
        <v>1007</v>
      </c>
      <c r="D4370" t="s">
        <v>783</v>
      </c>
      <c r="E4370" s="17">
        <v>11.52</v>
      </c>
      <c r="F4370" s="17">
        <v>13.64</v>
      </c>
      <c r="G4370" s="18">
        <v>157.1328</v>
      </c>
      <c r="H4370" s="30" t="s">
        <v>2341</v>
      </c>
      <c r="J4370" s="34"/>
    </row>
    <row r="4371" spans="1:10" x14ac:dyDescent="0.25">
      <c r="A4371" s="15">
        <v>40973</v>
      </c>
      <c r="B4371" s="16" t="s">
        <v>1757</v>
      </c>
      <c r="C4371" t="s">
        <v>1007</v>
      </c>
      <c r="D4371" t="s">
        <v>783</v>
      </c>
      <c r="E4371" s="17">
        <v>1.34</v>
      </c>
      <c r="F4371" s="17">
        <v>36.372999999999998</v>
      </c>
      <c r="G4371" s="18">
        <v>48.739820000000002</v>
      </c>
      <c r="H4371" s="30" t="s">
        <v>2341</v>
      </c>
      <c r="J4371" s="34"/>
    </row>
    <row r="4372" spans="1:10" x14ac:dyDescent="0.25">
      <c r="A4372" s="15">
        <v>40974</v>
      </c>
      <c r="B4372" s="16" t="s">
        <v>1756</v>
      </c>
      <c r="C4372" t="s">
        <v>1007</v>
      </c>
      <c r="D4372" t="s">
        <v>783</v>
      </c>
      <c r="E4372" s="17">
        <v>11.8</v>
      </c>
      <c r="F4372" s="17">
        <v>13.64</v>
      </c>
      <c r="G4372" s="18">
        <v>160.952</v>
      </c>
      <c r="H4372" s="30" t="s">
        <v>2341</v>
      </c>
      <c r="J4372" s="34"/>
    </row>
    <row r="4373" spans="1:10" x14ac:dyDescent="0.25">
      <c r="A4373" s="15">
        <v>40977</v>
      </c>
      <c r="B4373" s="16" t="s">
        <v>1756</v>
      </c>
      <c r="C4373" t="s">
        <v>1007</v>
      </c>
      <c r="D4373" t="s">
        <v>783</v>
      </c>
      <c r="E4373" s="17">
        <v>18.559999999999999</v>
      </c>
      <c r="F4373" s="17">
        <v>13.64</v>
      </c>
      <c r="G4373" s="18">
        <v>253.1584</v>
      </c>
      <c r="H4373" s="30" t="s">
        <v>2341</v>
      </c>
      <c r="J4373" s="34"/>
    </row>
    <row r="4374" spans="1:10" x14ac:dyDescent="0.25">
      <c r="A4374" s="15">
        <v>40977</v>
      </c>
      <c r="B4374" s="16" t="s">
        <v>1756</v>
      </c>
      <c r="C4374" t="s">
        <v>1007</v>
      </c>
      <c r="D4374" t="s">
        <v>783</v>
      </c>
      <c r="E4374" s="17">
        <v>18.5</v>
      </c>
      <c r="F4374" s="17">
        <v>13.64</v>
      </c>
      <c r="G4374" s="18">
        <v>252.34</v>
      </c>
      <c r="H4374" s="30" t="s">
        <v>2341</v>
      </c>
      <c r="J4374" s="34"/>
    </row>
    <row r="4375" spans="1:10" x14ac:dyDescent="0.25">
      <c r="A4375" s="15">
        <v>40991</v>
      </c>
      <c r="B4375" s="16" t="s">
        <v>1756</v>
      </c>
      <c r="C4375" t="s">
        <v>1007</v>
      </c>
      <c r="D4375" t="s">
        <v>783</v>
      </c>
      <c r="E4375" s="17">
        <v>3.2</v>
      </c>
      <c r="F4375" s="17">
        <v>26.562000000000001</v>
      </c>
      <c r="G4375" s="18">
        <v>84.998400000000004</v>
      </c>
      <c r="H4375" s="30" t="s">
        <v>2341</v>
      </c>
      <c r="J4375" s="34"/>
    </row>
    <row r="4376" spans="1:10" x14ac:dyDescent="0.25">
      <c r="A4376" s="15">
        <v>40995</v>
      </c>
      <c r="B4376" s="16" t="s">
        <v>1756</v>
      </c>
      <c r="C4376" t="s">
        <v>1007</v>
      </c>
      <c r="D4376" t="s">
        <v>783</v>
      </c>
      <c r="E4376" s="17">
        <v>14</v>
      </c>
      <c r="F4376" s="17">
        <v>17.082000000000001</v>
      </c>
      <c r="G4376" s="18">
        <v>239.148</v>
      </c>
      <c r="H4376" s="30" t="s">
        <v>2341</v>
      </c>
      <c r="J4376" s="34"/>
    </row>
    <row r="4377" spans="1:10" x14ac:dyDescent="0.25">
      <c r="A4377" s="15">
        <v>40996</v>
      </c>
      <c r="B4377" s="16" t="s">
        <v>1756</v>
      </c>
      <c r="C4377" t="s">
        <v>1007</v>
      </c>
      <c r="D4377" t="s">
        <v>783</v>
      </c>
      <c r="E4377" s="17">
        <v>13.98</v>
      </c>
      <c r="F4377" s="17">
        <v>17.082000000000001</v>
      </c>
      <c r="G4377" s="18">
        <v>238.80636000000001</v>
      </c>
      <c r="H4377" s="30" t="s">
        <v>2341</v>
      </c>
      <c r="J4377" s="34"/>
    </row>
    <row r="4378" spans="1:10" x14ac:dyDescent="0.25">
      <c r="A4378" s="15">
        <v>40997</v>
      </c>
      <c r="B4378" s="16" t="s">
        <v>1756</v>
      </c>
      <c r="C4378" t="s">
        <v>1007</v>
      </c>
      <c r="D4378" t="s">
        <v>783</v>
      </c>
      <c r="E4378" s="17">
        <v>12.46</v>
      </c>
      <c r="F4378" s="17">
        <v>13.64</v>
      </c>
      <c r="G4378" s="18">
        <v>169.95439999999999</v>
      </c>
      <c r="H4378" s="30" t="s">
        <v>2341</v>
      </c>
      <c r="J4378" s="34"/>
    </row>
    <row r="4379" spans="1:10" x14ac:dyDescent="0.25">
      <c r="A4379" s="15">
        <v>41001</v>
      </c>
      <c r="B4379" s="16" t="s">
        <v>1758</v>
      </c>
      <c r="C4379" t="s">
        <v>1007</v>
      </c>
      <c r="D4379" t="s">
        <v>783</v>
      </c>
      <c r="E4379" s="17">
        <v>11.94</v>
      </c>
      <c r="F4379" s="17">
        <v>13.64</v>
      </c>
      <c r="G4379" s="18">
        <v>162.86160000000001</v>
      </c>
      <c r="H4379" s="30" t="s">
        <v>2341</v>
      </c>
      <c r="J4379" s="34"/>
    </row>
    <row r="4380" spans="1:10" x14ac:dyDescent="0.25">
      <c r="A4380" s="15">
        <v>41001</v>
      </c>
      <c r="B4380" s="16" t="s">
        <v>1759</v>
      </c>
      <c r="C4380" t="s">
        <v>1007</v>
      </c>
      <c r="D4380" t="s">
        <v>783</v>
      </c>
      <c r="E4380" s="17">
        <v>11.94</v>
      </c>
      <c r="F4380" s="17">
        <v>13.64</v>
      </c>
      <c r="G4380" s="18">
        <v>1.6000000000000001E-3</v>
      </c>
      <c r="H4380" s="30" t="s">
        <v>2341</v>
      </c>
      <c r="J4380" s="34"/>
    </row>
    <row r="4381" spans="1:10" x14ac:dyDescent="0.25">
      <c r="A4381" s="15">
        <v>41003</v>
      </c>
      <c r="B4381" s="16" t="s">
        <v>1760</v>
      </c>
      <c r="C4381" t="s">
        <v>1007</v>
      </c>
      <c r="D4381" t="s">
        <v>783</v>
      </c>
      <c r="E4381" s="17">
        <v>10</v>
      </c>
      <c r="F4381" s="17">
        <v>13.64</v>
      </c>
      <c r="G4381" s="18">
        <v>136.4</v>
      </c>
      <c r="H4381" s="30" t="s">
        <v>2341</v>
      </c>
      <c r="J4381" s="34"/>
    </row>
    <row r="4382" spans="1:10" x14ac:dyDescent="0.25">
      <c r="A4382" s="15">
        <v>41009</v>
      </c>
      <c r="B4382" s="16" t="s">
        <v>1761</v>
      </c>
      <c r="C4382" t="s">
        <v>1007</v>
      </c>
      <c r="D4382" t="s">
        <v>783</v>
      </c>
      <c r="E4382" s="17">
        <v>12.12</v>
      </c>
      <c r="F4382" s="17">
        <v>13.64</v>
      </c>
      <c r="G4382" s="18">
        <v>165.3168</v>
      </c>
      <c r="H4382" s="30" t="s">
        <v>2341</v>
      </c>
      <c r="J4382" s="34"/>
    </row>
    <row r="4383" spans="1:10" x14ac:dyDescent="0.25">
      <c r="A4383" s="15">
        <v>41009</v>
      </c>
      <c r="B4383" s="16" t="s">
        <v>1760</v>
      </c>
      <c r="C4383" t="s">
        <v>1007</v>
      </c>
      <c r="D4383" t="s">
        <v>783</v>
      </c>
      <c r="E4383" s="17">
        <v>2.7</v>
      </c>
      <c r="F4383" s="17">
        <v>36.369999999999997</v>
      </c>
      <c r="G4383" s="18">
        <v>98.198999999999998</v>
      </c>
      <c r="H4383" s="30" t="s">
        <v>2341</v>
      </c>
      <c r="J4383" s="34"/>
    </row>
    <row r="4384" spans="1:10" x14ac:dyDescent="0.25">
      <c r="A4384" s="15">
        <v>41010</v>
      </c>
      <c r="B4384" s="16" t="s">
        <v>1762</v>
      </c>
      <c r="C4384" t="s">
        <v>1007</v>
      </c>
      <c r="D4384" t="s">
        <v>783</v>
      </c>
      <c r="E4384" s="17">
        <v>10.8</v>
      </c>
      <c r="F4384" s="17">
        <v>13.64</v>
      </c>
      <c r="G4384" s="18">
        <v>147.31200000000001</v>
      </c>
      <c r="H4384" s="30" t="s">
        <v>2341</v>
      </c>
      <c r="J4384" s="34"/>
    </row>
    <row r="4385" spans="1:10" x14ac:dyDescent="0.25">
      <c r="A4385" s="15">
        <v>41011</v>
      </c>
      <c r="B4385" s="16" t="s">
        <v>1760</v>
      </c>
      <c r="C4385" t="s">
        <v>1007</v>
      </c>
      <c r="D4385" t="s">
        <v>783</v>
      </c>
      <c r="E4385" s="17">
        <v>12.02</v>
      </c>
      <c r="F4385" s="17">
        <v>13.64</v>
      </c>
      <c r="G4385" s="18">
        <v>163.9528</v>
      </c>
      <c r="H4385" s="30" t="s">
        <v>2341</v>
      </c>
      <c r="J4385" s="34"/>
    </row>
    <row r="4386" spans="1:10" x14ac:dyDescent="0.25">
      <c r="A4386" s="15">
        <v>41012</v>
      </c>
      <c r="B4386" s="16" t="s">
        <v>1759</v>
      </c>
      <c r="C4386" t="s">
        <v>1007</v>
      </c>
      <c r="D4386" t="s">
        <v>783</v>
      </c>
      <c r="E4386" s="17">
        <v>12.4</v>
      </c>
      <c r="F4386" s="17">
        <v>13.64</v>
      </c>
      <c r="G4386" s="18">
        <v>169.136</v>
      </c>
      <c r="H4386" s="30" t="s">
        <v>2341</v>
      </c>
      <c r="J4386" s="34"/>
    </row>
    <row r="4387" spans="1:10" x14ac:dyDescent="0.25">
      <c r="A4387" s="15">
        <v>41013</v>
      </c>
      <c r="B4387" s="16" t="s">
        <v>1760</v>
      </c>
      <c r="C4387" t="s">
        <v>1007</v>
      </c>
      <c r="D4387" t="s">
        <v>783</v>
      </c>
      <c r="E4387" s="17">
        <v>11.7</v>
      </c>
      <c r="F4387" s="17">
        <v>30.806999999999999</v>
      </c>
      <c r="G4387" s="18">
        <v>360.44189999999998</v>
      </c>
      <c r="H4387" s="30" t="s">
        <v>2341</v>
      </c>
      <c r="J4387" s="34"/>
    </row>
    <row r="4388" spans="1:10" x14ac:dyDescent="0.25">
      <c r="A4388" s="15">
        <v>41015</v>
      </c>
      <c r="B4388" s="16" t="s">
        <v>1760</v>
      </c>
      <c r="C4388" t="s">
        <v>1007</v>
      </c>
      <c r="D4388" t="s">
        <v>783</v>
      </c>
      <c r="E4388" s="17">
        <v>11.64</v>
      </c>
      <c r="F4388" s="17">
        <v>17.082000000000001</v>
      </c>
      <c r="G4388" s="18">
        <v>198.83448000000001</v>
      </c>
      <c r="H4388" s="30" t="s">
        <v>2341</v>
      </c>
      <c r="J4388" s="34"/>
    </row>
    <row r="4389" spans="1:10" x14ac:dyDescent="0.25">
      <c r="A4389" s="15">
        <v>41017</v>
      </c>
      <c r="B4389" s="16" t="s">
        <v>1760</v>
      </c>
      <c r="C4389" t="s">
        <v>1007</v>
      </c>
      <c r="D4389" t="s">
        <v>783</v>
      </c>
      <c r="E4389" s="17">
        <v>1</v>
      </c>
      <c r="F4389" s="17">
        <v>39.83</v>
      </c>
      <c r="G4389" s="18">
        <v>39.83</v>
      </c>
      <c r="H4389" s="30" t="s">
        <v>2341</v>
      </c>
      <c r="J4389" s="34"/>
    </row>
    <row r="4390" spans="1:10" x14ac:dyDescent="0.25">
      <c r="A4390" s="15">
        <v>41018</v>
      </c>
      <c r="B4390" s="16" t="s">
        <v>1760</v>
      </c>
      <c r="C4390" t="s">
        <v>1007</v>
      </c>
      <c r="D4390" t="s">
        <v>783</v>
      </c>
      <c r="E4390" s="17">
        <v>1</v>
      </c>
      <c r="F4390" s="17">
        <v>222.07</v>
      </c>
      <c r="G4390" s="18">
        <v>222.07</v>
      </c>
      <c r="H4390" s="30" t="s">
        <v>2341</v>
      </c>
      <c r="J4390" s="34"/>
    </row>
    <row r="4391" spans="1:10" x14ac:dyDescent="0.25">
      <c r="A4391" s="15">
        <v>41022</v>
      </c>
      <c r="B4391" s="16" t="s">
        <v>1763</v>
      </c>
      <c r="C4391" t="s">
        <v>1007</v>
      </c>
      <c r="D4391" t="s">
        <v>783</v>
      </c>
      <c r="E4391" s="17">
        <v>1</v>
      </c>
      <c r="F4391" s="17">
        <v>70.56</v>
      </c>
      <c r="G4391" s="18">
        <v>70.56</v>
      </c>
      <c r="H4391" s="30" t="s">
        <v>2341</v>
      </c>
      <c r="J4391" s="34"/>
    </row>
    <row r="4392" spans="1:10" x14ac:dyDescent="0.25">
      <c r="A4392" s="15">
        <v>41030</v>
      </c>
      <c r="B4392" s="16" t="s">
        <v>1764</v>
      </c>
      <c r="C4392" t="s">
        <v>1007</v>
      </c>
      <c r="D4392" t="s">
        <v>783</v>
      </c>
      <c r="E4392" s="17">
        <v>20.14</v>
      </c>
      <c r="F4392" s="17">
        <v>13.64</v>
      </c>
      <c r="G4392" s="18">
        <v>274.70960000000002</v>
      </c>
      <c r="H4392" s="30" t="s">
        <v>2341</v>
      </c>
      <c r="J4392" s="34"/>
    </row>
    <row r="4393" spans="1:10" x14ac:dyDescent="0.25">
      <c r="A4393" s="15">
        <v>41030</v>
      </c>
      <c r="B4393" s="16" t="s">
        <v>1765</v>
      </c>
      <c r="C4393" t="s">
        <v>1007</v>
      </c>
      <c r="D4393" t="s">
        <v>783</v>
      </c>
      <c r="E4393" s="17">
        <v>17.899999999999999</v>
      </c>
      <c r="F4393" s="17">
        <v>13.64</v>
      </c>
      <c r="G4393" s="18">
        <v>244.15600000000001</v>
      </c>
      <c r="H4393" s="30" t="s">
        <v>2341</v>
      </c>
      <c r="J4393" s="34"/>
    </row>
    <row r="4394" spans="1:10" x14ac:dyDescent="0.25">
      <c r="A4394" s="15">
        <v>41037</v>
      </c>
      <c r="B4394" s="16" t="s">
        <v>1764</v>
      </c>
      <c r="C4394" t="s">
        <v>1007</v>
      </c>
      <c r="D4394" t="s">
        <v>783</v>
      </c>
      <c r="E4394" s="17">
        <v>16.940000000000001</v>
      </c>
      <c r="F4394" s="17">
        <v>17.042000000000002</v>
      </c>
      <c r="G4394" s="18">
        <v>288.69148000000001</v>
      </c>
      <c r="H4394" s="30" t="s">
        <v>2341</v>
      </c>
      <c r="J4394" s="34"/>
    </row>
    <row r="4395" spans="1:10" x14ac:dyDescent="0.25">
      <c r="A4395" s="15">
        <v>41038</v>
      </c>
      <c r="B4395" s="16" t="s">
        <v>1766</v>
      </c>
      <c r="C4395" t="s">
        <v>1007</v>
      </c>
      <c r="D4395" t="s">
        <v>783</v>
      </c>
      <c r="E4395" s="17">
        <v>3</v>
      </c>
      <c r="F4395" s="17">
        <v>36.369999999999997</v>
      </c>
      <c r="G4395" s="18">
        <v>109.11</v>
      </c>
      <c r="H4395" s="30" t="s">
        <v>2341</v>
      </c>
      <c r="J4395" s="34"/>
    </row>
    <row r="4396" spans="1:10" x14ac:dyDescent="0.25">
      <c r="A4396" s="15">
        <v>41044</v>
      </c>
      <c r="B4396" s="16" t="s">
        <v>1764</v>
      </c>
      <c r="C4396" t="s">
        <v>1007</v>
      </c>
      <c r="D4396" t="s">
        <v>783</v>
      </c>
      <c r="E4396" s="17">
        <v>13.252000000000001</v>
      </c>
      <c r="F4396" s="17">
        <v>17.04</v>
      </c>
      <c r="G4396" s="18">
        <v>225.81407999999999</v>
      </c>
      <c r="H4396" s="30" t="s">
        <v>2341</v>
      </c>
      <c r="J4396" s="34"/>
    </row>
    <row r="4397" spans="1:10" x14ac:dyDescent="0.25">
      <c r="A4397" s="15">
        <v>41048</v>
      </c>
      <c r="B4397" s="16" t="s">
        <v>1764</v>
      </c>
      <c r="C4397" t="s">
        <v>1007</v>
      </c>
      <c r="D4397" t="s">
        <v>783</v>
      </c>
      <c r="E4397" s="17">
        <v>12.56</v>
      </c>
      <c r="F4397" s="17">
        <v>13.64</v>
      </c>
      <c r="G4397" s="18">
        <v>171.3184</v>
      </c>
      <c r="H4397" s="30" t="s">
        <v>2341</v>
      </c>
      <c r="J4397" s="34"/>
    </row>
    <row r="4398" spans="1:10" x14ac:dyDescent="0.25">
      <c r="A4398" s="15">
        <v>41058</v>
      </c>
      <c r="B4398" s="16" t="s">
        <v>1764</v>
      </c>
      <c r="C4398" t="s">
        <v>1007</v>
      </c>
      <c r="D4398" t="s">
        <v>783</v>
      </c>
      <c r="E4398" s="17">
        <v>12.28</v>
      </c>
      <c r="F4398" s="17">
        <v>13.64</v>
      </c>
      <c r="G4398" s="18">
        <v>167.4992</v>
      </c>
      <c r="H4398" s="30" t="s">
        <v>2341</v>
      </c>
      <c r="J4398" s="34"/>
    </row>
    <row r="4399" spans="1:10" x14ac:dyDescent="0.25">
      <c r="A4399" s="15">
        <v>41064</v>
      </c>
      <c r="B4399" s="16" t="s">
        <v>1767</v>
      </c>
      <c r="C4399" t="s">
        <v>1007</v>
      </c>
      <c r="D4399" t="s">
        <v>783</v>
      </c>
      <c r="E4399" s="17">
        <v>2.42</v>
      </c>
      <c r="F4399" s="17">
        <v>13.64</v>
      </c>
      <c r="G4399" s="18">
        <v>33.008800000000001</v>
      </c>
      <c r="H4399" s="30" t="s">
        <v>2341</v>
      </c>
      <c r="J4399" s="34"/>
    </row>
    <row r="4400" spans="1:10" x14ac:dyDescent="0.25">
      <c r="A4400" s="15">
        <v>41065</v>
      </c>
      <c r="B4400" s="16" t="s">
        <v>1768</v>
      </c>
      <c r="C4400" t="s">
        <v>1007</v>
      </c>
      <c r="D4400" t="s">
        <v>783</v>
      </c>
      <c r="E4400" s="17">
        <v>9.24</v>
      </c>
      <c r="F4400" s="17">
        <v>13.64</v>
      </c>
      <c r="G4400" s="18">
        <v>126.03360000000001</v>
      </c>
      <c r="H4400" s="30" t="s">
        <v>2341</v>
      </c>
      <c r="J4400" s="34"/>
    </row>
    <row r="4401" spans="1:10" x14ac:dyDescent="0.25">
      <c r="A4401" s="15">
        <v>41065</v>
      </c>
      <c r="B4401" s="16" t="s">
        <v>1769</v>
      </c>
      <c r="C4401" t="s">
        <v>1007</v>
      </c>
      <c r="D4401" t="s">
        <v>783</v>
      </c>
      <c r="E4401" s="17">
        <v>12</v>
      </c>
      <c r="F4401" s="17">
        <v>13.64</v>
      </c>
      <c r="G4401" s="18">
        <v>163.68</v>
      </c>
      <c r="H4401" s="30" t="s">
        <v>2341</v>
      </c>
      <c r="J4401" s="34"/>
    </row>
    <row r="4402" spans="1:10" x14ac:dyDescent="0.25">
      <c r="A4402" s="15">
        <v>41068</v>
      </c>
      <c r="B4402" s="16" t="s">
        <v>1767</v>
      </c>
      <c r="C4402" t="s">
        <v>1007</v>
      </c>
      <c r="D4402" t="s">
        <v>783</v>
      </c>
      <c r="E4402" s="17">
        <v>11.32</v>
      </c>
      <c r="F4402" s="17">
        <v>17.291</v>
      </c>
      <c r="G4402" s="18">
        <v>195.73411999999999</v>
      </c>
      <c r="H4402" s="30" t="s">
        <v>2341</v>
      </c>
      <c r="J4402" s="34"/>
    </row>
    <row r="4403" spans="1:10" x14ac:dyDescent="0.25">
      <c r="A4403" s="15">
        <v>41074</v>
      </c>
      <c r="B4403" s="16" t="s">
        <v>1769</v>
      </c>
      <c r="C4403" t="s">
        <v>1007</v>
      </c>
      <c r="D4403" t="s">
        <v>783</v>
      </c>
      <c r="E4403" s="17">
        <v>12.08</v>
      </c>
      <c r="F4403" s="17">
        <v>13.64</v>
      </c>
      <c r="G4403" s="18">
        <v>164.77119999999999</v>
      </c>
      <c r="H4403" s="30" t="s">
        <v>2341</v>
      </c>
      <c r="J4403" s="34"/>
    </row>
    <row r="4404" spans="1:10" x14ac:dyDescent="0.25">
      <c r="A4404" s="15">
        <v>41074</v>
      </c>
      <c r="B4404" s="16" t="s">
        <v>1770</v>
      </c>
      <c r="C4404" t="s">
        <v>1007</v>
      </c>
      <c r="D4404" t="s">
        <v>783</v>
      </c>
      <c r="E4404" s="17">
        <v>12.86</v>
      </c>
      <c r="F4404" s="17">
        <v>13.64</v>
      </c>
      <c r="G4404" s="18">
        <v>175.41040000000001</v>
      </c>
      <c r="H4404" s="30" t="s">
        <v>2341</v>
      </c>
      <c r="J4404" s="34"/>
    </row>
    <row r="4405" spans="1:10" x14ac:dyDescent="0.25">
      <c r="A4405" s="15">
        <v>41078</v>
      </c>
      <c r="B4405" s="16" t="s">
        <v>1769</v>
      </c>
      <c r="C4405" t="s">
        <v>1007</v>
      </c>
      <c r="D4405" t="s">
        <v>783</v>
      </c>
      <c r="E4405" s="17">
        <v>11.46</v>
      </c>
      <c r="F4405" s="17">
        <v>13.64</v>
      </c>
      <c r="G4405" s="18">
        <v>156.31440000000001</v>
      </c>
      <c r="H4405" s="30" t="s">
        <v>2341</v>
      </c>
      <c r="J4405" s="34"/>
    </row>
    <row r="4406" spans="1:10" x14ac:dyDescent="0.25">
      <c r="A4406" s="15">
        <v>41079</v>
      </c>
      <c r="B4406" s="16" t="s">
        <v>1771</v>
      </c>
      <c r="C4406" t="s">
        <v>1007</v>
      </c>
      <c r="D4406" t="s">
        <v>783</v>
      </c>
      <c r="E4406" s="17">
        <v>2.2000000000000002</v>
      </c>
      <c r="F4406" s="17">
        <v>13.64</v>
      </c>
      <c r="G4406" s="18">
        <v>30.007999999999999</v>
      </c>
      <c r="H4406" s="30" t="s">
        <v>2341</v>
      </c>
      <c r="J4406" s="34"/>
    </row>
    <row r="4407" spans="1:10" x14ac:dyDescent="0.25">
      <c r="A4407" s="15">
        <v>41080</v>
      </c>
      <c r="B4407" s="16" t="s">
        <v>1772</v>
      </c>
      <c r="C4407" t="s">
        <v>1773</v>
      </c>
      <c r="D4407" t="s">
        <v>783</v>
      </c>
      <c r="E4407" s="17">
        <v>1</v>
      </c>
      <c r="F4407" s="17">
        <v>651.83000000000004</v>
      </c>
      <c r="G4407" s="18">
        <v>651.83000000000004</v>
      </c>
      <c r="H4407" s="30" t="s">
        <v>2341</v>
      </c>
      <c r="J4407" s="34"/>
    </row>
    <row r="4408" spans="1:10" x14ac:dyDescent="0.25">
      <c r="A4408" s="15">
        <v>41088</v>
      </c>
      <c r="B4408" s="16" t="s">
        <v>1774</v>
      </c>
      <c r="C4408" t="s">
        <v>1007</v>
      </c>
      <c r="D4408" t="s">
        <v>783</v>
      </c>
      <c r="E4408" s="17">
        <v>11.9</v>
      </c>
      <c r="F4408" s="17">
        <v>13.64</v>
      </c>
      <c r="G4408" s="18">
        <v>162.316</v>
      </c>
      <c r="H4408" s="30" t="s">
        <v>2341</v>
      </c>
      <c r="J4408" s="34"/>
    </row>
    <row r="4409" spans="1:10" x14ac:dyDescent="0.25">
      <c r="A4409" s="15">
        <v>41089</v>
      </c>
      <c r="B4409" s="16" t="s">
        <v>1769</v>
      </c>
      <c r="C4409" t="s">
        <v>1007</v>
      </c>
      <c r="D4409" t="s">
        <v>783</v>
      </c>
      <c r="E4409" s="17">
        <v>12.3</v>
      </c>
      <c r="F4409" s="17">
        <v>17.082000000000001</v>
      </c>
      <c r="G4409" s="18">
        <v>210.1086</v>
      </c>
      <c r="H4409" s="30" t="s">
        <v>2341</v>
      </c>
      <c r="J4409" s="34"/>
    </row>
    <row r="4410" spans="1:10" ht="30" x14ac:dyDescent="0.25">
      <c r="A4410" s="15">
        <v>41102</v>
      </c>
      <c r="B4410" s="16" t="s">
        <v>1775</v>
      </c>
      <c r="C4410" t="s">
        <v>1776</v>
      </c>
      <c r="D4410" t="s">
        <v>783</v>
      </c>
      <c r="E4410" s="17">
        <v>1</v>
      </c>
      <c r="F4410" s="17">
        <v>31.82</v>
      </c>
      <c r="G4410" s="18">
        <v>31.82</v>
      </c>
      <c r="H4410" s="30" t="s">
        <v>2341</v>
      </c>
      <c r="J4410" s="34"/>
    </row>
    <row r="4411" spans="1:10" x14ac:dyDescent="0.25">
      <c r="A4411" s="15">
        <v>41102</v>
      </c>
      <c r="B4411" s="16" t="s">
        <v>1777</v>
      </c>
      <c r="C4411" t="s">
        <v>1776</v>
      </c>
      <c r="D4411" t="s">
        <v>783</v>
      </c>
      <c r="E4411" s="17">
        <v>1</v>
      </c>
      <c r="F4411" s="17">
        <v>31.82</v>
      </c>
      <c r="G4411" s="18">
        <v>31.82</v>
      </c>
      <c r="H4411" s="30" t="s">
        <v>2341</v>
      </c>
      <c r="J4411" s="34"/>
    </row>
    <row r="4412" spans="1:10" x14ac:dyDescent="0.25">
      <c r="A4412" s="15">
        <v>41113</v>
      </c>
      <c r="B4412" s="16" t="s">
        <v>1746</v>
      </c>
      <c r="C4412" t="s">
        <v>1007</v>
      </c>
      <c r="D4412" t="s">
        <v>783</v>
      </c>
      <c r="E4412" s="17">
        <v>7.08</v>
      </c>
      <c r="F4412" s="17">
        <v>13.64</v>
      </c>
      <c r="G4412" s="18">
        <v>96.571200000000005</v>
      </c>
      <c r="H4412" s="30" t="s">
        <v>2341</v>
      </c>
      <c r="J4412" s="34"/>
    </row>
    <row r="4413" spans="1:10" x14ac:dyDescent="0.25">
      <c r="A4413" s="15">
        <v>41114</v>
      </c>
      <c r="B4413" s="16" t="s">
        <v>1746</v>
      </c>
      <c r="C4413" t="s">
        <v>1007</v>
      </c>
      <c r="D4413" t="s">
        <v>783</v>
      </c>
      <c r="E4413" s="17">
        <v>1.48</v>
      </c>
      <c r="F4413" s="17">
        <v>13.64</v>
      </c>
      <c r="G4413" s="18">
        <v>20.187200000000001</v>
      </c>
      <c r="H4413" s="30" t="s">
        <v>2341</v>
      </c>
      <c r="J4413" s="34"/>
    </row>
    <row r="4414" spans="1:10" x14ac:dyDescent="0.25">
      <c r="A4414" s="15">
        <v>41120</v>
      </c>
      <c r="B4414" s="16" t="s">
        <v>1746</v>
      </c>
      <c r="C4414" t="s">
        <v>1007</v>
      </c>
      <c r="D4414" t="s">
        <v>783</v>
      </c>
      <c r="E4414" s="17">
        <v>6.82</v>
      </c>
      <c r="F4414" s="17">
        <v>20.035</v>
      </c>
      <c r="G4414" s="18">
        <v>136.6387</v>
      </c>
      <c r="H4414" s="30" t="s">
        <v>2341</v>
      </c>
      <c r="J4414" s="34"/>
    </row>
    <row r="4415" spans="1:10" x14ac:dyDescent="0.25">
      <c r="A4415" s="15">
        <v>41136</v>
      </c>
      <c r="B4415" s="16" t="s">
        <v>1778</v>
      </c>
      <c r="C4415" t="s">
        <v>1007</v>
      </c>
      <c r="D4415" t="s">
        <v>783</v>
      </c>
      <c r="E4415" s="17">
        <v>5</v>
      </c>
      <c r="F4415" s="17">
        <v>137.55000000000001</v>
      </c>
      <c r="G4415" s="18">
        <v>687.75</v>
      </c>
      <c r="H4415" s="30" t="s">
        <v>2341</v>
      </c>
      <c r="J4415" s="34"/>
    </row>
    <row r="4416" spans="1:10" x14ac:dyDescent="0.25">
      <c r="A4416" s="15">
        <v>41137</v>
      </c>
      <c r="B4416" s="16" t="s">
        <v>1779</v>
      </c>
      <c r="C4416" t="s">
        <v>1007</v>
      </c>
      <c r="D4416" t="s">
        <v>783</v>
      </c>
      <c r="E4416" s="17">
        <v>12.68</v>
      </c>
      <c r="F4416" s="17">
        <v>17.082000000000001</v>
      </c>
      <c r="G4416" s="18">
        <v>216.59976</v>
      </c>
      <c r="H4416" s="30" t="s">
        <v>2341</v>
      </c>
      <c r="J4416" s="34"/>
    </row>
    <row r="4417" spans="1:10" x14ac:dyDescent="0.25">
      <c r="A4417" s="15">
        <v>41137</v>
      </c>
      <c r="B4417" s="16" t="s">
        <v>1780</v>
      </c>
      <c r="C4417" t="s">
        <v>1007</v>
      </c>
      <c r="D4417" t="s">
        <v>783</v>
      </c>
      <c r="E4417" s="17">
        <v>12.58</v>
      </c>
      <c r="F4417" s="17">
        <v>17.082000000000001</v>
      </c>
      <c r="G4417" s="18">
        <v>214.89156</v>
      </c>
      <c r="H4417" s="30" t="s">
        <v>2341</v>
      </c>
      <c r="J4417" s="34"/>
    </row>
    <row r="4418" spans="1:10" x14ac:dyDescent="0.25">
      <c r="A4418" s="15">
        <v>41138</v>
      </c>
      <c r="B4418" s="16" t="s">
        <v>1779</v>
      </c>
      <c r="C4418" t="s">
        <v>1007</v>
      </c>
      <c r="D4418" t="s">
        <v>783</v>
      </c>
      <c r="E4418" s="17">
        <v>12.54</v>
      </c>
      <c r="F4418" s="17">
        <v>13.64</v>
      </c>
      <c r="G4418" s="18">
        <v>171.04560000000001</v>
      </c>
      <c r="H4418" s="30" t="s">
        <v>2341</v>
      </c>
      <c r="J4418" s="34"/>
    </row>
    <row r="4419" spans="1:10" x14ac:dyDescent="0.25">
      <c r="A4419" s="15">
        <v>41142</v>
      </c>
      <c r="B4419" s="16" t="s">
        <v>1779</v>
      </c>
      <c r="C4419" t="s">
        <v>1007</v>
      </c>
      <c r="D4419" t="s">
        <v>783</v>
      </c>
      <c r="E4419" s="17">
        <v>11.62</v>
      </c>
      <c r="F4419" s="17">
        <v>13.64</v>
      </c>
      <c r="G4419" s="18">
        <v>158.49680000000001</v>
      </c>
      <c r="H4419" s="30" t="s">
        <v>2341</v>
      </c>
      <c r="J4419" s="34"/>
    </row>
    <row r="4420" spans="1:10" x14ac:dyDescent="0.25">
      <c r="A4420" s="15">
        <v>41142</v>
      </c>
      <c r="B4420" s="16" t="s">
        <v>1781</v>
      </c>
      <c r="C4420" t="s">
        <v>1007</v>
      </c>
      <c r="D4420" t="s">
        <v>783</v>
      </c>
      <c r="E4420" s="17">
        <v>12.58</v>
      </c>
      <c r="F4420" s="17">
        <v>17.081</v>
      </c>
      <c r="G4420" s="18">
        <v>214.87898000000001</v>
      </c>
      <c r="H4420" s="30" t="s">
        <v>2341</v>
      </c>
      <c r="J4420" s="34"/>
    </row>
    <row r="4421" spans="1:10" x14ac:dyDescent="0.25">
      <c r="A4421" s="15">
        <v>41145</v>
      </c>
      <c r="B4421" s="16" t="s">
        <v>1779</v>
      </c>
      <c r="C4421" t="s">
        <v>1007</v>
      </c>
      <c r="D4421" t="s">
        <v>783</v>
      </c>
      <c r="E4421" s="17">
        <v>2.2599999999999998</v>
      </c>
      <c r="F4421" s="17">
        <v>13.64</v>
      </c>
      <c r="G4421" s="18">
        <v>30.8264</v>
      </c>
      <c r="H4421" s="30" t="s">
        <v>2341</v>
      </c>
      <c r="J4421" s="34"/>
    </row>
    <row r="4422" spans="1:10" x14ac:dyDescent="0.25">
      <c r="A4422" s="15">
        <v>41156</v>
      </c>
      <c r="B4422" s="16" t="s">
        <v>1782</v>
      </c>
      <c r="C4422" t="s">
        <v>1007</v>
      </c>
      <c r="D4422" t="s">
        <v>783</v>
      </c>
      <c r="E4422" s="17">
        <v>2.38</v>
      </c>
      <c r="F4422" s="17">
        <v>13.64</v>
      </c>
      <c r="G4422" s="18">
        <v>32.463200000000001</v>
      </c>
      <c r="H4422" s="30" t="s">
        <v>2341</v>
      </c>
      <c r="J4422" s="34"/>
    </row>
    <row r="4423" spans="1:10" x14ac:dyDescent="0.25">
      <c r="A4423" s="15">
        <v>41169</v>
      </c>
      <c r="B4423" s="16" t="s">
        <v>1782</v>
      </c>
      <c r="C4423" t="s">
        <v>1007</v>
      </c>
      <c r="D4423" t="s">
        <v>783</v>
      </c>
      <c r="E4423" s="17">
        <v>2</v>
      </c>
      <c r="F4423" s="17">
        <v>13.64</v>
      </c>
      <c r="G4423" s="18">
        <v>27.28</v>
      </c>
      <c r="H4423" s="30" t="s">
        <v>2341</v>
      </c>
      <c r="J4423" s="34"/>
    </row>
    <row r="4424" spans="1:10" x14ac:dyDescent="0.25">
      <c r="A4424" s="19" t="s">
        <v>781</v>
      </c>
      <c r="B4424" s="20" t="s">
        <v>1783</v>
      </c>
      <c r="C4424" s="21" t="s">
        <v>781</v>
      </c>
      <c r="D4424" s="21" t="s">
        <v>781</v>
      </c>
      <c r="E4424" s="22"/>
      <c r="F4424" s="22"/>
      <c r="G4424" s="23">
        <v>13323.907380000001</v>
      </c>
      <c r="H4424" s="31" t="s">
        <v>2285</v>
      </c>
      <c r="J4424" s="34"/>
    </row>
    <row r="4425" spans="1:10" x14ac:dyDescent="0.25">
      <c r="A4425" s="15" t="s">
        <v>781</v>
      </c>
      <c r="B4425" s="16" t="s">
        <v>781</v>
      </c>
      <c r="C4425" t="s">
        <v>781</v>
      </c>
      <c r="D4425" t="s">
        <v>781</v>
      </c>
      <c r="E4425" s="17"/>
      <c r="F4425" s="17"/>
      <c r="G4425" s="18"/>
      <c r="H4425" s="30" t="s">
        <v>2285</v>
      </c>
      <c r="J4425" s="34"/>
    </row>
    <row r="4426" spans="1:10" x14ac:dyDescent="0.25">
      <c r="A4426" s="12" t="s">
        <v>781</v>
      </c>
      <c r="B4426" s="11" t="s">
        <v>1909</v>
      </c>
      <c r="C4426" s="10" t="s">
        <v>781</v>
      </c>
      <c r="D4426" s="10" t="s">
        <v>781</v>
      </c>
      <c r="E4426" s="13"/>
      <c r="F4426" s="13"/>
      <c r="G4426" s="14"/>
      <c r="H4426" s="29" t="s">
        <v>2285</v>
      </c>
      <c r="J4426" s="34"/>
    </row>
    <row r="4427" spans="1:10" x14ac:dyDescent="0.25">
      <c r="A4427" s="15">
        <v>40836</v>
      </c>
      <c r="B4427" s="16" t="s">
        <v>1784</v>
      </c>
      <c r="C4427" t="s">
        <v>1785</v>
      </c>
      <c r="D4427" t="s">
        <v>783</v>
      </c>
      <c r="E4427" s="17">
        <v>6</v>
      </c>
      <c r="F4427" s="17">
        <v>74.2</v>
      </c>
      <c r="G4427" s="18">
        <v>445.2</v>
      </c>
      <c r="H4427" s="30" t="s">
        <v>2342</v>
      </c>
      <c r="J4427" s="34"/>
    </row>
    <row r="4428" spans="1:10" x14ac:dyDescent="0.25">
      <c r="A4428" s="15">
        <v>40858</v>
      </c>
      <c r="B4428" s="16" t="s">
        <v>1786</v>
      </c>
      <c r="C4428" t="s">
        <v>1773</v>
      </c>
      <c r="D4428" t="s">
        <v>783</v>
      </c>
      <c r="E4428" s="17">
        <v>1</v>
      </c>
      <c r="F4428" s="17">
        <v>133.75</v>
      </c>
      <c r="G4428" s="18">
        <v>133.75</v>
      </c>
      <c r="H4428" s="30" t="s">
        <v>2342</v>
      </c>
      <c r="J4428" s="34"/>
    </row>
    <row r="4429" spans="1:10" x14ac:dyDescent="0.25">
      <c r="A4429" s="15">
        <v>40882</v>
      </c>
      <c r="B4429" s="16" t="s">
        <v>1787</v>
      </c>
      <c r="C4429" t="s">
        <v>1773</v>
      </c>
      <c r="D4429" t="s">
        <v>783</v>
      </c>
      <c r="E4429" s="17">
        <v>1</v>
      </c>
      <c r="F4429" s="17">
        <v>291.48</v>
      </c>
      <c r="G4429" s="18">
        <v>291.48</v>
      </c>
      <c r="H4429" s="30" t="s">
        <v>2342</v>
      </c>
      <c r="J4429" s="34"/>
    </row>
    <row r="4430" spans="1:10" x14ac:dyDescent="0.25">
      <c r="A4430" s="15">
        <v>40982</v>
      </c>
      <c r="B4430" s="16" t="s">
        <v>1788</v>
      </c>
      <c r="C4430" t="s">
        <v>1773</v>
      </c>
      <c r="D4430" t="s">
        <v>783</v>
      </c>
      <c r="E4430" s="17">
        <v>1</v>
      </c>
      <c r="F4430" s="17">
        <v>88.64</v>
      </c>
      <c r="G4430" s="18">
        <v>88.64</v>
      </c>
      <c r="H4430" s="30" t="s">
        <v>2342</v>
      </c>
      <c r="J4430" s="34"/>
    </row>
    <row r="4431" spans="1:10" x14ac:dyDescent="0.25">
      <c r="A4431" s="19" t="s">
        <v>781</v>
      </c>
      <c r="B4431" s="20" t="s">
        <v>1789</v>
      </c>
      <c r="C4431" s="21" t="s">
        <v>781</v>
      </c>
      <c r="D4431" s="21" t="s">
        <v>781</v>
      </c>
      <c r="E4431" s="22"/>
      <c r="F4431" s="22"/>
      <c r="G4431" s="23">
        <v>959.07</v>
      </c>
      <c r="H4431" s="31" t="s">
        <v>2285</v>
      </c>
      <c r="J4431" s="34"/>
    </row>
    <row r="4432" spans="1:10" x14ac:dyDescent="0.25">
      <c r="A4432" s="15" t="s">
        <v>781</v>
      </c>
      <c r="B4432" s="16" t="s">
        <v>781</v>
      </c>
      <c r="C4432" t="s">
        <v>781</v>
      </c>
      <c r="D4432" t="s">
        <v>781</v>
      </c>
      <c r="E4432" s="17"/>
      <c r="F4432" s="17"/>
      <c r="G4432" s="18"/>
      <c r="H4432" s="30" t="s">
        <v>2285</v>
      </c>
      <c r="J4432" s="34"/>
    </row>
    <row r="4433" spans="1:10" x14ac:dyDescent="0.25">
      <c r="A4433" s="12" t="s">
        <v>781</v>
      </c>
      <c r="B4433" s="11" t="s">
        <v>1910</v>
      </c>
      <c r="C4433" s="10" t="s">
        <v>781</v>
      </c>
      <c r="D4433" s="10" t="s">
        <v>781</v>
      </c>
      <c r="E4433" s="13"/>
      <c r="F4433" s="13"/>
      <c r="G4433" s="14"/>
      <c r="H4433" s="29" t="s">
        <v>2285</v>
      </c>
      <c r="J4433" s="34"/>
    </row>
    <row r="4434" spans="1:10" x14ac:dyDescent="0.25">
      <c r="A4434" s="15">
        <v>40841</v>
      </c>
      <c r="B4434" s="16" t="s">
        <v>1790</v>
      </c>
      <c r="C4434" t="s">
        <v>976</v>
      </c>
      <c r="D4434" t="s">
        <v>783</v>
      </c>
      <c r="E4434" s="17">
        <v>1</v>
      </c>
      <c r="F4434" s="17">
        <v>4350</v>
      </c>
      <c r="G4434" s="18">
        <v>4350</v>
      </c>
      <c r="H4434" s="30" t="s">
        <v>2343</v>
      </c>
      <c r="J4434" s="34"/>
    </row>
    <row r="4435" spans="1:10" x14ac:dyDescent="0.25">
      <c r="A4435" s="15">
        <v>40863</v>
      </c>
      <c r="B4435" s="16" t="s">
        <v>1791</v>
      </c>
      <c r="C4435" t="s">
        <v>1301</v>
      </c>
      <c r="D4435" t="s">
        <v>783</v>
      </c>
      <c r="E4435" s="17">
        <v>1</v>
      </c>
      <c r="F4435" s="17">
        <v>2728</v>
      </c>
      <c r="G4435" s="18">
        <v>2728</v>
      </c>
      <c r="H4435" s="30" t="s">
        <v>2343</v>
      </c>
      <c r="J4435" s="34"/>
    </row>
    <row r="4436" spans="1:10" x14ac:dyDescent="0.25">
      <c r="A4436" s="15">
        <v>40863</v>
      </c>
      <c r="B4436" s="16" t="s">
        <v>1792</v>
      </c>
      <c r="C4436" t="s">
        <v>1533</v>
      </c>
      <c r="D4436" t="s">
        <v>783</v>
      </c>
      <c r="E4436" s="17">
        <v>1</v>
      </c>
      <c r="F4436" s="17">
        <v>832.5</v>
      </c>
      <c r="G4436" s="18">
        <v>832.5</v>
      </c>
      <c r="H4436" s="30" t="s">
        <v>2343</v>
      </c>
      <c r="J4436" s="34"/>
    </row>
    <row r="4437" spans="1:10" x14ac:dyDescent="0.25">
      <c r="A4437" s="15">
        <v>40875</v>
      </c>
      <c r="B4437" s="16" t="s">
        <v>1793</v>
      </c>
      <c r="C4437" t="s">
        <v>1794</v>
      </c>
      <c r="D4437" t="s">
        <v>783</v>
      </c>
      <c r="E4437" s="17">
        <v>1</v>
      </c>
      <c r="F4437" s="17">
        <v>22.2</v>
      </c>
      <c r="G4437" s="18">
        <v>22.2</v>
      </c>
      <c r="H4437" s="30" t="s">
        <v>2343</v>
      </c>
      <c r="J4437" s="34"/>
    </row>
    <row r="4438" spans="1:10" x14ac:dyDescent="0.25">
      <c r="A4438" s="15">
        <v>40877</v>
      </c>
      <c r="B4438" s="16" t="s">
        <v>1795</v>
      </c>
      <c r="C4438" t="s">
        <v>1533</v>
      </c>
      <c r="D4438" t="s">
        <v>783</v>
      </c>
      <c r="E4438" s="17">
        <v>3</v>
      </c>
      <c r="F4438" s="17">
        <v>82.5</v>
      </c>
      <c r="G4438" s="18">
        <v>247.5</v>
      </c>
      <c r="H4438" s="30" t="s">
        <v>2343</v>
      </c>
      <c r="J4438" s="34"/>
    </row>
    <row r="4439" spans="1:10" x14ac:dyDescent="0.25">
      <c r="A4439" s="15">
        <v>40883</v>
      </c>
      <c r="B4439" s="16" t="s">
        <v>1796</v>
      </c>
      <c r="C4439" t="s">
        <v>1533</v>
      </c>
      <c r="D4439" t="s">
        <v>783</v>
      </c>
      <c r="E4439" s="17">
        <v>1</v>
      </c>
      <c r="F4439" s="17">
        <v>65.2</v>
      </c>
      <c r="G4439" s="18">
        <v>65.2</v>
      </c>
      <c r="H4439" s="30" t="s">
        <v>2343</v>
      </c>
      <c r="J4439" s="34"/>
    </row>
    <row r="4440" spans="1:10" x14ac:dyDescent="0.25">
      <c r="A4440" s="15">
        <v>40884</v>
      </c>
      <c r="B4440" s="16" t="s">
        <v>1797</v>
      </c>
      <c r="C4440" t="s">
        <v>1533</v>
      </c>
      <c r="D4440" t="s">
        <v>783</v>
      </c>
      <c r="E4440" s="17">
        <v>1</v>
      </c>
      <c r="F4440" s="17">
        <v>312.7</v>
      </c>
      <c r="G4440" s="18">
        <v>312.7</v>
      </c>
      <c r="H4440" s="30" t="s">
        <v>2343</v>
      </c>
      <c r="J4440" s="34"/>
    </row>
    <row r="4441" spans="1:10" x14ac:dyDescent="0.25">
      <c r="A4441" s="15">
        <v>41010</v>
      </c>
      <c r="B4441" s="16" t="s">
        <v>1798</v>
      </c>
      <c r="C4441" t="s">
        <v>1533</v>
      </c>
      <c r="D4441" t="s">
        <v>783</v>
      </c>
      <c r="E4441" s="17">
        <v>1</v>
      </c>
      <c r="F4441" s="17">
        <v>2443.5</v>
      </c>
      <c r="G4441" s="18">
        <v>2443.5</v>
      </c>
      <c r="H4441" s="30" t="s">
        <v>2343</v>
      </c>
      <c r="J4441" s="34"/>
    </row>
    <row r="4442" spans="1:10" x14ac:dyDescent="0.25">
      <c r="A4442" s="15">
        <v>41095</v>
      </c>
      <c r="B4442" s="16" t="s">
        <v>1799</v>
      </c>
      <c r="C4442" t="s">
        <v>1533</v>
      </c>
      <c r="D4442" t="s">
        <v>783</v>
      </c>
      <c r="E4442" s="17">
        <v>17</v>
      </c>
      <c r="F4442" s="17">
        <v>73.994</v>
      </c>
      <c r="G4442" s="18">
        <v>1257.8979999999999</v>
      </c>
      <c r="H4442" s="30" t="s">
        <v>2343</v>
      </c>
      <c r="J4442" s="34"/>
    </row>
    <row r="4443" spans="1:10" x14ac:dyDescent="0.25">
      <c r="A4443" s="15">
        <v>41120</v>
      </c>
      <c r="B4443" s="16" t="s">
        <v>1800</v>
      </c>
      <c r="C4443" t="s">
        <v>1274</v>
      </c>
      <c r="D4443" t="s">
        <v>783</v>
      </c>
      <c r="E4443" s="17">
        <v>1</v>
      </c>
      <c r="F4443" s="17">
        <v>554.86</v>
      </c>
      <c r="G4443" s="18">
        <v>554.86</v>
      </c>
      <c r="H4443" s="30" t="s">
        <v>2343</v>
      </c>
      <c r="J4443" s="34"/>
    </row>
    <row r="4444" spans="1:10" x14ac:dyDescent="0.25">
      <c r="A4444" s="15">
        <v>41150</v>
      </c>
      <c r="B4444" s="16" t="s">
        <v>1801</v>
      </c>
      <c r="C4444" t="s">
        <v>1533</v>
      </c>
      <c r="D4444" t="s">
        <v>783</v>
      </c>
      <c r="E4444" s="17">
        <v>1</v>
      </c>
      <c r="F4444" s="17">
        <v>786</v>
      </c>
      <c r="G4444" s="18">
        <v>786</v>
      </c>
      <c r="H4444" s="30" t="s">
        <v>2343</v>
      </c>
      <c r="J4444" s="34"/>
    </row>
    <row r="4445" spans="1:10" x14ac:dyDescent="0.25">
      <c r="A4445" s="15">
        <v>41162</v>
      </c>
      <c r="B4445" s="16" t="s">
        <v>1802</v>
      </c>
      <c r="C4445" t="s">
        <v>1533</v>
      </c>
      <c r="D4445" t="s">
        <v>783</v>
      </c>
      <c r="E4445" s="17">
        <v>1</v>
      </c>
      <c r="F4445" s="17">
        <v>336</v>
      </c>
      <c r="G4445" s="18">
        <v>336</v>
      </c>
      <c r="H4445" s="30" t="s">
        <v>2343</v>
      </c>
      <c r="J4445" s="34"/>
    </row>
    <row r="4446" spans="1:10" x14ac:dyDescent="0.25">
      <c r="A4446" s="15">
        <v>41165</v>
      </c>
      <c r="B4446" s="16" t="s">
        <v>1803</v>
      </c>
      <c r="C4446" t="s">
        <v>1533</v>
      </c>
      <c r="D4446" t="s">
        <v>783</v>
      </c>
      <c r="E4446" s="17">
        <v>1</v>
      </c>
      <c r="F4446" s="17">
        <v>437.59</v>
      </c>
      <c r="G4446" s="18">
        <v>437.59</v>
      </c>
      <c r="H4446" s="30" t="s">
        <v>2343</v>
      </c>
      <c r="J4446" s="34"/>
    </row>
    <row r="4447" spans="1:10" x14ac:dyDescent="0.25">
      <c r="A4447" s="19" t="s">
        <v>781</v>
      </c>
      <c r="B4447" s="20" t="s">
        <v>1804</v>
      </c>
      <c r="C4447" s="21" t="s">
        <v>781</v>
      </c>
      <c r="D4447" s="21" t="s">
        <v>781</v>
      </c>
      <c r="E4447" s="22"/>
      <c r="F4447" s="22"/>
      <c r="G4447" s="23">
        <v>14373.948</v>
      </c>
      <c r="H4447" s="31" t="s">
        <v>2285</v>
      </c>
      <c r="J4447" s="34"/>
    </row>
    <row r="4448" spans="1:10" x14ac:dyDescent="0.25">
      <c r="A4448" s="15" t="s">
        <v>781</v>
      </c>
      <c r="B4448" s="16" t="s">
        <v>781</v>
      </c>
      <c r="C4448" t="s">
        <v>781</v>
      </c>
      <c r="D4448" t="s">
        <v>781</v>
      </c>
      <c r="E4448" s="17"/>
      <c r="F4448" s="17"/>
      <c r="G4448" s="18"/>
      <c r="H4448" s="30" t="s">
        <v>2285</v>
      </c>
      <c r="J4448" s="34"/>
    </row>
    <row r="4449" spans="1:10" x14ac:dyDescent="0.25">
      <c r="A4449" s="12" t="s">
        <v>781</v>
      </c>
      <c r="B4449" s="11" t="s">
        <v>1911</v>
      </c>
      <c r="C4449" s="10" t="s">
        <v>781</v>
      </c>
      <c r="D4449" s="10" t="s">
        <v>781</v>
      </c>
      <c r="E4449" s="13"/>
      <c r="F4449" s="13"/>
      <c r="G4449" s="14"/>
      <c r="H4449" s="29" t="s">
        <v>2285</v>
      </c>
      <c r="J4449" s="34"/>
    </row>
    <row r="4450" spans="1:10" x14ac:dyDescent="0.25">
      <c r="A4450" s="15">
        <v>40954</v>
      </c>
      <c r="B4450" s="16" t="s">
        <v>1805</v>
      </c>
      <c r="C4450" t="s">
        <v>1806</v>
      </c>
      <c r="D4450" t="s">
        <v>783</v>
      </c>
      <c r="E4450" s="17">
        <v>30</v>
      </c>
      <c r="F4450" s="17">
        <v>370</v>
      </c>
      <c r="G4450" s="18">
        <v>11100</v>
      </c>
      <c r="H4450" s="30" t="s">
        <v>2344</v>
      </c>
      <c r="J4450" s="34"/>
    </row>
    <row r="4451" spans="1:10" x14ac:dyDescent="0.25">
      <c r="A4451" s="15">
        <v>40973</v>
      </c>
      <c r="B4451" s="16" t="s">
        <v>1807</v>
      </c>
      <c r="C4451" t="s">
        <v>553</v>
      </c>
      <c r="D4451" t="s">
        <v>783</v>
      </c>
      <c r="E4451" s="17">
        <v>8</v>
      </c>
      <c r="F4451" s="17">
        <v>438</v>
      </c>
      <c r="G4451" s="18">
        <v>3504</v>
      </c>
      <c r="H4451" s="30" t="s">
        <v>2344</v>
      </c>
      <c r="J4451" s="34"/>
    </row>
    <row r="4452" spans="1:10" x14ac:dyDescent="0.25">
      <c r="A4452" s="15">
        <v>41092</v>
      </c>
      <c r="B4452" s="16" t="s">
        <v>1808</v>
      </c>
      <c r="C4452" t="s">
        <v>1809</v>
      </c>
      <c r="D4452" t="s">
        <v>783</v>
      </c>
      <c r="E4452" s="17">
        <v>11</v>
      </c>
      <c r="F4452" s="17">
        <v>920</v>
      </c>
      <c r="G4452" s="18">
        <v>10120</v>
      </c>
      <c r="H4452" s="30" t="s">
        <v>2344</v>
      </c>
      <c r="J4452" s="34"/>
    </row>
    <row r="4453" spans="1:10" x14ac:dyDescent="0.25">
      <c r="A4453" s="15">
        <v>41092</v>
      </c>
      <c r="B4453" s="16" t="s">
        <v>1810</v>
      </c>
      <c r="C4453" t="s">
        <v>1809</v>
      </c>
      <c r="D4453" t="s">
        <v>783</v>
      </c>
      <c r="E4453" s="17">
        <v>31</v>
      </c>
      <c r="F4453" s="17">
        <v>460</v>
      </c>
      <c r="G4453" s="18">
        <v>14260</v>
      </c>
      <c r="H4453" s="30" t="s">
        <v>2344</v>
      </c>
      <c r="J4453" s="34"/>
    </row>
    <row r="4454" spans="1:10" x14ac:dyDescent="0.25">
      <c r="A4454" s="15">
        <v>41110</v>
      </c>
      <c r="B4454" s="16" t="s">
        <v>1811</v>
      </c>
      <c r="C4454" t="s">
        <v>1812</v>
      </c>
      <c r="D4454" t="s">
        <v>783</v>
      </c>
      <c r="E4454" s="17">
        <v>36</v>
      </c>
      <c r="F4454" s="17">
        <v>400</v>
      </c>
      <c r="G4454" s="18">
        <v>14400</v>
      </c>
      <c r="H4454" s="30" t="s">
        <v>2344</v>
      </c>
      <c r="J4454" s="34"/>
    </row>
    <row r="4455" spans="1:10" x14ac:dyDescent="0.25">
      <c r="A4455" s="15">
        <v>41120</v>
      </c>
      <c r="B4455" s="16" t="s">
        <v>1813</v>
      </c>
      <c r="C4455" t="s">
        <v>1814</v>
      </c>
      <c r="D4455" t="s">
        <v>783</v>
      </c>
      <c r="E4455" s="17">
        <v>8</v>
      </c>
      <c r="F4455" s="17">
        <v>480</v>
      </c>
      <c r="G4455" s="18">
        <v>3840</v>
      </c>
      <c r="H4455" s="30" t="s">
        <v>2344</v>
      </c>
      <c r="J4455" s="34"/>
    </row>
    <row r="4456" spans="1:10" x14ac:dyDescent="0.25">
      <c r="A4456" s="15">
        <v>41120</v>
      </c>
      <c r="B4456" s="16" t="s">
        <v>1813</v>
      </c>
      <c r="C4456" t="s">
        <v>1809</v>
      </c>
      <c r="D4456" t="s">
        <v>783</v>
      </c>
      <c r="E4456" s="17">
        <v>10</v>
      </c>
      <c r="F4456" s="17">
        <v>460</v>
      </c>
      <c r="G4456" s="18">
        <v>4600</v>
      </c>
      <c r="H4456" s="30" t="s">
        <v>2344</v>
      </c>
      <c r="J4456" s="34"/>
    </row>
    <row r="4457" spans="1:10" x14ac:dyDescent="0.25">
      <c r="A4457" s="15">
        <v>41120</v>
      </c>
      <c r="B4457" s="16" t="s">
        <v>1813</v>
      </c>
      <c r="C4457" t="s">
        <v>1815</v>
      </c>
      <c r="D4457" t="s">
        <v>783</v>
      </c>
      <c r="E4457" s="17">
        <v>3</v>
      </c>
      <c r="F4457" s="17">
        <v>440</v>
      </c>
      <c r="G4457" s="18">
        <v>1320</v>
      </c>
      <c r="H4457" s="30" t="s">
        <v>2344</v>
      </c>
      <c r="J4457" s="34"/>
    </row>
    <row r="4458" spans="1:10" x14ac:dyDescent="0.25">
      <c r="A4458" s="15">
        <v>41120</v>
      </c>
      <c r="B4458" s="16" t="s">
        <v>1816</v>
      </c>
      <c r="C4458" t="s">
        <v>1817</v>
      </c>
      <c r="D4458" t="s">
        <v>783</v>
      </c>
      <c r="E4458" s="17">
        <v>1</v>
      </c>
      <c r="F4458" s="17">
        <v>400</v>
      </c>
      <c r="G4458" s="18">
        <v>400</v>
      </c>
      <c r="H4458" s="30" t="s">
        <v>2344</v>
      </c>
      <c r="J4458" s="34"/>
    </row>
    <row r="4459" spans="1:10" x14ac:dyDescent="0.25">
      <c r="A4459" s="15">
        <v>41120</v>
      </c>
      <c r="B4459" s="16" t="s">
        <v>1818</v>
      </c>
      <c r="C4459" t="s">
        <v>1819</v>
      </c>
      <c r="D4459" t="s">
        <v>783</v>
      </c>
      <c r="E4459" s="17">
        <v>1</v>
      </c>
      <c r="F4459" s="17">
        <v>660</v>
      </c>
      <c r="G4459" s="18">
        <v>660</v>
      </c>
      <c r="H4459" s="30" t="s">
        <v>2344</v>
      </c>
      <c r="J4459" s="34"/>
    </row>
    <row r="4460" spans="1:10" x14ac:dyDescent="0.25">
      <c r="A4460" s="15">
        <v>41156</v>
      </c>
      <c r="B4460" s="16" t="s">
        <v>1820</v>
      </c>
      <c r="C4460" t="s">
        <v>1815</v>
      </c>
      <c r="D4460" t="s">
        <v>783</v>
      </c>
      <c r="E4460" s="17">
        <v>7</v>
      </c>
      <c r="F4460" s="17">
        <v>438</v>
      </c>
      <c r="G4460" s="18">
        <v>3066</v>
      </c>
      <c r="H4460" s="30" t="s">
        <v>2344</v>
      </c>
      <c r="J4460" s="34"/>
    </row>
    <row r="4461" spans="1:10" x14ac:dyDescent="0.25">
      <c r="A4461" s="19" t="s">
        <v>781</v>
      </c>
      <c r="B4461" s="20" t="s">
        <v>1821</v>
      </c>
      <c r="C4461" s="21" t="s">
        <v>781</v>
      </c>
      <c r="D4461" s="21" t="s">
        <v>781</v>
      </c>
      <c r="E4461" s="22"/>
      <c r="F4461" s="22"/>
      <c r="G4461" s="23">
        <v>67270</v>
      </c>
      <c r="H4461" s="31" t="s">
        <v>2285</v>
      </c>
      <c r="J4461" s="34"/>
    </row>
    <row r="4462" spans="1:10" x14ac:dyDescent="0.25">
      <c r="A4462" s="15" t="s">
        <v>781</v>
      </c>
      <c r="B4462" s="16" t="s">
        <v>781</v>
      </c>
      <c r="C4462" t="s">
        <v>781</v>
      </c>
      <c r="D4462" t="s">
        <v>781</v>
      </c>
      <c r="E4462" s="17"/>
      <c r="F4462" s="17"/>
      <c r="G4462" s="18"/>
      <c r="H4462" s="30" t="s">
        <v>2285</v>
      </c>
      <c r="J4462" s="34"/>
    </row>
    <row r="4463" spans="1:10" x14ac:dyDescent="0.25">
      <c r="A4463" s="12" t="s">
        <v>781</v>
      </c>
      <c r="B4463" s="11" t="s">
        <v>1912</v>
      </c>
      <c r="C4463" s="10" t="s">
        <v>781</v>
      </c>
      <c r="D4463" s="10" t="s">
        <v>781</v>
      </c>
      <c r="E4463" s="13"/>
      <c r="F4463" s="13"/>
      <c r="G4463" s="14"/>
      <c r="H4463" s="29" t="s">
        <v>2285</v>
      </c>
      <c r="J4463" s="34"/>
    </row>
    <row r="4464" spans="1:10" x14ac:dyDescent="0.25">
      <c r="A4464" s="15">
        <v>41010</v>
      </c>
      <c r="B4464" s="16" t="s">
        <v>1822</v>
      </c>
      <c r="C4464" t="s">
        <v>1113</v>
      </c>
      <c r="D4464" t="s">
        <v>783</v>
      </c>
      <c r="E4464" s="17">
        <v>40</v>
      </c>
      <c r="F4464" s="17">
        <v>58</v>
      </c>
      <c r="G4464" s="18">
        <v>2320</v>
      </c>
      <c r="H4464" s="30" t="s">
        <v>2345</v>
      </c>
      <c r="J4464" s="34"/>
    </row>
    <row r="4465" spans="1:10" x14ac:dyDescent="0.25">
      <c r="A4465" s="15">
        <v>41040</v>
      </c>
      <c r="B4465" s="16" t="s">
        <v>1823</v>
      </c>
      <c r="C4465" t="s">
        <v>1824</v>
      </c>
      <c r="D4465" t="s">
        <v>783</v>
      </c>
      <c r="E4465" s="17">
        <v>6</v>
      </c>
      <c r="F4465" s="17">
        <v>466</v>
      </c>
      <c r="G4465" s="18">
        <v>2796</v>
      </c>
      <c r="H4465" s="30" t="s">
        <v>2345</v>
      </c>
      <c r="J4465" s="34"/>
    </row>
    <row r="4466" spans="1:10" x14ac:dyDescent="0.25">
      <c r="A4466" s="15">
        <v>41060</v>
      </c>
      <c r="B4466" s="16" t="s">
        <v>1825</v>
      </c>
      <c r="C4466" t="s">
        <v>1203</v>
      </c>
      <c r="D4466" t="s">
        <v>783</v>
      </c>
      <c r="E4466" s="17">
        <v>5</v>
      </c>
      <c r="F4466" s="17">
        <v>27.5</v>
      </c>
      <c r="G4466" s="18">
        <v>137.5</v>
      </c>
      <c r="H4466" s="30" t="s">
        <v>2345</v>
      </c>
      <c r="J4466" s="34"/>
    </row>
    <row r="4467" spans="1:10" x14ac:dyDescent="0.25">
      <c r="A4467" s="15">
        <v>41103</v>
      </c>
      <c r="B4467" s="16" t="s">
        <v>1826</v>
      </c>
      <c r="C4467" t="s">
        <v>1824</v>
      </c>
      <c r="D4467" t="s">
        <v>783</v>
      </c>
      <c r="E4467" s="17">
        <v>2</v>
      </c>
      <c r="F4467" s="17">
        <v>298</v>
      </c>
      <c r="G4467" s="18">
        <v>596</v>
      </c>
      <c r="H4467" s="30" t="s">
        <v>2345</v>
      </c>
      <c r="J4467" s="34"/>
    </row>
    <row r="4468" spans="1:10" ht="30" x14ac:dyDescent="0.25">
      <c r="A4468" s="15">
        <v>41127</v>
      </c>
      <c r="B4468" s="16" t="s">
        <v>1827</v>
      </c>
      <c r="C4468" t="s">
        <v>1824</v>
      </c>
      <c r="D4468" t="s">
        <v>783</v>
      </c>
      <c r="E4468" s="17">
        <v>1</v>
      </c>
      <c r="F4468" s="17">
        <v>279</v>
      </c>
      <c r="G4468" s="18">
        <v>279</v>
      </c>
      <c r="H4468" s="30" t="s">
        <v>2345</v>
      </c>
      <c r="J4468" s="34"/>
    </row>
    <row r="4469" spans="1:10" x14ac:dyDescent="0.25">
      <c r="A4469" s="15">
        <v>41186</v>
      </c>
      <c r="B4469" s="16" t="s">
        <v>1828</v>
      </c>
      <c r="C4469" t="s">
        <v>1824</v>
      </c>
      <c r="D4469" t="s">
        <v>783</v>
      </c>
      <c r="E4469" s="17">
        <v>2</v>
      </c>
      <c r="F4469" s="17">
        <v>1227.27</v>
      </c>
      <c r="G4469" s="18">
        <v>2454.54</v>
      </c>
      <c r="H4469" s="30" t="s">
        <v>2345</v>
      </c>
      <c r="J4469" s="34"/>
    </row>
    <row r="4470" spans="1:10" x14ac:dyDescent="0.25">
      <c r="A4470" s="19" t="s">
        <v>781</v>
      </c>
      <c r="B4470" s="20" t="s">
        <v>1829</v>
      </c>
      <c r="C4470" s="21" t="s">
        <v>781</v>
      </c>
      <c r="D4470" s="21" t="s">
        <v>781</v>
      </c>
      <c r="E4470" s="22"/>
      <c r="F4470" s="22"/>
      <c r="G4470" s="23">
        <v>8583.0400000000009</v>
      </c>
      <c r="H4470" s="31" t="s">
        <v>2285</v>
      </c>
      <c r="J4470" s="34"/>
    </row>
    <row r="4471" spans="1:10" x14ac:dyDescent="0.25">
      <c r="A4471" s="15" t="s">
        <v>781</v>
      </c>
      <c r="B4471" s="16" t="s">
        <v>781</v>
      </c>
      <c r="C4471" t="s">
        <v>781</v>
      </c>
      <c r="D4471" t="s">
        <v>781</v>
      </c>
      <c r="E4471" s="17"/>
      <c r="F4471" s="17"/>
      <c r="G4471" s="18"/>
      <c r="H4471" s="30" t="s">
        <v>2285</v>
      </c>
      <c r="J4471" s="34"/>
    </row>
    <row r="4472" spans="1:10" x14ac:dyDescent="0.25">
      <c r="A4472" s="12" t="s">
        <v>781</v>
      </c>
      <c r="B4472" s="11" t="s">
        <v>1913</v>
      </c>
      <c r="C4472" s="10" t="s">
        <v>781</v>
      </c>
      <c r="D4472" s="10" t="s">
        <v>781</v>
      </c>
      <c r="E4472" s="13"/>
      <c r="F4472" s="13"/>
      <c r="G4472" s="14"/>
      <c r="H4472" s="29" t="s">
        <v>2285</v>
      </c>
      <c r="J4472" s="34"/>
    </row>
    <row r="4473" spans="1:10" x14ac:dyDescent="0.25">
      <c r="A4473" s="15">
        <v>40889</v>
      </c>
      <c r="B4473" s="16" t="s">
        <v>1830</v>
      </c>
      <c r="C4473" t="s">
        <v>375</v>
      </c>
      <c r="D4473" t="s">
        <v>783</v>
      </c>
      <c r="E4473" s="17">
        <v>1</v>
      </c>
      <c r="F4473" s="17">
        <v>1778</v>
      </c>
      <c r="G4473" s="18">
        <v>1778</v>
      </c>
      <c r="H4473" s="30" t="s">
        <v>2346</v>
      </c>
      <c r="J4473" s="34"/>
    </row>
    <row r="4474" spans="1:10" x14ac:dyDescent="0.25">
      <c r="A4474" s="15">
        <v>40981</v>
      </c>
      <c r="B4474" s="16" t="s">
        <v>1831</v>
      </c>
      <c r="C4474" t="s">
        <v>1832</v>
      </c>
      <c r="D4474" t="s">
        <v>783</v>
      </c>
      <c r="E4474" s="17">
        <v>6</v>
      </c>
      <c r="F4474" s="17">
        <v>265</v>
      </c>
      <c r="G4474" s="18">
        <v>1590</v>
      </c>
      <c r="H4474" s="30" t="s">
        <v>2346</v>
      </c>
      <c r="J4474" s="34"/>
    </row>
    <row r="4475" spans="1:10" x14ac:dyDescent="0.25">
      <c r="A4475" s="15">
        <v>40981</v>
      </c>
      <c r="B4475" s="16" t="s">
        <v>1833</v>
      </c>
      <c r="C4475" t="s">
        <v>1834</v>
      </c>
      <c r="D4475" t="s">
        <v>783</v>
      </c>
      <c r="E4475" s="17">
        <v>16</v>
      </c>
      <c r="F4475" s="17">
        <v>264</v>
      </c>
      <c r="G4475" s="18">
        <v>4224</v>
      </c>
      <c r="H4475" s="30" t="s">
        <v>2346</v>
      </c>
      <c r="J4475" s="34"/>
    </row>
    <row r="4476" spans="1:10" x14ac:dyDescent="0.25">
      <c r="A4476" s="15">
        <v>41095</v>
      </c>
      <c r="B4476" s="16" t="s">
        <v>1835</v>
      </c>
      <c r="C4476" t="s">
        <v>180</v>
      </c>
      <c r="D4476" t="s">
        <v>783</v>
      </c>
      <c r="E4476" s="17">
        <v>7</v>
      </c>
      <c r="F4476" s="17">
        <v>162.857</v>
      </c>
      <c r="G4476" s="18">
        <v>1139.999</v>
      </c>
      <c r="H4476" s="30" t="s">
        <v>2346</v>
      </c>
      <c r="J4476" s="34"/>
    </row>
    <row r="4477" spans="1:10" x14ac:dyDescent="0.25">
      <c r="A4477" s="15">
        <v>41129</v>
      </c>
      <c r="B4477" s="16" t="s">
        <v>1836</v>
      </c>
      <c r="C4477" t="s">
        <v>1832</v>
      </c>
      <c r="D4477" t="s">
        <v>783</v>
      </c>
      <c r="E4477" s="17">
        <v>6</v>
      </c>
      <c r="F4477" s="17">
        <v>206</v>
      </c>
      <c r="G4477" s="18">
        <v>1236</v>
      </c>
      <c r="H4477" s="30" t="s">
        <v>2346</v>
      </c>
      <c r="J4477" s="34"/>
    </row>
    <row r="4478" spans="1:10" x14ac:dyDescent="0.25">
      <c r="A4478" s="15">
        <v>41131</v>
      </c>
      <c r="B4478" s="16" t="s">
        <v>1837</v>
      </c>
      <c r="C4478" t="s">
        <v>40</v>
      </c>
      <c r="D4478" t="s">
        <v>783</v>
      </c>
      <c r="E4478" s="17">
        <v>1</v>
      </c>
      <c r="F4478" s="17">
        <v>430</v>
      </c>
      <c r="G4478" s="18">
        <v>430</v>
      </c>
      <c r="H4478" s="30" t="s">
        <v>2346</v>
      </c>
      <c r="J4478" s="34"/>
    </row>
    <row r="4479" spans="1:10" x14ac:dyDescent="0.25">
      <c r="A4479" s="15">
        <v>41131</v>
      </c>
      <c r="B4479" s="16" t="s">
        <v>1838</v>
      </c>
      <c r="C4479" t="s">
        <v>1839</v>
      </c>
      <c r="D4479" t="s">
        <v>783</v>
      </c>
      <c r="E4479" s="17">
        <v>2</v>
      </c>
      <c r="F4479" s="17">
        <v>76.75</v>
      </c>
      <c r="G4479" s="18">
        <v>153.5</v>
      </c>
      <c r="H4479" s="30" t="s">
        <v>2346</v>
      </c>
      <c r="J4479" s="34"/>
    </row>
    <row r="4480" spans="1:10" x14ac:dyDescent="0.25">
      <c r="A4480" s="19" t="s">
        <v>781</v>
      </c>
      <c r="B4480" s="20" t="s">
        <v>1840</v>
      </c>
      <c r="C4480" s="21" t="s">
        <v>781</v>
      </c>
      <c r="D4480" s="21" t="s">
        <v>781</v>
      </c>
      <c r="E4480" s="22"/>
      <c r="F4480" s="22"/>
      <c r="G4480" s="23">
        <v>10551.499</v>
      </c>
      <c r="H4480" s="31" t="s">
        <v>2285</v>
      </c>
      <c r="J4480" s="34"/>
    </row>
    <row r="4481" spans="1:10" x14ac:dyDescent="0.25">
      <c r="A4481" s="15" t="s">
        <v>781</v>
      </c>
      <c r="B4481" s="16" t="s">
        <v>781</v>
      </c>
      <c r="C4481" t="s">
        <v>781</v>
      </c>
      <c r="D4481" t="s">
        <v>781</v>
      </c>
      <c r="E4481" s="17"/>
      <c r="F4481" s="17"/>
      <c r="G4481" s="18"/>
      <c r="H4481" s="30" t="s">
        <v>2285</v>
      </c>
      <c r="J4481" s="34"/>
    </row>
    <row r="4482" spans="1:10" x14ac:dyDescent="0.25">
      <c r="A4482" s="12" t="s">
        <v>781</v>
      </c>
      <c r="B4482" s="11" t="s">
        <v>1914</v>
      </c>
      <c r="C4482" s="10" t="s">
        <v>781</v>
      </c>
      <c r="D4482" s="10" t="s">
        <v>781</v>
      </c>
      <c r="E4482" s="13"/>
      <c r="F4482" s="13"/>
      <c r="G4482" s="14"/>
      <c r="H4482" s="29" t="s">
        <v>2285</v>
      </c>
      <c r="J4482" s="34"/>
    </row>
    <row r="4483" spans="1:10" x14ac:dyDescent="0.25">
      <c r="A4483" s="15">
        <v>40883</v>
      </c>
      <c r="B4483" s="16" t="s">
        <v>1841</v>
      </c>
      <c r="C4483" t="s">
        <v>1842</v>
      </c>
      <c r="D4483" t="s">
        <v>783</v>
      </c>
      <c r="E4483" s="17">
        <v>1</v>
      </c>
      <c r="F4483" s="17">
        <v>511.67</v>
      </c>
      <c r="G4483" s="18">
        <v>511.67</v>
      </c>
      <c r="H4483" s="30" t="s">
        <v>2347</v>
      </c>
      <c r="J4483" s="34"/>
    </row>
    <row r="4484" spans="1:10" x14ac:dyDescent="0.25">
      <c r="A4484" s="15">
        <v>40956</v>
      </c>
      <c r="B4484" s="16" t="s">
        <v>1843</v>
      </c>
      <c r="C4484" t="s">
        <v>1839</v>
      </c>
      <c r="D4484" t="s">
        <v>783</v>
      </c>
      <c r="E4484" s="17">
        <v>9</v>
      </c>
      <c r="F4484" s="17">
        <v>511.67</v>
      </c>
      <c r="G4484" s="18">
        <v>4605.03</v>
      </c>
      <c r="H4484" s="30" t="s">
        <v>2347</v>
      </c>
      <c r="J4484" s="34"/>
    </row>
    <row r="4485" spans="1:10" x14ac:dyDescent="0.25">
      <c r="A4485" s="15">
        <v>40956</v>
      </c>
      <c r="B4485" s="16" t="s">
        <v>1844</v>
      </c>
      <c r="C4485" t="s">
        <v>1845</v>
      </c>
      <c r="D4485" t="s">
        <v>783</v>
      </c>
      <c r="E4485" s="17">
        <v>5</v>
      </c>
      <c r="F4485" s="17">
        <v>1377</v>
      </c>
      <c r="G4485" s="18">
        <v>6885</v>
      </c>
      <c r="H4485" s="30" t="s">
        <v>2347</v>
      </c>
      <c r="J4485" s="34"/>
    </row>
    <row r="4486" spans="1:10" x14ac:dyDescent="0.25">
      <c r="A4486" s="15">
        <v>41153</v>
      </c>
      <c r="B4486" s="16" t="s">
        <v>1846</v>
      </c>
      <c r="C4486" t="s">
        <v>1839</v>
      </c>
      <c r="D4486" t="s">
        <v>783</v>
      </c>
      <c r="E4486" s="17">
        <v>1</v>
      </c>
      <c r="F4486" s="17">
        <v>1458.3</v>
      </c>
      <c r="G4486" s="18">
        <v>1458.3</v>
      </c>
      <c r="H4486" s="30" t="s">
        <v>2347</v>
      </c>
      <c r="J4486" s="34"/>
    </row>
    <row r="4487" spans="1:10" x14ac:dyDescent="0.25">
      <c r="A4487" s="19" t="s">
        <v>781</v>
      </c>
      <c r="B4487" s="20" t="s">
        <v>1847</v>
      </c>
      <c r="C4487" s="21" t="s">
        <v>781</v>
      </c>
      <c r="D4487" s="21" t="s">
        <v>781</v>
      </c>
      <c r="E4487" s="22"/>
      <c r="F4487" s="22"/>
      <c r="G4487" s="23">
        <v>13460</v>
      </c>
      <c r="H4487" s="31" t="s">
        <v>2285</v>
      </c>
      <c r="J4487" s="34"/>
    </row>
    <row r="4488" spans="1:10" x14ac:dyDescent="0.25">
      <c r="A4488" s="15" t="s">
        <v>781</v>
      </c>
      <c r="B4488" s="16" t="s">
        <v>781</v>
      </c>
      <c r="C4488" t="s">
        <v>781</v>
      </c>
      <c r="D4488" t="s">
        <v>781</v>
      </c>
      <c r="E4488" s="17"/>
      <c r="F4488" s="17"/>
      <c r="G4488" s="18"/>
      <c r="H4488" s="30" t="s">
        <v>2285</v>
      </c>
      <c r="J4488" s="34"/>
    </row>
    <row r="4489" spans="1:10" x14ac:dyDescent="0.25">
      <c r="A4489" s="12" t="s">
        <v>781</v>
      </c>
      <c r="B4489" s="11" t="s">
        <v>1915</v>
      </c>
      <c r="C4489" s="10" t="s">
        <v>781</v>
      </c>
      <c r="D4489" s="10" t="s">
        <v>781</v>
      </c>
      <c r="E4489" s="13"/>
      <c r="F4489" s="13"/>
      <c r="G4489" s="14"/>
      <c r="H4489" s="29" t="s">
        <v>2285</v>
      </c>
      <c r="J4489" s="34"/>
    </row>
    <row r="4490" spans="1:10" x14ac:dyDescent="0.25">
      <c r="A4490" s="15">
        <v>41156</v>
      </c>
      <c r="B4490" s="16" t="s">
        <v>1848</v>
      </c>
      <c r="C4490" t="s">
        <v>1176</v>
      </c>
      <c r="D4490" t="s">
        <v>783</v>
      </c>
      <c r="E4490" s="17">
        <v>1</v>
      </c>
      <c r="F4490" s="17">
        <v>134.4</v>
      </c>
      <c r="G4490" s="18">
        <v>134.4</v>
      </c>
      <c r="H4490" s="30" t="s">
        <v>2348</v>
      </c>
      <c r="J4490" s="34"/>
    </row>
    <row r="4491" spans="1:10" x14ac:dyDescent="0.25">
      <c r="A4491" s="19" t="s">
        <v>781</v>
      </c>
      <c r="B4491" s="20" t="s">
        <v>1849</v>
      </c>
      <c r="C4491" s="21" t="s">
        <v>781</v>
      </c>
      <c r="D4491" s="21" t="s">
        <v>781</v>
      </c>
      <c r="E4491" s="22"/>
      <c r="F4491" s="22"/>
      <c r="G4491" s="23">
        <v>134.4</v>
      </c>
      <c r="H4491" s="31"/>
      <c r="J4491" s="34"/>
    </row>
    <row r="4492" spans="1:10" x14ac:dyDescent="0.25">
      <c r="A4492" s="15" t="s">
        <v>781</v>
      </c>
      <c r="B4492" s="16" t="s">
        <v>781</v>
      </c>
      <c r="C4492" t="s">
        <v>781</v>
      </c>
      <c r="D4492" t="s">
        <v>781</v>
      </c>
      <c r="E4492" s="17"/>
      <c r="F4492" s="17"/>
      <c r="G4492" s="18"/>
      <c r="J4492" s="34"/>
    </row>
    <row r="4493" spans="1:10" x14ac:dyDescent="0.25">
      <c r="A4493" s="24" t="s">
        <v>781</v>
      </c>
      <c r="B4493" s="25" t="s">
        <v>1850</v>
      </c>
      <c r="C4493" s="26" t="s">
        <v>781</v>
      </c>
      <c r="D4493" s="26" t="s">
        <v>781</v>
      </c>
      <c r="E4493" s="27"/>
      <c r="F4493" s="27"/>
      <c r="G4493" s="28">
        <v>3156786.2266899999</v>
      </c>
      <c r="H4493" s="32"/>
      <c r="J4493" s="34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88A490BCC56CF439367DE6B60B34531" ma:contentTypeVersion="10" ma:contentTypeDescription="Create a new document." ma:contentTypeScope="" ma:versionID="29b5a889ea4ae9a7150cb685c9338f96">
  <xsd:schema xmlns:xsd="http://www.w3.org/2001/XMLSchema" xmlns:xs="http://www.w3.org/2001/XMLSchema" xmlns:p="http://schemas.microsoft.com/office/2006/metadata/properties" xmlns:ns3="9d3f8160-a2c4-4633-b17d-d1ececd3ee25" targetNamespace="http://schemas.microsoft.com/office/2006/metadata/properties" ma:root="true" ma:fieldsID="61bc3900d01377cea9011f4ce95340fc" ns3:_="">
    <xsd:import namespace="9d3f8160-a2c4-4633-b17d-d1ececd3ee2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d3f8160-a2c4-4633-b17d-d1ececd3ee2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DA4D72B-227C-4BE8-90C6-B4608C9AD0C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d3f8160-a2c4-4633-b17d-d1ececd3ee2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B9B7EA2-7C01-4675-922A-89E42CA7CEBD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B5A19193-F09D-439D-8F79-B6CD67B60C6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Estimate</vt:lpstr>
      <vt:lpstr>Resources</vt:lpstr>
      <vt:lpstr>Model Inputs</vt:lpstr>
      <vt:lpstr>Non-Work Days</vt:lpstr>
      <vt:lpstr>Program Links</vt:lpstr>
      <vt:lpstr>Budget &amp; Revenue</vt:lpstr>
      <vt:lpstr>Portfolio WBS</vt:lpstr>
      <vt:lpstr>Actual Costs</vt:lpstr>
      <vt:lpstr>Workhrs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Brett Thiele</dc:creator>
  <cp:lastModifiedBy>Brett Thiele</cp:lastModifiedBy>
  <dcterms:created xsi:type="dcterms:W3CDTF">2020-03-07T04:51:03Z</dcterms:created>
  <dcterms:modified xsi:type="dcterms:W3CDTF">2020-09-25T04:40:28Z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0x010100888A490BCC56CF439367DE6B60B34531</vt:lpwstr>
  </property>
</Properties>
</file>